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codeName="ThisWorkbook" defaultThemeVersion="166925"/>
  <mc:AlternateContent xmlns:mc="http://schemas.openxmlformats.org/markup-compatibility/2006">
    <mc:Choice Requires="x15">
      <x15ac:absPath xmlns:x15ac="http://schemas.microsoft.com/office/spreadsheetml/2010/11/ac" url="U:\Shared Documents\ERD - STATS\MSB\2021\July 2021\Final Tables\"/>
    </mc:Choice>
  </mc:AlternateContent>
  <xr:revisionPtr revIDLastSave="0" documentId="13_ncr:1_{DA12C54A-4458-45F1-8C0D-D244CF5E1929}" xr6:coauthVersionLast="36" xr6:coauthVersionMax="36" xr10:uidLastSave="{00000000-0000-0000-0000-000000000000}"/>
  <bookViews>
    <workbookView xWindow="0" yWindow="0" windowWidth="28800" windowHeight="11625" tabRatio="800" xr2:uid="{00000000-000D-0000-FFFF-FFFF00000000}"/>
  </bookViews>
  <sheets>
    <sheet name="Table of Contents" sheetId="235" r:id="rId1"/>
    <sheet name="1" sheetId="91" r:id="rId2"/>
    <sheet name="2" sheetId="182" r:id="rId3"/>
    <sheet name="3" sheetId="183" r:id="rId4"/>
    <sheet name="4" sheetId="168" r:id="rId5"/>
    <sheet name="5" sheetId="169" r:id="rId6"/>
    <sheet name="6" sheetId="170" r:id="rId7"/>
    <sheet name="7" sheetId="186" r:id="rId8"/>
    <sheet name="8  " sheetId="184" r:id="rId9"/>
    <sheet name="9" sheetId="172" r:id="rId10"/>
    <sheet name="10" sheetId="173" r:id="rId11"/>
    <sheet name="11" sheetId="113" r:id="rId12"/>
    <sheet name="12" sheetId="127" r:id="rId13"/>
    <sheet name="13" sheetId="174" r:id="rId14"/>
    <sheet name="14" sheetId="181" r:id="rId15"/>
    <sheet name="15" sheetId="125" r:id="rId16"/>
    <sheet name="16" sheetId="126" r:id="rId17"/>
    <sheet name="17" sheetId="114" r:id="rId18"/>
    <sheet name="18" sheetId="115" r:id="rId19"/>
    <sheet name="19" sheetId="116" r:id="rId20"/>
    <sheet name="20" sheetId="117" r:id="rId21"/>
    <sheet name="21" sheetId="118" r:id="rId22"/>
    <sheet name="22a-b" sheetId="119" r:id="rId23"/>
    <sheet name="23" sheetId="120" r:id="rId24"/>
    <sheet name="24" sheetId="121" r:id="rId25"/>
    <sheet name="25a" sheetId="178" r:id="rId26"/>
    <sheet name="25b" sheetId="185" r:id="rId27"/>
    <sheet name="26" sheetId="180" r:id="rId28"/>
    <sheet name="27 " sheetId="36" r:id="rId29"/>
    <sheet name="28" sheetId="37" r:id="rId30"/>
    <sheet name="29" sheetId="38" r:id="rId31"/>
    <sheet name="30" sheetId="39" r:id="rId32"/>
    <sheet name="31" sheetId="187" r:id="rId33"/>
    <sheet name="32" sheetId="188" r:id="rId34"/>
    <sheet name="33" sheetId="189" r:id="rId35"/>
    <sheet name="34" sheetId="190" r:id="rId36"/>
    <sheet name="35" sheetId="191" r:id="rId37"/>
    <sheet name="36" sheetId="192" r:id="rId38"/>
    <sheet name="37" sheetId="193" r:id="rId39"/>
    <sheet name="38a" sheetId="194" r:id="rId40"/>
    <sheet name="38b" sheetId="195" r:id="rId41"/>
    <sheet name="39-40-41" sheetId="196" r:id="rId42"/>
    <sheet name="42" sheetId="197" r:id="rId43"/>
    <sheet name="43" sheetId="198" r:id="rId44"/>
    <sheet name="44" sheetId="199" r:id="rId45"/>
    <sheet name="45a-c" sheetId="200" r:id="rId46"/>
    <sheet name="46a-b" sheetId="201" r:id="rId47"/>
    <sheet name="47" sheetId="202" r:id="rId48"/>
    <sheet name="48a-b" sheetId="203" r:id="rId49"/>
    <sheet name="49a " sheetId="204" r:id="rId50"/>
    <sheet name="49b" sheetId="205" r:id="rId51"/>
    <sheet name="50" sheetId="206" r:id="rId52"/>
    <sheet name="51-52" sheetId="207" r:id="rId53"/>
    <sheet name="53a-b" sheetId="208" r:id="rId54"/>
    <sheet name="53c" sheetId="209" r:id="rId55"/>
    <sheet name="54" sheetId="210" r:id="rId56"/>
    <sheet name="55a" sheetId="211" r:id="rId57"/>
    <sheet name="55b" sheetId="212" r:id="rId58"/>
    <sheet name="56" sheetId="213" r:id="rId59"/>
    <sheet name="57a-b" sheetId="214" r:id="rId60"/>
    <sheet name="58a" sheetId="215" r:id="rId61"/>
    <sheet name="58b-c" sheetId="216" r:id="rId62"/>
    <sheet name="58d" sheetId="217" r:id="rId63"/>
    <sheet name="59-60" sheetId="218" r:id="rId64"/>
    <sheet name="61" sheetId="219" r:id="rId65"/>
    <sheet name="62a" sheetId="220" r:id="rId66"/>
    <sheet name="62b" sheetId="221" r:id="rId67"/>
    <sheet name="63a-b" sheetId="222" r:id="rId68"/>
    <sheet name="64" sheetId="223" r:id="rId69"/>
    <sheet name="65a-b" sheetId="224" r:id="rId70"/>
    <sheet name="66 " sheetId="225" r:id="rId71"/>
    <sheet name="67" sheetId="226" r:id="rId72"/>
    <sheet name="68a-b " sheetId="227" r:id="rId73"/>
    <sheet name="69a-b " sheetId="228" r:id="rId74"/>
    <sheet name="70a-c " sheetId="229" r:id="rId75"/>
    <sheet name="70d" sheetId="230" r:id="rId76"/>
    <sheet name="71" sheetId="231" r:id="rId77"/>
    <sheet name="72" sheetId="232" r:id="rId78"/>
    <sheet name="73" sheetId="233" r:id="rId79"/>
    <sheet name="74" sheetId="234"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_123Graph_A" hidden="1">[1]Work_sect!#REF!</definedName>
    <definedName name="__123Graph_ACurrent" hidden="1">[2]CPIINDEX!$O$263:$O$310</definedName>
    <definedName name="__123Graph_AREER" hidden="1">[3]ER!#REF!</definedName>
    <definedName name="__123Graph_B" hidden="1">[1]Work_sect!#REF!</definedName>
    <definedName name="__123Graph_BCurrent" hidden="1">[2]CPIINDEX!$S$263:$S$310</definedName>
    <definedName name="__123Graph_BREER" hidden="1">[3]ER!#REF!</definedName>
    <definedName name="__123Graph_C" hidden="1">[1]Work_sect!#REF!</definedName>
    <definedName name="__123Graph_CREER" hidden="1">[3]ER!#REF!</definedName>
    <definedName name="__123Graph_D" hidden="1">[1]Work_sect!#REF!</definedName>
    <definedName name="__123Graph_E" hidden="1">[1]Work_sect!#REF!</definedName>
    <definedName name="__123Graph_F" hidden="1">[1]Work_sect!#REF!</definedName>
    <definedName name="__123Graph_X" hidden="1">[1]Work_sect!#REF!</definedName>
    <definedName name="__123Graph_XCurrent" hidden="1">[2]CPIINDEX!$B$263:$B$310</definedName>
    <definedName name="_10__123Graph_BChart_4A" hidden="1">[2]CPIINDEX!#REF!</definedName>
    <definedName name="_11__123Graph_BCPI_ER_LOG" hidden="1">[3]ER!#REF!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hidden="1">[3]ER!#REF!</definedName>
    <definedName name="_4__123Graph_AChart_2A" hidden="1">[2]CPIINDEX!$K$203:$K$304</definedName>
    <definedName name="_4__123Graph_BCPI_ER_LOG" hidden="1">[3]ER!#REF!</definedName>
    <definedName name="_5__123Graph_AChart_3A" hidden="1">[2]CPIINDEX!$O$203:$O$304</definedName>
    <definedName name="_5__123Graph_BIBA_IBRD" hidden="1">[3]WB!#REF!</definedName>
    <definedName name="_6__123Graph_AChart_4A" hidden="1">[2]CPIINDEX!$O$239:$O$298</definedName>
    <definedName name="_7__123Graph_ACPI_ER_LOG" hidden="1">[3]ER!#REF!</definedName>
    <definedName name="_8__123Graph_BChart_1A" hidden="1">[2]CPIINDEX!$S$263:$S$310</definedName>
    <definedName name="_9__123Graph_BChart_3A" hidden="1">[2]CPIINDEX!#REF!</definedName>
    <definedName name="_Fill" hidden="1">#REF!</definedName>
    <definedName name="_Fill1" hidden="1">#REF!</definedName>
    <definedName name="_xlnm._FilterDatabase" hidden="1">[4]C!$P$428:$T$428</definedName>
    <definedName name="_Key1" hidden="1">'[5]Savings &amp; Invest.'!$M$5</definedName>
    <definedName name="_Key2" hidden="1">'[6]11 rev 94 '!#REF!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hidden="1">'[7]COP FED'!#REF!</definedName>
    <definedName name="ACwvu.PLA2." hidden="1">'[7]COP FED'!$A$1:$N$49</definedName>
    <definedName name="anscount" hidden="1">2</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{#N/A,#N/A,TRUE,"Table1USD";#N/A,#N/A,TRUE,"Table1GBP"}</definedName>
    <definedName name="asdfasf" hidden="1">{#N/A,#N/A,FALSE,"INTERST"}</definedName>
    <definedName name="asdgb" hidden="1">{#N/A,#N/A,TRUE,"Table1USD";#N/A,#N/A,TRUE,"Table1GBP"}</definedName>
    <definedName name="BLPH1" hidden="1">'[8]Ex rate bloom'!$A$4</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hidden="1">{"Riqfin97",#N/A,FALSE,"Tran";"Riqfinpro",#N/A,FALSE,"Tran"}</definedName>
    <definedName name="CIQWBGuid" hidden="1">"69c6c1f5-b121-486a-aca7-1483f0c3521f"</definedName>
    <definedName name="contents2" hidden="1">[11]MSRV!#REF!</definedName>
    <definedName name="cp" hidden="1">'[12]C Summary'!#REF!</definedName>
    <definedName name="Cwvu.a." hidden="1">[13]BOP!$A$36:$IV$36,[13]BOP!$A$44:$IV$44,[13]BOP!$A$59:$IV$59,[13]BOP!#REF!,[13]BOP!#REF!,[13]BOP!$A$81:$IV$88</definedName>
    <definedName name="Cwvu.bop." hidden="1">[13]BOP!$A$36:$IV$36,[13]BOP!$A$44:$IV$44,[13]BOP!$A$59:$IV$59,[13]BOP!#REF!,[13]BOP!#REF!,[13]BOP!$A$81:$IV$88</definedName>
    <definedName name="Cwvu.bop.sr." hidden="1">[13]BOP!$A$36:$IV$36,[13]BOP!$A$44:$IV$44,[13]BOP!$A$59:$IV$59,[13]BOP!#REF!,[13]BOP!#REF!,[13]BOP!$A$81:$IV$88</definedName>
    <definedName name="Cwvu.bopsdr.sr." hidden="1">[13]BOP!$A$36:$IV$36,[13]BOP!$A$44:$IV$44,[13]BOP!$A$59:$IV$59,[13]BOP!#REF!,[13]BOP!#REF!,[13]BOP!$A$81:$IV$88</definedName>
    <definedName name="Cwvu.cotton." hidden="1">[13]BOP!$A$36:$IV$36,[13]BOP!$A$44:$IV$44,[13]BOP!$A$59:$IV$59,[13]BOP!#REF!,[13]BOP!#REF!,[13]BOP!$A$79:$IV$79,[13]BOP!$A$81:$IV$88,[13]BOP!#REF!</definedName>
    <definedName name="Cwvu.cottonall." hidden="1">[13]BOP!$A$36:$IV$36,[13]BOP!$A$44:$IV$44,[13]BOP!$A$59:$IV$59,[13]BOP!#REF!,[13]BOP!#REF!,[13]BOP!$A$79:$IV$79,[13]BOP!$A$81:$IV$88</definedName>
    <definedName name="Cwvu.exportdetails." hidden="1">[13]BOP!$A$36:$IV$36,[13]BOP!$A$44:$IV$44,[13]BOP!$A$59:$IV$59,[13]BOP!#REF!,[13]BOP!#REF!,[13]BOP!$A$79:$IV$79,[13]BOP!#REF!</definedName>
    <definedName name="Cwvu.exports." hidden="1">[13]BOP!$A$36:$IV$36,[13]BOP!$A$44:$IV$44,[13]BOP!$A$59:$IV$59,[13]BOP!#REF!,[13]BOP!#REF!,[13]BOP!$A$79:$IV$79,[13]BOP!$A$81:$IV$88,[13]BOP!#REF!</definedName>
    <definedName name="Cwvu.gold." hidden="1">[13]BOP!$A$36:$IV$36,[13]BOP!$A$44:$IV$44,[13]BOP!$A$59:$IV$59,[13]BOP!#REF!,[13]BOP!#REF!,[13]BOP!$A$79:$IV$79,[13]BOP!$A$81:$IV$88,[13]BOP!#REF!</definedName>
    <definedName name="Cwvu.goldall." hidden="1">[13]BOP!$A$36:$IV$36,[13]BOP!$A$44:$IV$44,[13]BOP!$A$59:$IV$59,[13]BOP!#REF!,[13]BOP!#REF!,[13]BOP!$A$79:$IV$79,[13]BOP!$A$81:$IV$88,[13]BOP!#REF!</definedName>
    <definedName name="Cwvu.imports."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hidden="1">[13]BOP!$A$36:$IV$36,[13]BOP!$A$44:$IV$44,[13]BOP!$A$59:$IV$59,[13]BOP!#REF!,[13]BOP!#REF!,[13]BOP!$A$79:$IV$79</definedName>
    <definedName name="dd" hidden="1">{"Riqfin97",#N/A,FALSE,"Tran";"Riqfinpro",#N/A,FALSE,"Tran"}</definedName>
    <definedName name="dg" hidden="1">{#N/A,#N/A,TRUE,"Table1USD";#N/A,#N/A,TRUE,"Table1GBP"}</definedName>
    <definedName name="dr" hidden="1">{#N/A,#N/A,TRUE,"Table1USD";#N/A,#N/A,TRUE,"Table1GBP"}</definedName>
    <definedName name="dsfgds" hidden="1">#REF!</definedName>
    <definedName name="eee" hidden="1">{"Tab1",#N/A,FALSE,"P";"Tab2",#N/A,FALSE,"P"}</definedName>
    <definedName name="eretuytu" hidden="1">#REF!</definedName>
    <definedName name="ergferger" hidden="1">{"Main Economic Indicators",#N/A,FALSE,"C"}</definedName>
    <definedName name="f" hidden="1">{"Main Economic Indicators",#N/A,FALSE,"C"}</definedName>
    <definedName name="fgdgdgdtf" hidden="1">#REF!</definedName>
    <definedName name="Financing" hidden="1">{"Tab1",#N/A,FALSE,"P";"Tab2",#N/A,FALSE,"P"}</definedName>
    <definedName name="gb" hidden="1">{#N/A,#N/A,TRUE,"Table1USD";#N/A,#N/A,TRUE,"Table1GBP"}</definedName>
    <definedName name="ggg" hidden="1">{"Riqfin97",#N/A,FALSE,"Tran";"Riqfinpro",#N/A,FALSE,"Tran"}</definedName>
    <definedName name="ggggg" hidden="1">'[15]J(Priv.Cap)'!#REF!</definedName>
    <definedName name="ghfghfgh" hidden="1">#REF!</definedName>
    <definedName name="guyana1003" hidden="1">{"Main Economic Indicators",#N/A,FALSE,"C"}</definedName>
    <definedName name="hhh" hidden="1">'[16]J(Priv.Cap)'!#REF!</definedName>
    <definedName name="hjsadg" hidden="1">{#N/A,#N/A,TRUE,"Table1USD";#N/A,#N/A,TRUE,"Table1GBP"}</definedName>
    <definedName name="HTML_CodePage" hidden="1">1252</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hidden="1">[17]M!#REF!</definedName>
    <definedName name="jjjjjj" hidden="1">'[15]J(Priv.Cap)'!#REF!</definedName>
    <definedName name="js" hidden="1">{#N/A,#N/A,TRUE,"Table1USD";#N/A,#N/A,TRUE,"Table1GBP"}</definedName>
    <definedName name="kk" hidden="1">{"Tab1",#N/A,FALSE,"P";"Tab2",#N/A,FALSE,"P"}</definedName>
    <definedName name="kkk" hidden="1">{"WEO",#N/A,FALSE,"Data";"PRI",#N/A,FALSE,"Data";"QUA",#N/A,FALSE,"Data"}</definedName>
    <definedName name="kkkk" hidden="1">[18]M!#REF!</definedName>
    <definedName name="llll" hidden="1">[17]M!#REF!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survey" hidden="1">{#N/A,#N/A,FALSE,"report1"}</definedName>
    <definedName name="nn" hidden="1">{"Riqfin97",#N/A,FALSE,"Tran";"Riqfinpro",#N/A,FALSE,"Tran"}</definedName>
    <definedName name="nnga" hidden="1">#REF!</definedName>
    <definedName name="nnn" hidden="1">{"Tab1",#N/A,FALSE,"P";"Tab2",#N/A,FALSE,"P"}</definedName>
    <definedName name="oo" hidden="1">{"Riqfin97",#N/A,FALSE,"Tran";"Riqfinpro",#N/A,FALSE,"Tran"}</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hidden="1">'[19]2'!#REF!</definedName>
    <definedName name="ppim" hidden="1">#REF!</definedName>
    <definedName name="_xlnm.Print_Area" localSheetId="1">'1'!$A$1:$N$40</definedName>
    <definedName name="_xlnm.Print_Area" localSheetId="10">'10'!$A$1:$Y$32</definedName>
    <definedName name="_xlnm.Print_Area" localSheetId="11">'11'!$A$1:$K$30</definedName>
    <definedName name="_xlnm.Print_Area" localSheetId="12">'12'!$A$1:$G$181</definedName>
    <definedName name="_xlnm.Print_Area" localSheetId="13">'13'!$A$1:$G$45</definedName>
    <definedName name="_xlnm.Print_Area" localSheetId="14">'14'!$A$1:$E$47</definedName>
    <definedName name="_xlnm.Print_Area" localSheetId="15">'15'!$A$1:$EM$64</definedName>
    <definedName name="_xlnm.Print_Area" localSheetId="16">'16'!$A$1:$EK$43</definedName>
    <definedName name="_xlnm.Print_Area" localSheetId="17">'17'!$A$1:$AI$57</definedName>
    <definedName name="_xlnm.Print_Area" localSheetId="18">'18'!$A$1:$AI$58</definedName>
    <definedName name="_xlnm.Print_Area" localSheetId="19">'19'!$A$1:$AI$57</definedName>
    <definedName name="_xlnm.Print_Area" localSheetId="2">'2'!$A$1:$N$48</definedName>
    <definedName name="_xlnm.Print_Area" localSheetId="20">'20'!$A$1:$AH$50</definedName>
    <definedName name="_xlnm.Print_Area" localSheetId="21">'21'!$A$1:$AH$43</definedName>
    <definedName name="_xlnm.Print_Area" localSheetId="22">'22a-b'!$A$1:$EI$63</definedName>
    <definedName name="_xlnm.Print_Area" localSheetId="23">'23'!$A$1:$E$124</definedName>
    <definedName name="_xlnm.Print_Area" localSheetId="24">'24'!$A$1:$AH$124</definedName>
    <definedName name="_xlnm.Print_Area" localSheetId="25">'25a'!$A$1:$GK$22</definedName>
    <definedName name="_xlnm.Print_Area" localSheetId="26">'25b'!$A$1:$AH$119</definedName>
    <definedName name="_xlnm.Print_Area" localSheetId="27">'26'!$A$1:$J$200</definedName>
    <definedName name="_xlnm.Print_Area" localSheetId="28">'27 '!$A$1:$D$37</definedName>
    <definedName name="_xlnm.Print_Area" localSheetId="29">'28'!$A$1:$AF$35</definedName>
    <definedName name="_xlnm.Print_Area" localSheetId="30">'29'!$A$1:$AF$21</definedName>
    <definedName name="_xlnm.Print_Area" localSheetId="3">'3'!$A$1:$H$91</definedName>
    <definedName name="_xlnm.Print_Area" localSheetId="31">'30'!$A$1:$AF$31</definedName>
    <definedName name="_xlnm.Print_Area" localSheetId="32">'31'!$A$1:$F$36</definedName>
    <definedName name="_xlnm.Print_Area" localSheetId="33">'32'!$A$1:$AF$34</definedName>
    <definedName name="_xlnm.Print_Area" localSheetId="34">'33'!$A$1:$K$120</definedName>
    <definedName name="_xlnm.Print_Area" localSheetId="35">'34'!$A$1:$G$33</definedName>
    <definedName name="_xlnm.Print_Area" localSheetId="36">'35'!$A$1:$AV$59</definedName>
    <definedName name="_xlnm.Print_Area" localSheetId="37">'36'!$A$1:$Y$176</definedName>
    <definedName name="_xlnm.Print_Area" localSheetId="38">'37'!$A$1:$F$134</definedName>
    <definedName name="_xlnm.Print_Area" localSheetId="39">'38a'!$A$1:$G$136</definedName>
    <definedName name="_xlnm.Print_Area" localSheetId="40">'38b'!$A$1:$H$132</definedName>
    <definedName name="_xlnm.Print_Area" localSheetId="41">'39-40-41'!$A$1:$DJ$46</definedName>
    <definedName name="_xlnm.Print_Area" localSheetId="4">'4'!$A$1:$J$91</definedName>
    <definedName name="_xlnm.Print_Area" localSheetId="42">'42'!$A$1:$DI$27</definedName>
    <definedName name="_xlnm.Print_Area" localSheetId="43">'43'!$A$1:$AS$30</definedName>
    <definedName name="_xlnm.Print_Area" localSheetId="44">'44'!$A$1:$J$29</definedName>
    <definedName name="_xlnm.Print_Area" localSheetId="45">'45a-c'!$A$1:$Q$46</definedName>
    <definedName name="_xlnm.Print_Area" localSheetId="46">'46a-b'!$A$1:$O$32</definedName>
    <definedName name="_xlnm.Print_Area" localSheetId="47">'47'!$A$1:$J$11</definedName>
    <definedName name="_xlnm.Print_Area" localSheetId="48">'48a-b'!$A$1:$N$34</definedName>
    <definedName name="_xlnm.Print_Area" localSheetId="49">'49a '!$B$1:$O$19</definedName>
    <definedName name="_xlnm.Print_Area" localSheetId="50">'49b'!$A$1:$F$15</definedName>
    <definedName name="_xlnm.Print_Area" localSheetId="5">'5'!$A$1:$L$77</definedName>
    <definedName name="_xlnm.Print_Area" localSheetId="51">'50'!$A$1:$H$12</definedName>
    <definedName name="_xlnm.Print_Area" localSheetId="52">'51-52'!$A$1:$J$48</definedName>
    <definedName name="_xlnm.Print_Area" localSheetId="53">'53a-b'!$A$1:$C$27</definedName>
    <definedName name="_xlnm.Print_Area" localSheetId="54">'53c'!$A$1:$F$13</definedName>
    <definedName name="_xlnm.Print_Area" localSheetId="55">'54'!$A$1:$E$32</definedName>
    <definedName name="_xlnm.Print_Area" localSheetId="56">'55a'!$A$1:$I$277</definedName>
    <definedName name="_xlnm.Print_Area" localSheetId="57">'55b'!$A$1:$F$84</definedName>
    <definedName name="_xlnm.Print_Area" localSheetId="58">'56'!$A$1:$G$218</definedName>
    <definedName name="_xlnm.Print_Area" localSheetId="59">'57a-b'!$A$1:$O$151</definedName>
    <definedName name="_xlnm.Print_Area" localSheetId="60">'58a'!$A$1:$H$110</definedName>
    <definedName name="_xlnm.Print_Area" localSheetId="61">'58b-c'!$A$1:$HS$38</definedName>
    <definedName name="_xlnm.Print_Area" localSheetId="62">'58d'!$A$1:$F$28</definedName>
    <definedName name="_xlnm.Print_Area" localSheetId="63">'59-60'!$A$1:$V$41</definedName>
    <definedName name="_xlnm.Print_Area" localSheetId="6">'6'!$A$1:$N$75</definedName>
    <definedName name="_xlnm.Print_Area" localSheetId="64">'61'!$A$1:$J$63</definedName>
    <definedName name="_xlnm.Print_Area" localSheetId="65">'62a'!$A$1:$BE$31</definedName>
    <definedName name="_xlnm.Print_Area" localSheetId="66">'62b'!$A$1:$BE$31</definedName>
    <definedName name="_xlnm.Print_Area" localSheetId="67">'63a-b'!$A$1:$K$121</definedName>
    <definedName name="_xlnm.Print_Area" localSheetId="68">'64'!$A$1:$CJ$94</definedName>
    <definedName name="_xlnm.Print_Area" localSheetId="69">'65a-b'!$A$1:$I$384</definedName>
    <definedName name="_xlnm.Print_Area" localSheetId="70">'66 '!$A$1:$M$22</definedName>
    <definedName name="_xlnm.Print_Area" localSheetId="71">'67'!$A$1:$J$126</definedName>
    <definedName name="_xlnm.Print_Area" localSheetId="72">'68a-b '!$A$1:$R$73</definedName>
    <definedName name="_xlnm.Print_Area" localSheetId="73">'69a-b '!$A$1:$R$71</definedName>
    <definedName name="_xlnm.Print_Area" localSheetId="7">'7'!$A$1:$P$54</definedName>
    <definedName name="_xlnm.Print_Area" localSheetId="74">'70a-c '!$A$1:$R$44</definedName>
    <definedName name="_xlnm.Print_Area" localSheetId="75">'70d'!$A$1:$S$26</definedName>
    <definedName name="_xlnm.Print_Area" localSheetId="76">'71'!$A$1:$D$19</definedName>
    <definedName name="_xlnm.Print_Area" localSheetId="77">'72'!$A$1:$H$148</definedName>
    <definedName name="_xlnm.Print_Area" localSheetId="78">'73'!$A$1:$F$183</definedName>
    <definedName name="_xlnm.Print_Area" localSheetId="79">'74'!$A$1:$Y$19</definedName>
    <definedName name="_xlnm.Print_Area" localSheetId="8">'8  '!$A$1:$L$104</definedName>
    <definedName name="_xlnm.Print_Area" localSheetId="9">'9'!$A$1:$BQ$28</definedName>
    <definedName name="_xlnm.Print_Area" localSheetId="0">#REF!</definedName>
    <definedName name="_xlnm.Print_Area">#REF!</definedName>
    <definedName name="_xlnm.Print_Titles" localSheetId="78">'73'!$2:$3</definedName>
    <definedName name="_xlnm.Print_Titles" localSheetId="0">#REF!,#REF!</definedName>
    <definedName name="_xlnm.Print_Titles">#REF!,#REF!</definedName>
    <definedName name="rn" hidden="1">{#N/A,#N/A,TRUE,"Table1USD";#N/A,#N/A,TRUE,"Table1GBP"}</definedName>
    <definedName name="rr" hidden="1">{"Riqfin97",#N/A,FALSE,"Tran";"Riqfinpro",#N/A,FALSE,"Tran"}</definedName>
    <definedName name="rtre" hidden="1">{"Main Economic Indicators",#N/A,FALSE,"C"}</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hidden="1">{"Main Economic Indicators",#N/A,FALSE,"C"}</definedName>
    <definedName name="sencount" hidden="1">2</definedName>
    <definedName name="statistics" hidden="1">#REF!</definedName>
    <definedName name="Statistics1" hidden="1">#REF!</definedName>
    <definedName name="statistics2" hidden="1">#REF!</definedName>
    <definedName name="Swvu.PLA1." hidden="1">'[7]COP FED'!#REF!</definedName>
    <definedName name="Swvu.PLA2." hidden="1">'[7]COP FED'!$A$1:$N$49</definedName>
    <definedName name="T0" hidden="1">{"Main Economic Indicators",#N/A,FALSE,"C"}</definedName>
    <definedName name="teset" hidden="1">{#N/A,#N/A,FALSE,"SimInp1";#N/A,#N/A,FALSE,"SimInp2";#N/A,#N/A,FALSE,"SimOut1";#N/A,#N/A,FALSE,"SimOut2";#N/A,#N/A,FALSE,"SimOut3";#N/A,#N/A,FALSE,"SimOut4";#N/A,#N/A,FALSE,"SimOut5"}</definedName>
    <definedName name="ttt" hidden="1">{"PRI",#N/A,FALSE,"Data";"QUA",#N/A,FALSE,"Data";"STR",#N/A,FALSE,"Data";"VAL",#N/A,FALSE,"Data";"WEO",#N/A,FALSE,"Data";"WGT",#N/A,FALSE,"Data"}</definedName>
    <definedName name="ttttt" hidden="1">[17]M!#REF!</definedName>
    <definedName name="tuiuoo" hidden="1">#REF!</definedName>
    <definedName name="uu" hidden="1">{"Riqfin97",#N/A,FALSE,"Tran";"Riqfinpro",#N/A,FALSE,"Tran"}</definedName>
    <definedName name="uuu" hidden="1">{"WEO",#N/A,FALSE,"Data";"PRI",#N/A,FALSE,"Data";"QUA",#N/A,FALSE,"Data"}</definedName>
    <definedName name="what" hidden="1">{"Main Economic Indicators",#N/A,FALSE,"C"}</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hidden="1">{#N/A,#N/A,FALSE,"BANKS"}</definedName>
    <definedName name="wrn.BMA." hidden="1">{"3",#N/A,FALSE,"BASE MONETARIA";"4",#N/A,FALSE,"BASE MONETARIA"}</definedName>
    <definedName name="wrn.BOP." hidden="1">{#N/A,#N/A,FALSE,"BOP"}</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BADOP."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hidden="1">{#N/A,#N/A,FALSE,"NBG"}</definedName>
    <definedName name="wrn.Output._.tables." hidden="1">{#N/A,#N/A,FALSE,"I";#N/A,#N/A,FALSE,"J";#N/A,#N/A,FALSE,"K";#N/A,#N/A,FALSE,"L";#N/A,#N/A,FALSE,"M";#N/A,#N/A,FALSE,"N";#N/A,#N/A,FALSE,"O"}</definedName>
    <definedName name="wrn.PASMON." hidden="1">{"1",#N/A,FALSE,"Pasivos Mon";"2",#N/A,FALSE,"Pasivos Mon"}</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hidden="1">{"red33",#N/A,FALSE,"Sheet1"}</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Riqfin." hidden="1">{"Riqfin97",#N/A,FALSE,"Tran";"Riqfinpro",#N/A,FALSE,"Tran"}</definedName>
    <definedName name="wrn.st1." hidden="1">{"ST1",#N/A,FALSE,"SOURCE"}</definedName>
    <definedName name="wrn.STAFF_REPORT_TABLES." hidden="1">{"SR_tbs",#N/A,FALSE,"MGSSEI";"SR_tbs",#N/A,FALSE,"MGSBOX";"SR_tbs",#N/A,FALSE,"MGSOCIND"}</definedName>
    <definedName name="wrn.STATE." hidden="1">{#N/A,#N/A,FALSE,"STATE"}</definedName>
    <definedName name="wrn.tab2." hidden="1">{#N/A,#N/A,FALSE,"report1"}</definedName>
    <definedName name="wrn.TAXARREARS." hidden="1">{#N/A,#N/A,FALSE,"TAXARREARS"}</definedName>
    <definedName name="wrn.TAXPAYRS." hidden="1">{#N/A,#N/A,FALSE,"TAXPAYRS"}</definedName>
    <definedName name="wrn.TRADE." hidden="1">{#N/A,#N/A,FALSE,"TRADE"}</definedName>
    <definedName name="wrn.Trade._.Output._.All." hidden="1">{"PRI",#N/A,FALSE,"Data";"QUA",#N/A,FALSE,"Data";"STR",#N/A,FALSE,"Data";"VAL",#N/A,FALSE,"Data";"WEO",#N/A,FALSE,"Data";"WGT",#N/A,FALSE,"Data"}</definedName>
    <definedName name="wrn.Trade._.Table._.Core." hidden="1">{"WEO",#N/A,FALSE,"Data";"PRI",#N/A,FALSE,"Data";"QUA",#N/A,FALSE,"Data"}</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hidden="1">#REF!</definedName>
    <definedName name="xxxx" hidden="1">{"Riqfin97",#N/A,FALSE,"Tran";"Riqfinpro",#N/A,FALSE,"Tran"}</definedName>
    <definedName name="yyyy" hidden="1">{"Riqfin97",#N/A,FALSE,"Tran";"Riqfinpro",#N/A,FALSE,"Tran"}</definedName>
    <definedName name="Z_00C67BFA_FEDD_11D1_98B3_00C04FC96ABD_.wvu.Rows"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hidden="1">[13]BOP!$A$36:$IV$36,[13]BOP!$A$44:$IV$44,[13]BOP!$A$59:$IV$59,[13]BOP!#REF!,[13]BOP!#REF!,[13]BOP!$A$79:$IV$79,[13]BOP!$A$81:$IV$88,[13]BOP!#REF!</definedName>
    <definedName name="Z_00C67BFF_FEDD_11D1_98B3_00C04FC96ABD_.wvu.Rows" hidden="1">[13]BOP!$A$36:$IV$36,[13]BOP!$A$44:$IV$44,[13]BOP!$A$59:$IV$59,[13]BOP!#REF!,[13]BOP!#REF!,[13]BOP!$A$79:$IV$79,[13]BOP!$A$81:$IV$88</definedName>
    <definedName name="Z_00C67C00_FEDD_11D1_98B3_00C04FC96ABD_.wvu.Rows" hidden="1">[13]BOP!$A$36:$IV$36,[13]BOP!$A$44:$IV$44,[13]BOP!$A$59:$IV$59,[13]BOP!#REF!,[13]BOP!#REF!,[13]BOP!$A$79:$IV$79,[13]BOP!#REF!</definedName>
    <definedName name="Z_00C67C01_FEDD_11D1_98B3_00C04FC96ABD_.wvu.Rows" hidden="1">[13]BOP!$A$36:$IV$36,[13]BOP!$A$44:$IV$44,[13]BOP!$A$59:$IV$59,[13]BOP!#REF!,[13]BOP!#REF!,[13]BOP!$A$79:$IV$79,[13]BOP!$A$81:$IV$88,[13]BOP!#REF!</definedName>
    <definedName name="Z_00C67C02_FEDD_11D1_98B3_00C04FC96ABD_.wvu.Rows" hidden="1">[13]BOP!$A$36:$IV$36,[13]BOP!$A$44:$IV$44,[13]BOP!$A$59:$IV$59,[13]BOP!#REF!,[13]BOP!#REF!,[13]BOP!$A$79:$IV$79,[13]BOP!$A$81:$IV$88,[13]BOP!#REF!</definedName>
    <definedName name="Z_00C67C03_FEDD_11D1_98B3_00C04FC96ABD_.wvu.Rows" hidden="1">[13]BOP!$A$36:$IV$36,[13]BOP!$A$44:$IV$44,[13]BOP!$A$59:$IV$59,[13]BOP!#REF!,[13]BOP!#REF!,[13]BOP!$A$79:$IV$79,[13]BOP!$A$81:$IV$88,[13]BOP!#REF!</definedName>
    <definedName name="Z_00C67C05_FEDD_11D1_98B3_00C04FC96ABD_.wvu.Rows"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95224721_0485_11D4_BFD1_00508B5F4DA4_.wvu.Cols" hidden="1">#REF!</definedName>
    <definedName name="Z_9E0C48F8_FFCC_11D1_98BA_00C04FC96ABD_.wvu.Rows" hidden="1">[13]BOP!$A$36:$IV$36,[13]BOP!$A$44:$IV$44,[13]BOP!$A$59:$IV$59,[13]BOP!#REF!,[13]BOP!#REF!,[13]BOP!$A$81:$IV$88</definedName>
    <definedName name="Z_9E0C48F9_FFCC_11D1_98BA_00C04FC96ABD_.wvu.Rows" hidden="1">[13]BOP!$A$36:$IV$36,[13]BOP!$A$44:$IV$44,[13]BOP!$A$59:$IV$59,[13]BOP!#REF!,[13]BOP!#REF!,[13]BOP!$A$81:$IV$88</definedName>
    <definedName name="Z_9E0C48FA_FFCC_11D1_98BA_00C04FC96ABD_.wvu.Rows"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hidden="1">[13]BOP!$A$36:$IV$36,[13]BOP!$A$44:$IV$44,[13]BOP!$A$59:$IV$59,[13]BOP!#REF!,[13]BOP!#REF!,[13]BOP!$A$79:$IV$79,[13]BOP!$A$81:$IV$88,[13]BOP!#REF!</definedName>
    <definedName name="Z_9E0C48FD_FFCC_11D1_98BA_00C04FC96ABD_.wvu.Rows" hidden="1">[13]BOP!$A$36:$IV$36,[13]BOP!$A$44:$IV$44,[13]BOP!$A$59:$IV$59,[13]BOP!#REF!,[13]BOP!#REF!,[13]BOP!$A$79:$IV$79,[13]BOP!$A$81:$IV$88</definedName>
    <definedName name="Z_9E0C48FE_FFCC_11D1_98BA_00C04FC96ABD_.wvu.Rows" hidden="1">[13]BOP!$A$36:$IV$36,[13]BOP!$A$44:$IV$44,[13]BOP!$A$59:$IV$59,[13]BOP!#REF!,[13]BOP!#REF!,[13]BOP!$A$79:$IV$79,[13]BOP!#REF!</definedName>
    <definedName name="Z_9E0C48FF_FFCC_11D1_98BA_00C04FC96ABD_.wvu.Rows" hidden="1">[13]BOP!$A$36:$IV$36,[13]BOP!$A$44:$IV$44,[13]BOP!$A$59:$IV$59,[13]BOP!#REF!,[13]BOP!#REF!,[13]BOP!$A$79:$IV$79,[13]BOP!$A$81:$IV$88,[13]BOP!#REF!</definedName>
    <definedName name="Z_9E0C4900_FFCC_11D1_98BA_00C04FC96ABD_.wvu.Rows"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hidden="1">[13]BOP!$A$36:$IV$36,[13]BOP!$A$44:$IV$44,[13]BOP!$A$59:$IV$59,[13]BOP!#REF!,[13]BOP!#REF!,[13]BOP!$A$79:$IV$79,[13]BOP!$A$81:$IV$88,[13]BOP!#REF!,[13]BOP!#REF!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hidden="1">{"Tab1",#N/A,FALSE,"P";"Tab2",#N/A,FALSE,"P"}</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3" i="232" l="1"/>
  <c r="D143" i="232"/>
  <c r="G142" i="232"/>
  <c r="D142" i="232"/>
  <c r="G141" i="232"/>
  <c r="D141" i="232"/>
  <c r="G140" i="232"/>
  <c r="G139" i="232"/>
  <c r="G138" i="232"/>
  <c r="E137" i="232"/>
  <c r="G137" i="232" s="1"/>
  <c r="B137" i="232"/>
  <c r="D137" i="232" s="1"/>
  <c r="G136" i="232"/>
  <c r="D136" i="232"/>
  <c r="F135" i="232"/>
  <c r="F132" i="232" s="1"/>
  <c r="F130" i="232" s="1"/>
  <c r="E135" i="232"/>
  <c r="C135" i="232"/>
  <c r="B135" i="232"/>
  <c r="G133" i="232"/>
  <c r="C133" i="232"/>
  <c r="B133" i="232"/>
  <c r="C132" i="232"/>
  <c r="C130" i="232" s="1"/>
  <c r="B132" i="232"/>
  <c r="B130" i="232" s="1"/>
  <c r="D130" i="232" s="1"/>
  <c r="G128" i="232"/>
  <c r="D128" i="232"/>
  <c r="F127" i="232"/>
  <c r="E127" i="232"/>
  <c r="C127" i="232"/>
  <c r="C126" i="232" s="1"/>
  <c r="B127" i="232"/>
  <c r="D127" i="232" s="1"/>
  <c r="G124" i="232"/>
  <c r="D124" i="232"/>
  <c r="G123" i="232"/>
  <c r="C123" i="232"/>
  <c r="C122" i="232" s="1"/>
  <c r="B123" i="232"/>
  <c r="F122" i="232"/>
  <c r="G122" i="232" s="1"/>
  <c r="E122" i="232"/>
  <c r="G121" i="232"/>
  <c r="D121" i="232"/>
  <c r="F120" i="232"/>
  <c r="E120" i="232"/>
  <c r="G120" i="232" s="1"/>
  <c r="D120" i="232"/>
  <c r="F118" i="232"/>
  <c r="E118" i="232"/>
  <c r="G118" i="232" s="1"/>
  <c r="C118" i="232"/>
  <c r="D118" i="232" s="1"/>
  <c r="B118" i="232"/>
  <c r="G117" i="232"/>
  <c r="D117" i="232"/>
  <c r="G115" i="232"/>
  <c r="F115" i="232"/>
  <c r="E115" i="232"/>
  <c r="D115" i="232"/>
  <c r="C115" i="232"/>
  <c r="B115" i="232"/>
  <c r="G114" i="232"/>
  <c r="D114" i="232"/>
  <c r="G111" i="232"/>
  <c r="F111" i="232"/>
  <c r="C111" i="232"/>
  <c r="D111" i="232" s="1"/>
  <c r="G110" i="232"/>
  <c r="D110" i="232"/>
  <c r="F108" i="232"/>
  <c r="E108" i="232"/>
  <c r="C108" i="232"/>
  <c r="C107" i="232" s="1"/>
  <c r="B108" i="232"/>
  <c r="D108" i="232" s="1"/>
  <c r="F107" i="232"/>
  <c r="G105" i="232"/>
  <c r="D105" i="232"/>
  <c r="E104" i="232"/>
  <c r="E103" i="232" s="1"/>
  <c r="D104" i="232"/>
  <c r="D103" i="232"/>
  <c r="D102" i="232"/>
  <c r="G100" i="232"/>
  <c r="D100" i="232"/>
  <c r="G99" i="232"/>
  <c r="G98" i="232"/>
  <c r="D98" i="232"/>
  <c r="G97" i="232"/>
  <c r="F97" i="232"/>
  <c r="D97" i="232"/>
  <c r="F96" i="232"/>
  <c r="C96" i="232"/>
  <c r="B96" i="232"/>
  <c r="D96" i="232" s="1"/>
  <c r="G93" i="232"/>
  <c r="D93" i="232"/>
  <c r="G92" i="232"/>
  <c r="D92" i="232"/>
  <c r="G90" i="232"/>
  <c r="D90" i="232"/>
  <c r="F88" i="232"/>
  <c r="E88" i="232"/>
  <c r="C88" i="232"/>
  <c r="B88" i="232"/>
  <c r="G87" i="232"/>
  <c r="D87" i="232"/>
  <c r="G86" i="232"/>
  <c r="D86" i="232"/>
  <c r="G85" i="232"/>
  <c r="D85" i="232"/>
  <c r="G84" i="232"/>
  <c r="D84" i="232"/>
  <c r="F83" i="232"/>
  <c r="G83" i="232" s="1"/>
  <c r="C83" i="232"/>
  <c r="G82" i="232"/>
  <c r="D82" i="232"/>
  <c r="G81" i="232"/>
  <c r="D81" i="232"/>
  <c r="G80" i="232"/>
  <c r="D80" i="232"/>
  <c r="F79" i="232"/>
  <c r="D79" i="232"/>
  <c r="E78" i="232"/>
  <c r="B78" i="232"/>
  <c r="G77" i="232"/>
  <c r="D77" i="232"/>
  <c r="G76" i="232"/>
  <c r="D76" i="232"/>
  <c r="G74" i="232"/>
  <c r="D74" i="232"/>
  <c r="F72" i="232"/>
  <c r="E72" i="232"/>
  <c r="C72" i="232"/>
  <c r="B72" i="232"/>
  <c r="B71" i="232" s="1"/>
  <c r="G70" i="232"/>
  <c r="D70" i="232"/>
  <c r="G69" i="232"/>
  <c r="D69" i="232"/>
  <c r="G68" i="232"/>
  <c r="D68" i="232"/>
  <c r="G67" i="232"/>
  <c r="D67" i="232"/>
  <c r="G66" i="232"/>
  <c r="C66" i="232"/>
  <c r="D66" i="232" s="1"/>
  <c r="B66" i="232"/>
  <c r="F61" i="232"/>
  <c r="G61" i="232" s="1"/>
  <c r="G58" i="232"/>
  <c r="D58" i="232"/>
  <c r="G57" i="232"/>
  <c r="D57" i="232"/>
  <c r="G56" i="232"/>
  <c r="D56" i="232"/>
  <c r="G55" i="232"/>
  <c r="D55" i="232"/>
  <c r="G54" i="232"/>
  <c r="D54" i="232"/>
  <c r="F53" i="232"/>
  <c r="E53" i="232"/>
  <c r="G53" i="232" s="1"/>
  <c r="C53" i="232"/>
  <c r="D53" i="232" s="1"/>
  <c r="B53" i="232"/>
  <c r="G52" i="232"/>
  <c r="D52" i="232"/>
  <c r="G51" i="232"/>
  <c r="D51" i="232"/>
  <c r="G50" i="232"/>
  <c r="D50" i="232"/>
  <c r="G49" i="232"/>
  <c r="D49" i="232"/>
  <c r="G48" i="232"/>
  <c r="D48" i="232"/>
  <c r="G47" i="232"/>
  <c r="D47" i="232"/>
  <c r="G46" i="232"/>
  <c r="D46" i="232"/>
  <c r="G45" i="232"/>
  <c r="D45" i="232"/>
  <c r="G44" i="232"/>
  <c r="D44" i="232"/>
  <c r="F43" i="232"/>
  <c r="E43" i="232"/>
  <c r="G43" i="232" s="1"/>
  <c r="C43" i="232"/>
  <c r="D43" i="232" s="1"/>
  <c r="B43" i="232"/>
  <c r="G42" i="232"/>
  <c r="D42" i="232"/>
  <c r="G41" i="232"/>
  <c r="D41" i="232"/>
  <c r="G40" i="232"/>
  <c r="D40" i="232"/>
  <c r="G39" i="232"/>
  <c r="F39" i="232"/>
  <c r="E39" i="232"/>
  <c r="C39" i="232"/>
  <c r="B39" i="232"/>
  <c r="G38" i="232"/>
  <c r="D38" i="232"/>
  <c r="G37" i="232"/>
  <c r="D37" i="232"/>
  <c r="G36" i="232"/>
  <c r="D36" i="232"/>
  <c r="F35" i="232"/>
  <c r="G35" i="232" s="1"/>
  <c r="E35" i="232"/>
  <c r="C35" i="232"/>
  <c r="B35" i="232"/>
  <c r="G34" i="232"/>
  <c r="D34" i="232"/>
  <c r="G33" i="232"/>
  <c r="D33" i="232"/>
  <c r="G32" i="232"/>
  <c r="D32" i="232"/>
  <c r="F31" i="232"/>
  <c r="E31" i="232"/>
  <c r="G31" i="232" s="1"/>
  <c r="C31" i="232"/>
  <c r="B31" i="232"/>
  <c r="G30" i="232"/>
  <c r="D30" i="232"/>
  <c r="G29" i="232"/>
  <c r="D29" i="232"/>
  <c r="G28" i="232"/>
  <c r="D28" i="232"/>
  <c r="G27" i="232"/>
  <c r="D27" i="232"/>
  <c r="G26" i="232"/>
  <c r="D26" i="232"/>
  <c r="G25" i="232"/>
  <c r="D25" i="232"/>
  <c r="F24" i="232"/>
  <c r="E24" i="232"/>
  <c r="C24" i="232"/>
  <c r="B24" i="232"/>
  <c r="G23" i="232"/>
  <c r="D23" i="232"/>
  <c r="G22" i="232"/>
  <c r="D22" i="232"/>
  <c r="F21" i="232"/>
  <c r="G21" i="232" s="1"/>
  <c r="E21" i="232"/>
  <c r="C21" i="232"/>
  <c r="B21" i="232"/>
  <c r="G20" i="232"/>
  <c r="D20" i="232"/>
  <c r="D19" i="232"/>
  <c r="F18" i="232"/>
  <c r="E18" i="232"/>
  <c r="G18" i="232" s="1"/>
  <c r="C18" i="232"/>
  <c r="B18" i="232"/>
  <c r="D18" i="232" s="1"/>
  <c r="G17" i="232"/>
  <c r="D17" i="232"/>
  <c r="G16" i="232"/>
  <c r="D16" i="232"/>
  <c r="G15" i="232"/>
  <c r="D15" i="232"/>
  <c r="G14" i="232"/>
  <c r="D14" i="232"/>
  <c r="F13" i="232"/>
  <c r="G13" i="232" s="1"/>
  <c r="E13" i="232"/>
  <c r="C13" i="232"/>
  <c r="B13" i="232"/>
  <c r="D13" i="232" s="1"/>
  <c r="G12" i="232"/>
  <c r="D12" i="232"/>
  <c r="G10" i="232"/>
  <c r="D10" i="232"/>
  <c r="G9" i="232"/>
  <c r="D9" i="232"/>
  <c r="G8" i="232"/>
  <c r="D8" i="232"/>
  <c r="F7" i="232"/>
  <c r="E7" i="232"/>
  <c r="C7" i="232"/>
  <c r="B7" i="232"/>
  <c r="P21" i="230"/>
  <c r="O21" i="230"/>
  <c r="N21" i="230"/>
  <c r="M21" i="230"/>
  <c r="K21" i="230"/>
  <c r="J21" i="230"/>
  <c r="G63" i="228"/>
  <c r="E63" i="228"/>
  <c r="O61" i="228"/>
  <c r="M61" i="228"/>
  <c r="L61" i="228"/>
  <c r="K61" i="228"/>
  <c r="I61" i="228"/>
  <c r="H61" i="228"/>
  <c r="G61" i="228"/>
  <c r="E61" i="228"/>
  <c r="E57" i="228" s="1"/>
  <c r="O58" i="228"/>
  <c r="M58" i="228"/>
  <c r="L58" i="228"/>
  <c r="L57" i="228" s="1"/>
  <c r="L54" i="228" s="1"/>
  <c r="L53" i="228" s="1"/>
  <c r="L42" i="228" s="1"/>
  <c r="K58" i="228"/>
  <c r="K57" i="228" s="1"/>
  <c r="K54" i="228" s="1"/>
  <c r="K53" i="228" s="1"/>
  <c r="K42" i="228" s="1"/>
  <c r="J58" i="228"/>
  <c r="J57" i="228" s="1"/>
  <c r="J54" i="228" s="1"/>
  <c r="J53" i="228" s="1"/>
  <c r="J42" i="228" s="1"/>
  <c r="J33" i="228" s="1"/>
  <c r="I58" i="228"/>
  <c r="H58" i="228"/>
  <c r="G58" i="228"/>
  <c r="G57" i="228" s="1"/>
  <c r="F58" i="228"/>
  <c r="F57" i="228" s="1"/>
  <c r="E58" i="228"/>
  <c r="D58" i="228"/>
  <c r="O57" i="228"/>
  <c r="O54" i="228" s="1"/>
  <c r="O53" i="228" s="1"/>
  <c r="O42" i="228" s="1"/>
  <c r="O33" i="228" s="1"/>
  <c r="M57" i="228"/>
  <c r="M54" i="228" s="1"/>
  <c r="M53" i="228" s="1"/>
  <c r="I57" i="228"/>
  <c r="H57" i="228"/>
  <c r="D57" i="228"/>
  <c r="C57" i="228"/>
  <c r="I54" i="228"/>
  <c r="I53" i="228" s="1"/>
  <c r="H54" i="228"/>
  <c r="H53" i="228" s="1"/>
  <c r="H42" i="228" s="1"/>
  <c r="C54" i="228"/>
  <c r="G53" i="228"/>
  <c r="G42" i="228" s="1"/>
  <c r="G33" i="228" s="1"/>
  <c r="F53" i="228"/>
  <c r="F42" i="228" s="1"/>
  <c r="E53" i="228"/>
  <c r="D53" i="228"/>
  <c r="O43" i="228"/>
  <c r="M43" i="228"/>
  <c r="L43" i="228"/>
  <c r="K43" i="228"/>
  <c r="J43" i="228"/>
  <c r="I43" i="228"/>
  <c r="H43" i="228"/>
  <c r="G43" i="228"/>
  <c r="F43" i="228"/>
  <c r="E43" i="228"/>
  <c r="E42" i="228" s="1"/>
  <c r="D43" i="228"/>
  <c r="D42" i="228" s="1"/>
  <c r="C43" i="228"/>
  <c r="Q42" i="228"/>
  <c r="C42" i="228"/>
  <c r="C33" i="228" s="1"/>
  <c r="F40" i="228"/>
  <c r="E40" i="228"/>
  <c r="M35" i="228"/>
  <c r="L35" i="228"/>
  <c r="L34" i="228" s="1"/>
  <c r="K35" i="228"/>
  <c r="K34" i="228" s="1"/>
  <c r="J35" i="228"/>
  <c r="I35" i="228"/>
  <c r="H35" i="228"/>
  <c r="H34" i="228" s="1"/>
  <c r="F35" i="228"/>
  <c r="F34" i="228" s="1"/>
  <c r="E35" i="228"/>
  <c r="Q34" i="228"/>
  <c r="O34" i="228"/>
  <c r="M34" i="228"/>
  <c r="J34" i="228"/>
  <c r="I34" i="228"/>
  <c r="G34" i="228"/>
  <c r="E34" i="228"/>
  <c r="D34" i="228"/>
  <c r="D33" i="228" s="1"/>
  <c r="Q33" i="228"/>
  <c r="N33" i="228"/>
  <c r="R22" i="228"/>
  <c r="Q22" i="228"/>
  <c r="P22" i="228"/>
  <c r="O22" i="228"/>
  <c r="N22" i="228"/>
  <c r="M22" i="228"/>
  <c r="L22" i="228"/>
  <c r="K22" i="228"/>
  <c r="J22" i="228"/>
  <c r="I22" i="228"/>
  <c r="H22" i="228"/>
  <c r="G22" i="228"/>
  <c r="F22" i="228"/>
  <c r="D22" i="228"/>
  <c r="C22" i="228"/>
  <c r="E11" i="228"/>
  <c r="E9" i="228"/>
  <c r="E5" i="228"/>
  <c r="E4" i="228"/>
  <c r="J66" i="227"/>
  <c r="E65" i="227"/>
  <c r="D65" i="227"/>
  <c r="M63" i="227"/>
  <c r="L63" i="227"/>
  <c r="K63" i="227"/>
  <c r="J63" i="227"/>
  <c r="I63" i="227"/>
  <c r="H63" i="227"/>
  <c r="G63" i="227"/>
  <c r="G65" i="227" s="1"/>
  <c r="F63" i="227"/>
  <c r="F65" i="227" s="1"/>
  <c r="E63" i="227"/>
  <c r="D63" i="227"/>
  <c r="C63" i="227"/>
  <c r="C61" i="227"/>
  <c r="M60" i="227"/>
  <c r="L60" i="227"/>
  <c r="K60" i="227"/>
  <c r="J60" i="227"/>
  <c r="J57" i="227" s="1"/>
  <c r="I60" i="227"/>
  <c r="H60" i="227"/>
  <c r="H57" i="227" s="1"/>
  <c r="H56" i="227" s="1"/>
  <c r="H48" i="227" s="1"/>
  <c r="F60" i="227"/>
  <c r="E60" i="227"/>
  <c r="D60" i="227"/>
  <c r="F58" i="227"/>
  <c r="E58" i="227"/>
  <c r="M57" i="227"/>
  <c r="L57" i="227"/>
  <c r="L56" i="227" s="1"/>
  <c r="K57" i="227"/>
  <c r="K56" i="227" s="1"/>
  <c r="I57" i="227"/>
  <c r="M56" i="227"/>
  <c r="I56" i="227"/>
  <c r="F56" i="227"/>
  <c r="E56" i="227"/>
  <c r="M53" i="227"/>
  <c r="L53" i="227"/>
  <c r="K53" i="227"/>
  <c r="J53" i="227"/>
  <c r="I53" i="227"/>
  <c r="H53" i="227"/>
  <c r="F53" i="227"/>
  <c r="E53" i="227"/>
  <c r="O49" i="227"/>
  <c r="O48" i="227" s="1"/>
  <c r="M49" i="227"/>
  <c r="L49" i="227"/>
  <c r="K49" i="227"/>
  <c r="I49" i="227"/>
  <c r="I48" i="227" s="1"/>
  <c r="I35" i="227" s="1"/>
  <c r="H49" i="227"/>
  <c r="G49" i="227"/>
  <c r="G48" i="227" s="1"/>
  <c r="F49" i="227"/>
  <c r="E49" i="227"/>
  <c r="E48" i="227" s="1"/>
  <c r="D49" i="227"/>
  <c r="D48" i="227" s="1"/>
  <c r="D35" i="227" s="1"/>
  <c r="C49" i="227"/>
  <c r="C48" i="227" s="1"/>
  <c r="F48" i="227"/>
  <c r="J46" i="227"/>
  <c r="F46" i="227"/>
  <c r="F36" i="227" s="1"/>
  <c r="F35" i="227" s="1"/>
  <c r="E46" i="227"/>
  <c r="G43" i="227"/>
  <c r="F43" i="227"/>
  <c r="E43" i="227"/>
  <c r="J37" i="227"/>
  <c r="I37" i="227"/>
  <c r="H37" i="227"/>
  <c r="H36" i="227" s="1"/>
  <c r="H35" i="227" s="1"/>
  <c r="G37" i="227"/>
  <c r="G36" i="227" s="1"/>
  <c r="G35" i="227" s="1"/>
  <c r="F37" i="227"/>
  <c r="E37" i="227"/>
  <c r="D37" i="227"/>
  <c r="C37" i="227"/>
  <c r="C36" i="227" s="1"/>
  <c r="C35" i="227" s="1"/>
  <c r="O36" i="227"/>
  <c r="M36" i="227"/>
  <c r="L36" i="227"/>
  <c r="K36" i="227"/>
  <c r="I36" i="227"/>
  <c r="E36" i="227"/>
  <c r="D36" i="227"/>
  <c r="N35" i="227"/>
  <c r="R23" i="227"/>
  <c r="Q23" i="227"/>
  <c r="P23" i="227"/>
  <c r="O23" i="227"/>
  <c r="N23" i="227"/>
  <c r="M23" i="227"/>
  <c r="L23" i="227"/>
  <c r="K23" i="227"/>
  <c r="J23" i="227"/>
  <c r="I23" i="227"/>
  <c r="H23" i="227"/>
  <c r="F23" i="227"/>
  <c r="E23" i="227"/>
  <c r="D23" i="227"/>
  <c r="C23" i="227"/>
  <c r="G13" i="227"/>
  <c r="G23" i="227" s="1"/>
  <c r="H45" i="226"/>
  <c r="H44" i="226"/>
  <c r="H36" i="226"/>
  <c r="H35" i="226"/>
  <c r="H34" i="226"/>
  <c r="H33" i="226"/>
  <c r="H32" i="226"/>
  <c r="H31" i="226"/>
  <c r="I31" i="226" s="1"/>
  <c r="H30" i="226"/>
  <c r="I30" i="226" s="1"/>
  <c r="H29" i="226"/>
  <c r="I29" i="226" s="1"/>
  <c r="I28" i="226"/>
  <c r="H28" i="226"/>
  <c r="H27" i="226"/>
  <c r="H26" i="226"/>
  <c r="H25" i="226"/>
  <c r="H24" i="226"/>
  <c r="H21" i="226"/>
  <c r="H20" i="226"/>
  <c r="H19" i="226"/>
  <c r="H18" i="226"/>
  <c r="H17" i="226"/>
  <c r="H16" i="226"/>
  <c r="H15" i="226"/>
  <c r="H14" i="226"/>
  <c r="H13" i="226"/>
  <c r="H12" i="226"/>
  <c r="H10" i="226"/>
  <c r="H9" i="226"/>
  <c r="I9" i="226" s="1"/>
  <c r="H8" i="226"/>
  <c r="I8" i="226" s="1"/>
  <c r="M19" i="225"/>
  <c r="L19" i="225"/>
  <c r="K19" i="225"/>
  <c r="J19" i="225"/>
  <c r="I19" i="225"/>
  <c r="H19" i="225"/>
  <c r="G19" i="225"/>
  <c r="F19" i="225"/>
  <c r="E19" i="225"/>
  <c r="D19" i="225"/>
  <c r="C19" i="225"/>
  <c r="B19" i="225"/>
  <c r="D382" i="224"/>
  <c r="C382" i="224"/>
  <c r="B382" i="224"/>
  <c r="CJ89" i="223"/>
  <c r="CI89" i="223"/>
  <c r="CH89" i="223"/>
  <c r="CG89" i="223"/>
  <c r="BX89" i="223"/>
  <c r="BW89" i="223"/>
  <c r="CJ72" i="223"/>
  <c r="CI72" i="223"/>
  <c r="CH72" i="223"/>
  <c r="CG72" i="223"/>
  <c r="CJ55" i="223"/>
  <c r="CI55" i="223"/>
  <c r="CH55" i="223"/>
  <c r="CG55" i="223"/>
  <c r="CJ38" i="223"/>
  <c r="CI38" i="223"/>
  <c r="CH38" i="223"/>
  <c r="CG38" i="223"/>
  <c r="CJ21" i="223"/>
  <c r="CI21" i="223"/>
  <c r="CH21" i="223"/>
  <c r="CG21" i="223"/>
  <c r="D20" i="217"/>
  <c r="D19" i="217"/>
  <c r="D18" i="217"/>
  <c r="D17" i="217"/>
  <c r="D16" i="217"/>
  <c r="D15" i="217"/>
  <c r="D14" i="217"/>
  <c r="D13" i="217"/>
  <c r="D12" i="217"/>
  <c r="D11" i="217"/>
  <c r="D10" i="217"/>
  <c r="D9" i="217"/>
  <c r="DR22" i="216"/>
  <c r="DQ22" i="216"/>
  <c r="DP22" i="216"/>
  <c r="DO22" i="216"/>
  <c r="DN22" i="216"/>
  <c r="DM22" i="216"/>
  <c r="DL22" i="216"/>
  <c r="DK22" i="216"/>
  <c r="DJ22" i="216"/>
  <c r="DI22" i="216"/>
  <c r="DH22" i="216"/>
  <c r="DG22" i="216"/>
  <c r="DF22" i="216"/>
  <c r="DS3" i="216"/>
  <c r="DS22" i="216" s="1"/>
  <c r="I209" i="214"/>
  <c r="K208" i="214"/>
  <c r="K207" i="214"/>
  <c r="K206" i="214"/>
  <c r="L204" i="214"/>
  <c r="M204" i="214" s="1"/>
  <c r="I204" i="214"/>
  <c r="K202" i="214"/>
  <c r="K201" i="214"/>
  <c r="K204" i="214" s="1"/>
  <c r="L199" i="214"/>
  <c r="M199" i="214" s="1"/>
  <c r="I199" i="214"/>
  <c r="K198" i="214"/>
  <c r="K197" i="214"/>
  <c r="K199" i="214" s="1"/>
  <c r="I195" i="214"/>
  <c r="K194" i="214"/>
  <c r="K193" i="214"/>
  <c r="K192" i="214"/>
  <c r="K191" i="214"/>
  <c r="K190" i="214"/>
  <c r="K189" i="214"/>
  <c r="K188" i="214"/>
  <c r="I182" i="214"/>
  <c r="K181" i="214"/>
  <c r="K180" i="214"/>
  <c r="K179" i="214"/>
  <c r="K178" i="214"/>
  <c r="K177" i="214"/>
  <c r="K176" i="214"/>
  <c r="K175" i="214"/>
  <c r="K174" i="214"/>
  <c r="K173" i="214"/>
  <c r="K172" i="214"/>
  <c r="K171" i="214"/>
  <c r="P161" i="214"/>
  <c r="P160" i="214"/>
  <c r="K157" i="214"/>
  <c r="K156" i="214"/>
  <c r="K155" i="214"/>
  <c r="K154" i="214"/>
  <c r="B12" i="209"/>
  <c r="C26" i="208"/>
  <c r="B26" i="208"/>
  <c r="C8" i="208"/>
  <c r="B8" i="208"/>
  <c r="C4" i="208"/>
  <c r="B4" i="208"/>
  <c r="B15" i="208" s="1"/>
  <c r="G45" i="207"/>
  <c r="F45" i="207"/>
  <c r="E45" i="207"/>
  <c r="D45" i="207"/>
  <c r="C45" i="207"/>
  <c r="B45" i="207"/>
  <c r="H44" i="207"/>
  <c r="H43" i="207"/>
  <c r="H42" i="207"/>
  <c r="H41" i="207"/>
  <c r="H40" i="207"/>
  <c r="H39" i="207"/>
  <c r="H38" i="207"/>
  <c r="H37" i="207"/>
  <c r="H36" i="207"/>
  <c r="H35" i="207"/>
  <c r="H34" i="207"/>
  <c r="H33" i="207"/>
  <c r="H32" i="207"/>
  <c r="H31" i="207"/>
  <c r="H30" i="207"/>
  <c r="H29" i="207"/>
  <c r="H28" i="207"/>
  <c r="H27" i="207"/>
  <c r="H26" i="207"/>
  <c r="H25" i="207"/>
  <c r="H24" i="207"/>
  <c r="H16" i="207"/>
  <c r="H15" i="207"/>
  <c r="H14" i="207"/>
  <c r="H13" i="207"/>
  <c r="H12" i="207"/>
  <c r="H11" i="207"/>
  <c r="H10" i="207"/>
  <c r="H9" i="207"/>
  <c r="H8" i="207"/>
  <c r="H7" i="207"/>
  <c r="H6" i="207"/>
  <c r="H5" i="207"/>
  <c r="H4" i="207"/>
  <c r="F7" i="205"/>
  <c r="F6" i="205"/>
  <c r="F5" i="205"/>
  <c r="O25" i="201"/>
  <c r="O21" i="201"/>
  <c r="G10" i="201"/>
  <c r="F10" i="201"/>
  <c r="E10" i="201"/>
  <c r="D10" i="201"/>
  <c r="C10" i="201"/>
  <c r="I9" i="201"/>
  <c r="I8" i="201"/>
  <c r="I10" i="201" s="1"/>
  <c r="I7" i="201"/>
  <c r="I6" i="201"/>
  <c r="O26" i="200"/>
  <c r="O21" i="200"/>
  <c r="G10" i="200"/>
  <c r="F10" i="200"/>
  <c r="E10" i="200"/>
  <c r="D10" i="200"/>
  <c r="C10" i="200"/>
  <c r="I9" i="200"/>
  <c r="I8" i="200"/>
  <c r="I7" i="200"/>
  <c r="I6" i="200"/>
  <c r="AK14" i="198"/>
  <c r="AJ14" i="198"/>
  <c r="AI14" i="198"/>
  <c r="AH14" i="198"/>
  <c r="U14" i="198"/>
  <c r="S14" i="198"/>
  <c r="R14" i="198"/>
  <c r="O14" i="198"/>
  <c r="N14" i="198"/>
  <c r="M14" i="198"/>
  <c r="L14" i="198"/>
  <c r="I14" i="198"/>
  <c r="H14" i="198"/>
  <c r="F14" i="198"/>
  <c r="E14" i="198"/>
  <c r="D14" i="198"/>
  <c r="AI12" i="198"/>
  <c r="AK8" i="198"/>
  <c r="AK12" i="198" s="1"/>
  <c r="AK18" i="198" s="1"/>
  <c r="AK22" i="198" s="1"/>
  <c r="AK26" i="198" s="1"/>
  <c r="AJ8" i="198"/>
  <c r="AJ12" i="198" s="1"/>
  <c r="AI8" i="198"/>
  <c r="AH8" i="198"/>
  <c r="AH12" i="198" s="1"/>
  <c r="AH18" i="198" s="1"/>
  <c r="AH22" i="198" s="1"/>
  <c r="AH26" i="198" s="1"/>
  <c r="U8" i="198"/>
  <c r="S8" i="198"/>
  <c r="R8" i="198"/>
  <c r="O8" i="198"/>
  <c r="N8" i="198"/>
  <c r="M8" i="198"/>
  <c r="L8" i="198"/>
  <c r="I8" i="198"/>
  <c r="H8" i="198"/>
  <c r="F8" i="198"/>
  <c r="E8" i="198"/>
  <c r="D8" i="198"/>
  <c r="U6" i="198"/>
  <c r="U12" i="198" s="1"/>
  <c r="U18" i="198" s="1"/>
  <c r="U22" i="198" s="1"/>
  <c r="U26" i="198" s="1"/>
  <c r="S6" i="198"/>
  <c r="S12" i="198" s="1"/>
  <c r="R6" i="198"/>
  <c r="R12" i="198" s="1"/>
  <c r="O6" i="198"/>
  <c r="O12" i="198" s="1"/>
  <c r="O18" i="198" s="1"/>
  <c r="O22" i="198" s="1"/>
  <c r="O26" i="198" s="1"/>
  <c r="N6" i="198"/>
  <c r="N12" i="198" s="1"/>
  <c r="N18" i="198" s="1"/>
  <c r="N22" i="198" s="1"/>
  <c r="N26" i="198" s="1"/>
  <c r="M6" i="198"/>
  <c r="M12" i="198" s="1"/>
  <c r="L6" i="198"/>
  <c r="L12" i="198" s="1"/>
  <c r="J6" i="198"/>
  <c r="I6" i="198"/>
  <c r="I12" i="198" s="1"/>
  <c r="I18" i="198" s="1"/>
  <c r="I22" i="198" s="1"/>
  <c r="I26" i="198" s="1"/>
  <c r="H6" i="198"/>
  <c r="F6" i="198"/>
  <c r="E6" i="198"/>
  <c r="D6" i="198"/>
  <c r="D12" i="198" s="1"/>
  <c r="D18" i="198" s="1"/>
  <c r="D22" i="198" s="1"/>
  <c r="D26" i="198" s="1"/>
  <c r="AM42" i="196"/>
  <c r="CD36" i="196"/>
  <c r="CC36" i="196"/>
  <c r="CB36" i="196"/>
  <c r="CA36" i="196"/>
  <c r="BZ36" i="196"/>
  <c r="BY36" i="196"/>
  <c r="BX36" i="196"/>
  <c r="BW36" i="196"/>
  <c r="BV36" i="196"/>
  <c r="BU36" i="196"/>
  <c r="BT36" i="196"/>
  <c r="BS36" i="196"/>
  <c r="BR36" i="196"/>
  <c r="BQ36" i="196"/>
  <c r="BP36" i="196"/>
  <c r="BO36" i="196"/>
  <c r="BN36" i="196"/>
  <c r="BM36" i="196"/>
  <c r="BL36" i="196"/>
  <c r="BK36" i="196"/>
  <c r="BJ36" i="196"/>
  <c r="BI36" i="196"/>
  <c r="BH36" i="196"/>
  <c r="AO36" i="196"/>
  <c r="AL36" i="196"/>
  <c r="AK36" i="196"/>
  <c r="AJ36" i="196"/>
  <c r="AI36" i="196"/>
  <c r="AH36" i="196"/>
  <c r="AG36" i="196"/>
  <c r="AF36" i="196"/>
  <c r="AE36" i="196"/>
  <c r="AD36" i="196"/>
  <c r="AC36" i="196"/>
  <c r="AB36" i="196"/>
  <c r="AA36" i="196"/>
  <c r="Z36" i="196"/>
  <c r="Y36" i="196"/>
  <c r="X36" i="196"/>
  <c r="W36" i="196"/>
  <c r="V36" i="196"/>
  <c r="U36" i="196"/>
  <c r="T36" i="196"/>
  <c r="S36" i="196"/>
  <c r="R36" i="196"/>
  <c r="Q36" i="196"/>
  <c r="CB30" i="196"/>
  <c r="CA30" i="196"/>
  <c r="BZ30" i="196"/>
  <c r="BY30" i="196"/>
  <c r="AM30" i="196"/>
  <c r="CB29" i="196"/>
  <c r="CA29" i="196"/>
  <c r="BZ29" i="196"/>
  <c r="BY29" i="196"/>
  <c r="CB27" i="196"/>
  <c r="CA27" i="196"/>
  <c r="BZ27" i="196"/>
  <c r="BY27" i="196"/>
  <c r="CD25" i="196"/>
  <c r="CC25" i="196"/>
  <c r="CB25" i="196"/>
  <c r="CA25" i="196"/>
  <c r="BZ25" i="196"/>
  <c r="BY25" i="196"/>
  <c r="BX25" i="196"/>
  <c r="BW25" i="196"/>
  <c r="BV25" i="196"/>
  <c r="BU25" i="196"/>
  <c r="BT25" i="196"/>
  <c r="BS25" i="196"/>
  <c r="BR25" i="196"/>
  <c r="BQ25" i="196"/>
  <c r="BP25" i="196"/>
  <c r="BO25" i="196"/>
  <c r="BN25" i="196"/>
  <c r="BM25" i="196"/>
  <c r="BL25" i="196"/>
  <c r="BK25" i="196"/>
  <c r="BJ25" i="196"/>
  <c r="BI25" i="196"/>
  <c r="BH25" i="196"/>
  <c r="AT25" i="196"/>
  <c r="AS25" i="196"/>
  <c r="AR25" i="196"/>
  <c r="AQ25" i="196"/>
  <c r="AP25" i="196"/>
  <c r="AO25" i="196"/>
  <c r="AL25" i="196"/>
  <c r="AK25" i="196"/>
  <c r="AJ25" i="196"/>
  <c r="AI25" i="196"/>
  <c r="AH25" i="196"/>
  <c r="AG25" i="196"/>
  <c r="AF25" i="196"/>
  <c r="AE25" i="196"/>
  <c r="AD25" i="196"/>
  <c r="AC25" i="196"/>
  <c r="AB25" i="196"/>
  <c r="AA25" i="196"/>
  <c r="Z25" i="196"/>
  <c r="Y25" i="196"/>
  <c r="X25" i="196"/>
  <c r="W25" i="196"/>
  <c r="V25" i="196"/>
  <c r="U25" i="196"/>
  <c r="T25" i="196"/>
  <c r="S25" i="196"/>
  <c r="R25" i="196"/>
  <c r="Q25" i="196"/>
  <c r="CL16" i="196"/>
  <c r="CI16" i="196"/>
  <c r="CF16" i="196"/>
  <c r="CC16" i="196"/>
  <c r="BZ16" i="196"/>
  <c r="BW16" i="196"/>
  <c r="BT16" i="196"/>
  <c r="BQ16" i="196"/>
  <c r="BZ15" i="196"/>
  <c r="BY15" i="196"/>
  <c r="BX15" i="196"/>
  <c r="BW15" i="196"/>
  <c r="BV15" i="196"/>
  <c r="BU15" i="196"/>
  <c r="BT15" i="196"/>
  <c r="BS15" i="196"/>
  <c r="BR15" i="196"/>
  <c r="BQ15" i="196"/>
  <c r="BP15" i="196"/>
  <c r="BY13" i="196"/>
  <c r="BX13" i="196"/>
  <c r="BW13" i="196"/>
  <c r="BV13" i="196"/>
  <c r="BU13" i="196"/>
  <c r="BT13" i="196"/>
  <c r="BS13" i="196"/>
  <c r="BR13" i="196"/>
  <c r="BQ13" i="196"/>
  <c r="BP13" i="196"/>
  <c r="BJ13" i="196"/>
  <c r="AP11" i="196"/>
  <c r="AP13" i="196" s="1"/>
  <c r="Y11" i="196"/>
  <c r="Y13" i="196" s="1"/>
  <c r="X11" i="196"/>
  <c r="X13" i="196" s="1"/>
  <c r="CA10" i="196"/>
  <c r="BZ10" i="196"/>
  <c r="BY10" i="196"/>
  <c r="BX10" i="196"/>
  <c r="BW10" i="196"/>
  <c r="BV10" i="196"/>
  <c r="BU10" i="196"/>
  <c r="BT10" i="196"/>
  <c r="BS10" i="196"/>
  <c r="BR10" i="196"/>
  <c r="BQ10" i="196"/>
  <c r="BP10" i="196"/>
  <c r="CA7" i="196"/>
  <c r="BZ7" i="196"/>
  <c r="BY7" i="196"/>
  <c r="BX7" i="196"/>
  <c r="BW7" i="196"/>
  <c r="BV7" i="196"/>
  <c r="BU7" i="196"/>
  <c r="BT7" i="196"/>
  <c r="BS7" i="196"/>
  <c r="BR7" i="196"/>
  <c r="BQ7" i="196"/>
  <c r="BP7" i="196"/>
  <c r="CA6" i="196"/>
  <c r="BZ6" i="196"/>
  <c r="BY6" i="196"/>
  <c r="BX6" i="196"/>
  <c r="BW6" i="196"/>
  <c r="BV6" i="196"/>
  <c r="BU6" i="196"/>
  <c r="BT6" i="196"/>
  <c r="BS6" i="196"/>
  <c r="BR6" i="196"/>
  <c r="BQ6" i="196"/>
  <c r="BP6" i="196"/>
  <c r="E125" i="194"/>
  <c r="C125" i="194"/>
  <c r="F125" i="194" s="1"/>
  <c r="F114" i="194"/>
  <c r="E114" i="194"/>
  <c r="E125" i="193"/>
  <c r="C125" i="193"/>
  <c r="F125" i="193" s="1"/>
  <c r="F114" i="193"/>
  <c r="E114" i="193"/>
  <c r="F107" i="193"/>
  <c r="E107" i="193"/>
  <c r="F106" i="193"/>
  <c r="E106" i="193"/>
  <c r="F105" i="193"/>
  <c r="E105" i="193"/>
  <c r="F104" i="193"/>
  <c r="E104" i="193"/>
  <c r="F103" i="193"/>
  <c r="E103" i="193"/>
  <c r="F102" i="193"/>
  <c r="E102" i="193"/>
  <c r="F101" i="193"/>
  <c r="E101" i="193"/>
  <c r="F100" i="193"/>
  <c r="E100" i="193"/>
  <c r="F99" i="193"/>
  <c r="E99" i="193"/>
  <c r="F98" i="193"/>
  <c r="E98" i="193"/>
  <c r="F97" i="193"/>
  <c r="E97" i="193"/>
  <c r="F96" i="193"/>
  <c r="E96" i="193"/>
  <c r="F95" i="193"/>
  <c r="E95" i="193"/>
  <c r="F94" i="193"/>
  <c r="E94" i="193"/>
  <c r="F93" i="193"/>
  <c r="E93" i="193"/>
  <c r="F92" i="193"/>
  <c r="E92" i="193"/>
  <c r="F91" i="193"/>
  <c r="E91" i="193"/>
  <c r="F90" i="193"/>
  <c r="E90" i="193"/>
  <c r="F89" i="193"/>
  <c r="E89" i="193"/>
  <c r="F88" i="193"/>
  <c r="E88" i="193"/>
  <c r="F87" i="193"/>
  <c r="E87" i="193"/>
  <c r="F86" i="193"/>
  <c r="F73" i="193"/>
  <c r="E73" i="193"/>
  <c r="F72" i="193"/>
  <c r="E72" i="193"/>
  <c r="Y169" i="192"/>
  <c r="Y168" i="192"/>
  <c r="Y167" i="192"/>
  <c r="Y166" i="192"/>
  <c r="AP39" i="191"/>
  <c r="H32" i="191"/>
  <c r="G32" i="191"/>
  <c r="F32" i="191"/>
  <c r="E32" i="191"/>
  <c r="D32" i="191"/>
  <c r="C32" i="191"/>
  <c r="B32" i="191"/>
  <c r="H33" i="228" l="1"/>
  <c r="L33" i="228"/>
  <c r="G60" i="227"/>
  <c r="M42" i="228"/>
  <c r="M33" i="228" s="1"/>
  <c r="AI18" i="198"/>
  <c r="AI22" i="198" s="1"/>
  <c r="AI26" i="198" s="1"/>
  <c r="H45" i="207"/>
  <c r="C15" i="208"/>
  <c r="K182" i="214"/>
  <c r="L185" i="214" s="1"/>
  <c r="M186" i="214" s="1"/>
  <c r="K209" i="214"/>
  <c r="L209" i="214" s="1"/>
  <c r="M209" i="214" s="1"/>
  <c r="J36" i="227"/>
  <c r="E35" i="227"/>
  <c r="O35" i="227"/>
  <c r="M48" i="227"/>
  <c r="M35" i="227" s="1"/>
  <c r="L48" i="227"/>
  <c r="L35" i="227" s="1"/>
  <c r="D39" i="232"/>
  <c r="B107" i="232"/>
  <c r="F12" i="198"/>
  <c r="F18" i="198" s="1"/>
  <c r="F22" i="198" s="1"/>
  <c r="F26" i="198" s="1"/>
  <c r="L18" i="198"/>
  <c r="L22" i="198" s="1"/>
  <c r="L26" i="198" s="1"/>
  <c r="R18" i="198"/>
  <c r="R22" i="198" s="1"/>
  <c r="R26" i="198" s="1"/>
  <c r="E12" i="198"/>
  <c r="E18" i="198" s="1"/>
  <c r="E22" i="198" s="1"/>
  <c r="E26" i="198" s="1"/>
  <c r="DT3" i="216"/>
  <c r="B11" i="232"/>
  <c r="D24" i="232"/>
  <c r="D35" i="232"/>
  <c r="D88" i="232"/>
  <c r="C94" i="232"/>
  <c r="G104" i="232"/>
  <c r="D123" i="232"/>
  <c r="D135" i="232"/>
  <c r="I42" i="228"/>
  <c r="I33" i="228" s="1"/>
  <c r="H12" i="198"/>
  <c r="H18" i="198" s="1"/>
  <c r="H22" i="198" s="1"/>
  <c r="H26" i="198" s="1"/>
  <c r="M18" i="198"/>
  <c r="M22" i="198" s="1"/>
  <c r="M26" i="198" s="1"/>
  <c r="S18" i="198"/>
  <c r="S22" i="198" s="1"/>
  <c r="S26" i="198" s="1"/>
  <c r="AJ18" i="198"/>
  <c r="AJ22" i="198" s="1"/>
  <c r="AJ26" i="198" s="1"/>
  <c r="I10" i="200"/>
  <c r="K158" i="214"/>
  <c r="L158" i="214" s="1"/>
  <c r="P162" i="214"/>
  <c r="Q162" i="214" s="1"/>
  <c r="C60" i="227"/>
  <c r="K33" i="228"/>
  <c r="D72" i="232"/>
  <c r="F126" i="232"/>
  <c r="F94" i="232" s="1"/>
  <c r="D133" i="232"/>
  <c r="K195" i="214"/>
  <c r="DT22" i="216"/>
  <c r="DU3" i="216"/>
  <c r="F33" i="228"/>
  <c r="J56" i="227"/>
  <c r="J48" i="227" s="1"/>
  <c r="J35" i="227" s="1"/>
  <c r="E33" i="228"/>
  <c r="D7" i="232"/>
  <c r="B6" i="232"/>
  <c r="G72" i="232"/>
  <c r="E71" i="232"/>
  <c r="D78" i="232"/>
  <c r="G127" i="232"/>
  <c r="G135" i="232"/>
  <c r="E132" i="232"/>
  <c r="E11" i="232"/>
  <c r="E6" i="232" s="1"/>
  <c r="G24" i="232"/>
  <c r="G11" i="232" s="1"/>
  <c r="D107" i="232"/>
  <c r="C78" i="232"/>
  <c r="C71" i="232" s="1"/>
  <c r="D71" i="232" s="1"/>
  <c r="D83" i="232"/>
  <c r="K48" i="227"/>
  <c r="K35" i="227" s="1"/>
  <c r="E22" i="228"/>
  <c r="G7" i="232"/>
  <c r="F11" i="232"/>
  <c r="F6" i="232" s="1"/>
  <c r="F5" i="232" s="1"/>
  <c r="D21" i="232"/>
  <c r="C11" i="232"/>
  <c r="C6" i="232" s="1"/>
  <c r="C5" i="232" s="1"/>
  <c r="D31" i="232"/>
  <c r="G79" i="232"/>
  <c r="F78" i="232"/>
  <c r="F71" i="232" s="1"/>
  <c r="G88" i="232"/>
  <c r="G103" i="232"/>
  <c r="E102" i="232"/>
  <c r="G108" i="232"/>
  <c r="E107" i="232"/>
  <c r="G107" i="232" s="1"/>
  <c r="D132" i="232"/>
  <c r="B122" i="232"/>
  <c r="B126" i="232"/>
  <c r="D126" i="232" s="1"/>
  <c r="D11" i="232" l="1"/>
  <c r="G71" i="232"/>
  <c r="G132" i="232"/>
  <c r="E130" i="232"/>
  <c r="G6" i="232"/>
  <c r="E5" i="232"/>
  <c r="G5" i="232" s="1"/>
  <c r="DV3" i="216"/>
  <c r="DU22" i="216"/>
  <c r="G78" i="232"/>
  <c r="D122" i="232"/>
  <c r="B94" i="232"/>
  <c r="D94" i="232" s="1"/>
  <c r="D65" i="232" s="1"/>
  <c r="D144" i="232" s="1"/>
  <c r="G102" i="232"/>
  <c r="E96" i="232"/>
  <c r="D6" i="232"/>
  <c r="B5" i="232"/>
  <c r="D5" i="232" s="1"/>
  <c r="K211" i="214"/>
  <c r="L211" i="214" s="1"/>
  <c r="L213" i="214" s="1"/>
  <c r="L195" i="214"/>
  <c r="M195" i="214" s="1"/>
  <c r="M211" i="214" s="1"/>
  <c r="DV22" i="216" l="1"/>
  <c r="DW3" i="216"/>
  <c r="G130" i="232"/>
  <c r="E126" i="232"/>
  <c r="G126" i="232" s="1"/>
  <c r="G96" i="232"/>
  <c r="E94" i="232" l="1"/>
  <c r="G94" i="232" s="1"/>
  <c r="G65" i="232" s="1"/>
  <c r="G144" i="232" s="1"/>
  <c r="DW22" i="216"/>
  <c r="DX3" i="216"/>
  <c r="DX22" i="216" l="1"/>
  <c r="DY3" i="216"/>
  <c r="DY22" i="216" l="1"/>
  <c r="DZ3" i="216"/>
  <c r="DZ22" i="216" l="1"/>
  <c r="EA3" i="216"/>
  <c r="EA22" i="216" l="1"/>
  <c r="EB3" i="216"/>
  <c r="EB22" i="216" l="1"/>
  <c r="EC3" i="216"/>
  <c r="EC22" i="216" l="1"/>
  <c r="ED3" i="216"/>
  <c r="ED22" i="216" l="1"/>
  <c r="EE3" i="216"/>
  <c r="EE22" i="216" l="1"/>
  <c r="EF3" i="216"/>
  <c r="EF22" i="216" l="1"/>
  <c r="EG3" i="216"/>
  <c r="EG22" i="216" l="1"/>
  <c r="EH3" i="216"/>
  <c r="EH22" i="216" l="1"/>
  <c r="EI3" i="216"/>
  <c r="EI22" i="216" l="1"/>
  <c r="EJ3" i="216"/>
  <c r="EJ22" i="216" l="1"/>
  <c r="EK3" i="216"/>
  <c r="EL3" i="216" l="1"/>
  <c r="EK22" i="216"/>
  <c r="EL22" i="216" l="1"/>
  <c r="EM3" i="216"/>
  <c r="EM22" i="216" l="1"/>
  <c r="EN3" i="216"/>
  <c r="EN22" i="216" l="1"/>
  <c r="EO3" i="216"/>
  <c r="EO22" i="216" l="1"/>
  <c r="EP3" i="216"/>
  <c r="EP22" i="216" l="1"/>
  <c r="EQ3" i="216"/>
  <c r="EQ22" i="216" l="1"/>
  <c r="ER3" i="216"/>
  <c r="ER22" i="216" l="1"/>
  <c r="ES3" i="216"/>
  <c r="ET3" i="216" l="1"/>
  <c r="ES22" i="216"/>
  <c r="ET22" i="216" l="1"/>
  <c r="EU3" i="216"/>
  <c r="EU22" i="216" l="1"/>
  <c r="EV3" i="216"/>
  <c r="EV22" i="216" l="1"/>
  <c r="EW3" i="216"/>
  <c r="EW22" i="216" l="1"/>
  <c r="EX3" i="216"/>
  <c r="EX22" i="216" l="1"/>
  <c r="EY3" i="216"/>
  <c r="EY22" i="216" l="1"/>
  <c r="EZ3" i="216"/>
  <c r="EZ22" i="216" l="1"/>
  <c r="FA3" i="216"/>
  <c r="FB3" i="216" l="1"/>
  <c r="FA22" i="216"/>
  <c r="FB22" i="216" l="1"/>
  <c r="FC3" i="216"/>
  <c r="FC22" i="216" l="1"/>
  <c r="FD3" i="216"/>
  <c r="FD22" i="216" l="1"/>
  <c r="FE3" i="216"/>
  <c r="FF3" i="216" l="1"/>
  <c r="FE22" i="216"/>
  <c r="FF22" i="216" l="1"/>
  <c r="FG3" i="216"/>
  <c r="FG22" i="216" l="1"/>
  <c r="FH3" i="216"/>
  <c r="FH22" i="216" l="1"/>
  <c r="FI3" i="216"/>
  <c r="FJ3" i="216" l="1"/>
  <c r="FI22" i="216"/>
  <c r="FJ22" i="216" l="1"/>
  <c r="FK3" i="216"/>
  <c r="FK22" i="216" l="1"/>
  <c r="FL3" i="216"/>
  <c r="FL22" i="216" l="1"/>
  <c r="FM3" i="216"/>
  <c r="FN3" i="216" l="1"/>
  <c r="FM22" i="216"/>
  <c r="FN22" i="216" l="1"/>
  <c r="FO3" i="216"/>
  <c r="FO22" i="216" l="1"/>
  <c r="FP3" i="216"/>
  <c r="FP22" i="216" l="1"/>
  <c r="FQ3" i="216"/>
  <c r="FR3" i="216" l="1"/>
  <c r="FQ22" i="216"/>
  <c r="FR22" i="216" l="1"/>
  <c r="FS3" i="216"/>
  <c r="FS22" i="216" l="1"/>
  <c r="FT3" i="216"/>
  <c r="FT22" i="216" l="1"/>
  <c r="FU3" i="216"/>
  <c r="FV3" i="216" l="1"/>
  <c r="FU22" i="216"/>
  <c r="FV22" i="216" l="1"/>
  <c r="FW3" i="216"/>
  <c r="FW22" i="216" l="1"/>
  <c r="FX3" i="216"/>
  <c r="FX22" i="216" l="1"/>
  <c r="FY3" i="216"/>
  <c r="FZ3" i="216" l="1"/>
  <c r="FY22" i="216"/>
  <c r="FZ22" i="216" l="1"/>
  <c r="GA3" i="216"/>
  <c r="GA22" i="216" l="1"/>
  <c r="GB3" i="216"/>
  <c r="GB22" i="216" l="1"/>
  <c r="GC3" i="216"/>
  <c r="GD3" i="216" l="1"/>
  <c r="GC22" i="216"/>
  <c r="GD22" i="216" l="1"/>
  <c r="GE3" i="216"/>
  <c r="GE22" i="216" l="1"/>
  <c r="GF3" i="216"/>
  <c r="GF22" i="216" l="1"/>
  <c r="GG3" i="216"/>
  <c r="GH3" i="216" l="1"/>
  <c r="GG22" i="216"/>
  <c r="GH22" i="216" l="1"/>
  <c r="GI3" i="216"/>
  <c r="GI22" i="216" l="1"/>
  <c r="GJ3" i="216"/>
  <c r="GJ22" i="216" l="1"/>
  <c r="GK3" i="216"/>
  <c r="GL3" i="216" l="1"/>
  <c r="GK22" i="216"/>
  <c r="GL22" i="216" l="1"/>
  <c r="GM3" i="216"/>
  <c r="GM22" i="216" l="1"/>
  <c r="GN3" i="216"/>
  <c r="GN22" i="216" l="1"/>
  <c r="GO3" i="216"/>
  <c r="GP3" i="216" l="1"/>
  <c r="GO22" i="216"/>
  <c r="GP22" i="216" l="1"/>
  <c r="GQ3" i="216"/>
  <c r="GQ22" i="216" l="1"/>
  <c r="GR3" i="216"/>
  <c r="GR22" i="216" l="1"/>
  <c r="GS3" i="216"/>
  <c r="GT3" i="216" l="1"/>
  <c r="GS22" i="216"/>
  <c r="GT22" i="216" l="1"/>
  <c r="GU3" i="216"/>
  <c r="GU22" i="216" l="1"/>
  <c r="GV3" i="216"/>
  <c r="GV22" i="216" l="1"/>
  <c r="GW3" i="216"/>
  <c r="GX3" i="216" l="1"/>
  <c r="GW22" i="216"/>
  <c r="GX22" i="216" l="1"/>
  <c r="GY3" i="216"/>
  <c r="GY22" i="216" l="1"/>
  <c r="GZ3" i="216"/>
  <c r="GZ22" i="216" l="1"/>
  <c r="HA3" i="216"/>
  <c r="HB3" i="216" l="1"/>
  <c r="HA22" i="216"/>
  <c r="HB22" i="216" l="1"/>
  <c r="HC3" i="216"/>
  <c r="HC22" i="216" l="1"/>
  <c r="HD3" i="216"/>
  <c r="HD22" i="216" l="1"/>
  <c r="HE3" i="216"/>
  <c r="HF3" i="216" l="1"/>
  <c r="HE22" i="216"/>
  <c r="HF22" i="216" l="1"/>
  <c r="HG3" i="216"/>
  <c r="HG22" i="216" l="1"/>
  <c r="HH3" i="216"/>
  <c r="HH22" i="216" l="1"/>
  <c r="HI3" i="216"/>
  <c r="HJ3" i="216" l="1"/>
  <c r="HI22" i="216"/>
  <c r="HJ22" i="216" l="1"/>
  <c r="HK3" i="216"/>
  <c r="HK22" i="216" l="1"/>
  <c r="HL3" i="216"/>
  <c r="HL22" i="216" l="1"/>
  <c r="HM3" i="216"/>
  <c r="HN3" i="216" l="1"/>
  <c r="HM22" i="216"/>
  <c r="HN22" i="216" l="1"/>
  <c r="HO3" i="216"/>
  <c r="HO22" i="216" l="1"/>
  <c r="HP3" i="216"/>
  <c r="HP22" i="216" l="1"/>
  <c r="HQ3" i="216"/>
  <c r="HR3" i="216" l="1"/>
  <c r="HQ22" i="216"/>
  <c r="HR22" i="216" l="1"/>
  <c r="HS3" i="216"/>
  <c r="HS22" i="216" s="1"/>
  <c r="N49" i="186" l="1"/>
  <c r="L49" i="186"/>
  <c r="J49" i="186"/>
  <c r="H49" i="186"/>
  <c r="G49" i="186"/>
  <c r="N48" i="186"/>
  <c r="L48" i="186"/>
  <c r="J48" i="186"/>
  <c r="G48" i="186"/>
  <c r="H48" i="186" s="1"/>
  <c r="N47" i="186"/>
  <c r="L47" i="186"/>
  <c r="J47" i="186"/>
  <c r="G47" i="186"/>
  <c r="H47" i="186" s="1"/>
  <c r="N46" i="186"/>
  <c r="L46" i="186"/>
  <c r="J46" i="186"/>
  <c r="G46" i="186"/>
  <c r="H46" i="186" s="1"/>
  <c r="N45" i="186"/>
  <c r="L45" i="186"/>
  <c r="J45" i="186"/>
  <c r="G45" i="186"/>
  <c r="H45" i="186" s="1"/>
  <c r="N44" i="186"/>
  <c r="L44" i="186"/>
  <c r="J44" i="186"/>
  <c r="G44" i="186"/>
  <c r="H44" i="186" s="1"/>
  <c r="N43" i="186"/>
  <c r="L43" i="186"/>
  <c r="J43" i="186"/>
  <c r="G43" i="186"/>
  <c r="H43" i="186" s="1"/>
  <c r="N42" i="186"/>
  <c r="L42" i="186"/>
  <c r="J42" i="186"/>
  <c r="H42" i="186"/>
  <c r="F42" i="186"/>
  <c r="H41" i="186"/>
  <c r="H40" i="186"/>
  <c r="N39" i="186"/>
  <c r="L39" i="186"/>
  <c r="J39" i="186"/>
  <c r="H39" i="186"/>
  <c r="N38" i="186"/>
  <c r="L38" i="186"/>
  <c r="J38" i="186"/>
  <c r="H38" i="186"/>
  <c r="N37" i="186"/>
  <c r="L37" i="186"/>
  <c r="J37" i="186"/>
  <c r="H37" i="186"/>
  <c r="N36" i="186"/>
  <c r="L36" i="186"/>
  <c r="J36" i="186"/>
  <c r="H36" i="186"/>
  <c r="N35" i="186"/>
  <c r="L35" i="186"/>
  <c r="J35" i="186"/>
  <c r="H35" i="186"/>
  <c r="F35" i="186"/>
  <c r="N34" i="186"/>
  <c r="L34" i="186"/>
  <c r="J34" i="186"/>
  <c r="G34" i="186"/>
  <c r="H34" i="186" s="1"/>
  <c r="F34" i="186"/>
  <c r="J33" i="186"/>
  <c r="H33" i="186"/>
  <c r="N32" i="186"/>
  <c r="L32" i="186"/>
  <c r="J32" i="186"/>
  <c r="G32" i="186"/>
  <c r="H32" i="186" s="1"/>
  <c r="F32" i="186"/>
  <c r="H31" i="186"/>
  <c r="N30" i="186"/>
  <c r="L30" i="186"/>
  <c r="J30" i="186"/>
  <c r="G30" i="186"/>
  <c r="H30" i="186" s="1"/>
  <c r="F30" i="186"/>
  <c r="N29" i="186"/>
  <c r="L29" i="186"/>
  <c r="J29" i="186"/>
  <c r="H29" i="186"/>
  <c r="F29" i="186"/>
  <c r="N28" i="186"/>
  <c r="L28" i="186"/>
  <c r="J28" i="186"/>
  <c r="H28" i="186"/>
  <c r="F28" i="186"/>
  <c r="N27" i="186"/>
  <c r="L27" i="186"/>
  <c r="J27" i="186"/>
  <c r="H27" i="186"/>
  <c r="F27" i="186"/>
  <c r="N26" i="186"/>
  <c r="L26" i="186"/>
  <c r="J26" i="186"/>
  <c r="G26" i="186"/>
  <c r="H26" i="186" s="1"/>
  <c r="F26" i="186"/>
  <c r="N25" i="186"/>
  <c r="L25" i="186"/>
  <c r="J25" i="186"/>
  <c r="H25" i="186"/>
  <c r="F25" i="186"/>
  <c r="N24" i="186"/>
  <c r="L24" i="186"/>
  <c r="J24" i="186"/>
  <c r="H24" i="186"/>
  <c r="F24" i="186"/>
  <c r="N23" i="186"/>
  <c r="L23" i="186"/>
  <c r="J23" i="186"/>
  <c r="H23" i="186"/>
  <c r="F23" i="186"/>
  <c r="N22" i="186"/>
  <c r="L22" i="186"/>
  <c r="J22" i="186"/>
  <c r="H22" i="186"/>
  <c r="F22" i="186"/>
  <c r="N21" i="186"/>
  <c r="L21" i="186"/>
  <c r="J21" i="186"/>
  <c r="H21" i="186"/>
  <c r="F21" i="186"/>
  <c r="N20" i="186"/>
  <c r="L20" i="186"/>
  <c r="J20" i="186"/>
  <c r="H20" i="186"/>
  <c r="F20" i="186"/>
  <c r="N19" i="186"/>
  <c r="L19" i="186"/>
  <c r="J19" i="186"/>
  <c r="H19" i="186"/>
  <c r="F19" i="186"/>
  <c r="N18" i="186"/>
  <c r="L18" i="186"/>
  <c r="J18" i="186"/>
  <c r="H18" i="186"/>
  <c r="F18" i="186"/>
  <c r="N17" i="186"/>
  <c r="L17" i="186"/>
  <c r="J17" i="186"/>
  <c r="G17" i="186"/>
  <c r="H17" i="186" s="1"/>
  <c r="F17" i="186"/>
  <c r="N16" i="186"/>
  <c r="L16" i="186"/>
  <c r="J16" i="186"/>
  <c r="G16" i="186"/>
  <c r="H16" i="186" s="1"/>
  <c r="F16" i="186"/>
  <c r="N15" i="186"/>
  <c r="L15" i="186"/>
  <c r="J15" i="186"/>
  <c r="G15" i="186"/>
  <c r="H15" i="186" s="1"/>
  <c r="F15" i="186"/>
  <c r="N14" i="186"/>
  <c r="L14" i="186"/>
  <c r="J14" i="186"/>
  <c r="G14" i="186"/>
  <c r="H14" i="186" s="1"/>
  <c r="F14" i="186"/>
  <c r="N13" i="186"/>
  <c r="L13" i="186"/>
  <c r="F13" i="186"/>
  <c r="N12" i="186"/>
  <c r="L12" i="186"/>
  <c r="N11" i="186"/>
  <c r="L11" i="186"/>
  <c r="N10" i="186"/>
  <c r="L10" i="186"/>
  <c r="J10" i="186"/>
  <c r="H10" i="186"/>
  <c r="N9" i="186"/>
  <c r="L9" i="186"/>
  <c r="J9" i="186"/>
  <c r="H9" i="186"/>
  <c r="N8" i="186"/>
  <c r="L8" i="186"/>
  <c r="J8" i="186"/>
  <c r="H8" i="186"/>
  <c r="F8" i="186"/>
  <c r="N7" i="186"/>
  <c r="L7" i="186"/>
  <c r="J7" i="186"/>
  <c r="H7" i="186"/>
  <c r="F7" i="186"/>
  <c r="B115" i="185" l="1"/>
  <c r="B113" i="185"/>
  <c r="G10" i="174" l="1"/>
  <c r="G9" i="174"/>
  <c r="F9" i="174"/>
  <c r="C9" i="174"/>
  <c r="B9" i="174"/>
  <c r="G8" i="174"/>
  <c r="F8" i="174"/>
  <c r="C8" i="174"/>
  <c r="B8" i="174"/>
  <c r="G7" i="174"/>
  <c r="F7" i="174"/>
  <c r="C7" i="174"/>
  <c r="B7" i="174"/>
  <c r="W26" i="173" l="1"/>
  <c r="V26" i="173"/>
  <c r="U26" i="173"/>
  <c r="T26" i="173"/>
  <c r="S26" i="173"/>
  <c r="R26" i="173"/>
  <c r="W24" i="173"/>
  <c r="V24" i="173"/>
  <c r="U24" i="173"/>
  <c r="T24" i="173"/>
  <c r="S24" i="173"/>
  <c r="R24" i="173"/>
  <c r="Q24" i="173"/>
  <c r="P24" i="173"/>
  <c r="O24" i="173"/>
  <c r="N24" i="173"/>
  <c r="M24" i="173"/>
  <c r="I24" i="173"/>
  <c r="H24" i="173"/>
  <c r="G24" i="173"/>
  <c r="F24" i="173"/>
  <c r="E24" i="173"/>
  <c r="D24" i="173"/>
  <c r="C24" i="173"/>
  <c r="B24" i="173"/>
  <c r="W22" i="173"/>
  <c r="V22" i="173"/>
  <c r="U22" i="173"/>
  <c r="T22" i="173"/>
  <c r="S22" i="173"/>
  <c r="R22" i="173"/>
  <c r="Q22" i="173"/>
  <c r="P22" i="173"/>
  <c r="O22" i="173"/>
  <c r="N22" i="173"/>
  <c r="M22" i="173"/>
  <c r="I22" i="173"/>
  <c r="H22" i="173"/>
  <c r="G22" i="173"/>
  <c r="F22" i="173"/>
  <c r="E22" i="173"/>
  <c r="D22" i="173"/>
  <c r="C22" i="173"/>
  <c r="B22" i="173"/>
  <c r="W20" i="173"/>
  <c r="V20" i="173"/>
  <c r="U20" i="173"/>
  <c r="T20" i="173"/>
  <c r="S20" i="173"/>
  <c r="R20" i="173"/>
  <c r="Q20" i="173"/>
  <c r="P20" i="173"/>
  <c r="O20" i="173"/>
  <c r="N20" i="173"/>
  <c r="M20" i="173"/>
  <c r="I20" i="173"/>
  <c r="H20" i="173"/>
  <c r="G20" i="173"/>
  <c r="F20" i="173"/>
  <c r="E20" i="173"/>
  <c r="D20" i="173"/>
  <c r="C20" i="173"/>
  <c r="B20" i="173"/>
  <c r="W13" i="173"/>
  <c r="V13" i="173"/>
  <c r="U13" i="173"/>
  <c r="T13" i="173"/>
  <c r="S13" i="173"/>
  <c r="R13" i="173"/>
  <c r="Q13" i="173"/>
  <c r="P13" i="173"/>
  <c r="O13" i="173"/>
  <c r="N13" i="173"/>
  <c r="I13" i="173"/>
  <c r="H13" i="173"/>
  <c r="G13" i="173"/>
  <c r="F13" i="173"/>
  <c r="E13" i="173"/>
  <c r="D13" i="173"/>
  <c r="C13" i="173"/>
  <c r="B13" i="173"/>
  <c r="W11" i="173"/>
  <c r="V11" i="173"/>
  <c r="U11" i="173"/>
  <c r="T11" i="173"/>
  <c r="S11" i="173"/>
  <c r="R11" i="173"/>
  <c r="Q11" i="173"/>
  <c r="P11" i="173"/>
  <c r="O11" i="173"/>
  <c r="N11" i="173"/>
  <c r="M11" i="173"/>
  <c r="I11" i="173"/>
  <c r="H11" i="173"/>
  <c r="G11" i="173"/>
  <c r="F11" i="173"/>
  <c r="E11" i="173"/>
  <c r="D11" i="173"/>
  <c r="C11" i="173"/>
  <c r="B11" i="173"/>
  <c r="M20" i="172" l="1"/>
  <c r="L20" i="172"/>
  <c r="K20" i="172"/>
  <c r="J20" i="172"/>
  <c r="I20" i="172"/>
  <c r="H20" i="172"/>
  <c r="G20" i="172"/>
  <c r="F20" i="172"/>
  <c r="E20" i="172"/>
  <c r="D20" i="172"/>
  <c r="C20" i="172"/>
  <c r="B20" i="172"/>
  <c r="M9" i="172"/>
  <c r="L9" i="172"/>
  <c r="K9" i="172"/>
  <c r="J9" i="172"/>
  <c r="I9" i="172"/>
  <c r="H9" i="172"/>
  <c r="G9" i="172"/>
  <c r="F9" i="172"/>
  <c r="E9" i="172"/>
  <c r="D9" i="172"/>
  <c r="C9" i="172"/>
  <c r="B9" i="172"/>
  <c r="M4" i="172"/>
  <c r="M17" i="172" s="1"/>
  <c r="M19" i="172" s="1"/>
  <c r="L4" i="172"/>
  <c r="L17" i="172" s="1"/>
  <c r="L19" i="172" s="1"/>
  <c r="K4" i="172"/>
  <c r="K17" i="172" s="1"/>
  <c r="K19" i="172" s="1"/>
  <c r="J4" i="172"/>
  <c r="J17" i="172" s="1"/>
  <c r="J19" i="172" s="1"/>
  <c r="I4" i="172"/>
  <c r="I17" i="172" s="1"/>
  <c r="I19" i="172" s="1"/>
  <c r="H4" i="172"/>
  <c r="H17" i="172" s="1"/>
  <c r="H19" i="172" s="1"/>
  <c r="G4" i="172"/>
  <c r="G17" i="172" s="1"/>
  <c r="G19" i="172" s="1"/>
  <c r="F4" i="172"/>
  <c r="F17" i="172" s="1"/>
  <c r="F19" i="172" s="1"/>
  <c r="E4" i="172"/>
  <c r="E17" i="172" s="1"/>
  <c r="E19" i="172" s="1"/>
  <c r="D4" i="172"/>
  <c r="D17" i="172" s="1"/>
  <c r="D19" i="172" s="1"/>
  <c r="C4" i="172"/>
  <c r="C17" i="172" s="1"/>
  <c r="C19" i="172" s="1"/>
  <c r="B4" i="172"/>
  <c r="B17" i="172" s="1"/>
  <c r="B19" i="172" s="1"/>
  <c r="DK31" i="125" l="1"/>
  <c r="BG31" i="125"/>
  <c r="BF31" i="125"/>
  <c r="BD31" i="125"/>
  <c r="AV31" i="125"/>
  <c r="AT31" i="125"/>
  <c r="AS31" i="125"/>
  <c r="AR31" i="125"/>
  <c r="AQ31" i="125"/>
  <c r="AP31" i="125"/>
  <c r="AO31" i="125"/>
  <c r="AN31" i="125"/>
  <c r="AM31" i="125"/>
  <c r="AL31" i="125"/>
  <c r="AK31" i="125"/>
  <c r="AJ31" i="125"/>
  <c r="AI31" i="125"/>
  <c r="AH31" i="125"/>
  <c r="AG31" i="125"/>
  <c r="AF31" i="125"/>
  <c r="AE31" i="125"/>
  <c r="AD31" i="125"/>
  <c r="AC31" i="125"/>
  <c r="AB31" i="125"/>
  <c r="AA31" i="125"/>
  <c r="Z31" i="125"/>
  <c r="Y31" i="125"/>
  <c r="X31" i="125"/>
  <c r="W31" i="125"/>
  <c r="V31" i="125"/>
  <c r="U31" i="125"/>
  <c r="T31" i="125"/>
  <c r="S31" i="125"/>
  <c r="R31" i="125"/>
  <c r="Q31" i="125"/>
  <c r="P31" i="125"/>
  <c r="O31" i="125"/>
  <c r="N31" i="125"/>
  <c r="M31" i="125"/>
  <c r="L31" i="125"/>
  <c r="K31" i="125"/>
  <c r="J31" i="125"/>
  <c r="I31" i="125"/>
  <c r="H31" i="125"/>
  <c r="G31" i="125"/>
  <c r="F31" i="125"/>
  <c r="E31" i="125"/>
  <c r="D31" i="125"/>
  <c r="C31" i="125"/>
  <c r="DR28" i="119" l="1"/>
  <c r="DQ28" i="119"/>
  <c r="DP28" i="119"/>
  <c r="DO28" i="119"/>
  <c r="DN28" i="119"/>
  <c r="DM28" i="119"/>
  <c r="DL28" i="119"/>
  <c r="DK28" i="119"/>
  <c r="DJ28" i="119"/>
  <c r="DI28" i="119"/>
  <c r="DH28" i="119"/>
  <c r="DG28" i="119"/>
  <c r="DF28" i="119"/>
  <c r="DE28" i="119"/>
  <c r="DD28" i="119"/>
  <c r="DC28" i="119"/>
  <c r="DB28" i="119"/>
  <c r="DA28" i="119"/>
  <c r="CZ28" i="119"/>
  <c r="CY28" i="119"/>
  <c r="CX28" i="119"/>
  <c r="CW28" i="119"/>
  <c r="CV28" i="119"/>
  <c r="CU28" i="119"/>
  <c r="CT28" i="119"/>
  <c r="CS28" i="119"/>
  <c r="CR28" i="119"/>
  <c r="CQ28" i="119"/>
  <c r="CP28" i="119"/>
  <c r="CO28" i="119"/>
  <c r="CN28" i="119"/>
  <c r="CM28" i="119"/>
  <c r="CL28" i="119"/>
  <c r="CK28" i="119"/>
  <c r="CJ28" i="119"/>
  <c r="CI28" i="119"/>
  <c r="CH28" i="119"/>
  <c r="CG28" i="119"/>
  <c r="CF28" i="119"/>
  <c r="CE28" i="119"/>
  <c r="CD28" i="119"/>
  <c r="CC28" i="119"/>
  <c r="CB28" i="119"/>
  <c r="CA28" i="119"/>
  <c r="BZ28" i="119"/>
  <c r="BY28" i="119"/>
  <c r="BX28" i="119"/>
  <c r="BW28" i="119"/>
  <c r="BV28" i="119"/>
  <c r="BU28" i="119"/>
  <c r="BT28" i="119"/>
  <c r="BS28" i="119"/>
  <c r="BR28" i="119"/>
  <c r="BQ28" i="119"/>
  <c r="BP28" i="119"/>
  <c r="BO28" i="119"/>
  <c r="BN28" i="119"/>
  <c r="BM28" i="119"/>
  <c r="BL28" i="119"/>
  <c r="BK28" i="119"/>
  <c r="BJ28" i="119"/>
  <c r="BI28" i="119"/>
  <c r="BH28" i="119"/>
  <c r="BG28" i="119"/>
  <c r="BF28" i="119"/>
  <c r="BE28" i="119"/>
  <c r="BD28" i="119"/>
  <c r="BC28" i="119"/>
  <c r="BB28" i="119"/>
  <c r="BA28" i="119"/>
  <c r="AZ28" i="119"/>
  <c r="AY28" i="119"/>
  <c r="AX28" i="119"/>
  <c r="AW28" i="119"/>
  <c r="AV28" i="119"/>
  <c r="AU28" i="119"/>
  <c r="AT28" i="119"/>
  <c r="AS28" i="119"/>
  <c r="AR28" i="119"/>
  <c r="AQ28" i="119"/>
  <c r="AP28" i="119"/>
  <c r="AO28" i="119"/>
  <c r="AN28" i="119"/>
  <c r="AM28" i="119"/>
  <c r="AL28" i="119"/>
  <c r="AK28" i="119"/>
  <c r="AJ28" i="119"/>
  <c r="AI28" i="119"/>
  <c r="AH28" i="119"/>
  <c r="AG28" i="119"/>
  <c r="AF28" i="119"/>
  <c r="AE28" i="119"/>
  <c r="AD28" i="119"/>
  <c r="AC28" i="119"/>
  <c r="AB28" i="119"/>
  <c r="AA28" i="119"/>
  <c r="Z28" i="119"/>
  <c r="Y28" i="119"/>
  <c r="X28" i="119"/>
  <c r="W28" i="119"/>
  <c r="V28" i="119"/>
  <c r="U28" i="119"/>
  <c r="T28" i="119"/>
  <c r="S28" i="119"/>
  <c r="R28" i="119"/>
  <c r="Q28" i="119"/>
  <c r="P28" i="119"/>
  <c r="O28" i="119"/>
  <c r="N28" i="119"/>
  <c r="M28" i="119"/>
  <c r="L28" i="119"/>
  <c r="K28" i="119"/>
  <c r="J28" i="119"/>
  <c r="I28" i="119"/>
  <c r="H28" i="119"/>
  <c r="G28" i="119"/>
  <c r="F28" i="119"/>
  <c r="E28" i="119"/>
  <c r="D28" i="119"/>
  <c r="C28" i="119"/>
  <c r="B28" i="119"/>
  <c r="E17" i="113" l="1"/>
  <c r="D17" i="113"/>
  <c r="B17" i="113"/>
</calcChain>
</file>

<file path=xl/sharedStrings.xml><?xml version="1.0" encoding="utf-8"?>
<sst xmlns="http://schemas.openxmlformats.org/spreadsheetml/2006/main" count="14648" uniqueCount="5444">
  <si>
    <t>Table 1: Selected Economic Indicators of Mauritius: 2010 to 2020</t>
  </si>
  <si>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</si>
  <si>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</si>
  <si>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</si>
  <si>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</si>
  <si>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</si>
  <si>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</si>
  <si>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</si>
  <si>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</si>
  <si>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 xml:space="preserve">4. Real Growth Rate of Gross Value Added (at basic prices)* </t>
  </si>
  <si>
    <t>(Per cent)</t>
  </si>
  <si>
    <r>
      <t>5. Real Growth Rate of Gross Domestic Product (at market prices)*</t>
    </r>
    <r>
      <rPr>
        <b/>
        <vertAlign val="superscript"/>
        <sz val="11"/>
        <color rgb="FF002060"/>
        <rFont val="Segoe UI"/>
        <family val="2"/>
      </rPr>
      <t xml:space="preserve"> </t>
    </r>
  </si>
  <si>
    <t xml:space="preserve">6. Gross Domestic Product (at market prices)* </t>
  </si>
  <si>
    <t xml:space="preserve">7. Gross National Income (at market prices)* </t>
  </si>
  <si>
    <r>
      <t xml:space="preserve">311,637 </t>
    </r>
    <r>
      <rPr>
        <vertAlign val="superscript"/>
        <sz val="10.5"/>
        <color rgb="FF002060"/>
        <rFont val="Segoe UI"/>
        <family val="2"/>
      </rPr>
      <t>^</t>
    </r>
  </si>
  <si>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</si>
  <si>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</si>
  <si>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</si>
  <si>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</si>
  <si>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</si>
  <si>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</si>
  <si>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</si>
  <si>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</si>
  <si>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8. GNI Per Capita (at market prices)*</t>
    </r>
    <r>
      <rPr>
        <b/>
        <vertAlign val="superscript"/>
        <sz val="11"/>
        <color rgb="FF002060"/>
        <rFont val="Segoe UI"/>
        <family val="2"/>
      </rPr>
      <t xml:space="preserve"> </t>
    </r>
  </si>
  <si>
    <t xml:space="preserve">Calendar Year </t>
  </si>
  <si>
    <t>(Rupees)</t>
  </si>
  <si>
    <r>
      <t xml:space="preserve">249,030 </t>
    </r>
    <r>
      <rPr>
        <vertAlign val="superscript"/>
        <sz val="10.5"/>
        <color rgb="FF002060"/>
        <rFont val="Segoe UI"/>
        <family val="2"/>
      </rPr>
      <t>^</t>
    </r>
  </si>
  <si>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</si>
  <si>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</si>
  <si>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</si>
  <si>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</si>
  <si>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</si>
  <si>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</si>
  <si>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</si>
  <si>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</si>
  <si>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</si>
  <si>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</si>
  <si>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</si>
  <si>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</si>
  <si>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</si>
  <si>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r>
      <t xml:space="preserve">12. Current Account Balance </t>
    </r>
    <r>
      <rPr>
        <b/>
        <vertAlign val="superscript"/>
        <sz val="11"/>
        <color rgb="FF002060"/>
        <rFont val="Segoe UI"/>
        <family val="2"/>
      </rPr>
      <t>4</t>
    </r>
  </si>
  <si>
    <t>-17,758</t>
  </si>
  <si>
    <r>
      <t xml:space="preserve">13. Current Account Balance </t>
    </r>
    <r>
      <rPr>
        <b/>
        <vertAlign val="superscript"/>
        <sz val="11"/>
        <color rgb="FF002060"/>
        <rFont val="Segoe UI"/>
        <family val="2"/>
      </rPr>
      <t>4</t>
    </r>
  </si>
  <si>
    <t>-18,995</t>
  </si>
  <si>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</si>
  <si>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</si>
  <si>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</si>
  <si>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</si>
  <si>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</si>
  <si>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</si>
  <si>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</si>
  <si>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</si>
  <si>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+18,644</t>
  </si>
  <si>
    <t>+47,549</t>
  </si>
  <si>
    <t>+17,521</t>
  </si>
  <si>
    <t>-3,534</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</si>
  <si>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</si>
  <si>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</si>
  <si>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</si>
  <si>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</si>
  <si>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</si>
  <si>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</si>
  <si>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</si>
  <si>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16. Gross Official International Reserves</t>
  </si>
  <si>
    <t>End-December</t>
  </si>
  <si>
    <t>17. Total Imports (c.i.f.)*</t>
  </si>
  <si>
    <t>192,438</t>
  </si>
  <si>
    <r>
      <t>198,639</t>
    </r>
    <r>
      <rPr>
        <vertAlign val="superscript"/>
        <sz val="10.5"/>
        <color rgb="FF002060"/>
        <rFont val="Segoe UI"/>
        <family val="2"/>
      </rPr>
      <t xml:space="preserve"> 2</t>
    </r>
  </si>
  <si>
    <r>
      <t xml:space="preserve">166,268 </t>
    </r>
    <r>
      <rPr>
        <vertAlign val="superscript"/>
        <sz val="10.5"/>
        <color rgb="FF002060"/>
        <rFont val="Segoe UI"/>
        <family val="2"/>
      </rPr>
      <t>3</t>
    </r>
  </si>
  <si>
    <t xml:space="preserve">18. Total Exports (f.o.b.)* </t>
  </si>
  <si>
    <t xml:space="preserve">73,586 </t>
  </si>
  <si>
    <t>80,339</t>
  </si>
  <si>
    <r>
      <t xml:space="preserve">78,799 </t>
    </r>
    <r>
      <rPr>
        <vertAlign val="superscript"/>
        <sz val="10.5"/>
        <color rgb="FF002060"/>
        <rFont val="Segoe UI"/>
        <family val="2"/>
      </rPr>
      <t>2</t>
    </r>
  </si>
  <si>
    <r>
      <t xml:space="preserve">70,324 </t>
    </r>
    <r>
      <rPr>
        <vertAlign val="superscript"/>
        <sz val="10.5"/>
        <color rgb="FF002060"/>
        <rFont val="Segoe UI"/>
        <family val="2"/>
      </rPr>
      <t>3</t>
    </r>
  </si>
  <si>
    <t>19. Ratio of Budget Deficit to GDP at market prices**</t>
  </si>
  <si>
    <t>@</t>
  </si>
  <si>
    <r>
      <t xml:space="preserve">13.6 </t>
    </r>
    <r>
      <rPr>
        <vertAlign val="superscript"/>
        <sz val="10"/>
        <color rgb="FF002060"/>
        <rFont val="Segoe UI"/>
        <family val="2"/>
      </rPr>
      <t>2</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</si>
  <si>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</si>
  <si>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</si>
  <si>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</si>
  <si>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</si>
  <si>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</si>
  <si>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</si>
  <si>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</si>
  <si>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</si>
  <si>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</si>
  <si>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</si>
  <si>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</si>
  <si>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</si>
  <si>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</si>
  <si>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</si>
  <si>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</si>
  <si>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</si>
  <si>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</si>
  <si>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</si>
  <si>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</si>
  <si>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Exclusive of net primary income and net transfer of GBC1s from the rest of the world.</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</si>
  <si>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</si>
  <si>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</si>
  <si>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</si>
  <si>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</si>
  <si>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</si>
  <si>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Economic Planning and Development.</t>
  </si>
  <si>
    <t>US</t>
  </si>
  <si>
    <t>February</t>
  </si>
  <si>
    <t>April</t>
  </si>
  <si>
    <t>May</t>
  </si>
  <si>
    <t>August</t>
  </si>
  <si>
    <t>September</t>
  </si>
  <si>
    <t>October</t>
  </si>
  <si>
    <t>November</t>
  </si>
  <si>
    <t>December</t>
  </si>
  <si>
    <t>June</t>
  </si>
  <si>
    <t>July</t>
  </si>
  <si>
    <t>Total</t>
  </si>
  <si>
    <t>-</t>
  </si>
  <si>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</si>
  <si>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</si>
  <si>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</si>
  <si>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</si>
  <si>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</si>
  <si>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</si>
  <si>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</si>
  <si>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</si>
  <si>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</si>
  <si>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</si>
  <si>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</si>
  <si>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</si>
  <si>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 xml:space="preserve">  The base period is January – December 2017 = 100. </t>
  </si>
  <si>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</si>
  <si>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</si>
  <si>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</si>
  <si>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</si>
  <si>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</si>
  <si>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t>Source: Economic Analysis &amp; Research and Statistics Department.</t>
  </si>
  <si>
    <t>TOTAL ASSETS</t>
  </si>
  <si>
    <t>Currency in Circulation</t>
  </si>
  <si>
    <t>TOTAL LIABILITIES</t>
  </si>
  <si>
    <t>Code</t>
  </si>
  <si>
    <t>Assets</t>
  </si>
  <si>
    <t xml:space="preserve">Mar-20 </t>
  </si>
  <si>
    <t xml:space="preserve">May-20 </t>
  </si>
  <si>
    <t>Jul-20</t>
  </si>
  <si>
    <t>Aug-20</t>
  </si>
  <si>
    <t>Sep-20</t>
  </si>
  <si>
    <t>Oct-20</t>
  </si>
  <si>
    <t>Nov-20</t>
  </si>
  <si>
    <t>Dec-20</t>
  </si>
  <si>
    <t>Jan-21</t>
  </si>
  <si>
    <t>A1</t>
  </si>
  <si>
    <t>A2</t>
  </si>
  <si>
    <t>Currency and Deposits</t>
  </si>
  <si>
    <t>A3</t>
  </si>
  <si>
    <t>A4</t>
  </si>
  <si>
    <t>Loans</t>
  </si>
  <si>
    <t>A5</t>
  </si>
  <si>
    <t>A6</t>
  </si>
  <si>
    <t>A7</t>
  </si>
  <si>
    <t>A8</t>
  </si>
  <si>
    <t>Other Accounts Receivable</t>
  </si>
  <si>
    <t>Nonfinancial Assets</t>
  </si>
  <si>
    <t>Liabilities</t>
  </si>
  <si>
    <t>L1</t>
  </si>
  <si>
    <t>L2</t>
  </si>
  <si>
    <t>L3</t>
  </si>
  <si>
    <t>L4</t>
  </si>
  <si>
    <t>L5</t>
  </si>
  <si>
    <t>L6</t>
  </si>
  <si>
    <t>L7</t>
  </si>
  <si>
    <t>Other Accounts Payable</t>
  </si>
  <si>
    <t xml:space="preserve">Net Foreign Assets </t>
  </si>
  <si>
    <t>Other Items (net)</t>
  </si>
  <si>
    <t>Figures may not add up to totals due to rounding.</t>
  </si>
  <si>
    <t>Currency</t>
  </si>
  <si>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</si>
  <si>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</si>
  <si>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</si>
  <si>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</si>
  <si>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</si>
  <si>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</si>
  <si>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</si>
  <si>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</si>
  <si>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</si>
  <si>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</si>
  <si>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</si>
  <si>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</si>
  <si>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</si>
  <si>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</si>
  <si>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</si>
  <si>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</si>
  <si>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</si>
  <si>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</si>
  <si>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</si>
  <si>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</si>
  <si>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</si>
  <si>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</si>
  <si>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</si>
  <si>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Jun-20</t>
    </r>
    <r>
      <rPr>
        <sz val="11"/>
        <color theme="1"/>
        <rFont val="Calibri"/>
        <family val="2"/>
        <scheme val="minor"/>
      </rPr>
      <t/>
    </r>
  </si>
  <si>
    <t xml:space="preserve"> (Rs million)</t>
  </si>
  <si>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</si>
  <si>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</si>
  <si>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</si>
  <si>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</si>
  <si>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</si>
  <si>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</si>
  <si>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</si>
  <si>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</si>
  <si>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Other claims</t>
  </si>
  <si>
    <t>Net Claims on Central Government</t>
  </si>
  <si>
    <t xml:space="preserve">      Claims on central government</t>
  </si>
  <si>
    <t xml:space="preserve">      Liabilities to central government </t>
  </si>
  <si>
    <t>Liabilities to Central Bank</t>
  </si>
  <si>
    <t>Deposits Excluded from Broad Money:</t>
  </si>
  <si>
    <t xml:space="preserve">               Deposits of Global Business Licence Holders</t>
  </si>
  <si>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</si>
  <si>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</si>
  <si>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</si>
  <si>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</si>
  <si>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</si>
  <si>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</si>
  <si>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</si>
  <si>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</si>
  <si>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</si>
  <si>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</si>
  <si>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</si>
  <si>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</si>
  <si>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</si>
  <si>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Broad Money Liabilities</t>
  </si>
  <si>
    <t xml:space="preserve">    Currency Outside Depository Corporations</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</si>
  <si>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</si>
  <si>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</si>
  <si>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</si>
  <si>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</si>
  <si>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</si>
  <si>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</si>
  <si>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</si>
  <si>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</si>
  <si>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</si>
  <si>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</si>
  <si>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</si>
  <si>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</si>
  <si>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</si>
  <si>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</si>
  <si>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</si>
  <si>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</si>
  <si>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</si>
  <si>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</si>
  <si>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</si>
  <si>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</si>
  <si>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</si>
  <si>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</si>
  <si>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</si>
  <si>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</si>
  <si>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</si>
  <si>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</si>
  <si>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</si>
  <si>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</si>
  <si>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</si>
  <si>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</si>
  <si>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</si>
  <si>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</si>
  <si>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</si>
  <si>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</si>
  <si>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</si>
  <si>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</si>
  <si>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</si>
  <si>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</si>
  <si>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</si>
  <si>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</si>
  <si>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</si>
  <si>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</si>
  <si>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</si>
  <si>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</si>
  <si>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</si>
  <si>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</si>
  <si>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</si>
  <si>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</si>
  <si>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</si>
  <si>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</si>
  <si>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</si>
  <si>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</si>
  <si>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</si>
  <si>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</si>
  <si>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</si>
  <si>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</si>
  <si>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</si>
  <si>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</si>
  <si>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</si>
  <si>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</si>
  <si>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</si>
  <si>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</si>
  <si>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</si>
  <si>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</si>
  <si>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</si>
  <si>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</si>
  <si>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</si>
  <si>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</si>
  <si>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</si>
  <si>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</si>
  <si>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</si>
  <si>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</si>
  <si>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</si>
  <si>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</si>
  <si>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</si>
  <si>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</si>
  <si>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</si>
  <si>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</si>
  <si>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</si>
  <si>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</si>
  <si>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</si>
  <si>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</si>
  <si>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</si>
  <si>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</si>
  <si>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</si>
  <si>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</si>
  <si>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</si>
  <si>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</si>
  <si>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</si>
  <si>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</si>
  <si>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</si>
  <si>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</si>
  <si>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</si>
  <si>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</si>
  <si>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</si>
  <si>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</si>
  <si>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</si>
  <si>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</si>
  <si>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</si>
  <si>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</si>
  <si>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</si>
  <si>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</si>
  <si>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</si>
  <si>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</si>
  <si>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</si>
  <si>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</si>
  <si>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</si>
  <si>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</si>
  <si>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</si>
  <si>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</si>
  <si>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</si>
  <si>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</si>
  <si>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</si>
  <si>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</si>
  <si>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</si>
  <si>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</si>
  <si>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</si>
  <si>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</si>
  <si>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</si>
  <si>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</si>
  <si>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</si>
  <si>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</si>
  <si>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</si>
  <si>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</si>
  <si>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</si>
  <si>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</si>
  <si>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</si>
  <si>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</si>
  <si>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</si>
  <si>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</si>
  <si>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</si>
  <si>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</si>
  <si>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</si>
  <si>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</si>
  <si>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</si>
  <si>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</si>
  <si>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</si>
  <si>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</si>
  <si>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</si>
  <si>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</si>
  <si>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</si>
  <si>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</si>
  <si>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</si>
  <si>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</si>
  <si>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</si>
  <si>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</si>
  <si>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</si>
  <si>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</si>
  <si>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</si>
  <si>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</si>
  <si>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</si>
  <si>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</si>
  <si>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</si>
  <si>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</si>
  <si>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</si>
  <si>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</si>
  <si>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</si>
  <si>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</si>
  <si>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</si>
  <si>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</si>
  <si>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</si>
  <si>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</si>
  <si>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</si>
  <si>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</si>
  <si>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</si>
  <si>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</si>
  <si>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</si>
  <si>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</si>
  <si>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</si>
  <si>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</si>
  <si>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</si>
  <si>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</si>
  <si>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</si>
  <si>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</si>
  <si>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</si>
  <si>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</si>
  <si>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</si>
  <si>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</si>
  <si>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</si>
  <si>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</si>
  <si>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</si>
  <si>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</si>
  <si>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</si>
  <si>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</si>
  <si>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</si>
  <si>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</si>
  <si>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</si>
  <si>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(Per cent per annum)</t>
  </si>
  <si>
    <t>8.00-8.75</t>
  </si>
  <si>
    <t>8.50-9.25</t>
  </si>
  <si>
    <t>7.50-9.00</t>
  </si>
  <si>
    <t>7.00-9.00</t>
  </si>
  <si>
    <t>7.00-8.50</t>
  </si>
  <si>
    <t>6.25-8.50</t>
  </si>
  <si>
    <t>6.00-8.50</t>
  </si>
  <si>
    <t>5.50-12.00</t>
  </si>
  <si>
    <t>5.75-9.50</t>
  </si>
  <si>
    <t>7.25-8.50</t>
  </si>
  <si>
    <t>6.75-9.50</t>
  </si>
  <si>
    <t>6.25-8.75</t>
  </si>
  <si>
    <t>7.75-8.25</t>
  </si>
  <si>
    <t>7.00-7.75</t>
  </si>
  <si>
    <t>2.40-4.00</t>
  </si>
  <si>
    <t>2.00-4.00</t>
  </si>
  <si>
    <t>1.35-2.00</t>
  </si>
  <si>
    <t xml:space="preserve">     Call</t>
  </si>
  <si>
    <t>7.00-7.50</t>
  </si>
  <si>
    <t>7.00-8.00</t>
  </si>
  <si>
    <t>2.50-4.00</t>
  </si>
  <si>
    <t>2.00-4.50</t>
  </si>
  <si>
    <t xml:space="preserve">     7 Days' Notice</t>
  </si>
  <si>
    <t>6.75-12.00</t>
  </si>
  <si>
    <t>5.00-9.50</t>
  </si>
  <si>
    <t>5.25-9.50</t>
  </si>
  <si>
    <t>6.50-9.75</t>
  </si>
  <si>
    <t>6.00-9.25</t>
  </si>
  <si>
    <t>1.35-5.90</t>
  </si>
  <si>
    <t xml:space="preserve">     Exceeding 7 Days &amp; Up to 1 Month</t>
  </si>
  <si>
    <t>6.00-7.00</t>
  </si>
  <si>
    <t>6.25-9.50</t>
  </si>
  <si>
    <t>6.50-8.00</t>
  </si>
  <si>
    <t>6.75-8.00</t>
  </si>
  <si>
    <t xml:space="preserve">     Exceeding 1 Month &amp; Up to 3 Months</t>
  </si>
  <si>
    <t>6.45-9.50</t>
  </si>
  <si>
    <t>7.13-8.75</t>
  </si>
  <si>
    <t>6.00-9.50</t>
  </si>
  <si>
    <t>3.00-4.50</t>
  </si>
  <si>
    <t xml:space="preserve">     Exceeding 3 Months &amp; Up to 6 Months</t>
  </si>
  <si>
    <t>7.00-9.50</t>
  </si>
  <si>
    <t>1.85-6.00</t>
  </si>
  <si>
    <t>0.30-4.00</t>
  </si>
  <si>
    <t xml:space="preserve">     Exceeding 6 Months &amp; Up to 12 Months</t>
  </si>
  <si>
    <t>4.75-11.00</t>
  </si>
  <si>
    <t>0.25-3.00</t>
  </si>
  <si>
    <t xml:space="preserve">     Exceeding 12 Months &amp; Up to 18 Months</t>
  </si>
  <si>
    <t>4.75-10.00</t>
  </si>
  <si>
    <t>1.95-4.50</t>
  </si>
  <si>
    <t xml:space="preserve">     Exceeding 18 Months &amp; Up to 24 Months</t>
  </si>
  <si>
    <t>5.00-10.00</t>
  </si>
  <si>
    <t xml:space="preserve">     Exceeding 24 Months &amp; Up to 36 Months</t>
  </si>
  <si>
    <t xml:space="preserve">     Exceeding 36 Months &amp; Up to 48 Months</t>
  </si>
  <si>
    <t xml:space="preserve">     Exceeding 48 Months &amp; Up to 60 Months</t>
  </si>
  <si>
    <t xml:space="preserve">     Exceeding 60 Months</t>
  </si>
  <si>
    <t>7.25-10.50</t>
  </si>
  <si>
    <t>2.95-4.50</t>
  </si>
  <si>
    <t>1.60-3.25</t>
  </si>
  <si>
    <t>1.50-4.05</t>
  </si>
  <si>
    <t>0.25-2.50</t>
  </si>
  <si>
    <t>0.20-2.50</t>
  </si>
  <si>
    <t>2.60-3.50</t>
  </si>
  <si>
    <t>2.40-5.00</t>
  </si>
  <si>
    <t>2.90-4.35</t>
  </si>
  <si>
    <t>2.60-4.50</t>
  </si>
  <si>
    <t>2.75-4.25</t>
  </si>
  <si>
    <t>1.05-2.00</t>
  </si>
  <si>
    <t>2.50-10.00</t>
  </si>
  <si>
    <t>6.50-9.50</t>
  </si>
  <si>
    <t>2.50-10.50</t>
  </si>
  <si>
    <t>2.50-9.75</t>
  </si>
  <si>
    <t>2.50-12.00</t>
  </si>
  <si>
    <t>5.50-10.50</t>
  </si>
  <si>
    <t>5.50-9.50</t>
  </si>
  <si>
    <t>5.50-9.75</t>
  </si>
  <si>
    <t>5.75-10.50</t>
  </si>
  <si>
    <t>2. Households</t>
  </si>
  <si>
    <t>Of which: Housing</t>
  </si>
  <si>
    <t>3. Other Financial Corporations (excluding financial GBC1s)</t>
  </si>
  <si>
    <t>4. Financial GBC1s</t>
  </si>
  <si>
    <t>6.85-9.50</t>
  </si>
  <si>
    <t>8.25-9.50</t>
  </si>
  <si>
    <t>6. GBC2s</t>
  </si>
  <si>
    <t>5.50-8.50</t>
  </si>
  <si>
    <t>Feb-20</t>
  </si>
  <si>
    <t>Mar-20</t>
  </si>
  <si>
    <t>May-20</t>
  </si>
  <si>
    <r>
      <t>MUR</t>
    </r>
    <r>
      <rPr>
        <b/>
        <vertAlign val="superscript"/>
        <sz val="11"/>
        <color rgb="FF002060"/>
        <rFont val="Segoe UI"/>
        <family val="2"/>
      </rPr>
      <t xml:space="preserve">2 </t>
    </r>
  </si>
  <si>
    <t>A - Agriculture, forestry and fishing</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</si>
  <si>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</si>
  <si>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</si>
  <si>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</si>
  <si>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</si>
  <si>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</si>
  <si>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</si>
  <si>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</si>
  <si>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</si>
  <si>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</si>
  <si>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</si>
  <si>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</si>
  <si>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</si>
  <si>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</si>
  <si>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</si>
  <si>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</si>
  <si>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</si>
  <si>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</si>
  <si>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</si>
  <si>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</si>
  <si>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</si>
  <si>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</si>
  <si>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</si>
  <si>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</si>
  <si>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</si>
  <si>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</si>
  <si>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</si>
  <si>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</si>
  <si>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</si>
  <si>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</si>
  <si>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</si>
  <si>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1.00-1.50</t>
  </si>
  <si>
    <t>1.85-2.10</t>
  </si>
  <si>
    <t>2.00-2.70</t>
  </si>
  <si>
    <t>1.00-1.75</t>
  </si>
  <si>
    <t>1.00-3.00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</si>
  <si>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</si>
  <si>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</si>
  <si>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</si>
  <si>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</si>
  <si>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</si>
  <si>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</si>
  <si>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</si>
  <si>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</si>
  <si>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</si>
  <si>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</si>
  <si>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</si>
  <si>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</si>
  <si>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</si>
  <si>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</si>
  <si>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</si>
  <si>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</si>
  <si>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</si>
  <si>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</si>
  <si>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</si>
  <si>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</si>
  <si>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</si>
  <si>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 xml:space="preserve">   3.75-4.00</t>
  </si>
  <si>
    <t>3.75-4.00</t>
  </si>
  <si>
    <t>3.75-3.90</t>
  </si>
  <si>
    <t>3.25-3.40</t>
  </si>
  <si>
    <t>1.00-2.40</t>
  </si>
  <si>
    <t>1.75-1.85</t>
  </si>
  <si>
    <t>1.75-2.15</t>
  </si>
  <si>
    <t>1.85-2.35</t>
  </si>
  <si>
    <t>2.25-2.35</t>
  </si>
  <si>
    <t>1.75-2.35</t>
  </si>
  <si>
    <t>2.30-2.40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</si>
  <si>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</si>
  <si>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</si>
  <si>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</si>
  <si>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</si>
  <si>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</si>
  <si>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</si>
  <si>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</si>
  <si>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</si>
  <si>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</si>
  <si>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</si>
  <si>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</si>
  <si>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</si>
  <si>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</si>
  <si>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</si>
  <si>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</si>
  <si>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</si>
  <si>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</si>
  <si>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</si>
  <si>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</si>
  <si>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</si>
  <si>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</si>
  <si>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</si>
  <si>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</si>
  <si>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</si>
  <si>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</si>
  <si>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</si>
  <si>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</si>
  <si>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</si>
  <si>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</si>
  <si>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</si>
  <si>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</si>
  <si>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</si>
  <si>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</si>
  <si>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</si>
  <si>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</si>
  <si>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</si>
  <si>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</si>
  <si>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</si>
  <si>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</si>
  <si>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</si>
  <si>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</si>
  <si>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</si>
  <si>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</si>
  <si>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</si>
  <si>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</si>
  <si>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</si>
  <si>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</si>
  <si>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</si>
  <si>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</si>
  <si>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</si>
  <si>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</si>
  <si>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</si>
  <si>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</si>
  <si>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</si>
  <si>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</si>
  <si>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</si>
  <si>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</si>
  <si>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</si>
  <si>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</si>
  <si>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</si>
  <si>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</si>
  <si>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</si>
  <si>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3.10-5.00</t>
  </si>
  <si>
    <t>3.10-5.10</t>
  </si>
  <si>
    <t>3.10-5.40</t>
  </si>
  <si>
    <t>3.10-6.00</t>
  </si>
  <si>
    <t>3.10-5.60</t>
  </si>
  <si>
    <t>3.10-5.15</t>
  </si>
  <si>
    <t>3.10-5.25</t>
  </si>
  <si>
    <t>3.10-4.95</t>
  </si>
  <si>
    <t>2.90-5.10</t>
  </si>
  <si>
    <t>3.10-5.35</t>
  </si>
  <si>
    <t>2.10-3.50</t>
  </si>
  <si>
    <t>1.85-4.05</t>
  </si>
  <si>
    <t>2.10-3.00</t>
  </si>
  <si>
    <t>2.00-3.50</t>
  </si>
  <si>
    <t>2.10-4.75</t>
  </si>
  <si>
    <t>1.75-3.70</t>
  </si>
  <si>
    <t>4.05-5.45</t>
  </si>
  <si>
    <t>3.95-5.50</t>
  </si>
  <si>
    <t>3.90-5.50</t>
  </si>
  <si>
    <t>3.80-5.50</t>
  </si>
  <si>
    <t>4.00-5.60</t>
  </si>
  <si>
    <t>3.90-5.60</t>
  </si>
  <si>
    <t>3.65-5.55</t>
  </si>
  <si>
    <t>3.65-5.40</t>
  </si>
  <si>
    <t>3.90-5.55</t>
  </si>
  <si>
    <t>3.90-5.70</t>
  </si>
  <si>
    <t>3.75-5.35</t>
  </si>
  <si>
    <t>3.55-5.55</t>
  </si>
  <si>
    <t>2.40-5.10</t>
  </si>
  <si>
    <t>2.45-4.20</t>
  </si>
  <si>
    <t>2.40-3.90</t>
  </si>
  <si>
    <t>2.30-3.75</t>
  </si>
  <si>
    <t>2.40-3.75</t>
  </si>
  <si>
    <r>
      <rPr>
        <i/>
        <vertAlign val="superscript"/>
        <sz val="10"/>
        <color rgb="FF002060"/>
        <rFont val="Segoe UI"/>
        <family val="2"/>
      </rPr>
      <t>^</t>
    </r>
    <r>
      <rPr>
        <i/>
        <sz val="10"/>
        <color rgb="FF002060"/>
        <rFont val="Segoe UI"/>
        <family val="2"/>
      </rPr>
      <t xml:space="preserve">Provisional. </t>
    </r>
  </si>
  <si>
    <t>5.50-11.00</t>
  </si>
  <si>
    <t>4.50-10.00</t>
  </si>
  <si>
    <t>5.50-9.95</t>
  </si>
  <si>
    <t>5.50-10.00</t>
  </si>
  <si>
    <t>6.00-10.00</t>
  </si>
  <si>
    <t>6.00-9.95</t>
  </si>
  <si>
    <t>5.75-8.00</t>
  </si>
  <si>
    <t>2.50-9.95</t>
  </si>
  <si>
    <t>3.35-9.95</t>
  </si>
  <si>
    <t>3.90-9.95</t>
  </si>
  <si>
    <t>4.70-10.00</t>
  </si>
  <si>
    <t>6.35-9.75</t>
  </si>
  <si>
    <t>6.40-9.75</t>
  </si>
  <si>
    <t>6.25-9.00</t>
  </si>
  <si>
    <t>6.25-9.95</t>
  </si>
  <si>
    <t>6.25-9.20</t>
  </si>
  <si>
    <t>6.20-9.20</t>
  </si>
  <si>
    <t>6.40-9.20</t>
  </si>
  <si>
    <t>6.35-7.50</t>
  </si>
  <si>
    <t>6.35-8.50</t>
  </si>
  <si>
    <t>6.37-6.40</t>
  </si>
  <si>
    <t>6.25-10.00</t>
  </si>
  <si>
    <t>4.75-6.40</t>
  </si>
  <si>
    <t>2.50-8.06</t>
  </si>
  <si>
    <t>5.35-7.99</t>
  </si>
  <si>
    <t>4.90-7.50</t>
  </si>
  <si>
    <t>4.75-7.03</t>
  </si>
  <si>
    <t>4.75-5.50</t>
  </si>
  <si>
    <t>_</t>
  </si>
  <si>
    <t>6.75-6.90</t>
  </si>
  <si>
    <t>6.35-9.25</t>
  </si>
  <si>
    <t>6.35-9.50</t>
  </si>
  <si>
    <t>6.40-8.50</t>
  </si>
  <si>
    <t>5.50-9.70</t>
  </si>
  <si>
    <t>6.00-8.75</t>
  </si>
  <si>
    <t>6.00-9.75</t>
  </si>
  <si>
    <t>5.75-9.95</t>
  </si>
  <si>
    <t>5.75-6.10</t>
  </si>
  <si>
    <t>2.50-6.50</t>
  </si>
  <si>
    <t>4.85-9.25</t>
  </si>
  <si>
    <t>5.25-9.00</t>
  </si>
  <si>
    <t>5.60-8.75</t>
  </si>
  <si>
    <t>4.75-8.50</t>
  </si>
  <si>
    <t>3.90-8.50</t>
  </si>
  <si>
    <t>6.35-7.20</t>
  </si>
  <si>
    <t>6.25-9.25</t>
  </si>
  <si>
    <t>6.25-9.75</t>
  </si>
  <si>
    <t>6.50-9.20</t>
  </si>
  <si>
    <t>6.00-8.04</t>
  </si>
  <si>
    <t>5.75-10.00</t>
  </si>
  <si>
    <t>7.75-8.00</t>
  </si>
  <si>
    <t>2.50-9.25</t>
  </si>
  <si>
    <t>2.50-10.25</t>
  </si>
  <si>
    <t>3.35-9.25</t>
  </si>
  <si>
    <t>4.25-9.95</t>
  </si>
  <si>
    <t>2.50-8.50</t>
  </si>
  <si>
    <t>4.25-8.50</t>
  </si>
  <si>
    <t>4.75-8.95</t>
  </si>
  <si>
    <t>5.50-9.00</t>
  </si>
  <si>
    <t>5.50-9.25</t>
  </si>
  <si>
    <t>4.70-8.50</t>
  </si>
  <si>
    <t>5.70-8.95</t>
  </si>
  <si>
    <t>5.70-9.25</t>
  </si>
  <si>
    <t>4.70-9.50</t>
  </si>
  <si>
    <t>3.90-9.25</t>
  </si>
  <si>
    <t>4.70-8.95</t>
  </si>
  <si>
    <t>7.20-9.75</t>
  </si>
  <si>
    <t>7.00-9.75</t>
  </si>
  <si>
    <t>5.75-9.75</t>
  </si>
  <si>
    <t>6.35-9.95</t>
  </si>
  <si>
    <t>7.00-9.25</t>
  </si>
  <si>
    <t>6.80-9.75</t>
  </si>
  <si>
    <t>6.70-10.50</t>
  </si>
  <si>
    <t>6.40-9.95</t>
  </si>
  <si>
    <t>6.99-9.95</t>
  </si>
  <si>
    <t>7.50-9.50</t>
  </si>
  <si>
    <t>5.70-10.50</t>
  </si>
  <si>
    <t>8.95-9.95</t>
  </si>
  <si>
    <t>7.00-9.95</t>
  </si>
  <si>
    <t>6.30-8.95</t>
  </si>
  <si>
    <t>6.20-9.75</t>
  </si>
  <si>
    <t>6.20-9.95</t>
  </si>
  <si>
    <t>7.87-9.75</t>
  </si>
  <si>
    <t>6.85-8.00</t>
  </si>
  <si>
    <t>6.85-8.25</t>
  </si>
  <si>
    <t>7.71-9.95</t>
  </si>
  <si>
    <t>7.76-9.95</t>
  </si>
  <si>
    <t>6.50-9.95</t>
  </si>
  <si>
    <t>6.95-8.25</t>
  </si>
  <si>
    <t>6.90-9.75</t>
  </si>
  <si>
    <t>8.00-9.00</t>
  </si>
  <si>
    <t>7.50-7.75</t>
  </si>
  <si>
    <t>6.50-7.80</t>
  </si>
  <si>
    <t>5.50-9.20</t>
  </si>
  <si>
    <t>6.20-8.95</t>
  </si>
  <si>
    <t>6.00-7.50</t>
  </si>
  <si>
    <t>5.00-7.25</t>
  </si>
  <si>
    <t>7.25-9.00</t>
  </si>
  <si>
    <t>5.90-7.75</t>
  </si>
  <si>
    <t>4.75-7.01</t>
  </si>
  <si>
    <t>4.75-7.25</t>
  </si>
  <si>
    <t>6.20-7.50</t>
  </si>
  <si>
    <t>7.75-8.50</t>
  </si>
  <si>
    <t>7.95-9.25</t>
  </si>
  <si>
    <t>7.04-7.50</t>
  </si>
  <si>
    <t>6.35-8.00</t>
  </si>
  <si>
    <t>6.95-9.25</t>
  </si>
  <si>
    <t>4.75-7.50</t>
  </si>
  <si>
    <t>7.01-7.50</t>
  </si>
  <si>
    <t>6.00-7.81</t>
  </si>
  <si>
    <t>6.00-8.51</t>
  </si>
  <si>
    <t>6.40-10.00</t>
  </si>
  <si>
    <t>6.35-8.95</t>
  </si>
  <si>
    <t>6.35-10.00</t>
  </si>
  <si>
    <t>6.25-7.95</t>
  </si>
  <si>
    <t>6.42-8.52</t>
  </si>
  <si>
    <t>7.00-12.00</t>
  </si>
  <si>
    <t>5.50-8.00</t>
  </si>
  <si>
    <t>5.35-8.75</t>
  </si>
  <si>
    <t>6.08-9.50</t>
  </si>
  <si>
    <t>6.00-8.25</t>
  </si>
  <si>
    <t>7.50-8.00</t>
  </si>
  <si>
    <t>6.20-11.00</t>
  </si>
  <si>
    <t>6.35-9.00</t>
  </si>
  <si>
    <t>6.35-8.75</t>
  </si>
  <si>
    <t>6.20-9.50</t>
  </si>
  <si>
    <t>5.75-11.00</t>
  </si>
  <si>
    <t>6.60-9.85</t>
  </si>
  <si>
    <t>8.50-8.75</t>
  </si>
  <si>
    <t>6.00-9.00</t>
  </si>
  <si>
    <t>4.85-8.17</t>
  </si>
  <si>
    <t>2.50-9.00</t>
  </si>
  <si>
    <t>5.70-7.25</t>
  </si>
  <si>
    <t>8.75-9.00</t>
  </si>
  <si>
    <t>6.50-7.75</t>
  </si>
  <si>
    <t>7.26-8.50</t>
  </si>
  <si>
    <t>6.99-8.00</t>
  </si>
  <si>
    <t>7.95-8.50</t>
  </si>
  <si>
    <t>7.25-7.50</t>
  </si>
  <si>
    <t>5.75-8.50</t>
  </si>
  <si>
    <t>6.90-7.50</t>
  </si>
  <si>
    <t>6.00-7.75</t>
  </si>
  <si>
    <t>9.00-9.25</t>
  </si>
  <si>
    <t>6.20-8.00</t>
  </si>
  <si>
    <t>7.25-9.50</t>
  </si>
  <si>
    <t>6.90-8.00</t>
  </si>
  <si>
    <t>7.75-10.50</t>
  </si>
  <si>
    <t>5.50-8.75</t>
  </si>
  <si>
    <t>6.35-7.68</t>
  </si>
  <si>
    <t>6.31-7.00</t>
  </si>
  <si>
    <t>7.00-7.69</t>
  </si>
  <si>
    <t>5.60-7.24</t>
  </si>
  <si>
    <t>4.75-7.02</t>
  </si>
  <si>
    <t>6.90-8.50</t>
  </si>
  <si>
    <t>6.20-8.25</t>
  </si>
  <si>
    <t>8.00-8.23</t>
  </si>
  <si>
    <t>7.80-10.00</t>
  </si>
  <si>
    <t>7.82-9.25</t>
  </si>
  <si>
    <t>7.25-8.02</t>
  </si>
  <si>
    <t>7.50-7.99</t>
  </si>
  <si>
    <t>5.25-8.75</t>
  </si>
  <si>
    <t>4.60-15.96</t>
  </si>
  <si>
    <t>4.80-15.96</t>
  </si>
  <si>
    <t>4.75-15.96</t>
  </si>
  <si>
    <t>4.85-15.96</t>
  </si>
  <si>
    <t>4.70-15.96</t>
  </si>
  <si>
    <t>4.75-10.65</t>
  </si>
  <si>
    <t>4.80-10.70</t>
  </si>
  <si>
    <t>4.65-11.00</t>
  </si>
  <si>
    <t>4.45-11.00</t>
  </si>
  <si>
    <t>3.30-9.15</t>
  </si>
  <si>
    <t>3.30-10.00</t>
  </si>
  <si>
    <t>3.25-11.10</t>
  </si>
  <si>
    <t>3.30-11.00</t>
  </si>
  <si>
    <t>3.20-10.50</t>
  </si>
  <si>
    <t>3.30-10.50</t>
  </si>
  <si>
    <t>3.20-10.00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</si>
  <si>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</si>
  <si>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</si>
  <si>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</si>
  <si>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</si>
  <si>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</si>
  <si>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</si>
  <si>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</si>
  <si>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</si>
  <si>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</si>
  <si>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</si>
  <si>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</si>
  <si>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</si>
  <si>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</si>
  <si>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</si>
  <si>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</si>
  <si>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</si>
  <si>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</si>
  <si>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</si>
  <si>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7.50-9.20</t>
  </si>
  <si>
    <t>8.20-9.20</t>
  </si>
  <si>
    <t>5. Non-Financial GBC1s</t>
  </si>
  <si>
    <t>7. Public Non-Financial corporations</t>
  </si>
  <si>
    <t>-21,058</t>
  </si>
  <si>
    <t>0.45-4.00</t>
  </si>
  <si>
    <t>0.85-1.50</t>
  </si>
  <si>
    <t>0.45-0.60</t>
  </si>
  <si>
    <t>0.85-2.00</t>
  </si>
  <si>
    <t>1.35-2.55</t>
  </si>
  <si>
    <t>2.00-2.65</t>
  </si>
  <si>
    <t>4.90-9.95</t>
  </si>
  <si>
    <t>3.90-7.95</t>
  </si>
  <si>
    <t>7.25-8.25</t>
  </si>
  <si>
    <t>5.25-7.50</t>
  </si>
  <si>
    <t>6.25-7.00</t>
  </si>
  <si>
    <t>4.75-5.00</t>
  </si>
  <si>
    <t>4.25-9.00</t>
  </si>
  <si>
    <t>5.25-8.50</t>
  </si>
  <si>
    <t>3.10-9.95</t>
  </si>
  <si>
    <t>3.10-7.00</t>
  </si>
  <si>
    <t>5.50-7.00</t>
  </si>
  <si>
    <t>Jun-19</t>
  </si>
  <si>
    <t>Dec-19</t>
  </si>
  <si>
    <t>+2.7</t>
  </si>
  <si>
    <t>+2.5</t>
  </si>
  <si>
    <t>0.50-1.75</t>
  </si>
  <si>
    <t>0.30-2.50</t>
  </si>
  <si>
    <t>1.00-2.60</t>
  </si>
  <si>
    <t>1.60-3.10</t>
  </si>
  <si>
    <t>2.05-3.15</t>
  </si>
  <si>
    <t>1.75-4.00</t>
  </si>
  <si>
    <t>2.55-4.00</t>
  </si>
  <si>
    <t>4.25-10.00</t>
  </si>
  <si>
    <t>4.75-9.50</t>
  </si>
  <si>
    <t>6.95-9.75</t>
  </si>
  <si>
    <t>7.50-10.00</t>
  </si>
  <si>
    <t>6.50-7.25</t>
  </si>
  <si>
    <t>7.75-9.95</t>
  </si>
  <si>
    <t xml:space="preserve">Note: For data prior to October 2018, please refer to the Bank's Monthly Statistical Bulletin available at </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</si>
  <si>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</si>
  <si>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(ii) For data prior to October 2018, please refer to the Bank's Monthly Statistical Bulletin available at </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</si>
  <si>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</si>
  <si>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r>
      <t>-54,400</t>
    </r>
    <r>
      <rPr>
        <vertAlign val="superscript"/>
        <sz val="10.5"/>
        <color rgb="FF002060"/>
        <rFont val="Segoe UI"/>
        <family val="2"/>
      </rPr>
      <t xml:space="preserve"> 3</t>
    </r>
  </si>
  <si>
    <r>
      <t xml:space="preserve">68,736 </t>
    </r>
    <r>
      <rPr>
        <vertAlign val="superscript"/>
        <sz val="10.5"/>
        <color rgb="FF002060"/>
        <rFont val="Segoe UI"/>
        <family val="2"/>
      </rPr>
      <t>2</t>
    </r>
  </si>
  <si>
    <r>
      <t xml:space="preserve">16.0 </t>
    </r>
    <r>
      <rPr>
        <vertAlign val="superscript"/>
        <sz val="10.5"/>
        <color rgb="FF002060"/>
        <rFont val="Segoe UI"/>
        <family val="2"/>
      </rPr>
      <t>2</t>
    </r>
  </si>
  <si>
    <r>
      <t xml:space="preserve">258,807 </t>
    </r>
    <r>
      <rPr>
        <vertAlign val="superscript"/>
        <sz val="10.5"/>
        <color rgb="FF002060"/>
        <rFont val="Segoe UI"/>
        <family val="2"/>
      </rPr>
      <t>2</t>
    </r>
  </si>
  <si>
    <t xml:space="preserve"> https://www.bom.mu/publications-statistics/statistics/monthly-statistical-bulletin/monthly-statistical-bulletin-February-2021</t>
  </si>
  <si>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</si>
  <si>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https://www.bom.mu/publications-statistics/statistics/monthly-statistical-bulletin/monthly-statistical-bulletin-February-2021</t>
  </si>
  <si>
    <t>* NBDTIs refer to Non-Bank Deposit Taking Institutions.</t>
  </si>
  <si>
    <t>3.90-9.50</t>
  </si>
  <si>
    <t>4.75-5.35</t>
  </si>
  <si>
    <t>4.25-9.25</t>
  </si>
  <si>
    <t>7.45-8.50</t>
  </si>
  <si>
    <t>4.50-7.25</t>
  </si>
  <si>
    <t>3.90-8.95</t>
  </si>
  <si>
    <t>6.64-9.25</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</si>
  <si>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</si>
  <si>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</si>
  <si>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</si>
  <si>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t>Jun-18</t>
    </r>
    <r>
      <rPr>
        <b/>
        <vertAlign val="superscript"/>
        <sz val="11"/>
        <color rgb="FF002060"/>
        <rFont val="Segoe UI"/>
        <family val="2"/>
      </rPr>
      <t xml:space="preserve"> </t>
    </r>
  </si>
  <si>
    <t xml:space="preserve">Apr-20 </t>
  </si>
  <si>
    <t xml:space="preserve">Jun-20 </t>
  </si>
  <si>
    <t>Feb-21</t>
  </si>
  <si>
    <t>Mar-21</t>
  </si>
  <si>
    <t>Monetary Gold and SDRs</t>
  </si>
  <si>
    <t>A2.1</t>
  </si>
  <si>
    <t xml:space="preserve">     Currency</t>
  </si>
  <si>
    <t>A2.2</t>
  </si>
  <si>
    <t xml:space="preserve">     Transferable deposits</t>
  </si>
  <si>
    <t>A2.3</t>
  </si>
  <si>
    <t xml:space="preserve">     Savings deposits</t>
  </si>
  <si>
    <t>A2.4</t>
  </si>
  <si>
    <t xml:space="preserve">     Time deposits</t>
  </si>
  <si>
    <t>Securities other than Shares</t>
  </si>
  <si>
    <t>Shares and Other Equity</t>
  </si>
  <si>
    <t>Insurance Technical Reserves</t>
  </si>
  <si>
    <t>Financial Derivatives</t>
  </si>
  <si>
    <t>A9</t>
  </si>
  <si>
    <t>Deposits Included in Broad Money</t>
  </si>
  <si>
    <t>L2.1</t>
  </si>
  <si>
    <t xml:space="preserve">      Transferable deposits</t>
  </si>
  <si>
    <t>L2.2</t>
  </si>
  <si>
    <t xml:space="preserve">      Savings deposits</t>
  </si>
  <si>
    <t>L2.3</t>
  </si>
  <si>
    <t xml:space="preserve">      Time deposits</t>
  </si>
  <si>
    <t>Deposits Excluded from Broad Money</t>
  </si>
  <si>
    <t>L3.1</t>
  </si>
  <si>
    <t>L3.2</t>
  </si>
  <si>
    <t>L3.3</t>
  </si>
  <si>
    <t>Securities Other than Shares, Included in Broad Money</t>
  </si>
  <si>
    <r>
      <t xml:space="preserve">Securities Other than Shares, Excluded from Broad Money </t>
    </r>
    <r>
      <rPr>
        <b/>
        <vertAlign val="superscript"/>
        <sz val="11"/>
        <color rgb="FF002060"/>
        <rFont val="Segoe UI"/>
        <family val="2"/>
      </rPr>
      <t>2</t>
    </r>
  </si>
  <si>
    <t>L8</t>
  </si>
  <si>
    <t>L9</t>
  </si>
  <si>
    <t>L10</t>
  </si>
  <si>
    <t xml:space="preserve"> Figures may not add up to totals due to rounding.</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</si>
  <si>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</si>
  <si>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</si>
  <si>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</si>
  <si>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</si>
  <si>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</si>
  <si>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</si>
  <si>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</si>
  <si>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</si>
  <si>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</si>
  <si>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</si>
  <si>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</si>
  <si>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</si>
  <si>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</si>
  <si>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</si>
  <si>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</si>
  <si>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</si>
  <si>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</si>
  <si>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</si>
  <si>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</si>
  <si>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</si>
  <si>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</si>
  <si>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</si>
  <si>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</si>
  <si>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</si>
  <si>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</si>
  <si>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</si>
  <si>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</si>
  <si>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t>Source: Economic Analysis &amp; Research and Statistics Department and Statistics Mauritius.</t>
  </si>
  <si>
    <t>(iv) The year-on-year methodology is calculated as the change in the CPI for a given month compared with the same month of the preceding year in percentage terms.</t>
  </si>
  <si>
    <t>(iii) The annual average method compares the average level of prices during a twelve-month period with the average level during the corresponding previous twelve-month period.</t>
  </si>
  <si>
    <t>(ii) CORE2 excludes "Food, Beverages, Tobacco", mortgage interest, energy prices and administered prices from the CPI basket.</t>
  </si>
  <si>
    <t xml:space="preserve">(i) CORE1 excludes “Food, Beverages and Tobacco” components and mortgage interest on housing loan from the CPI basket. </t>
  </si>
  <si>
    <t>Notes:</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</si>
  <si>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</si>
  <si>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 xml:space="preserve"> CORE2</t>
  </si>
  <si>
    <t xml:space="preserve"> CORE1</t>
  </si>
  <si>
    <t xml:space="preserve"> CPI Inflation</t>
  </si>
  <si>
    <r>
      <t>CORE2</t>
    </r>
    <r>
      <rPr>
        <b/>
        <vertAlign val="superscript"/>
        <sz val="11"/>
        <color rgb="FF002060"/>
        <rFont val="Segoe UI"/>
        <family val="2"/>
      </rPr>
      <t xml:space="preserve"> </t>
    </r>
  </si>
  <si>
    <r>
      <t>CORE1</t>
    </r>
    <r>
      <rPr>
        <b/>
        <vertAlign val="superscript"/>
        <sz val="11"/>
        <color rgb="FF002060"/>
        <rFont val="Segoe UI"/>
        <family val="2"/>
      </rPr>
      <t xml:space="preserve"> </t>
    </r>
  </si>
  <si>
    <r>
      <t>Headline</t>
    </r>
    <r>
      <rPr>
        <b/>
        <vertAlign val="superscript"/>
        <sz val="11"/>
        <color rgb="FF002060"/>
        <rFont val="Segoe UI"/>
        <family val="2"/>
      </rPr>
      <t xml:space="preserve"> </t>
    </r>
  </si>
  <si>
    <t>Year-on-Year</t>
  </si>
  <si>
    <t>Annual Average</t>
  </si>
  <si>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</si>
  <si>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 xml:space="preserve">(v) Effective May 2021, CORE inflation data are computed by Statistics Mauritius. </t>
  </si>
  <si>
    <r>
      <t xml:space="preserve">5.6 </t>
    </r>
    <r>
      <rPr>
        <vertAlign val="superscript"/>
        <sz val="10"/>
        <color rgb="FF002060"/>
        <rFont val="Segoe UI"/>
        <family val="2"/>
      </rPr>
      <t>2</t>
    </r>
  </si>
  <si>
    <t>3.90-10.25</t>
  </si>
  <si>
    <t>5.23-7.50</t>
  </si>
  <si>
    <t>4.75-10.25</t>
  </si>
  <si>
    <t>5.70-10.00</t>
  </si>
  <si>
    <t>4.75-9.95</t>
  </si>
  <si>
    <t>3.90-10.00</t>
  </si>
  <si>
    <t>5.75-9.00</t>
  </si>
  <si>
    <t>5.48-7.25</t>
  </si>
  <si>
    <t>3.00-10.00</t>
  </si>
  <si>
    <t>3.00-9.15</t>
  </si>
  <si>
    <t>0.35-4.00</t>
  </si>
  <si>
    <t>0.50-2.00</t>
  </si>
  <si>
    <t>0.35-2.25</t>
  </si>
  <si>
    <t>2.15-3.00</t>
  </si>
  <si>
    <t>1.10-1.55</t>
  </si>
  <si>
    <t>1.40-4.00</t>
  </si>
  <si>
    <t>2.30-4.00</t>
  </si>
  <si>
    <r>
      <t>Table 17: Sectoral Balance Sheet of Banks</t>
    </r>
    <r>
      <rPr>
        <b/>
        <vertAlign val="superscript"/>
        <sz val="12"/>
        <color rgb="FF002060"/>
        <rFont val="Segoe UI"/>
        <family val="2"/>
      </rPr>
      <t>1</t>
    </r>
    <r>
      <rPr>
        <b/>
        <sz val="12"/>
        <color rgb="FF002060"/>
        <rFont val="Segoe UI"/>
        <family val="2"/>
      </rPr>
      <t>: June 2020 to June 2021</t>
    </r>
  </si>
  <si>
    <r>
      <t>Table 18: Sectoral Balance Sheet of Non-Bank Deposit Taking Institutions</t>
    </r>
    <r>
      <rPr>
        <b/>
        <vertAlign val="superscript"/>
        <sz val="12"/>
        <color rgb="FF002060"/>
        <rFont val="Segoe UI"/>
        <family val="2"/>
      </rPr>
      <t>1</t>
    </r>
    <r>
      <rPr>
        <b/>
        <sz val="12"/>
        <color rgb="FF002060"/>
        <rFont val="Segoe UI"/>
        <family val="2"/>
      </rPr>
      <t>: June 2020 to June 2021</t>
    </r>
  </si>
  <si>
    <r>
      <t>Table 19: Sectoral Balance Sheet of Other Depository Corporations</t>
    </r>
    <r>
      <rPr>
        <b/>
        <vertAlign val="superscript"/>
        <sz val="12"/>
        <color rgb="FF002060"/>
        <rFont val="Segoe UI"/>
        <family val="2"/>
      </rPr>
      <t>1</t>
    </r>
    <r>
      <rPr>
        <b/>
        <sz val="12"/>
        <color rgb="FF002060"/>
        <rFont val="Segoe UI"/>
        <family val="2"/>
      </rPr>
      <t>: June 2020 to June 2021</t>
    </r>
  </si>
  <si>
    <r>
      <t>Table 20: Other Depository Corporations Survey</t>
    </r>
    <r>
      <rPr>
        <b/>
        <vertAlign val="superscript"/>
        <sz val="12"/>
        <color rgb="FF002060"/>
        <rFont val="Segoe UI"/>
        <family val="2"/>
      </rPr>
      <t>1</t>
    </r>
    <r>
      <rPr>
        <b/>
        <sz val="12"/>
        <color rgb="FF002060"/>
        <rFont val="Segoe UI"/>
        <family val="2"/>
      </rPr>
      <t>: June 2020 to June 2021</t>
    </r>
  </si>
  <si>
    <r>
      <t xml:space="preserve">Table 21: Depository Corporations Survey </t>
    </r>
    <r>
      <rPr>
        <b/>
        <vertAlign val="superscript"/>
        <sz val="12"/>
        <color rgb="FF002060"/>
        <rFont val="Segoe UI"/>
        <family val="2"/>
      </rPr>
      <t>1</t>
    </r>
    <r>
      <rPr>
        <b/>
        <sz val="12"/>
        <color rgb="FF002060"/>
        <rFont val="Segoe UI"/>
        <family val="2"/>
      </rPr>
      <t>: June 2020 to June 2021</t>
    </r>
  </si>
  <si>
    <r>
      <t>Table 22a: Components and Sources of Monetary Base</t>
    </r>
    <r>
      <rPr>
        <b/>
        <vertAlign val="superscript"/>
        <sz val="12"/>
        <color rgb="FF002060"/>
        <rFont val="Segoe UI"/>
        <family val="2"/>
      </rPr>
      <t>1</t>
    </r>
    <r>
      <rPr>
        <b/>
        <sz val="12"/>
        <color rgb="FF002060"/>
        <rFont val="Segoe UI"/>
        <family val="2"/>
      </rPr>
      <t>: June 2020 to June 2021</t>
    </r>
  </si>
  <si>
    <r>
      <t>Table 22b: Components and Sources of Broad Money Liabilities</t>
    </r>
    <r>
      <rPr>
        <b/>
        <vertAlign val="superscript"/>
        <sz val="12"/>
        <color rgb="FF002060"/>
        <rFont val="Segoe UI"/>
        <family val="2"/>
      </rPr>
      <t>1</t>
    </r>
    <r>
      <rPr>
        <b/>
        <sz val="12"/>
        <color rgb="FF002060"/>
        <rFont val="Segoe UI"/>
        <family val="2"/>
      </rPr>
      <t>: June 2020 to June 2021</t>
    </r>
  </si>
  <si>
    <r>
      <t>Table 24: Bank Loans to Other Nonfinancial Corporations, Households and Other Sectors</t>
    </r>
    <r>
      <rPr>
        <b/>
        <vertAlign val="superscript"/>
        <sz val="12"/>
        <color rgb="FF002060"/>
        <rFont val="Segoe UI"/>
        <family val="2"/>
      </rPr>
      <t>1</t>
    </r>
    <r>
      <rPr>
        <b/>
        <sz val="12"/>
        <color rgb="FF002060"/>
        <rFont val="Segoe UI"/>
        <family val="2"/>
      </rPr>
      <t>: June 2020 to June 2021</t>
    </r>
  </si>
  <si>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end-June 2021</t>
    </r>
  </si>
  <si>
    <t>0.50-1.00</t>
  </si>
  <si>
    <t>0.35-2.40</t>
  </si>
  <si>
    <t>1.15-5.00</t>
  </si>
  <si>
    <t>1.50-3.50</t>
  </si>
  <si>
    <t>2.00-3.25</t>
  </si>
  <si>
    <r>
      <t>Table 28: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June 2020 to June 2021</t>
    </r>
  </si>
  <si>
    <t>Table 29: NBDTIs* Interest Rates on New Rupee Deposits: June 2020 to June 2021</t>
  </si>
  <si>
    <r>
      <t>Table 30: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June 2020 to June 2021</t>
    </r>
  </si>
  <si>
    <t>3.90-11.00</t>
  </si>
  <si>
    <t>3.90-9.99</t>
  </si>
  <si>
    <t>4.70-11.00</t>
  </si>
  <si>
    <t>4.50-9.50</t>
  </si>
  <si>
    <t>5.25-6.66</t>
  </si>
  <si>
    <t>5.45-10.00</t>
  </si>
  <si>
    <t>5.75-7.75</t>
  </si>
  <si>
    <t>6.60-9.00</t>
  </si>
  <si>
    <t>8.50</t>
  </si>
  <si>
    <t>5.00</t>
  </si>
  <si>
    <t>5.50</t>
  </si>
  <si>
    <t>5.25-9.95</t>
  </si>
  <si>
    <t>2.00-11.00</t>
  </si>
  <si>
    <t>2.00-9.50</t>
  </si>
  <si>
    <r>
      <t>Table 12: Headline and Core Inflation Rates: July 2019 to July 2021</t>
    </r>
    <r>
      <rPr>
        <b/>
        <vertAlign val="superscript"/>
        <sz val="12"/>
        <color rgb="FF002060"/>
        <rFont val="Segoe UI"/>
        <family val="2"/>
      </rPr>
      <t>1</t>
    </r>
  </si>
  <si>
    <r>
      <t>+2.6</t>
    </r>
    <r>
      <rPr>
        <vertAlign val="superscript"/>
        <sz val="10.5"/>
        <color rgb="FF002060"/>
        <rFont val="Segoe UI"/>
        <family val="2"/>
      </rPr>
      <t xml:space="preserve"> 3</t>
    </r>
  </si>
  <si>
    <r>
      <t>+6.5</t>
    </r>
    <r>
      <rPr>
        <vertAlign val="superscript"/>
        <sz val="10.5"/>
        <color rgb="FF002060"/>
        <rFont val="Segoe UI"/>
        <family val="2"/>
      </rPr>
      <t xml:space="preserve"> 2</t>
    </r>
  </si>
  <si>
    <r>
      <t>2</t>
    </r>
    <r>
      <rPr>
        <i/>
        <sz val="10"/>
        <color rgb="FF002060"/>
        <rFont val="Segoe UI"/>
        <family val="2"/>
      </rPr>
      <t xml:space="preserve"> Year-on-Year Inflation Rate for July 2021.</t>
    </r>
  </si>
  <si>
    <r>
      <rPr>
        <i/>
        <vertAlign val="superscript"/>
        <sz val="10"/>
        <color rgb="FF002060"/>
        <rFont val="Segoe UI"/>
        <family val="2"/>
      </rPr>
      <t xml:space="preserve">3 </t>
    </r>
    <r>
      <rPr>
        <i/>
        <sz val="10"/>
        <color rgb="FF002060"/>
        <rFont val="Segoe UI"/>
        <family val="2"/>
      </rPr>
      <t>Headline Inflation Rate for the twelve-month period ended July 2021.</t>
    </r>
  </si>
  <si>
    <t>End-June</t>
  </si>
  <si>
    <t>571,821 2</t>
  </si>
  <si>
    <r>
      <t>Table 15: Sectoral Balance Sheet of Bank of Mauritius</t>
    </r>
    <r>
      <rPr>
        <b/>
        <vertAlign val="superscript"/>
        <sz val="12"/>
        <color rgb="FF002060"/>
        <rFont val="Segoe UI"/>
        <family val="2"/>
      </rPr>
      <t>1</t>
    </r>
    <r>
      <rPr>
        <b/>
        <sz val="12"/>
        <color rgb="FF002060"/>
        <rFont val="Segoe UI"/>
        <family val="2"/>
      </rPr>
      <t>: July 2020 to July 2021</t>
    </r>
  </si>
  <si>
    <r>
      <t>Table 16: Central Bank Survey</t>
    </r>
    <r>
      <rPr>
        <b/>
        <vertAlign val="superscript"/>
        <sz val="12"/>
        <color rgb="FF002060"/>
        <rFont val="Segoe UI"/>
        <family val="2"/>
      </rPr>
      <t>1</t>
    </r>
    <r>
      <rPr>
        <b/>
        <sz val="12"/>
        <color rgb="FF002060"/>
        <rFont val="Segoe UI"/>
        <family val="2"/>
      </rPr>
      <t>: July 2020 to July 2021</t>
    </r>
  </si>
  <si>
    <t>Table 4: FAO Food Price Indices and Oil Prices: 2016 to 2020 (Annual) and January 2018 to July 2021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</si>
  <si>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</si>
  <si>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</si>
  <si>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</si>
  <si>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</si>
  <si>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</si>
  <si>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</si>
  <si>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</si>
  <si>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</si>
  <si>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</si>
  <si>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</si>
  <si>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</si>
  <si>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</si>
  <si>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</si>
  <si>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March</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</si>
  <si>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</si>
  <si>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</si>
  <si>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</si>
  <si>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</si>
  <si>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</si>
  <si>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</si>
  <si>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</si>
  <si>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</si>
  <si>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</si>
  <si>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</si>
  <si>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</si>
  <si>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</si>
  <si>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</si>
  <si>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</si>
  <si>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</si>
  <si>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</si>
  <si>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</si>
  <si>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</si>
  <si>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</si>
  <si>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</si>
  <si>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</si>
  <si>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</si>
  <si>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</si>
  <si>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</si>
  <si>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</si>
  <si>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</si>
  <si>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Source: FAO; Thomson Reuters.</t>
  </si>
  <si>
    <t>Table 5: GDP and Expenditure Components at Current Market Prices, 2017 to 2021 (Annual) and Real Growth Rates, 2017Q1 to 2021Q1 (Quarterly)</t>
  </si>
  <si>
    <t>Expenditure on Gross Domestic Product, Rs million</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</si>
  <si>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</si>
  <si>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</si>
  <si>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</si>
  <si>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</si>
  <si>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</si>
  <si>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</si>
  <si>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</si>
  <si>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</si>
  <si>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</si>
  <si>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</si>
  <si>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</si>
  <si>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</si>
  <si>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2019</t>
    </r>
    <r>
      <rPr>
        <b/>
        <vertAlign val="superscript"/>
        <sz val="11"/>
        <color rgb="FF002060"/>
        <rFont val="Segoe UI"/>
        <family val="2"/>
      </rPr>
      <t>1</t>
    </r>
  </si>
  <si>
    <r>
      <t>2020</t>
    </r>
    <r>
      <rPr>
        <b/>
        <vertAlign val="superscript"/>
        <sz val="11"/>
        <color rgb="FF002060"/>
        <rFont val="Segoe UI"/>
        <family val="2"/>
      </rPr>
      <t>1</t>
    </r>
  </si>
  <si>
    <r>
      <t>2021</t>
    </r>
    <r>
      <rPr>
        <b/>
        <vertAlign val="superscript"/>
        <sz val="11"/>
        <color rgb="FF002060"/>
        <rFont val="Segoe UI"/>
        <family val="2"/>
      </rPr>
      <t>2</t>
    </r>
  </si>
  <si>
    <t>2014Q1</t>
  </si>
  <si>
    <t xml:space="preserve">        Q2</t>
  </si>
  <si>
    <t xml:space="preserve">        Q3</t>
  </si>
  <si>
    <t xml:space="preserve">        Q4</t>
  </si>
  <si>
    <t>2015Q1</t>
  </si>
  <si>
    <t>Q2</t>
  </si>
  <si>
    <t>Q3</t>
  </si>
  <si>
    <t>Q4</t>
  </si>
  <si>
    <t>2016Q1</t>
  </si>
  <si>
    <t>2017Q1</t>
  </si>
  <si>
    <r>
      <t>Q3</t>
    </r>
    <r>
      <rPr>
        <b/>
        <vertAlign val="superscript"/>
        <sz val="11"/>
        <color rgb="FF002060"/>
        <rFont val="Segoe UI"/>
        <family val="2"/>
      </rPr>
      <t xml:space="preserve"> </t>
    </r>
  </si>
  <si>
    <r>
      <t>Q4</t>
    </r>
    <r>
      <rPr>
        <b/>
        <vertAlign val="superscript"/>
        <sz val="11"/>
        <color rgb="FF002060"/>
        <rFont val="Segoe UI"/>
        <family val="2"/>
      </rPr>
      <t xml:space="preserve"> </t>
    </r>
  </si>
  <si>
    <r>
      <t>2018Q1</t>
    </r>
    <r>
      <rPr>
        <b/>
        <vertAlign val="superscript"/>
        <sz val="11"/>
        <color rgb="FF002060"/>
        <rFont val="Segoe UI"/>
        <family val="2"/>
      </rPr>
      <t xml:space="preserve"> </t>
    </r>
  </si>
  <si>
    <r>
      <t>Q2</t>
    </r>
    <r>
      <rPr>
        <b/>
        <vertAlign val="superscript"/>
        <sz val="11"/>
        <color rgb="FF002060"/>
        <rFont val="Segoe UI"/>
        <family val="2"/>
      </rPr>
      <t xml:space="preserve"> </t>
    </r>
  </si>
  <si>
    <r>
      <t>2019Q1</t>
    </r>
    <r>
      <rPr>
        <b/>
        <vertAlign val="superscript"/>
        <sz val="11"/>
        <color rgb="FF002060"/>
        <rFont val="Segoe UI"/>
        <family val="2"/>
      </rPr>
      <t>1</t>
    </r>
  </si>
  <si>
    <r>
      <t>Q2</t>
    </r>
    <r>
      <rPr>
        <b/>
        <vertAlign val="superscript"/>
        <sz val="11"/>
        <color rgb="FF002060"/>
        <rFont val="Segoe UI"/>
        <family val="2"/>
      </rPr>
      <t>1</t>
    </r>
  </si>
  <si>
    <r>
      <t>Q3</t>
    </r>
    <r>
      <rPr>
        <b/>
        <vertAlign val="superscript"/>
        <sz val="11"/>
        <color rgb="FF002060"/>
        <rFont val="Segoe UI"/>
        <family val="2"/>
      </rPr>
      <t>1</t>
    </r>
  </si>
  <si>
    <r>
      <t>Q4</t>
    </r>
    <r>
      <rPr>
        <b/>
        <vertAlign val="superscript"/>
        <sz val="11"/>
        <color rgb="FF002060"/>
        <rFont val="Segoe UI"/>
        <family val="2"/>
      </rPr>
      <t>1</t>
    </r>
  </si>
  <si>
    <r>
      <t>2020Q1</t>
    </r>
    <r>
      <rPr>
        <b/>
        <vertAlign val="superscript"/>
        <sz val="11"/>
        <color rgb="FF002060"/>
        <rFont val="Segoe UI"/>
        <family val="2"/>
      </rPr>
      <t>1</t>
    </r>
  </si>
  <si>
    <r>
      <t>2021Q1</t>
    </r>
    <r>
      <rPr>
        <b/>
        <vertAlign val="superscript"/>
        <sz val="11"/>
        <color rgb="FF002060"/>
        <rFont val="Segoe UI"/>
        <family val="2"/>
      </rPr>
      <t>3</t>
    </r>
  </si>
  <si>
    <t>Annual Real Growth Rates, Per cent</t>
  </si>
  <si>
    <t>2019Q1</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</si>
  <si>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 </t>
    </r>
    <r>
      <rPr>
        <i/>
        <sz val="10"/>
        <color rgb="FF002060"/>
        <rFont val="Segoe UI"/>
        <family val="2"/>
      </rPr>
      <t xml:space="preserve">Forecast.              </t>
    </r>
    <r>
      <rPr>
        <i/>
        <vertAlign val="superscript"/>
        <sz val="10"/>
        <color rgb="FF002060"/>
        <rFont val="Segoe UI"/>
        <family val="2"/>
      </rPr>
      <t xml:space="preserve">3 </t>
    </r>
    <r>
      <rPr>
        <i/>
        <sz val="10"/>
        <color rgb="FF002060"/>
        <rFont val="Segoe UI"/>
        <family val="2"/>
      </rPr>
      <t xml:space="preserve">First estimates. </t>
    </r>
    <r>
      <rPr>
        <i/>
        <vertAlign val="superscript"/>
        <sz val="10"/>
        <color rgb="FF002060"/>
        <rFont val="Segoe UI"/>
        <family val="2"/>
      </rPr>
      <t xml:space="preserve">                               4 </t>
    </r>
    <r>
      <rPr>
        <i/>
        <sz val="10"/>
        <color rgb="FF002060"/>
        <rFont val="Segoe UI"/>
        <family val="2"/>
      </rPr>
      <t>Discrepancies between GDP estimated using the production and expenditure approach.</t>
    </r>
  </si>
  <si>
    <t>Source: Statistics Mauritius.</t>
  </si>
  <si>
    <t>Table 6: Gross Value Added by Industry Group at Current Basic Prices, 2017 to 2021 (Annual) and Sectoral Growth Rates, 2017Q1 to 2021Q1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</si>
  <si>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</si>
  <si>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</si>
  <si>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</si>
  <si>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</si>
  <si>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</si>
  <si>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</si>
  <si>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</si>
  <si>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</si>
  <si>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</si>
  <si>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</si>
  <si>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</si>
  <si>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</si>
  <si>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</si>
  <si>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r>
      <rPr>
        <b/>
        <sz val="11"/>
        <color theme="4" tint="0.59999389629810485"/>
        <rFont val="Segoe UI"/>
        <family val="2"/>
      </rPr>
      <t xml:space="preserve">  '</t>
    </r>
    <r>
      <rPr>
        <b/>
        <sz val="11"/>
        <color rgb="FF002060"/>
        <rFont val="Segoe UI"/>
        <family val="2"/>
      </rPr>
      <t>2018</t>
    </r>
  </si>
  <si>
    <r>
      <rPr>
        <b/>
        <sz val="11"/>
        <color theme="4" tint="0.59999389629810485"/>
        <rFont val="Segoe UI"/>
        <family val="2"/>
      </rPr>
      <t xml:space="preserve"> ' </t>
    </r>
    <r>
      <rPr>
        <b/>
        <sz val="11"/>
        <color rgb="FF002060"/>
        <rFont val="Segoe UI"/>
        <family val="2"/>
      </rPr>
      <t xml:space="preserve">     2019</t>
    </r>
    <r>
      <rPr>
        <b/>
        <vertAlign val="superscript"/>
        <sz val="11"/>
        <color rgb="FF002060"/>
        <rFont val="Segoe UI"/>
        <family val="2"/>
      </rPr>
      <t>1</t>
    </r>
  </si>
  <si>
    <t>Gross Value Added (Constant Prices) - Sectoral Growth Rates, Per cent</t>
  </si>
  <si>
    <r>
      <rPr>
        <i/>
        <vertAlign val="superscript"/>
        <sz val="11"/>
        <color rgb="FF002060"/>
        <rFont val="Segoe UI"/>
        <family val="2"/>
      </rPr>
      <t>1</t>
    </r>
    <r>
      <rPr>
        <i/>
        <sz val="11"/>
        <color rgb="FF002060"/>
        <rFont val="Segoe UI"/>
        <family val="2"/>
      </rPr>
      <t xml:space="preserve"> Revised.            </t>
    </r>
    <r>
      <rPr>
        <i/>
        <vertAlign val="superscript"/>
        <sz val="11"/>
        <color rgb="FF002060"/>
        <rFont val="Segoe UI"/>
        <family val="2"/>
      </rPr>
      <t>2</t>
    </r>
    <r>
      <rPr>
        <i/>
        <sz val="11"/>
        <color rgb="FF002060"/>
        <rFont val="Segoe UI"/>
        <family val="2"/>
      </rPr>
      <t xml:space="preserve"> Forecast.             </t>
    </r>
    <r>
      <rPr>
        <i/>
        <vertAlign val="superscript"/>
        <sz val="11"/>
        <color rgb="FF002060"/>
        <rFont val="Segoe UI"/>
        <family val="2"/>
      </rPr>
      <t>3</t>
    </r>
    <r>
      <rPr>
        <i/>
        <sz val="11"/>
        <color rgb="FF002060"/>
        <rFont val="Segoe UI"/>
        <family val="2"/>
      </rPr>
      <t xml:space="preserve"> First Estimates.</t>
    </r>
  </si>
  <si>
    <t>Table 7: Labour Force and Unemployment Rate: 2017 to 2020 (Annual), 2017Q1 to 2021Q1 (Quarterly) and May 2020 to December 2020*</t>
  </si>
  <si>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</si>
  <si>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</si>
  <si>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</si>
  <si>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</si>
  <si>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</si>
  <si>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</si>
  <si>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</si>
  <si>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</si>
  <si>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</si>
  <si>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</si>
  <si>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</si>
  <si>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</si>
  <si>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t>2018Q1</t>
  </si>
  <si>
    <t>2020Q1</t>
  </si>
  <si>
    <t>584,700^</t>
  </si>
  <si>
    <t>2021Q1</t>
  </si>
  <si>
    <t>* Data for 2020 are based on the Rapid Continuous Multi-Purpose Household Survey.               ^This figure has been revised to 599,400.</t>
  </si>
  <si>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</si>
  <si>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</si>
  <si>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t>n.a. : Not available.</t>
  </si>
  <si>
    <t>Table 9: Monthly Statement of Budgetary Central Government Operations: July 2020 to January 2021</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</si>
  <si>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</si>
  <si>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</si>
  <si>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</si>
  <si>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</si>
  <si>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</si>
  <si>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</si>
  <si>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</si>
  <si>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</si>
  <si>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</si>
  <si>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</si>
  <si>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</si>
  <si>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</si>
  <si>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</si>
  <si>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</si>
  <si>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</si>
  <si>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</si>
  <si>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</si>
  <si>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</si>
  <si>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</si>
  <si>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</si>
  <si>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March 2020 to June 2021</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</si>
  <si>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</si>
  <si>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</si>
  <si>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</si>
  <si>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</si>
  <si>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</si>
  <si>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</si>
  <si>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</si>
  <si>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</si>
  <si>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</si>
  <si>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</si>
  <si>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</si>
  <si>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</si>
  <si>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</si>
  <si>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</si>
  <si>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</si>
  <si>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</si>
  <si>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</si>
  <si>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</si>
  <si>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</si>
  <si>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</si>
  <si>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</si>
  <si>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</si>
  <si>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t>Table 13: Selected Price Indicators: 2017 to 2020 (Annual) and 2017Q1 to 2021Q2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</si>
  <si>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</si>
  <si>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</si>
  <si>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</si>
  <si>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</si>
  <si>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</si>
  <si>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</si>
  <si>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t>n.a</t>
  </si>
  <si>
    <r>
      <rPr>
        <i/>
        <vertAlign val="superscript"/>
        <sz val="10"/>
        <color rgb="FF002060"/>
        <rFont val="Segoe UI"/>
        <family val="2"/>
      </rPr>
      <t xml:space="preserve">1 </t>
    </r>
    <r>
      <rPr>
        <i/>
        <sz val="10"/>
        <color rgb="FF002060"/>
        <rFont val="Segoe UI"/>
        <family val="2"/>
      </rPr>
      <t xml:space="preserve">Base Year: 2016Q4 = 100.                    </t>
    </r>
    <r>
      <rPr>
        <i/>
        <vertAlign val="superscript"/>
        <sz val="10"/>
        <color rgb="FF002060"/>
        <rFont val="Segoe UI"/>
        <family val="2"/>
      </rPr>
      <t>2</t>
    </r>
    <r>
      <rPr>
        <i/>
        <sz val="10"/>
        <color rgb="FF002060"/>
        <rFont val="Segoe UI"/>
        <family val="2"/>
      </rPr>
      <t xml:space="preserve"> Base Year: 2013 = 100.                    </t>
    </r>
    <r>
      <rPr>
        <i/>
        <vertAlign val="superscript"/>
        <sz val="10"/>
        <color rgb="FF002060"/>
        <rFont val="Segoe UI"/>
        <family val="2"/>
      </rPr>
      <t xml:space="preserve">3 </t>
    </r>
    <r>
      <rPr>
        <i/>
        <sz val="10"/>
        <color rgb="FF002060"/>
        <rFont val="Segoe UI"/>
        <family val="2"/>
      </rPr>
      <t xml:space="preserve">Base Year: 2018Q1 = 100.             </t>
    </r>
  </si>
  <si>
    <t>n.a: not available</t>
  </si>
  <si>
    <r>
      <t>Table 2: Selected Trading Partners' Real GDP Growth and Inflation Rates: 2017 to 2021 (Annual)</t>
    </r>
    <r>
      <rPr>
        <b/>
        <vertAlign val="superscript"/>
        <sz val="12"/>
        <color rgb="FF002060"/>
        <rFont val="Segoe UI"/>
        <family val="2"/>
      </rPr>
      <t xml:space="preserve">1 </t>
    </r>
    <r>
      <rPr>
        <b/>
        <sz val="12"/>
        <color rgb="FF002060"/>
        <rFont val="Segoe UI"/>
        <family val="2"/>
      </rPr>
      <t>and 2017Q1 to 2021Q2 (Quarterly)</t>
    </r>
    <r>
      <rPr>
        <b/>
        <vertAlign val="superscript"/>
        <sz val="12"/>
        <color rgb="FF002060"/>
        <rFont val="Segoe UI"/>
        <family val="2"/>
      </rPr>
      <t>2</t>
    </r>
  </si>
  <si>
    <t>GDP (Percentage change over the same period of the previous year)</t>
  </si>
  <si>
    <t>Inflation (Percentage change over the same period of the previous year)</t>
  </si>
  <si>
    <t>Euro Area</t>
  </si>
  <si>
    <t>UK</t>
  </si>
  <si>
    <t>India</t>
  </si>
  <si>
    <t>China</t>
  </si>
  <si>
    <t>South Africa</t>
  </si>
  <si>
    <t>2019</t>
  </si>
  <si>
    <t>2020</t>
  </si>
  <si>
    <r>
      <t>2021</t>
    </r>
    <r>
      <rPr>
        <b/>
        <vertAlign val="superscript"/>
        <sz val="11"/>
        <color rgb="FF002060"/>
        <rFont val="Segoe UI"/>
        <family val="2"/>
      </rPr>
      <t>3</t>
    </r>
  </si>
  <si>
    <t>2013Q1</t>
  </si>
  <si>
    <t xml:space="preserve">   Q4 </t>
  </si>
  <si>
    <t>n.a.</t>
  </si>
  <si>
    <r>
      <rPr>
        <i/>
        <vertAlign val="superscript"/>
        <sz val="10"/>
        <color rgb="FF002060"/>
        <rFont val="Segoe UI"/>
        <family val="2"/>
      </rPr>
      <t>1</t>
    </r>
    <r>
      <rPr>
        <i/>
        <sz val="10"/>
        <color rgb="FF002060"/>
        <rFont val="Segoe UI"/>
        <family val="2"/>
      </rPr>
      <t xml:space="preserve"> Source: IMF's April 2021 WEO. </t>
    </r>
  </si>
  <si>
    <r>
      <rPr>
        <i/>
        <vertAlign val="superscript"/>
        <sz val="10"/>
        <color rgb="FF002060"/>
        <rFont val="Segoe UI"/>
        <family val="2"/>
      </rPr>
      <t>2</t>
    </r>
    <r>
      <rPr>
        <i/>
        <sz val="10"/>
        <color rgb="FF002060"/>
        <rFont val="Segoe UI"/>
        <family val="2"/>
      </rPr>
      <t xml:space="preserve">Source: OECD.                        </t>
    </r>
  </si>
  <si>
    <t>n.a.: not available.</t>
  </si>
  <si>
    <t>EU</t>
  </si>
  <si>
    <t>France</t>
  </si>
  <si>
    <t xml:space="preserve">South Africa </t>
  </si>
  <si>
    <t>S&amp;P500</t>
  </si>
  <si>
    <t>STOXX 50</t>
  </si>
  <si>
    <t xml:space="preserve">CAC-40 </t>
  </si>
  <si>
    <t>BSE SENSEX</t>
  </si>
  <si>
    <t>SSEC</t>
  </si>
  <si>
    <t>JSE</t>
  </si>
  <si>
    <t xml:space="preserve">    2015               January</t>
  </si>
  <si>
    <t xml:space="preserve"> 2016                    January</t>
  </si>
  <si>
    <t xml:space="preserve"> September</t>
  </si>
  <si>
    <t xml:space="preserve"> October</t>
  </si>
  <si>
    <t xml:space="preserve">                 February</t>
  </si>
  <si>
    <t xml:space="preserve">    February</t>
  </si>
  <si>
    <t xml:space="preserve">Source: Reuters. </t>
  </si>
  <si>
    <r>
      <t xml:space="preserve">Exports </t>
    </r>
    <r>
      <rPr>
        <b/>
        <vertAlign val="superscript"/>
        <sz val="11"/>
        <color rgb="FF002060"/>
        <rFont val="Segoe UI"/>
        <family val="2"/>
      </rPr>
      <t>1</t>
    </r>
    <r>
      <rPr>
        <b/>
        <sz val="11"/>
        <color rgb="FF002060"/>
        <rFont val="Segoe UI"/>
        <family val="2"/>
      </rPr>
      <t xml:space="preserve"> (f.o.b.)</t>
    </r>
  </si>
  <si>
    <t>Imports (c.i.f.)</t>
  </si>
  <si>
    <t xml:space="preserve">Miscellaneous Manufactured Goods </t>
  </si>
  <si>
    <t>Food and Live Animals</t>
  </si>
  <si>
    <t xml:space="preserve">Others </t>
  </si>
  <si>
    <t>Manufactured Goods</t>
  </si>
  <si>
    <t>Mineral Fuels</t>
  </si>
  <si>
    <t>Machinery and Transport Equipment</t>
  </si>
  <si>
    <r>
      <t xml:space="preserve">2019 </t>
    </r>
    <r>
      <rPr>
        <b/>
        <vertAlign val="superscript"/>
        <sz val="11"/>
        <color rgb="FF002060"/>
        <rFont val="Segoe UI"/>
        <family val="2"/>
      </rPr>
      <t>2</t>
    </r>
  </si>
  <si>
    <r>
      <t>2020</t>
    </r>
    <r>
      <rPr>
        <b/>
        <vertAlign val="superscript"/>
        <sz val="11"/>
        <color rgb="FF002060"/>
        <rFont val="Segoe UI"/>
        <family val="2"/>
      </rPr>
      <t>3</t>
    </r>
  </si>
  <si>
    <t>2014</t>
  </si>
  <si>
    <t>Jan</t>
  </si>
  <si>
    <t>Feb</t>
  </si>
  <si>
    <t>Mar</t>
  </si>
  <si>
    <t>Apr</t>
  </si>
  <si>
    <t>Jun</t>
  </si>
  <si>
    <t>Jul</t>
  </si>
  <si>
    <t>Aug</t>
  </si>
  <si>
    <t>Sep</t>
  </si>
  <si>
    <t>Oct</t>
  </si>
  <si>
    <t>Nov</t>
  </si>
  <si>
    <t>Dec</t>
  </si>
  <si>
    <t>2015</t>
  </si>
  <si>
    <t>2016</t>
  </si>
  <si>
    <t>2017</t>
  </si>
  <si>
    <t xml:space="preserve">Oct </t>
  </si>
  <si>
    <r>
      <t>May</t>
    </r>
    <r>
      <rPr>
        <b/>
        <vertAlign val="superscript"/>
        <sz val="11"/>
        <color rgb="FF002060"/>
        <rFont val="Segoe UI"/>
        <family val="2"/>
      </rPr>
      <t>2</t>
    </r>
  </si>
  <si>
    <r>
      <t>Apr</t>
    </r>
    <r>
      <rPr>
        <b/>
        <vertAlign val="superscript"/>
        <sz val="11"/>
        <color rgb="FF002060"/>
        <rFont val="Segoe UI"/>
        <family val="2"/>
      </rPr>
      <t>2</t>
    </r>
  </si>
  <si>
    <r>
      <t>May</t>
    </r>
    <r>
      <rPr>
        <b/>
        <vertAlign val="superscript"/>
        <sz val="11"/>
        <color rgb="FF002060"/>
        <rFont val="Segoe UI"/>
        <family val="2"/>
      </rPr>
      <t>3</t>
    </r>
  </si>
  <si>
    <r>
      <rPr>
        <i/>
        <vertAlign val="superscript"/>
        <sz val="10"/>
        <color rgb="FF002060"/>
        <rFont val="Segoe UI"/>
        <family val="2"/>
      </rPr>
      <t xml:space="preserve">1 </t>
    </r>
    <r>
      <rPr>
        <i/>
        <sz val="10"/>
        <color rgb="FF002060"/>
        <rFont val="Segoe UI"/>
        <family val="2"/>
      </rPr>
      <t xml:space="preserve">Consist of domestic exports and re-exports only.      </t>
    </r>
    <r>
      <rPr>
        <i/>
        <vertAlign val="superscript"/>
        <sz val="10"/>
        <color rgb="FF002060"/>
        <rFont val="Segoe UI"/>
        <family val="2"/>
      </rPr>
      <t xml:space="preserve">  2</t>
    </r>
    <r>
      <rPr>
        <i/>
        <sz val="10"/>
        <color rgb="FF002060"/>
        <rFont val="Segoe UI"/>
        <family val="2"/>
      </rPr>
      <t xml:space="preserve"> Revised.</t>
    </r>
  </si>
  <si>
    <r>
      <rPr>
        <i/>
        <vertAlign val="superscript"/>
        <sz val="10"/>
        <color rgb="FF002060"/>
        <rFont val="Segoe UI"/>
        <family val="2"/>
      </rPr>
      <t>3</t>
    </r>
    <r>
      <rPr>
        <i/>
        <sz val="10"/>
        <color rgb="FF002060"/>
        <rFont val="Segoe UI"/>
        <family val="2"/>
      </rPr>
      <t xml:space="preserve"> Provisional.</t>
    </r>
  </si>
  <si>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</si>
  <si>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</si>
  <si>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</si>
  <si>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</si>
  <si>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</si>
  <si>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</si>
  <si>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</si>
  <si>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</si>
  <si>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</si>
  <si>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</si>
  <si>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</si>
  <si>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</si>
  <si>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</si>
  <si>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</si>
  <si>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</si>
  <si>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</si>
  <si>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</si>
  <si>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</si>
  <si>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</si>
  <si>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</si>
  <si>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</si>
  <si>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</si>
  <si>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</si>
  <si>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</si>
  <si>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</si>
  <si>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</si>
  <si>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</si>
  <si>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</si>
  <si>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</si>
  <si>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</si>
  <si>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</si>
  <si>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</si>
  <si>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</si>
  <si>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</si>
  <si>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</si>
  <si>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</si>
  <si>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</si>
  <si>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</si>
  <si>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</si>
  <si>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</si>
  <si>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</si>
  <si>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</si>
  <si>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</si>
  <si>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</si>
  <si>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</si>
  <si>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</si>
  <si>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</si>
  <si>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</si>
  <si>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</si>
  <si>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</si>
  <si>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</si>
  <si>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</si>
  <si>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</si>
  <si>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</si>
  <si>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</si>
  <si>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</si>
  <si>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</si>
  <si>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</si>
  <si>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</si>
  <si>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</si>
  <si>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</si>
  <si>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</si>
  <si>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</si>
  <si>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</si>
  <si>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</si>
  <si>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</si>
  <si>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</si>
  <si>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</si>
  <si>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</si>
  <si>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</si>
  <si>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</si>
  <si>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</si>
  <si>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</si>
  <si>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</si>
  <si>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</si>
  <si>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</si>
  <si>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</si>
  <si>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</si>
  <si>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</si>
  <si>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</si>
  <si>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</si>
  <si>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</si>
  <si>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</si>
  <si>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</si>
  <si>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</si>
  <si>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</si>
  <si>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</si>
  <si>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</si>
  <si>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</si>
  <si>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</si>
  <si>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</si>
  <si>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</si>
  <si>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</si>
  <si>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6.75-7.75</t>
  </si>
  <si>
    <t>6.25-7.25</t>
  </si>
  <si>
    <t>6.00-6.75</t>
  </si>
  <si>
    <t>5.00-5.75</t>
  </si>
  <si>
    <t>4.00-5.75</t>
  </si>
  <si>
    <t>4.00-4.75</t>
  </si>
  <si>
    <t>3.40-4.75</t>
  </si>
  <si>
    <t>3.00-4.00</t>
  </si>
  <si>
    <t>3.50-4.25</t>
  </si>
  <si>
    <t>3.00-4.15</t>
  </si>
  <si>
    <t>3.00-3.65</t>
  </si>
  <si>
    <t>2.75-3.65</t>
  </si>
  <si>
    <t>2.75-3.40</t>
  </si>
  <si>
    <t>2.50-3.40</t>
  </si>
  <si>
    <t>2.40-3.40</t>
  </si>
  <si>
    <t>1.75-2.75</t>
  </si>
  <si>
    <t>1.75-2.60</t>
  </si>
  <si>
    <t>1.35-2.60</t>
  </si>
  <si>
    <t>1.20-2.50</t>
  </si>
  <si>
    <t>1.20-2.00</t>
  </si>
  <si>
    <t>1.35-2.10</t>
  </si>
  <si>
    <t>1.20-1.95</t>
  </si>
  <si>
    <t>0.85-1.85</t>
  </si>
  <si>
    <t>0.15-1.40</t>
  </si>
  <si>
    <t>0.15-0.60</t>
  </si>
  <si>
    <t>2. Time</t>
  </si>
  <si>
    <t>4.25-5.00</t>
  </si>
  <si>
    <t>4.25-5.50</t>
  </si>
  <si>
    <t>4.50-5.00</t>
  </si>
  <si>
    <t>5.50-7.10</t>
  </si>
  <si>
    <t>5.50-6.00</t>
  </si>
  <si>
    <t>3.00-6.00</t>
  </si>
  <si>
    <t>5.50-6.50</t>
  </si>
  <si>
    <t>6.00-6.50</t>
  </si>
  <si>
    <t>7.00-8.25</t>
  </si>
  <si>
    <t>6.50-8.25</t>
  </si>
  <si>
    <t>6.00-7.25</t>
  </si>
  <si>
    <t>5.25-6.75</t>
  </si>
  <si>
    <t>5.25-7.00</t>
  </si>
  <si>
    <t>5.00-7.00</t>
  </si>
  <si>
    <t>2.50-3.50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</si>
  <si>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</si>
  <si>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</si>
  <si>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</si>
  <si>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</si>
  <si>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</si>
  <si>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</si>
  <si>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</si>
  <si>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</si>
  <si>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</si>
  <si>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</si>
  <si>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</si>
  <si>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</si>
  <si>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</si>
  <si>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</si>
  <si>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</si>
  <si>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</si>
  <si>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</si>
  <si>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</si>
  <si>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</si>
  <si>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</si>
  <si>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</si>
  <si>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</si>
  <si>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</si>
  <si>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</si>
  <si>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</si>
  <si>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</si>
  <si>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</si>
  <si>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3.00-7.00</t>
  </si>
  <si>
    <t>4.00-7.75</t>
  </si>
  <si>
    <t>5.00-8.75</t>
  </si>
  <si>
    <t>5.25-9.25</t>
  </si>
  <si>
    <t>6.25-10.25</t>
  </si>
  <si>
    <t>6.50-10.25</t>
  </si>
  <si>
    <t>6.50-11.00</t>
  </si>
  <si>
    <t>6.50-10.50</t>
  </si>
  <si>
    <t>7.00-10.25</t>
  </si>
  <si>
    <t>7.00-11.00</t>
  </si>
  <si>
    <t>7.25-11.00</t>
  </si>
  <si>
    <t>7.25-10.75</t>
  </si>
  <si>
    <t>6.75-10.25</t>
  </si>
  <si>
    <t>6.75-9.75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</si>
  <si>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</si>
  <si>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</si>
  <si>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</si>
  <si>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</si>
  <si>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</si>
  <si>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</si>
  <si>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</si>
  <si>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</si>
  <si>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</si>
  <si>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</si>
  <si>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</si>
  <si>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</si>
  <si>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</si>
  <si>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</si>
  <si>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</si>
  <si>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</si>
  <si>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</si>
  <si>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</si>
  <si>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</si>
  <si>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</si>
  <si>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</si>
  <si>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</si>
  <si>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</si>
  <si>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</si>
  <si>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</si>
  <si>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</si>
  <si>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</si>
  <si>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</si>
  <si>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</si>
  <si>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</si>
  <si>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</si>
  <si>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</si>
  <si>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</si>
  <si>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</si>
  <si>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</si>
  <si>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</si>
  <si>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</si>
  <si>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</si>
  <si>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</si>
  <si>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</si>
  <si>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</si>
  <si>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0.10-0.50</t>
  </si>
  <si>
    <t>0.10-1.75</t>
  </si>
  <si>
    <t>0.00-2.00</t>
  </si>
  <si>
    <t>0.10-1.65</t>
  </si>
  <si>
    <t>0.00-1.75</t>
  </si>
  <si>
    <t>0.05-0.50</t>
  </si>
  <si>
    <t>0.05-0.10</t>
  </si>
  <si>
    <t>0.01-0.15</t>
  </si>
  <si>
    <t>0.00-0.05</t>
  </si>
  <si>
    <t>3.00-5.25</t>
  </si>
  <si>
    <t>4.25-5.75</t>
  </si>
  <si>
    <t>4.50-5.75</t>
  </si>
  <si>
    <t>4.50-6.75</t>
  </si>
  <si>
    <t>4.50-6.77</t>
  </si>
  <si>
    <t>5.00-6.30</t>
  </si>
  <si>
    <t>5.70-7.35</t>
  </si>
  <si>
    <t>5.70-6.50</t>
  </si>
  <si>
    <t>5.70-6.25</t>
  </si>
  <si>
    <t>6.20-9.00</t>
  </si>
  <si>
    <t>7.20-10.90</t>
  </si>
  <si>
    <t>7.20-11.00</t>
  </si>
  <si>
    <t>7.20-12.00</t>
  </si>
  <si>
    <t>7.20-12.95</t>
  </si>
  <si>
    <t>8.00-10.75</t>
  </si>
  <si>
    <t>8.00-11.35</t>
  </si>
  <si>
    <t>7.35-11.35</t>
  </si>
  <si>
    <t>8.00-11.00</t>
  </si>
  <si>
    <t>7.85-8.35</t>
  </si>
  <si>
    <t>7.00-8.35</t>
  </si>
  <si>
    <t>6.25-8.00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</si>
  <si>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</si>
  <si>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</si>
  <si>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</si>
  <si>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</si>
  <si>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</si>
  <si>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</si>
  <si>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</si>
  <si>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</si>
  <si>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</si>
  <si>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</si>
  <si>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</si>
  <si>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</si>
  <si>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</si>
  <si>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</si>
  <si>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</si>
  <si>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</si>
  <si>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</si>
  <si>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</si>
  <si>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</si>
  <si>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</si>
  <si>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</si>
  <si>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</si>
  <si>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</si>
  <si>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</si>
  <si>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</si>
  <si>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</si>
  <si>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</si>
  <si>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</si>
  <si>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</si>
  <si>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</si>
  <si>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</si>
  <si>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</si>
  <si>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</si>
  <si>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</si>
  <si>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</si>
  <si>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</si>
  <si>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</si>
  <si>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</si>
  <si>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</si>
  <si>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</si>
  <si>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</si>
  <si>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</si>
  <si>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</si>
  <si>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</si>
  <si>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</si>
  <si>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</si>
  <si>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</si>
  <si>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</si>
  <si>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</si>
  <si>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</si>
  <si>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</si>
  <si>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</si>
  <si>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</si>
  <si>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</si>
  <si>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</si>
  <si>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</si>
  <si>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</si>
  <si>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</si>
  <si>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</si>
  <si>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</si>
  <si>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</si>
  <si>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</si>
  <si>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</si>
  <si>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</si>
  <si>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</si>
  <si>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</si>
  <si>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</si>
  <si>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</si>
  <si>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</si>
  <si>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</si>
  <si>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</si>
  <si>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</si>
  <si>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</si>
  <si>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</si>
  <si>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</si>
  <si>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</si>
  <si>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</si>
  <si>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</si>
  <si>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</si>
  <si>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</si>
  <si>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</si>
  <si>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</si>
  <si>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</si>
  <si>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</si>
  <si>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</si>
  <si>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</si>
  <si>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</si>
  <si>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</si>
  <si>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</si>
  <si>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</si>
  <si>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</si>
  <si>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</si>
  <si>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</si>
  <si>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</si>
  <si>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</si>
  <si>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</si>
  <si>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</si>
  <si>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</si>
  <si>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</si>
  <si>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</si>
  <si>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</si>
  <si>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4.20-6.13</t>
  </si>
  <si>
    <t>4.50-6.63</t>
  </si>
  <si>
    <t>4.70-6.63</t>
  </si>
  <si>
    <t>4.85-6.75</t>
  </si>
  <si>
    <t>5.00-7.63</t>
  </si>
  <si>
    <t>5.50-7.63</t>
  </si>
  <si>
    <t>6.00-8.13</t>
  </si>
  <si>
    <t>6.20-8.13</t>
  </si>
  <si>
    <t>6.25-10.80</t>
  </si>
  <si>
    <t>7.20-10.15</t>
  </si>
  <si>
    <t>7.20-11.55</t>
  </si>
  <si>
    <t>7.25-12.95</t>
  </si>
  <si>
    <t>7.25-12.60</t>
  </si>
  <si>
    <t>7.20-12.60</t>
  </si>
  <si>
    <t>7.20-11.50</t>
  </si>
  <si>
    <t>7.50-10.75</t>
  </si>
  <si>
    <t>8.00-11.16</t>
  </si>
  <si>
    <t>8.00-10.40</t>
  </si>
  <si>
    <t>8.00-10.65</t>
  </si>
  <si>
    <t>7.75-10.00</t>
  </si>
  <si>
    <t>7.25-10.00</t>
  </si>
  <si>
    <t>7.00-10.00</t>
  </si>
  <si>
    <t>6.50-10.00</t>
  </si>
  <si>
    <t>7.00-8.60</t>
  </si>
  <si>
    <t>7.13-8.60</t>
  </si>
  <si>
    <t>5.00-10.55</t>
  </si>
  <si>
    <t>5.00-9.25</t>
  </si>
  <si>
    <t>4.63-7.00</t>
  </si>
  <si>
    <t>4.00-9.05</t>
  </si>
  <si>
    <t>3.00-8.35</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</si>
  <si>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</si>
  <si>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</si>
  <si>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</si>
  <si>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</si>
  <si>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</si>
  <si>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</si>
  <si>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</si>
  <si>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</si>
  <si>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</si>
  <si>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</si>
  <si>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</si>
  <si>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</si>
  <si>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</si>
  <si>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</si>
  <si>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</si>
  <si>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</si>
  <si>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</si>
  <si>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</si>
  <si>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</si>
  <si>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</si>
  <si>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</si>
  <si>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</si>
  <si>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</si>
  <si>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</si>
  <si>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</si>
  <si>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</si>
  <si>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</si>
  <si>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</si>
  <si>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</si>
  <si>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</si>
  <si>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</si>
  <si>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</si>
  <si>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</si>
  <si>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</si>
  <si>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</si>
  <si>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</si>
  <si>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</si>
  <si>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</si>
  <si>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</si>
  <si>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</si>
  <si>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</si>
  <si>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</si>
  <si>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</si>
  <si>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</si>
  <si>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</si>
  <si>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</si>
  <si>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</si>
  <si>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</si>
  <si>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</si>
  <si>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</si>
  <si>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</si>
  <si>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</si>
  <si>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</si>
  <si>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</si>
  <si>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</si>
  <si>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</si>
  <si>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</si>
  <si>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</si>
  <si>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</si>
  <si>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</si>
  <si>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</si>
  <si>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</si>
  <si>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</si>
  <si>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</si>
  <si>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</si>
  <si>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</si>
  <si>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</si>
  <si>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</si>
  <si>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</si>
  <si>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</si>
  <si>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</si>
  <si>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</si>
  <si>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</si>
  <si>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</si>
  <si>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</si>
  <si>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</si>
  <si>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</si>
  <si>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4.00-6.25</t>
  </si>
  <si>
    <t>4.25-6.75</t>
  </si>
  <si>
    <t>4.50-7.75</t>
  </si>
  <si>
    <t>4.50-9.00</t>
  </si>
  <si>
    <t>4.50-8.75</t>
  </si>
  <si>
    <t>4.50-8.00</t>
  </si>
  <si>
    <t>4.50-8.25</t>
  </si>
  <si>
    <t>6.50-9.30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</si>
  <si>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</si>
  <si>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</si>
  <si>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</si>
  <si>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</si>
  <si>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</si>
  <si>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</si>
  <si>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</si>
  <si>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</si>
  <si>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</si>
  <si>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</si>
  <si>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</si>
  <si>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</si>
  <si>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</si>
  <si>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</si>
  <si>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</si>
  <si>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</si>
  <si>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</si>
  <si>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</si>
  <si>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</si>
  <si>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</si>
  <si>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</si>
  <si>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</si>
  <si>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</si>
  <si>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</si>
  <si>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</si>
  <si>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</si>
  <si>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</si>
  <si>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</si>
  <si>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</si>
  <si>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</si>
  <si>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</si>
  <si>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</si>
  <si>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</si>
  <si>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</si>
  <si>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</si>
  <si>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</si>
  <si>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</si>
  <si>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</si>
  <si>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</si>
  <si>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</si>
  <si>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</si>
  <si>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</si>
  <si>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</si>
  <si>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</si>
  <si>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</si>
  <si>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</si>
  <si>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</si>
  <si>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</si>
  <si>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</si>
  <si>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</si>
  <si>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</si>
  <si>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</si>
  <si>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</si>
  <si>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</si>
  <si>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</si>
  <si>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</si>
  <si>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</si>
  <si>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</si>
  <si>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</si>
  <si>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</si>
  <si>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</si>
  <si>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</si>
  <si>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</si>
  <si>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</si>
  <si>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</si>
  <si>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0.30-4.20</t>
  </si>
  <si>
    <t>0.30-6.20</t>
  </si>
  <si>
    <t>0.50-4.20</t>
  </si>
  <si>
    <t>1.40-2.80</t>
  </si>
  <si>
    <t>0.90-3.50</t>
  </si>
  <si>
    <t>0.40-2.90</t>
  </si>
  <si>
    <t>0.04-3.65</t>
  </si>
  <si>
    <t>1.55-3.25</t>
  </si>
  <si>
    <t>0.30-3.30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</si>
  <si>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</si>
  <si>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</si>
  <si>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</si>
  <si>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</si>
  <si>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</si>
  <si>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</si>
  <si>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</si>
  <si>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</si>
  <si>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</si>
  <si>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</si>
  <si>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</si>
  <si>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</si>
  <si>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</si>
  <si>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</si>
  <si>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</si>
  <si>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</si>
  <si>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</si>
  <si>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</si>
  <si>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</si>
  <si>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</si>
  <si>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</si>
  <si>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0.10-0.70</t>
  </si>
  <si>
    <t>0.20-0.70</t>
  </si>
  <si>
    <t>0.15-0.50</t>
  </si>
  <si>
    <t>0.20-0.55</t>
  </si>
  <si>
    <t>0.20-0.65</t>
  </si>
  <si>
    <t>0.10-0.75</t>
  </si>
  <si>
    <t>0.10-0.65</t>
  </si>
  <si>
    <t>3.00-9.38</t>
  </si>
  <si>
    <t>4.25-9.38</t>
  </si>
  <si>
    <t>4.63-9.38</t>
  </si>
  <si>
    <t>4.63-8.50</t>
  </si>
  <si>
    <t>4.63-8.88</t>
  </si>
  <si>
    <t>4.63-10.15</t>
  </si>
  <si>
    <t>4.63-9.10</t>
  </si>
  <si>
    <t>4.63-10.38</t>
  </si>
  <si>
    <t>4.63-11.50</t>
  </si>
  <si>
    <t>4.63-12.95</t>
  </si>
  <si>
    <t>4.63-12.25</t>
  </si>
  <si>
    <t>4.63-10.95</t>
  </si>
  <si>
    <t>4.75-10.75</t>
  </si>
  <si>
    <t>4.75-11.25</t>
  </si>
  <si>
    <t>4.75-11.50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</si>
  <si>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</si>
  <si>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</si>
  <si>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</si>
  <si>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</si>
  <si>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</si>
  <si>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</si>
  <si>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</si>
  <si>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</si>
  <si>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</si>
  <si>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</si>
  <si>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</si>
  <si>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</si>
  <si>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</si>
  <si>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</si>
  <si>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</si>
  <si>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</si>
  <si>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</si>
  <si>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</si>
  <si>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</si>
  <si>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</si>
  <si>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</si>
  <si>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</si>
  <si>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</si>
  <si>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</si>
  <si>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</si>
  <si>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</si>
  <si>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</si>
  <si>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</si>
  <si>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</si>
  <si>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</si>
  <si>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</si>
  <si>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</si>
  <si>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</si>
  <si>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</si>
  <si>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</si>
  <si>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</si>
  <si>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</si>
  <si>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</si>
  <si>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</si>
  <si>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</si>
  <si>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</si>
  <si>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</si>
  <si>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</si>
  <si>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</si>
  <si>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</si>
  <si>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</si>
  <si>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</si>
  <si>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</si>
  <si>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</si>
  <si>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</si>
  <si>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</si>
  <si>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</si>
  <si>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</si>
  <si>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</si>
  <si>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</si>
  <si>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</si>
  <si>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</si>
  <si>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</si>
  <si>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</si>
  <si>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</si>
  <si>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</si>
  <si>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</si>
  <si>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</si>
  <si>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</si>
  <si>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</si>
  <si>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</si>
  <si>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</si>
  <si>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</si>
  <si>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</si>
  <si>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</si>
  <si>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</si>
  <si>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</si>
  <si>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</si>
  <si>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</si>
  <si>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</si>
  <si>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</si>
  <si>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</si>
  <si>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</si>
  <si>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</si>
  <si>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</si>
  <si>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</si>
  <si>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</si>
  <si>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</si>
  <si>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</si>
  <si>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4.50-9.75</t>
  </si>
  <si>
    <t>4.75-8.75</t>
  </si>
  <si>
    <t>4.75-9.10</t>
  </si>
  <si>
    <t>4.75-9.55</t>
  </si>
  <si>
    <t>4.75-9.20</t>
  </si>
  <si>
    <t>4.75-14.00</t>
  </si>
  <si>
    <t>4.75-12.00</t>
  </si>
  <si>
    <t>4.75-12.50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</si>
  <si>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</si>
  <si>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</si>
  <si>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</si>
  <si>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</si>
  <si>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</si>
  <si>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</si>
  <si>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</si>
  <si>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</si>
  <si>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</si>
  <si>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</si>
  <si>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</si>
  <si>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</si>
  <si>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</si>
  <si>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</si>
  <si>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</si>
  <si>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</si>
  <si>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</si>
  <si>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</si>
  <si>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</si>
  <si>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</si>
  <si>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</si>
  <si>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</si>
  <si>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</si>
  <si>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</si>
  <si>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</si>
  <si>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</si>
  <si>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</si>
  <si>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</si>
  <si>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</si>
  <si>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</si>
  <si>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</si>
  <si>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</si>
  <si>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</si>
  <si>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</si>
  <si>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</si>
  <si>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</si>
  <si>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1.15-5.50</t>
  </si>
  <si>
    <t>1.35-4.95</t>
  </si>
  <si>
    <t>1.35-4.85</t>
  </si>
  <si>
    <t>1.85-6.20</t>
  </si>
  <si>
    <t>2.55-5.70</t>
  </si>
  <si>
    <t>1.95-5.06</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</si>
  <si>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</si>
  <si>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</si>
  <si>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</si>
  <si>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</si>
  <si>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</si>
  <si>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</si>
  <si>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</si>
  <si>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</si>
  <si>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</si>
  <si>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</si>
  <si>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</si>
  <si>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</si>
  <si>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</si>
  <si>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</si>
  <si>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</si>
  <si>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</si>
  <si>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</si>
  <si>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</si>
  <si>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</si>
  <si>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</si>
  <si>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</si>
  <si>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</si>
  <si>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</si>
  <si>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</si>
  <si>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</si>
  <si>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</si>
  <si>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</si>
  <si>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</si>
  <si>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</si>
  <si>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</si>
  <si>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</si>
  <si>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</si>
  <si>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</si>
  <si>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</si>
  <si>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</si>
  <si>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</si>
  <si>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</si>
  <si>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</si>
  <si>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</si>
  <si>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4.00-9.50</t>
  </si>
  <si>
    <t>4.75-9.40</t>
  </si>
  <si>
    <t>4.75-10.17</t>
  </si>
  <si>
    <t>4.75-11.60</t>
  </si>
  <si>
    <t>4.75-14.01</t>
  </si>
  <si>
    <t>4.75-12.25</t>
  </si>
  <si>
    <t>4.75-13.00</t>
  </si>
  <si>
    <t>4.75-12.75</t>
  </si>
  <si>
    <t>5.00-10.50</t>
  </si>
  <si>
    <t>5.00-11.00</t>
  </si>
  <si>
    <t>4.35-11.00</t>
  </si>
  <si>
    <t>4.00-11.00</t>
  </si>
  <si>
    <t>4.00-10.66</t>
  </si>
  <si>
    <t>3.90-9.00</t>
  </si>
  <si>
    <t>4.50-11.75</t>
  </si>
  <si>
    <t>4.75-11.75</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</si>
  <si>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</si>
  <si>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</si>
  <si>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</si>
  <si>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</si>
  <si>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</si>
  <si>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</si>
  <si>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</si>
  <si>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</si>
  <si>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</si>
  <si>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</si>
  <si>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</si>
  <si>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</si>
  <si>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</si>
  <si>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</si>
  <si>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</si>
  <si>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</si>
  <si>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</si>
  <si>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</si>
  <si>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</si>
  <si>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</si>
  <si>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</si>
  <si>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</si>
  <si>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</si>
  <si>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</si>
  <si>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</si>
  <si>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</si>
  <si>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</si>
  <si>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</si>
  <si>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</si>
  <si>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</si>
  <si>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</si>
  <si>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</si>
  <si>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</si>
  <si>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</si>
  <si>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</si>
  <si>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</si>
  <si>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</si>
  <si>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</si>
  <si>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</si>
  <si>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</si>
  <si>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</si>
  <si>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</si>
  <si>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</si>
  <si>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</si>
  <si>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</si>
  <si>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</si>
  <si>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</si>
  <si>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</si>
  <si>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</si>
  <si>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</si>
  <si>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</si>
  <si>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</si>
  <si>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1.55-3.40</t>
  </si>
  <si>
    <t>1.35-4.25</t>
  </si>
  <si>
    <t>1.35-3.85</t>
  </si>
  <si>
    <t>0.80-3.50</t>
  </si>
  <si>
    <t>0.10-2.60</t>
  </si>
  <si>
    <t>0.25-2.10</t>
  </si>
  <si>
    <t>0.25-1.25</t>
  </si>
  <si>
    <t>0.25-1.40</t>
  </si>
  <si>
    <t>0.45-2.10</t>
  </si>
  <si>
    <t>0.24-2.20</t>
  </si>
  <si>
    <t>0.24-2.10</t>
  </si>
  <si>
    <t>0.30-2.00</t>
  </si>
  <si>
    <t>0.45-2.00</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</si>
  <si>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</si>
  <si>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</si>
  <si>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</si>
  <si>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</si>
  <si>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</si>
  <si>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</si>
  <si>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</si>
  <si>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</si>
  <si>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</si>
  <si>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</si>
  <si>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</si>
  <si>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</si>
  <si>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</si>
  <si>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</si>
  <si>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</si>
  <si>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</si>
  <si>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</si>
  <si>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</si>
  <si>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</si>
  <si>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</si>
  <si>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</si>
  <si>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</si>
  <si>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</si>
  <si>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</si>
  <si>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</si>
  <si>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</si>
  <si>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</si>
  <si>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</si>
  <si>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</si>
  <si>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</si>
  <si>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</si>
  <si>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</si>
  <si>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</si>
  <si>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</si>
  <si>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</si>
  <si>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</si>
  <si>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</si>
  <si>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</si>
  <si>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</si>
  <si>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</si>
  <si>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</si>
  <si>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</si>
  <si>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</si>
  <si>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</si>
  <si>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</si>
  <si>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</si>
  <si>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</si>
  <si>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</si>
  <si>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</si>
  <si>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</si>
  <si>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</si>
  <si>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</si>
  <si>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</si>
  <si>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</si>
  <si>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</si>
  <si>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</si>
  <si>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</si>
  <si>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</si>
  <si>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</si>
  <si>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</si>
  <si>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</si>
  <si>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</si>
  <si>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</si>
  <si>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</si>
  <si>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</si>
  <si>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</si>
  <si>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</si>
  <si>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</si>
  <si>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</si>
  <si>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</si>
  <si>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</si>
  <si>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</si>
  <si>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</si>
  <si>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</si>
  <si>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</si>
  <si>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0.25-2.60</t>
  </si>
  <si>
    <t>0.50-2.60</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</si>
  <si>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</si>
  <si>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</si>
  <si>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</si>
  <si>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</si>
  <si>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</si>
  <si>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</si>
  <si>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</si>
  <si>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</si>
  <si>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</si>
  <si>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</si>
  <si>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</si>
  <si>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</si>
  <si>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</si>
  <si>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</si>
  <si>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</si>
  <si>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</si>
  <si>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</si>
  <si>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</si>
  <si>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</si>
  <si>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</si>
  <si>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</si>
  <si>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</si>
  <si>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</si>
  <si>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</si>
  <si>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</si>
  <si>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</si>
  <si>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</si>
  <si>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</si>
  <si>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</si>
  <si>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</si>
  <si>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</si>
  <si>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</si>
  <si>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</si>
  <si>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</si>
  <si>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</si>
  <si>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</si>
  <si>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</si>
  <si>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</si>
  <si>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</si>
  <si>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</si>
  <si>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</si>
  <si>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</si>
  <si>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</si>
  <si>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</si>
  <si>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</si>
  <si>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</si>
  <si>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</si>
  <si>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</si>
  <si>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</si>
  <si>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</si>
  <si>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</si>
  <si>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</si>
  <si>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</si>
  <si>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</si>
  <si>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</si>
  <si>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</si>
  <si>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</si>
  <si>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</si>
  <si>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</si>
  <si>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</si>
  <si>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</si>
  <si>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</si>
  <si>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</si>
  <si>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</si>
  <si>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</si>
  <si>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</si>
  <si>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</si>
  <si>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</si>
  <si>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</si>
  <si>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</si>
  <si>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</si>
  <si>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</si>
  <si>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</si>
  <si>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</si>
  <si>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</si>
  <si>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</si>
  <si>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</si>
  <si>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</si>
  <si>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</si>
  <si>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</si>
  <si>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</si>
  <si>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</si>
  <si>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</si>
  <si>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</si>
  <si>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</si>
  <si>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</si>
  <si>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</si>
  <si>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</si>
  <si>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</si>
  <si>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</si>
  <si>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</si>
  <si>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</si>
  <si>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</si>
  <si>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</si>
  <si>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</si>
  <si>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</si>
  <si>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</si>
  <si>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</si>
  <si>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</si>
  <si>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</si>
  <si>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</si>
  <si>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</si>
  <si>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</si>
  <si>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</si>
  <si>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</si>
  <si>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</si>
  <si>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</si>
  <si>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</si>
  <si>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</si>
  <si>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</si>
  <si>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</si>
  <si>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</si>
  <si>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</si>
  <si>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</si>
  <si>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</si>
  <si>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</si>
  <si>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</si>
  <si>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</si>
  <si>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</si>
  <si>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</si>
  <si>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</si>
  <si>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</si>
  <si>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</si>
  <si>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</si>
  <si>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</si>
  <si>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</si>
  <si>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</si>
  <si>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</si>
  <si>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</si>
  <si>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</si>
  <si>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</si>
  <si>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</si>
  <si>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</si>
  <si>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</si>
  <si>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</si>
  <si>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</si>
  <si>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</si>
  <si>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</si>
  <si>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</si>
  <si>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</si>
  <si>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</si>
  <si>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</si>
  <si>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</si>
  <si>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</si>
  <si>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</si>
  <si>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</si>
  <si>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</si>
  <si>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</si>
  <si>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</si>
  <si>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</si>
  <si>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</si>
  <si>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</si>
  <si>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</si>
  <si>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</si>
  <si>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</si>
  <si>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</si>
  <si>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</si>
  <si>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</si>
  <si>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</si>
  <si>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</si>
  <si>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</si>
  <si>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</si>
  <si>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</si>
  <si>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</si>
  <si>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</si>
  <si>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</si>
  <si>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</si>
  <si>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</si>
  <si>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</si>
  <si>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</si>
  <si>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</si>
  <si>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</si>
  <si>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</si>
  <si>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</si>
  <si>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</si>
  <si>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</si>
  <si>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</si>
  <si>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</si>
  <si>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</si>
  <si>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</si>
  <si>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</si>
  <si>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</si>
  <si>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</si>
  <si>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</si>
  <si>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</si>
  <si>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</si>
  <si>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</si>
  <si>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</si>
  <si>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</si>
  <si>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</si>
  <si>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</si>
  <si>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</si>
  <si>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</si>
  <si>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</si>
  <si>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</si>
  <si>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</si>
  <si>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</si>
  <si>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5.25-13.00</t>
  </si>
  <si>
    <t>5.00-11.61</t>
  </si>
  <si>
    <t>6.95-9.50</t>
  </si>
  <si>
    <t>6.95-10.50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</si>
  <si>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</si>
  <si>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</si>
  <si>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</si>
  <si>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</si>
  <si>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</si>
  <si>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</si>
  <si>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</si>
  <si>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</si>
  <si>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</si>
  <si>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</si>
  <si>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</si>
  <si>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</si>
  <si>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</si>
  <si>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</si>
  <si>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</si>
  <si>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</si>
  <si>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</si>
  <si>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</si>
  <si>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</si>
  <si>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</si>
  <si>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</si>
  <si>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</si>
  <si>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</si>
  <si>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</si>
  <si>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</si>
  <si>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</si>
  <si>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</si>
  <si>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</si>
  <si>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</si>
  <si>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</si>
  <si>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</si>
  <si>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</si>
  <si>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</si>
  <si>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</si>
  <si>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</si>
  <si>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</si>
  <si>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</si>
  <si>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</si>
  <si>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</si>
  <si>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</si>
  <si>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</si>
  <si>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</si>
  <si>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</si>
  <si>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</si>
  <si>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</si>
  <si>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</si>
  <si>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</si>
  <si>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</si>
  <si>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</si>
  <si>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</si>
  <si>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</si>
  <si>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</si>
  <si>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</si>
  <si>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</si>
  <si>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</si>
  <si>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</si>
  <si>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</si>
  <si>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</si>
  <si>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</si>
  <si>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</si>
  <si>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</si>
  <si>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</si>
  <si>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3.15-5.00</t>
  </si>
  <si>
    <t>3.15-6.00</t>
  </si>
  <si>
    <t>2.83-4.60</t>
  </si>
  <si>
    <t>2.60-5.20</t>
  </si>
  <si>
    <t>2.75-4.00</t>
  </si>
  <si>
    <t>2.65-4.50</t>
  </si>
  <si>
    <t>2.50-4.30</t>
  </si>
  <si>
    <t>2.68-4.75</t>
  </si>
  <si>
    <t>2.25-3.65</t>
  </si>
  <si>
    <t>2.20-4.25</t>
  </si>
  <si>
    <t>1.80-2.95</t>
  </si>
  <si>
    <t>0.80-1.95</t>
  </si>
  <si>
    <t>0.98-2.00</t>
  </si>
  <si>
    <t>0.96-2.00</t>
  </si>
  <si>
    <t>1.00-2.00</t>
  </si>
  <si>
    <t>1.39-1.95</t>
  </si>
  <si>
    <t>1.18-2.00</t>
  </si>
  <si>
    <t>0.65-1.95</t>
  </si>
  <si>
    <t>0.75-1.95</t>
  </si>
  <si>
    <t>0.80-2.00</t>
  </si>
  <si>
    <t>1.10-3.35</t>
  </si>
  <si>
    <t>* Effective January 2017, data refers to interest rates on new rupee deposits during the month. Consequently, data are not strictly comparable to those prior to January 2017.</t>
  </si>
  <si>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</si>
  <si>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</si>
  <si>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</si>
  <si>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</si>
  <si>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</si>
  <si>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</si>
  <si>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</si>
  <si>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</si>
  <si>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</si>
  <si>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</si>
  <si>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</si>
  <si>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</si>
  <si>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</si>
  <si>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</si>
  <si>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</si>
  <si>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</si>
  <si>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</si>
  <si>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</si>
  <si>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</si>
  <si>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</si>
  <si>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</si>
  <si>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</si>
  <si>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</si>
  <si>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</si>
  <si>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A.0114 - Sugar Cane</t>
  </si>
  <si>
    <t>4.00-16.75</t>
  </si>
  <si>
    <t>4.35-16.75</t>
  </si>
  <si>
    <t>3.85-16.75</t>
  </si>
  <si>
    <t>3.90-16.75</t>
  </si>
  <si>
    <t>2.92-16.75</t>
  </si>
  <si>
    <t>2.70-16.75</t>
  </si>
  <si>
    <t>4.10-7.85</t>
  </si>
  <si>
    <t>1.50-7.85</t>
  </si>
  <si>
    <t>A.0140 - Other Crop and animal production, hunting and related service activities</t>
  </si>
  <si>
    <t>3.60-10.50</t>
  </si>
  <si>
    <t>3.50-10.60</t>
  </si>
  <si>
    <t>2.50-13.60</t>
  </si>
  <si>
    <t>2.35-9.85</t>
  </si>
  <si>
    <t>2.35-10.50</t>
  </si>
  <si>
    <t>2.35-10.35</t>
  </si>
  <si>
    <t>1.85-10.50</t>
  </si>
  <si>
    <t>3.85-8.85</t>
  </si>
  <si>
    <t>1.50-9.00</t>
  </si>
  <si>
    <t>0.85-8.35</t>
  </si>
  <si>
    <t>0.85-13.75</t>
  </si>
  <si>
    <t>5.50-16.75</t>
  </si>
  <si>
    <t>6.50-16.75</t>
  </si>
  <si>
    <t>5.35-16.75</t>
  </si>
  <si>
    <t>6.35-16.75</t>
  </si>
  <si>
    <t>5.85-16.75</t>
  </si>
  <si>
    <t>4.85-16.75</t>
  </si>
  <si>
    <t>5.10-7.85</t>
  </si>
  <si>
    <t>5.75-16.75</t>
  </si>
  <si>
    <t>5.00-16.75</t>
  </si>
  <si>
    <t>5.60-16.75</t>
  </si>
  <si>
    <t>5.10-16.75</t>
  </si>
  <si>
    <t>4.10-16.75</t>
  </si>
  <si>
    <t>3.40-16.75</t>
  </si>
  <si>
    <t>5.60-7.85</t>
  </si>
  <si>
    <t>6.35-9.35</t>
  </si>
  <si>
    <t>5.85-8.85</t>
  </si>
  <si>
    <t>4.85-7.85</t>
  </si>
  <si>
    <t>0.85-8.85</t>
  </si>
  <si>
    <t>0.74-13.75</t>
  </si>
  <si>
    <t>5.35-17.35</t>
  </si>
  <si>
    <t>3.50-17.35</t>
  </si>
  <si>
    <t>3.50-17.25</t>
  </si>
  <si>
    <t>2.85-7.90</t>
  </si>
  <si>
    <t>2.50-7.90</t>
  </si>
  <si>
    <t>1.50-15.75</t>
  </si>
  <si>
    <t>C.1020 - Processing and preserving of fish, crustaceans and molluscs</t>
  </si>
  <si>
    <t>6.25-16.75</t>
  </si>
  <si>
    <t>4.60-16.75</t>
  </si>
  <si>
    <t>4.55-16.75</t>
  </si>
  <si>
    <t>6.35-7.85</t>
  </si>
  <si>
    <t>5.55-7.85</t>
  </si>
  <si>
    <t>C.1072 - Manufacture of sugar</t>
  </si>
  <si>
    <t>6.00-16.75</t>
  </si>
  <si>
    <t>5.25-16.75</t>
  </si>
  <si>
    <t>4.35-7.85</t>
  </si>
  <si>
    <t>C.1090 - Other manufacturing of food products</t>
  </si>
  <si>
    <t>2.85-7.85</t>
  </si>
  <si>
    <t>2.50-15.75</t>
  </si>
  <si>
    <t>4.25-16.75</t>
  </si>
  <si>
    <t>4.40-16.75</t>
  </si>
  <si>
    <t>4.90-16.75</t>
  </si>
  <si>
    <t>4.15-16.75</t>
  </si>
  <si>
    <t>4.70-16.75</t>
  </si>
  <si>
    <t>3.00-16.75</t>
  </si>
  <si>
    <t>3.85-7.85</t>
  </si>
  <si>
    <t>4.50-16.75</t>
  </si>
  <si>
    <t>5.35-17.25</t>
  </si>
  <si>
    <t>1.50-8.85</t>
  </si>
  <si>
    <t>0.85-14.80</t>
  </si>
  <si>
    <t>4.20-16.75</t>
  </si>
  <si>
    <t>3.60-8.85</t>
  </si>
  <si>
    <t>3.35-16.75</t>
  </si>
  <si>
    <t>6.85-7.85</t>
  </si>
  <si>
    <t>4.85-8.00</t>
  </si>
  <si>
    <t>3.85-8.00</t>
  </si>
  <si>
    <t>4.95-8.00</t>
  </si>
  <si>
    <t>5.50-17.35</t>
  </si>
  <si>
    <t>4.30-16.75</t>
  </si>
  <si>
    <t>3.65-16.75</t>
  </si>
  <si>
    <t>3.25-16.75</t>
  </si>
  <si>
    <t>2.90-16.75</t>
  </si>
  <si>
    <t>3.15-7.85</t>
  </si>
  <si>
    <t>7.00-16.75</t>
  </si>
  <si>
    <t>8.25-16.75</t>
  </si>
  <si>
    <t>4.80-16.75</t>
  </si>
  <si>
    <t>6.85-16.75</t>
  </si>
  <si>
    <t>8.10-16.75</t>
  </si>
  <si>
    <t>7.60-16.75</t>
  </si>
  <si>
    <t>6.60-16.75</t>
  </si>
  <si>
    <t>3.85-8.35</t>
  </si>
  <si>
    <t>5.00-8.35</t>
  </si>
  <si>
    <t>7.85-7.85</t>
  </si>
  <si>
    <t>3.45-16.75</t>
  </si>
  <si>
    <t>5.25-17.35</t>
  </si>
  <si>
    <t>5.20-16.75</t>
  </si>
  <si>
    <t>5.35-20.40</t>
  </si>
  <si>
    <t>4.95-16.75</t>
  </si>
  <si>
    <t>4.85-17.25</t>
  </si>
  <si>
    <t>2.95-16.75</t>
  </si>
  <si>
    <t>2.75-7.85</t>
  </si>
  <si>
    <t>0.85-7.85</t>
  </si>
  <si>
    <t>3.85-10.35</t>
  </si>
  <si>
    <t>3.15-16.75</t>
  </si>
  <si>
    <t>2.15-16.75</t>
  </si>
  <si>
    <t>1.95-7.85</t>
  </si>
  <si>
    <t>3.85-15.75</t>
  </si>
  <si>
    <t>0.74-7.85</t>
  </si>
  <si>
    <t>C.321 - Manufacture of jewellery, bijouterie and related articles</t>
  </si>
  <si>
    <t>4.65-16.75</t>
  </si>
  <si>
    <t>C.329 - Manufacture not included elsewhere</t>
  </si>
  <si>
    <t>2.50-16.70</t>
  </si>
  <si>
    <t>2.50-9.50</t>
  </si>
  <si>
    <t>3.90-10.50</t>
  </si>
  <si>
    <t>2.50-10.75</t>
  </si>
  <si>
    <t>2.35-11.10</t>
  </si>
  <si>
    <t>2.35-9.35</t>
  </si>
  <si>
    <t>2.35-16.55</t>
  </si>
  <si>
    <t>1.85-8.85</t>
  </si>
  <si>
    <t>1.50-10.00</t>
  </si>
  <si>
    <t>0.85-15.05</t>
  </si>
  <si>
    <t>5.50-12.75</t>
  </si>
  <si>
    <t>5.50-13.85</t>
  </si>
  <si>
    <t>5.50-15.35</t>
  </si>
  <si>
    <t>5.35-12.60</t>
  </si>
  <si>
    <t>4.85-12.10</t>
  </si>
  <si>
    <t>3.85-11.10</t>
  </si>
  <si>
    <t>1.50-11.10</t>
  </si>
  <si>
    <t>3.85-13.75</t>
  </si>
  <si>
    <t>5.85-17.25</t>
  </si>
  <si>
    <t>2.00-17.35</t>
  </si>
  <si>
    <t>2.00-17.90</t>
  </si>
  <si>
    <t>4.70-17.35</t>
  </si>
  <si>
    <t>3.85-17.25</t>
  </si>
  <si>
    <t>3.69-16.75</t>
  </si>
  <si>
    <t>3.05-16.75</t>
  </si>
  <si>
    <t>1.50-8.25</t>
  </si>
  <si>
    <t>1.50-11.75</t>
  </si>
  <si>
    <t>1.50-8.05</t>
  </si>
  <si>
    <t>1.70-8.25</t>
  </si>
  <si>
    <t>1.90-11.75</t>
  </si>
  <si>
    <t>1.75-15.75</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</si>
  <si>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</si>
  <si>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</si>
  <si>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</si>
  <si>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</si>
  <si>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</si>
  <si>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</si>
  <si>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</si>
  <si>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</si>
  <si>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</si>
  <si>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</si>
  <si>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</si>
  <si>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</si>
  <si>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</si>
  <si>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</si>
  <si>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</si>
  <si>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</si>
  <si>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</si>
  <si>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</si>
  <si>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</si>
  <si>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</si>
  <si>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F.4102 - Construction of all types of non-residential buildings</t>
  </si>
  <si>
    <t>1.70-7.85</t>
  </si>
  <si>
    <t>3.50-11.75</t>
  </si>
  <si>
    <t>3.50-7.85</t>
  </si>
  <si>
    <t>3.50-15.75</t>
  </si>
  <si>
    <t>F.4102.1 - Buildings for industrial production</t>
  </si>
  <si>
    <t>5.75-17.35</t>
  </si>
  <si>
    <t>F.4102.2 - Office buildings</t>
  </si>
  <si>
    <t>5.55-16.75</t>
  </si>
  <si>
    <t>F.4102.3 - Hotels, stores, shopping malls, restaurants</t>
  </si>
  <si>
    <t>F.4102.4 - Other non-residential buildings</t>
  </si>
  <si>
    <t>5.75-11.50</t>
  </si>
  <si>
    <t>6.25-17.35</t>
  </si>
  <si>
    <t>5.00-17.35</t>
  </si>
  <si>
    <t>5.50-11.85</t>
  </si>
  <si>
    <t>5.35-10.05</t>
  </si>
  <si>
    <t>5.35-11.85</t>
  </si>
  <si>
    <t>5.60-10.05</t>
  </si>
  <si>
    <t>5.60-9.35</t>
  </si>
  <si>
    <t>4.10-17.25</t>
  </si>
  <si>
    <t>5.35-9.35</t>
  </si>
  <si>
    <t>4.85-8.85</t>
  </si>
  <si>
    <t>4.10-15.75</t>
  </si>
  <si>
    <t>1.50-15.05</t>
  </si>
  <si>
    <t>5.49-16.75</t>
  </si>
  <si>
    <t>5.50-17.90</t>
  </si>
  <si>
    <t>3.60-7.85</t>
  </si>
  <si>
    <t>5.00-17.25</t>
  </si>
  <si>
    <t>3.20-16.75</t>
  </si>
  <si>
    <t>3.85-8.05</t>
  </si>
  <si>
    <t>1.50-15.00</t>
  </si>
  <si>
    <t>2.50-18.50</t>
  </si>
  <si>
    <t>3.35-17.35</t>
  </si>
  <si>
    <t>3.00-17.35</t>
  </si>
  <si>
    <t>3.50-13.25</t>
  </si>
  <si>
    <t>3.25-17.35</t>
  </si>
  <si>
    <t>3.40-17.35</t>
  </si>
  <si>
    <t>3.30-17.25</t>
  </si>
  <si>
    <t>2.00-17.25</t>
  </si>
  <si>
    <t>3.00-17.25</t>
  </si>
  <si>
    <t>1.25-16.75</t>
  </si>
  <si>
    <t>1.25-15.75</t>
  </si>
  <si>
    <t>1.00-16.00</t>
  </si>
  <si>
    <t>1.25-15.05</t>
  </si>
  <si>
    <t>1.25-16.00</t>
  </si>
  <si>
    <t>1.25-15.00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</si>
  <si>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</si>
  <si>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</si>
  <si>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</si>
  <si>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</si>
  <si>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</si>
  <si>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</si>
  <si>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</si>
  <si>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</si>
  <si>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</si>
  <si>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</si>
  <si>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</si>
  <si>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</si>
  <si>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</si>
  <si>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</si>
  <si>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</si>
  <si>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</si>
  <si>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</si>
  <si>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1.50-14.80</t>
  </si>
  <si>
    <t>1.50-9.55</t>
  </si>
  <si>
    <t>1.50-9.45</t>
  </si>
  <si>
    <t>2.75-12.00</t>
  </si>
  <si>
    <t>1.50-9.15</t>
  </si>
  <si>
    <t>2.50-11.35</t>
  </si>
  <si>
    <t>3.50-12.00</t>
  </si>
  <si>
    <t>3.55-17.35</t>
  </si>
  <si>
    <t>3.30-10.35</t>
  </si>
  <si>
    <t>3.30-13.50</t>
  </si>
  <si>
    <t>3.35-17.25</t>
  </si>
  <si>
    <t>2.35-11.85</t>
  </si>
  <si>
    <t>1.85-10.85</t>
  </si>
  <si>
    <t>1.25-10.35</t>
  </si>
  <si>
    <t>1.25-10.70</t>
  </si>
  <si>
    <t>1.25-8.85</t>
  </si>
  <si>
    <t>1.25-10.05</t>
  </si>
  <si>
    <t>4.50-16.70</t>
  </si>
  <si>
    <t>4.00-13.60</t>
  </si>
  <si>
    <t>4.25-17.35</t>
  </si>
  <si>
    <t>4.50-13.25</t>
  </si>
  <si>
    <t>4.50-17.35</t>
  </si>
  <si>
    <t>3.50-16.10</t>
  </si>
  <si>
    <t>4.40-17.25</t>
  </si>
  <si>
    <t>3.60-17.25</t>
  </si>
  <si>
    <t>2.75-17.25</t>
  </si>
  <si>
    <t>2.75-16.75</t>
  </si>
  <si>
    <t>1.50-11.60</t>
  </si>
  <si>
    <t>1.50-16.00</t>
  </si>
  <si>
    <t>1.50-14.42</t>
  </si>
  <si>
    <t>4.75-16.75</t>
  </si>
  <si>
    <t>4.99-16.75</t>
  </si>
  <si>
    <t>4.89-16.75</t>
  </si>
  <si>
    <t>1.50-8.30</t>
  </si>
  <si>
    <t>2.95-8.85</t>
  </si>
  <si>
    <t>6.38-16.75</t>
  </si>
  <si>
    <t>7.75-16.75</t>
  </si>
  <si>
    <t>5.80-16.75</t>
  </si>
  <si>
    <t>9.50-12.75</t>
  </si>
  <si>
    <t>7.60-12.75</t>
  </si>
  <si>
    <t>6.25-12.75</t>
  </si>
  <si>
    <t>7.25-12.75</t>
  </si>
  <si>
    <t>9.50-9.50</t>
  </si>
  <si>
    <t>9.35-12.60</t>
  </si>
  <si>
    <t>7.05-12.60</t>
  </si>
  <si>
    <t>9.35-9.35</t>
  </si>
  <si>
    <t>8.85-8.85</t>
  </si>
  <si>
    <t>7.85-11.10</t>
  </si>
  <si>
    <t>4.50-7.85</t>
  </si>
  <si>
    <t>4.75-7.85</t>
  </si>
  <si>
    <t>7.50-16.75</t>
  </si>
  <si>
    <t>7.10-16.75</t>
  </si>
  <si>
    <t>6.10-16.75</t>
  </si>
  <si>
    <t>6.10-11.10</t>
  </si>
  <si>
    <t>6.10-7.85</t>
  </si>
  <si>
    <t>4.05-16.75</t>
  </si>
  <si>
    <t>2.94-17.25</t>
  </si>
  <si>
    <t>I.551 - Resort Hotels</t>
  </si>
  <si>
    <t>2.94-16.75</t>
  </si>
  <si>
    <t>I.552 - Hotels other than Resort</t>
  </si>
  <si>
    <t>3.95-16.75</t>
  </si>
  <si>
    <t>3.75-16.75</t>
  </si>
  <si>
    <t>I.553 - Bungalows</t>
  </si>
  <si>
    <t>I.554 - Guest Houses</t>
  </si>
  <si>
    <t>I.555 - Holiday Homes</t>
  </si>
  <si>
    <t>I.556 - Other accommodation not included above</t>
  </si>
  <si>
    <t>4.55-17.25</t>
  </si>
  <si>
    <t>7.60-7.85</t>
  </si>
  <si>
    <t>4.85-10.50</t>
  </si>
  <si>
    <t>5.50-13.60</t>
  </si>
  <si>
    <t>5.35-10.10</t>
  </si>
  <si>
    <t>4.10-10.35</t>
  </si>
  <si>
    <t>5.35-9.60</t>
  </si>
  <si>
    <t>4.30-9.35</t>
  </si>
  <si>
    <t>3.35-7.85</t>
  </si>
  <si>
    <t>1.50-10.35</t>
  </si>
  <si>
    <t>1.50-8.15</t>
  </si>
  <si>
    <t>Continued on the next page.</t>
  </si>
  <si>
    <t>1.18-16.75</t>
  </si>
  <si>
    <t>5.35-15.00</t>
  </si>
  <si>
    <t>5.60-8.85</t>
  </si>
  <si>
    <t>4.60-7.85</t>
  </si>
  <si>
    <t>1.18-7.85</t>
  </si>
  <si>
    <t>3.85-11.25</t>
  </si>
  <si>
    <t>1.50-11.25</t>
  </si>
  <si>
    <t>9.50-16.75</t>
  </si>
  <si>
    <t>0.00-0.00</t>
  </si>
  <si>
    <t>9.35-16.75</t>
  </si>
  <si>
    <t>8.85-16.75</t>
  </si>
  <si>
    <t>7.85-16.75</t>
  </si>
  <si>
    <t>6.75-16.75</t>
  </si>
  <si>
    <t>7.15-7.85</t>
  </si>
  <si>
    <t>2.65-16.75</t>
  </si>
  <si>
    <t>4.05-10.35</t>
  </si>
  <si>
    <t>4.25-7.85</t>
  </si>
  <si>
    <t>4.05-7.85</t>
  </si>
  <si>
    <t>4.90-17.90</t>
  </si>
  <si>
    <t>3.85-8.15</t>
  </si>
  <si>
    <t>3.75-17.35</t>
  </si>
  <si>
    <t>3.25-17.25</t>
  </si>
  <si>
    <t>3.15-17.25</t>
  </si>
  <si>
    <t>2.65-15.00</t>
  </si>
  <si>
    <t>3.60-17.35</t>
  </si>
  <si>
    <t>4.10-8.85</t>
  </si>
  <si>
    <t>2.60-7.85</t>
  </si>
  <si>
    <t>7.35-16.75</t>
  </si>
  <si>
    <t>7.20-16.75</t>
  </si>
  <si>
    <t>5.40-16.75</t>
  </si>
  <si>
    <t>6.70-16.75</t>
  </si>
  <si>
    <t>5.70-16.75</t>
  </si>
  <si>
    <t>6.60-7.85</t>
  </si>
  <si>
    <t>5.05-9.75</t>
  </si>
  <si>
    <t>5.50-16.25</t>
  </si>
  <si>
    <t>5.20-17.25</t>
  </si>
  <si>
    <t>5.40-9.35</t>
  </si>
  <si>
    <t>5.60-15.00</t>
  </si>
  <si>
    <t>3.90-7.85</t>
  </si>
  <si>
    <t>3.85-14.80</t>
  </si>
  <si>
    <t>3.55-16.75</t>
  </si>
  <si>
    <t>1.50-9.85</t>
  </si>
  <si>
    <t>2.90-8.00</t>
  </si>
  <si>
    <t>12.60-16.75</t>
  </si>
  <si>
    <t>6.25-7.85</t>
  </si>
  <si>
    <t>3.25-8.20</t>
  </si>
  <si>
    <t>3.35-15.75</t>
  </si>
  <si>
    <t>3.25-7.85</t>
  </si>
  <si>
    <t>4.90-11.50</t>
  </si>
  <si>
    <t>5.50-11.50</t>
  </si>
  <si>
    <t>5.35-11.35</t>
  </si>
  <si>
    <t>5.10-11.35</t>
  </si>
  <si>
    <t>4.85-11.85</t>
  </si>
  <si>
    <t>4.85-10.85</t>
  </si>
  <si>
    <t>3.35-9.85</t>
  </si>
  <si>
    <t>1.25-9.85</t>
  </si>
  <si>
    <t>15.75-15.75</t>
  </si>
  <si>
    <t>3.85-4.60</t>
  </si>
  <si>
    <t>3.85-5.05</t>
  </si>
  <si>
    <t>5.25-7.85</t>
  </si>
  <si>
    <t>5.75-10.25</t>
  </si>
  <si>
    <t>5.35-16.55</t>
  </si>
  <si>
    <t>5.25-9.35</t>
  </si>
  <si>
    <t>5.50-5.50</t>
  </si>
  <si>
    <t>8.70-8.70</t>
  </si>
  <si>
    <t>17.90-17.90</t>
  </si>
  <si>
    <t>5.35-7.10</t>
  </si>
  <si>
    <t>7.10-7.10</t>
  </si>
  <si>
    <t>17.25-17.25</t>
  </si>
  <si>
    <t>1.50-1.50</t>
  </si>
  <si>
    <t>6.25-6.25</t>
  </si>
  <si>
    <t>15.00-15.00</t>
  </si>
  <si>
    <t>5.25-5.25</t>
  </si>
  <si>
    <t>2.05-7.85</t>
  </si>
  <si>
    <t>5.75-5.75</t>
  </si>
  <si>
    <t>4.90-9.50</t>
  </si>
  <si>
    <t>7.60-10.35</t>
  </si>
  <si>
    <t>5.10-8.85</t>
  </si>
  <si>
    <t>4.10-15.00</t>
  </si>
  <si>
    <t>4.10-15.05</t>
  </si>
  <si>
    <t>3.00-7.85</t>
  </si>
  <si>
    <t>1.00-7.85</t>
  </si>
  <si>
    <t>3.85-3.85</t>
  </si>
  <si>
    <t>4.10-4.10</t>
  </si>
  <si>
    <t>1.50-4.10</t>
  </si>
  <si>
    <t>7.10-7.85</t>
  </si>
  <si>
    <t>1.80-16.75</t>
  </si>
  <si>
    <t>4.45-16.75</t>
  </si>
  <si>
    <t>1.50-17.60</t>
  </si>
  <si>
    <t>2.50-9.35</t>
  </si>
  <si>
    <t>3.25-9.35</t>
  </si>
  <si>
    <t>1.50-9.35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</si>
  <si>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</si>
  <si>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</si>
  <si>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</si>
  <si>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</si>
  <si>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</si>
  <si>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</si>
  <si>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</si>
  <si>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</si>
  <si>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</si>
  <si>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</si>
  <si>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</si>
  <si>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</si>
  <si>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</si>
  <si>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</si>
  <si>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</si>
  <si>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</si>
  <si>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</si>
  <si>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</si>
  <si>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</si>
  <si>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</si>
  <si>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</si>
  <si>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2.00-16.00</t>
  </si>
  <si>
    <t>2.00-16.25</t>
  </si>
  <si>
    <t>2.00-24.00</t>
  </si>
  <si>
    <t>1.65-24.00</t>
  </si>
  <si>
    <t>1.75-16.75</t>
  </si>
  <si>
    <t>1.15-15.75</t>
  </si>
  <si>
    <t>1.15-24.00</t>
  </si>
  <si>
    <t>2.00-13.40</t>
  </si>
  <si>
    <t>2.00-13.25</t>
  </si>
  <si>
    <t>2.00-13.15</t>
  </si>
  <si>
    <t>2.00-12.25</t>
  </si>
  <si>
    <t>2.00-13.10</t>
  </si>
  <si>
    <t>2.00-13.00</t>
  </si>
  <si>
    <t>2.30-13.15</t>
  </si>
  <si>
    <t>1.65-13.10</t>
  </si>
  <si>
    <t>2.00-6.60</t>
  </si>
  <si>
    <t>2.30-8.10</t>
  </si>
  <si>
    <t>1.85-11.60</t>
  </si>
  <si>
    <t>1.70-10.25</t>
  </si>
  <si>
    <t>2.00-10.25</t>
  </si>
  <si>
    <t>2.00-11.60</t>
  </si>
  <si>
    <t>2.00-13.80</t>
  </si>
  <si>
    <t>3.55-12.00</t>
  </si>
  <si>
    <t>3.55-9.50</t>
  </si>
  <si>
    <t>3.45-9.75</t>
  </si>
  <si>
    <t>3.45-15.35</t>
  </si>
  <si>
    <t>3.40-15.00</t>
  </si>
  <si>
    <t>3.35-13.55</t>
  </si>
  <si>
    <t>3.40-9.35</t>
  </si>
  <si>
    <t>3.30-16.55</t>
  </si>
  <si>
    <t>3.30-15.25</t>
  </si>
  <si>
    <t>3.20-14.35</t>
  </si>
  <si>
    <t>3.00-14.35</t>
  </si>
  <si>
    <t>2.70-13.85</t>
  </si>
  <si>
    <t>2.55-14.75</t>
  </si>
  <si>
    <t>2.40-15.00</t>
  </si>
  <si>
    <t>1.50-12.85</t>
  </si>
  <si>
    <t>2.85-24.00</t>
  </si>
  <si>
    <t>2.50-15.00</t>
  </si>
  <si>
    <t>2.40-12.85</t>
  </si>
  <si>
    <t>1.00-12.85</t>
  </si>
  <si>
    <t>8.75-9.50</t>
  </si>
  <si>
    <t>6.50-9.35</t>
  </si>
  <si>
    <t>8.60-9.35</t>
  </si>
  <si>
    <t>7.85-14.75</t>
  </si>
  <si>
    <t>4.10-13.75</t>
  </si>
  <si>
    <t>5. Nonfinancial GBC1s</t>
  </si>
  <si>
    <t>5.65-9.50</t>
  </si>
  <si>
    <t>5.50-9.35</t>
  </si>
  <si>
    <t>6.60-9.35</t>
  </si>
  <si>
    <t>4.10-12.15</t>
  </si>
  <si>
    <t>9.35-16.55</t>
  </si>
  <si>
    <t>7.85-15.05</t>
  </si>
  <si>
    <t>7. Public Nonfinancial corporations</t>
  </si>
  <si>
    <t>3.80-16.75</t>
  </si>
  <si>
    <t>3.30-16.75</t>
  </si>
  <si>
    <t>3.22-16.75</t>
  </si>
  <si>
    <t>11.10-16.75</t>
  </si>
  <si>
    <t>4.10-6.01</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</si>
  <si>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</si>
  <si>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26: Banks' Principal Interest Rates and Other Interest Rates: June 2018 to June 2021</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</si>
  <si>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</si>
  <si>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</si>
  <si>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</si>
  <si>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</si>
  <si>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</si>
  <si>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</si>
  <si>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</si>
  <si>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</si>
  <si>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</si>
  <si>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</si>
  <si>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</si>
  <si>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</si>
  <si>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</si>
  <si>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</si>
  <si>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</si>
  <si>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</si>
  <si>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</si>
  <si>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</si>
  <si>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</si>
  <si>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</si>
  <si>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</si>
  <si>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</si>
  <si>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</si>
  <si>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</si>
  <si>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</si>
  <si>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</si>
  <si>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</si>
  <si>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</si>
  <si>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</si>
  <si>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</si>
  <si>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</si>
  <si>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</si>
  <si>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</si>
  <si>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</si>
  <si>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</si>
  <si>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</si>
  <si>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</si>
  <si>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</si>
  <si>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</si>
  <si>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</si>
  <si>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</si>
  <si>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</si>
  <si>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</si>
  <si>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</si>
  <si>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</si>
  <si>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</si>
  <si>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</si>
  <si>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</si>
  <si>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</si>
  <si>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</si>
  <si>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</si>
  <si>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</si>
  <si>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</si>
  <si>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</si>
  <si>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</si>
  <si>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</si>
  <si>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</si>
  <si>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</si>
  <si>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</si>
  <si>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</si>
  <si>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</si>
  <si>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</si>
  <si>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</si>
  <si>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</si>
  <si>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</si>
  <si>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6.00-22.00</t>
  </si>
  <si>
    <t>9.05-10.00</t>
  </si>
  <si>
    <t>6.00-21.00</t>
  </si>
  <si>
    <t>8.05-10.00</t>
  </si>
  <si>
    <t>8.05-9.00</t>
  </si>
  <si>
    <t>4.00-15.00</t>
  </si>
  <si>
    <t>6.00-19.75</t>
  </si>
  <si>
    <t>4.53</t>
  </si>
  <si>
    <t>7.05-9.00</t>
  </si>
  <si>
    <t>3.25-15.00</t>
  </si>
  <si>
    <t>7.05-8.50</t>
  </si>
  <si>
    <t>5.00-19.75</t>
  </si>
  <si>
    <t>Nov-10</t>
  </si>
  <si>
    <t>3.00-16.50</t>
  </si>
  <si>
    <t>4.70-19.75</t>
  </si>
  <si>
    <t>Jan-11</t>
  </si>
  <si>
    <t>Feb-11</t>
  </si>
  <si>
    <t>Mar-11</t>
  </si>
  <si>
    <t>7.30-9.00</t>
  </si>
  <si>
    <t>4.00-19.75</t>
  </si>
  <si>
    <t>4.00-19.55</t>
  </si>
  <si>
    <t>4.00-19.57</t>
  </si>
  <si>
    <t>7.40-9.00</t>
  </si>
  <si>
    <t>2.40-16.55</t>
  </si>
  <si>
    <t>3.65-19.35</t>
  </si>
  <si>
    <t>2.25-16.55</t>
  </si>
  <si>
    <t>3.65-19.25</t>
  </si>
  <si>
    <t>3.55-19.25</t>
  </si>
  <si>
    <t>2.00-16.55</t>
  </si>
  <si>
    <t>2.00-16.04</t>
  </si>
  <si>
    <t>2.00-19.75</t>
  </si>
  <si>
    <t>2.00-19.84</t>
  </si>
  <si>
    <t>1.40-16.00</t>
  </si>
  <si>
    <t>2.00-19.57</t>
  </si>
  <si>
    <t>2.00-19.59</t>
  </si>
  <si>
    <t>2.00-19.90</t>
  </si>
  <si>
    <t>6.75-8.50</t>
  </si>
  <si>
    <t>2.00-19.65</t>
  </si>
  <si>
    <t>1.15-16.00</t>
  </si>
  <si>
    <t>2.00-19.78</t>
  </si>
  <si>
    <t>2.00-21.00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</si>
  <si>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</si>
  <si>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</si>
  <si>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</si>
  <si>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</si>
  <si>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</si>
  <si>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</si>
  <si>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</si>
  <si>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</si>
  <si>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</si>
  <si>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</si>
  <si>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</si>
  <si>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</si>
  <si>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</si>
  <si>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</si>
  <si>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</si>
  <si>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</si>
  <si>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</si>
  <si>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</si>
  <si>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</si>
  <si>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</si>
  <si>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</si>
  <si>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</si>
  <si>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</si>
  <si>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</si>
  <si>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</si>
  <si>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</si>
  <si>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</si>
  <si>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</si>
  <si>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</si>
  <si>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</si>
  <si>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</si>
  <si>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</si>
  <si>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</si>
  <si>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</si>
  <si>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</si>
  <si>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</si>
  <si>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</si>
  <si>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</si>
  <si>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</si>
  <si>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</si>
  <si>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</si>
  <si>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</si>
  <si>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</si>
  <si>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</si>
  <si>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</si>
  <si>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</si>
  <si>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</si>
  <si>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</si>
  <si>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</si>
  <si>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</si>
  <si>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</si>
  <si>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</si>
  <si>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</si>
  <si>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</si>
  <si>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</si>
  <si>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</si>
  <si>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</si>
  <si>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</si>
  <si>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</si>
  <si>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</si>
  <si>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</si>
  <si>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</si>
  <si>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</si>
  <si>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</si>
  <si>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</si>
  <si>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</si>
  <si>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</si>
  <si>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</si>
  <si>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</si>
  <si>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</si>
  <si>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</si>
  <si>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</si>
  <si>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</si>
  <si>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</si>
  <si>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</si>
  <si>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</si>
  <si>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</si>
  <si>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</si>
  <si>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</si>
  <si>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</si>
  <si>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</si>
  <si>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</si>
  <si>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</si>
  <si>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</si>
  <si>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</si>
  <si>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</si>
  <si>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</si>
  <si>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</si>
  <si>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</si>
  <si>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</si>
  <si>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t>Table 14: Bank of Mauritius Statement of Financial Position as at end May 2021</t>
  </si>
  <si>
    <t xml:space="preserve">Rupees        </t>
  </si>
  <si>
    <t>ASSETS</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</si>
  <si>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</si>
  <si>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</si>
  <si>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</si>
  <si>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</si>
  <si>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</si>
  <si>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</si>
  <si>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</si>
  <si>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 xml:space="preserve">  Mauritius Investment Corporation Ltd</t>
  </si>
  <si>
    <t xml:space="preserve">  Others</t>
  </si>
  <si>
    <t>Equity Investment in Mauritius Investment Corporation Ltd</t>
  </si>
  <si>
    <t>Computer Software</t>
  </si>
  <si>
    <t>Property, Plant and Equipment</t>
  </si>
  <si>
    <t>Other Assets</t>
  </si>
  <si>
    <t>LIABILITIES</t>
  </si>
  <si>
    <t>Demand Deposits:</t>
  </si>
  <si>
    <t xml:space="preserve">  Government</t>
  </si>
  <si>
    <t xml:space="preserve">  Banks</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</si>
  <si>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</si>
  <si>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</si>
  <si>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</si>
  <si>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</si>
  <si>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</si>
  <si>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</si>
  <si>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</si>
  <si>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Income</t>
  </si>
  <si>
    <t>TOTAL LIABILITIES, CAPITAL AND RESERVES</t>
  </si>
  <si>
    <t>Source: Accounting and Budgeting Division.</t>
  </si>
  <si>
    <r>
      <t xml:space="preserve">-14.7 </t>
    </r>
    <r>
      <rPr>
        <vertAlign val="superscript"/>
        <sz val="10.5"/>
        <color rgb="FF002060"/>
        <rFont val="Segoe UI"/>
        <family val="2"/>
      </rPr>
      <t>2</t>
    </r>
  </si>
  <si>
    <r>
      <t xml:space="preserve">-14.9 </t>
    </r>
    <r>
      <rPr>
        <vertAlign val="superscript"/>
        <sz val="10.5"/>
        <color rgb="FF002060"/>
        <rFont val="Segoe UI"/>
        <family val="2"/>
      </rPr>
      <t>2</t>
    </r>
  </si>
  <si>
    <r>
      <t xml:space="preserve">498,254 </t>
    </r>
    <r>
      <rPr>
        <vertAlign val="superscript"/>
        <sz val="10.5"/>
        <color rgb="FF002060"/>
        <rFont val="Segoe UI"/>
        <family val="2"/>
      </rPr>
      <t>2</t>
    </r>
  </si>
  <si>
    <r>
      <t xml:space="preserve">429,692 </t>
    </r>
    <r>
      <rPr>
        <vertAlign val="superscript"/>
        <sz val="10.5"/>
        <color rgb="FF002060"/>
        <rFont val="Segoe UI"/>
        <family val="2"/>
      </rPr>
      <t>2</t>
    </r>
  </si>
  <si>
    <r>
      <t>510,174</t>
    </r>
    <r>
      <rPr>
        <vertAlign val="superscript"/>
        <sz val="10.5"/>
        <color rgb="FF002060"/>
        <rFont val="Segoe UI"/>
        <family val="2"/>
      </rPr>
      <t xml:space="preserve"> ^2</t>
    </r>
  </si>
  <si>
    <r>
      <t>436,296</t>
    </r>
    <r>
      <rPr>
        <vertAlign val="superscript"/>
        <sz val="10.5"/>
        <color rgb="FF002060"/>
        <rFont val="Segoe UI"/>
        <family val="2"/>
      </rPr>
      <t xml:space="preserve"> ^2</t>
    </r>
  </si>
  <si>
    <r>
      <t xml:space="preserve">402,986 </t>
    </r>
    <r>
      <rPr>
        <vertAlign val="superscript"/>
        <sz val="10.5"/>
        <color rgb="FF002060"/>
        <rFont val="Segoe UI"/>
        <family val="2"/>
      </rPr>
      <t>^2</t>
    </r>
  </si>
  <si>
    <r>
      <t>344,622</t>
    </r>
    <r>
      <rPr>
        <vertAlign val="superscript"/>
        <sz val="10.5"/>
        <color rgb="FF002060"/>
        <rFont val="Segoe UI"/>
        <family val="2"/>
      </rPr>
      <t xml:space="preserve"> ^2</t>
    </r>
  </si>
  <si>
    <r>
      <t xml:space="preserve">-22,695 </t>
    </r>
    <r>
      <rPr>
        <vertAlign val="superscript"/>
        <sz val="10.5"/>
        <color rgb="FF002060"/>
        <rFont val="Segoe UI"/>
        <family val="2"/>
      </rPr>
      <t>2</t>
    </r>
  </si>
  <si>
    <r>
      <t xml:space="preserve">-36,800 </t>
    </r>
    <r>
      <rPr>
        <vertAlign val="superscript"/>
        <sz val="10.5"/>
        <color rgb="FF002060"/>
        <rFont val="Segoe UI"/>
        <family val="2"/>
      </rPr>
      <t>2</t>
    </r>
  </si>
  <si>
    <r>
      <t xml:space="preserve">-25,650 </t>
    </r>
    <r>
      <rPr>
        <vertAlign val="superscript"/>
        <sz val="10.5"/>
        <color rgb="FF002060"/>
        <rFont val="Segoe UI"/>
        <family val="2"/>
      </rPr>
      <t>2</t>
    </r>
  </si>
  <si>
    <r>
      <t>2019</t>
    </r>
    <r>
      <rPr>
        <b/>
        <vertAlign val="superscript"/>
        <sz val="11"/>
        <color rgb="FF002060"/>
        <rFont val="Segoe UI"/>
        <family val="2"/>
      </rPr>
      <t>3</t>
    </r>
  </si>
  <si>
    <t>2021</t>
  </si>
  <si>
    <r>
      <rPr>
        <i/>
        <vertAlign val="superscript"/>
        <sz val="10"/>
        <color rgb="FF002060"/>
        <rFont val="Segoe UI"/>
        <family val="2"/>
      </rPr>
      <t>3</t>
    </r>
    <r>
      <rPr>
        <i/>
        <sz val="10"/>
        <color rgb="FF002060"/>
        <rFont val="Segoe UI"/>
        <family val="2"/>
      </rPr>
      <t xml:space="preserve"> IMF's July 2021 WEO Update . </t>
    </r>
  </si>
  <si>
    <t>Table 3: Selected Global Stock Market Indices: 2017 to 2020 (Annual) and January 2019 to July 2021 (Monthly)</t>
  </si>
  <si>
    <t>Yearly average        2017</t>
  </si>
  <si>
    <t>2017                    January</t>
  </si>
  <si>
    <r>
      <t>2019</t>
    </r>
    <r>
      <rPr>
        <b/>
        <vertAlign val="superscript"/>
        <sz val="11"/>
        <color rgb="FF002060"/>
        <rFont val="Segoe UI"/>
        <family val="2"/>
      </rPr>
      <t xml:space="preserve">1 </t>
    </r>
    <r>
      <rPr>
        <b/>
        <sz val="11"/>
        <color rgb="FF002060"/>
        <rFont val="Segoe UI"/>
        <family val="2"/>
      </rPr>
      <t xml:space="preserve">                  January</t>
    </r>
  </si>
  <si>
    <r>
      <rPr>
        <i/>
        <vertAlign val="superscript"/>
        <sz val="12"/>
        <color rgb="FF002060"/>
        <rFont val="Segoe UI"/>
        <family val="2"/>
      </rPr>
      <t>1</t>
    </r>
    <r>
      <rPr>
        <i/>
        <sz val="12"/>
        <color rgb="FF002060"/>
        <rFont val="Segoe UI"/>
        <family val="2"/>
      </rPr>
      <t>End of month data.</t>
    </r>
  </si>
  <si>
    <t>Table 8: Exports and Imports by Product Group: 2017 to 2020 (Annual) and January 2019 to May 2021 (Monthly)</t>
  </si>
  <si>
    <r>
      <t>Table 11: Consumer Price Index (CPI) and Inflation Rates: January 2017 to July 2021</t>
    </r>
    <r>
      <rPr>
        <b/>
        <vertAlign val="superscript"/>
        <sz val="12"/>
        <color rgb="FF002060"/>
        <rFont val="Segoe UI"/>
        <family val="2"/>
      </rPr>
      <t xml:space="preserve"> 1</t>
    </r>
  </si>
  <si>
    <t>Please refer to the related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</si>
  <si>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</si>
  <si>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 xml:space="preserve">Feb-21 </t>
  </si>
  <si>
    <t xml:space="preserve">Mar-21 </t>
  </si>
  <si>
    <r>
      <t>Apr-21</t>
    </r>
    <r>
      <rPr>
        <b/>
        <vertAlign val="superscript"/>
        <sz val="11"/>
        <color rgb="FF002060"/>
        <rFont val="Segoe UI"/>
        <family val="2"/>
      </rPr>
      <t xml:space="preserve"> </t>
    </r>
  </si>
  <si>
    <t xml:space="preserve">May-21 </t>
  </si>
  <si>
    <t xml:space="preserve">Jun-21 </t>
  </si>
  <si>
    <t xml:space="preserve">Apr-21 </t>
  </si>
  <si>
    <r>
      <t>Feb-21</t>
    </r>
    <r>
      <rPr>
        <b/>
        <vertAlign val="superscript"/>
        <sz val="11"/>
        <color rgb="FF002060"/>
        <rFont val="Segoe UI"/>
        <family val="2"/>
      </rPr>
      <t xml:space="preserve"> </t>
    </r>
  </si>
  <si>
    <r>
      <t>Mar-21</t>
    </r>
    <r>
      <rPr>
        <b/>
        <vertAlign val="superscript"/>
        <sz val="11"/>
        <color rgb="FF002060"/>
        <rFont val="Segoe UI"/>
        <family val="2"/>
      </rPr>
      <t xml:space="preserve"> </t>
    </r>
  </si>
  <si>
    <t>3.10-7.85</t>
  </si>
  <si>
    <t>0.85-10.35</t>
  </si>
  <si>
    <t>2.80-7.85</t>
  </si>
  <si>
    <t>4.55-7.85</t>
  </si>
  <si>
    <t>3.25-8.85</t>
  </si>
  <si>
    <t>1.50-8.00</t>
  </si>
  <si>
    <t>7.85-10.35</t>
  </si>
  <si>
    <t>2.30-7.85</t>
  </si>
  <si>
    <t>3.70-7.85</t>
  </si>
  <si>
    <t>3.85-15.00</t>
  </si>
  <si>
    <t>1.00-15.00</t>
  </si>
  <si>
    <t>1.50-9.95</t>
  </si>
  <si>
    <t>4.60-15.00</t>
  </si>
  <si>
    <t>3.35-9.35</t>
  </si>
  <si>
    <t>3.75-7.85</t>
  </si>
  <si>
    <t>Table 25a: Banks' Interest Rates on New Rupee Deposits: June 2020 to June 2021</t>
  </si>
  <si>
    <r>
      <t>Table 25b: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June 2020 to June 2021</t>
    </r>
  </si>
  <si>
    <t>Apr-21</t>
  </si>
  <si>
    <t>May-21</t>
  </si>
  <si>
    <t>Jun-21</t>
  </si>
  <si>
    <r>
      <t>Table 27: NBDTIs* Loans to Other Nonfinancial Corporations, Households and Other Sectors</t>
    </r>
    <r>
      <rPr>
        <b/>
        <vertAlign val="superscript"/>
        <sz val="12"/>
        <color rgb="FF002060"/>
        <rFont val="Segoe UI"/>
        <family val="2"/>
      </rPr>
      <t>1</t>
    </r>
    <r>
      <rPr>
        <b/>
        <sz val="12"/>
        <color rgb="FF002060"/>
        <rFont val="Segoe UI"/>
        <family val="2"/>
      </rPr>
      <t xml:space="preserve"> as at end-June</t>
    </r>
    <r>
      <rPr>
        <b/>
        <vertAlign val="superscript"/>
        <sz val="12"/>
        <color rgb="FF002060"/>
        <rFont val="Segoe UI"/>
        <family val="2"/>
      </rPr>
      <t xml:space="preserve"> </t>
    </r>
    <r>
      <rPr>
        <b/>
        <sz val="12"/>
        <color rgb="FF002060"/>
        <rFont val="Segoe UI"/>
        <family val="2"/>
      </rPr>
      <t>2021</t>
    </r>
  </si>
  <si>
    <r>
      <t xml:space="preserve">60.2 </t>
    </r>
    <r>
      <rPr>
        <vertAlign val="superscript"/>
        <sz val="10.5"/>
        <color rgb="FF002060"/>
        <rFont val="Segoe UI"/>
        <family val="2"/>
      </rPr>
      <t>2</t>
    </r>
  </si>
  <si>
    <r>
      <t>Table 31: ODCs* Loans to Other Nonfinancial Corporations, Households and Other Sectors</t>
    </r>
    <r>
      <rPr>
        <b/>
        <vertAlign val="superscript"/>
        <sz val="12"/>
        <color rgb="FF002060"/>
        <rFont val="Segoe UI"/>
        <family val="2"/>
      </rPr>
      <t>1</t>
    </r>
    <r>
      <rPr>
        <b/>
        <sz val="12"/>
        <color rgb="FF002060"/>
        <rFont val="Segoe UI"/>
        <family val="2"/>
      </rPr>
      <t xml:space="preserve"> as at end-June 2021</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</si>
  <si>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</si>
  <si>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</si>
  <si>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32: ODCs* Loans to Other Nonfinancial Corporations, Households and Other Sectors</t>
    </r>
    <r>
      <rPr>
        <b/>
        <vertAlign val="superscript"/>
        <sz val="12"/>
        <color rgb="FF002060"/>
        <rFont val="Segoe UI"/>
        <family val="2"/>
      </rPr>
      <t>1</t>
    </r>
    <r>
      <rPr>
        <b/>
        <sz val="12"/>
        <color rgb="FF002060"/>
        <rFont val="Segoe UI"/>
        <family val="2"/>
      </rPr>
      <t>: June 2020 to June 2021</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</si>
  <si>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</si>
  <si>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</si>
  <si>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33: Maintenance of Cash Reserve Ratio (CRR) by Banks</t>
    </r>
    <r>
      <rPr>
        <b/>
        <vertAlign val="superscript"/>
        <sz val="12"/>
        <color rgb="FF002060"/>
        <rFont val="Segoe UI"/>
        <family val="2"/>
      </rPr>
      <t>1</t>
    </r>
    <r>
      <rPr>
        <b/>
        <sz val="12"/>
        <color rgb="FF002060"/>
        <rFont val="Segoe UI"/>
        <family val="2"/>
      </rPr>
      <t>: 30 July 2020 to 29 July 2021</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</si>
  <si>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</si>
  <si>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</si>
  <si>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</si>
  <si>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</si>
  <si>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</si>
  <si>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</si>
  <si>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</si>
  <si>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</si>
  <si>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</si>
  <si>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</si>
  <si>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</si>
  <si>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</si>
  <si>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</si>
  <si>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</si>
  <si>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</si>
  <si>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</si>
  <si>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</si>
  <si>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</si>
  <si>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</si>
  <si>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</si>
  <si>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</si>
  <si>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</si>
  <si>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</si>
  <si>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</si>
  <si>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</si>
  <si>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t xml:space="preserve">Notes: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</si>
  <si>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</si>
  <si>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</si>
  <si>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</si>
  <si>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</si>
  <si>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</si>
  <si>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</si>
  <si>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</si>
  <si>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</si>
  <si>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</si>
  <si>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34: Maturity Pattern of  Banks' Foreign Currency Deposits</t>
    </r>
    <r>
      <rPr>
        <b/>
        <vertAlign val="superscript"/>
        <sz val="12"/>
        <color indexed="56"/>
        <rFont val="Segoe UI"/>
        <family val="2"/>
      </rPr>
      <t>1</t>
    </r>
    <r>
      <rPr>
        <b/>
        <sz val="12"/>
        <color indexed="56"/>
        <rFont val="Segoe UI"/>
        <family val="2"/>
      </rPr>
      <t>: As at end-March 2021</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</si>
  <si>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</si>
  <si>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</si>
  <si>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</si>
  <si>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</si>
  <si>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</si>
  <si>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</si>
  <si>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</si>
  <si>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</si>
  <si>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</si>
  <si>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</si>
  <si>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</si>
  <si>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</si>
  <si>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</si>
  <si>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</si>
  <si>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</si>
  <si>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</si>
  <si>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</si>
  <si>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</si>
  <si>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</si>
  <si>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</si>
  <si>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</si>
  <si>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</si>
  <si>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</si>
  <si>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</si>
  <si>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</si>
  <si>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</si>
  <si>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</si>
  <si>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</si>
  <si>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March 2021</t>
    </r>
  </si>
  <si>
    <t>Core Set of Financial Soundness Indicators (FSIs)</t>
  </si>
  <si>
    <t>Sep-18</t>
  </si>
  <si>
    <t>Dec-18</t>
  </si>
  <si>
    <t>Mar-19</t>
  </si>
  <si>
    <t>June-19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</si>
  <si>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</si>
  <si>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</si>
  <si>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</si>
  <si>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</si>
  <si>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</si>
  <si>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</si>
  <si>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</si>
  <si>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</si>
  <si>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</si>
  <si>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</si>
  <si>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</si>
  <si>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</si>
  <si>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</si>
  <si>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</si>
  <si>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</si>
  <si>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</si>
  <si>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</si>
  <si>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</si>
  <si>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</si>
  <si>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</si>
  <si>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</si>
  <si>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</si>
  <si>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</si>
  <si>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</si>
  <si>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</si>
  <si>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</si>
  <si>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</si>
  <si>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</si>
  <si>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</si>
  <si>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</si>
  <si>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</si>
  <si>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</si>
  <si>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</si>
  <si>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</si>
  <si>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</si>
  <si>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</si>
  <si>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</si>
  <si>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</si>
  <si>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</si>
  <si>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</si>
  <si>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</si>
  <si>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</si>
  <si>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</si>
  <si>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</si>
  <si>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Table 36: Currency in Circulation: July 2020 to July 2021</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</si>
  <si>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</si>
  <si>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</si>
  <si>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</si>
  <si>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</si>
  <si>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</si>
  <si>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</si>
  <si>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</si>
  <si>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</si>
  <si>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</si>
  <si>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</si>
  <si>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</si>
  <si>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</si>
  <si>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</si>
  <si>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</si>
  <si>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</si>
  <si>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</si>
  <si>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</si>
  <si>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</si>
  <si>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</si>
  <si>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</si>
  <si>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</si>
  <si>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</si>
  <si>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</si>
  <si>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</si>
  <si>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</si>
  <si>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</si>
  <si>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</si>
  <si>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</si>
  <si>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</si>
  <si>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</si>
  <si>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 xml:space="preserve"> </t>
  </si>
  <si>
    <t>Table 37: Cheque Clearance: January 2019 to July 2021</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</si>
  <si>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</si>
  <si>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</si>
  <si>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</si>
  <si>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</si>
  <si>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</si>
  <si>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</si>
  <si>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</si>
  <si>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</si>
  <si>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</si>
  <si>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</si>
  <si>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</si>
  <si>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38a: Mauritius Automated Clearing and Settlement System (MACSS)*</t>
  </si>
  <si>
    <t>Rupee Transactions: January 2019 to July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</si>
  <si>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</si>
  <si>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</si>
  <si>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</si>
  <si>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</si>
  <si>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</si>
  <si>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38b: Mauritius Automated Clearing and Settlement System (MACSS)</t>
  </si>
  <si>
    <r>
      <t xml:space="preserve">Foreign Currency Transactions: January 2019 to July 2021  </t>
    </r>
    <r>
      <rPr>
        <b/>
        <sz val="12"/>
        <color indexed="56"/>
        <rFont val="Segoe UI"/>
        <family val="2"/>
      </rPr>
      <t>(in foreign currency)</t>
    </r>
  </si>
  <si>
    <t>US Dollar</t>
  </si>
  <si>
    <t>Pound Sterling</t>
  </si>
  <si>
    <t>Swiss Franc</t>
  </si>
  <si>
    <t>South African Rand</t>
  </si>
  <si>
    <t>Jan-11*</t>
  </si>
  <si>
    <t>Mar-12*</t>
  </si>
  <si>
    <r>
      <t xml:space="preserve">Table 39: Card Transactions: June 2020 to June 2021 </t>
    </r>
    <r>
      <rPr>
        <b/>
        <vertAlign val="superscript"/>
        <sz val="12"/>
        <color rgb="FF002060"/>
        <rFont val="Segoe UI"/>
        <family val="2"/>
      </rPr>
      <t>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</si>
  <si>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</si>
  <si>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</si>
  <si>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</si>
  <si>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</si>
  <si>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</si>
  <si>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</si>
  <si>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</si>
  <si>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</si>
  <si>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</si>
  <si>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</si>
  <si>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</si>
  <si>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</si>
  <si>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Table 40: Internet Banking Transactions: June 2020 to June 2021</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</si>
  <si>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</si>
  <si>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</si>
  <si>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</si>
  <si>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</si>
  <si>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41: Mobile Banking and Mobile Payments </t>
    </r>
    <r>
      <rPr>
        <b/>
        <vertAlign val="superscript"/>
        <sz val="12"/>
        <color rgb="FF002060"/>
        <rFont val="Segoe UI"/>
        <family val="2"/>
      </rPr>
      <t>1&amp;2</t>
    </r>
    <r>
      <rPr>
        <b/>
        <sz val="12"/>
        <color rgb="FF002060"/>
        <rFont val="Segoe UI"/>
        <family val="2"/>
      </rPr>
      <t>: June 2020 to June 2021</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</si>
  <si>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</si>
  <si>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</si>
  <si>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</si>
  <si>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</si>
  <si>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</si>
  <si>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</si>
  <si>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</si>
  <si>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</si>
  <si>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42: Assets and Liabilities of Non-Bank Deposit Taking Leasing Companies </t>
    </r>
    <r>
      <rPr>
        <b/>
        <vertAlign val="superscript"/>
        <sz val="12"/>
        <color rgb="FF002060"/>
        <rFont val="Segoe UI"/>
        <family val="2"/>
      </rPr>
      <t>1</t>
    </r>
    <r>
      <rPr>
        <b/>
        <sz val="12"/>
        <color rgb="FF002060"/>
        <rFont val="Segoe UI"/>
        <family val="2"/>
      </rPr>
      <t>: June 2020 - June 2021</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</si>
  <si>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</si>
  <si>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</si>
  <si>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</si>
  <si>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</si>
  <si>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</si>
  <si>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</si>
  <si>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</si>
  <si>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</si>
  <si>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</si>
  <si>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</si>
  <si>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</si>
  <si>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</si>
  <si>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</si>
  <si>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t xml:space="preserve">Mauritian Eagle Leasing Company Limited and Cim Finance Ltd had surrendered their Deposit Taking Business Licence with effect from 17 January 2020 and 10 February 2020 respectively. </t>
  </si>
  <si>
    <r>
      <t>Table 43: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2014 - June 2021</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</si>
  <si>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</si>
  <si>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</si>
  <si>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</si>
  <si>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</si>
  <si>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</si>
  <si>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</si>
  <si>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</si>
  <si>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</si>
  <si>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</si>
  <si>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</si>
  <si>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</si>
  <si>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</si>
  <si>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</si>
  <si>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</si>
  <si>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</si>
  <si>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</si>
  <si>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t xml:space="preserve"> Source: Supervision Department.</t>
  </si>
  <si>
    <t>Table 44: Sectorwise Distribution of Credit to Non-Residents: June 2021</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</si>
  <si>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</si>
  <si>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</si>
  <si>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</si>
  <si>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</si>
  <si>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</si>
  <si>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</si>
  <si>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</si>
  <si>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</si>
  <si>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</si>
  <si>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</si>
  <si>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</si>
  <si>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</si>
  <si>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</si>
  <si>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</si>
  <si>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</si>
  <si>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</si>
  <si>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</si>
  <si>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</si>
  <si>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</si>
  <si>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</si>
  <si>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</si>
  <si>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</si>
  <si>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</si>
  <si>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</si>
  <si>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</si>
  <si>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</si>
  <si>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 xml:space="preserve">Table 45a: Auctions of Government of Mauritius Treasury Bills: June 2021 and July 2021 </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</si>
  <si>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</si>
  <si>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</si>
  <si>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</si>
  <si>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</si>
  <si>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</si>
  <si>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</si>
  <si>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</si>
  <si>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</si>
  <si>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45b: Auctions of Government of Mauritius Treasury Bills: July 2020 to July 2021</t>
  </si>
  <si>
    <t>Amount of Bills put on Tender</t>
  </si>
  <si>
    <t>Total Value of Bids Received</t>
  </si>
  <si>
    <t xml:space="preserve">     91-day</t>
  </si>
  <si>
    <t xml:space="preserve">    119-day*</t>
  </si>
  <si>
    <t xml:space="preserve">    182-day</t>
  </si>
  <si>
    <t xml:space="preserve">    364-day</t>
  </si>
  <si>
    <t>Total Value of Bids Accepted</t>
  </si>
  <si>
    <t>Table 45c: Weighted Average Yields on Government of Mauritius Treasury Bills/Bank of Mauritius Bills: July 2020 to July 2021</t>
  </si>
  <si>
    <t>Weighted Average Yield</t>
  </si>
  <si>
    <t>Overall Weighted Yield</t>
  </si>
  <si>
    <t>Table 46a: Auctions of Bank of Mauritius Bills: June 2021 and July 2021</t>
  </si>
  <si>
    <t xml:space="preserve">                (Rs million)</t>
  </si>
  <si>
    <t>Table 46b: Auctions of Bank of Mauritius Bills: July 2020 to July 2021</t>
  </si>
  <si>
    <t>Note: Effective 12 May 2017, GMTBs and BOM Bills are issued through separate auctions.</t>
  </si>
  <si>
    <t xml:space="preserve">        </t>
  </si>
  <si>
    <t xml:space="preserve">Table 47: Weighted Average Yields on Government of Mauritius Treasury Bills/Bank of Mauritius Bills: July 2021 </t>
  </si>
  <si>
    <t>Weighted Yield for :</t>
  </si>
  <si>
    <t xml:space="preserve">91-day </t>
  </si>
  <si>
    <t xml:space="preserve">182-day </t>
  </si>
  <si>
    <t xml:space="preserve">364-day </t>
  </si>
  <si>
    <t xml:space="preserve">Table 48a: Auctions of Government of Mauritius Notes and Bonds </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</si>
  <si>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</si>
  <si>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</si>
  <si>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</si>
  <si>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</si>
  <si>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</si>
  <si>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</si>
  <si>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</si>
  <si>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</si>
  <si>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30-Jun-21</t>
    </r>
    <r>
      <rPr>
        <b/>
        <vertAlign val="superscript"/>
        <sz val="11"/>
        <color rgb="FF002060"/>
        <rFont val="Segoe UI"/>
        <family val="2"/>
      </rPr>
      <t>3</t>
    </r>
  </si>
  <si>
    <t>27-Jul-21⁴</t>
  </si>
  <si>
    <r>
      <t>23-Jun-21</t>
    </r>
    <r>
      <rPr>
        <b/>
        <vertAlign val="superscript"/>
        <sz val="11"/>
        <color rgb="FF002060"/>
        <rFont val="Segoe UI"/>
        <family val="2"/>
      </rPr>
      <t>5</t>
    </r>
  </si>
  <si>
    <r>
      <t>23-Jun-21</t>
    </r>
    <r>
      <rPr>
        <b/>
        <vertAlign val="superscript"/>
        <sz val="11"/>
        <color rgb="FF002060"/>
        <rFont val="Segoe UI"/>
        <family val="2"/>
      </rPr>
      <t>6</t>
    </r>
  </si>
  <si>
    <r>
      <t>18-Jun-21</t>
    </r>
    <r>
      <rPr>
        <b/>
        <vertAlign val="superscript"/>
        <sz val="11"/>
        <color rgb="FF002060"/>
        <rFont val="Segoe UI"/>
        <family val="2"/>
      </rPr>
      <t>7</t>
    </r>
  </si>
  <si>
    <r>
      <t>28-May-21</t>
    </r>
    <r>
      <rPr>
        <b/>
        <vertAlign val="superscript"/>
        <sz val="11"/>
        <color rgb="FF002060"/>
        <rFont val="Segoe UI"/>
        <family val="2"/>
      </rPr>
      <t>8</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</si>
  <si>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</si>
  <si>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</si>
  <si>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</si>
  <si>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</si>
  <si>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</si>
  <si>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</si>
  <si>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</si>
  <si>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</si>
  <si>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</si>
  <si>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Re-Opening 1.85% 3-Year Government of Mauritius Treasury Notes maturing on 4 June 2024.</t>
    </r>
  </si>
  <si>
    <r>
      <rPr>
        <i/>
        <vertAlign val="superscript"/>
        <sz val="10"/>
        <color rgb="FF002060"/>
        <rFont val="Segoe UI"/>
        <family val="2"/>
      </rPr>
      <t>4</t>
    </r>
    <r>
      <rPr>
        <i/>
        <sz val="10"/>
        <color rgb="FF002060"/>
        <rFont val="Segoe UI"/>
        <family val="2"/>
      </rPr>
      <t xml:space="preserve"> New Benchmark 2.02% 3-Year Government of Mauritius Treasury Notes maturing on 27 July 2024.</t>
    </r>
  </si>
  <si>
    <r>
      <rPr>
        <vertAlign val="superscript"/>
        <sz val="10"/>
        <color rgb="FF002060"/>
        <rFont val="Segoe UI"/>
        <family val="2"/>
      </rPr>
      <t>5</t>
    </r>
    <r>
      <rPr>
        <i/>
        <sz val="10"/>
        <color rgb="FF002060"/>
        <rFont val="Segoe UI"/>
        <family val="2"/>
      </rPr>
      <t xml:space="preserve"> New Benchmark 3.10% 5-Year Government of Mauritius Bonds maturing on 23 June 2026.</t>
    </r>
  </si>
  <si>
    <r>
      <rPr>
        <vertAlign val="superscript"/>
        <sz val="10"/>
        <color rgb="FF002060"/>
        <rFont val="Segoe UI"/>
        <family val="2"/>
      </rPr>
      <t>6</t>
    </r>
    <r>
      <rPr>
        <sz val="10"/>
        <color rgb="FF002060"/>
        <rFont val="Segoe UI"/>
        <family val="2"/>
      </rPr>
      <t xml:space="preserve"> </t>
    </r>
    <r>
      <rPr>
        <i/>
        <sz val="10"/>
        <color rgb="FF002060"/>
        <rFont val="Segoe UI"/>
        <family val="2"/>
      </rPr>
      <t>Counter-Offer of 3.10% 5-Year Government of Mauritius Bonds maturing on 23 June 2026.</t>
    </r>
  </si>
  <si>
    <r>
      <rPr>
        <vertAlign val="superscript"/>
        <sz val="10"/>
        <color rgb="FF002060"/>
        <rFont val="Segoe UI"/>
        <family val="2"/>
      </rPr>
      <t>7</t>
    </r>
    <r>
      <rPr>
        <i/>
        <sz val="10"/>
        <color rgb="FF002060"/>
        <rFont val="Segoe UI"/>
        <family val="2"/>
      </rPr>
      <t xml:space="preserve"> Counter-Offer 4.17% 15-Year Government of Mauritius Bonds maturing on 18 June 2036.</t>
    </r>
  </si>
  <si>
    <r>
      <rPr>
        <vertAlign val="superscript"/>
        <sz val="10"/>
        <color rgb="FF002060"/>
        <rFont val="Segoe UI"/>
        <family val="2"/>
      </rPr>
      <t>8</t>
    </r>
    <r>
      <rPr>
        <i/>
        <sz val="10"/>
        <color rgb="FF002060"/>
        <rFont val="Segoe UI"/>
        <family val="2"/>
      </rPr>
      <t xml:space="preserve"> Counter Offer of 4.17% 20-Year Government of Mauritius Bonds maturing on 28 May 2041.</t>
    </r>
  </si>
  <si>
    <t xml:space="preserve">Table 48b: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</si>
  <si>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</si>
  <si>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</si>
  <si>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</si>
  <si>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</si>
  <si>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</si>
  <si>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</si>
  <si>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</si>
  <si>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</si>
  <si>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</si>
  <si>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</si>
  <si>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</si>
  <si>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</si>
  <si>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49a: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</si>
  <si>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</si>
  <si>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</si>
  <si>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</si>
  <si>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</si>
  <si>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</si>
  <si>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</si>
  <si>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</si>
  <si>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</si>
  <si>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</si>
  <si>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</si>
  <si>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</si>
  <si>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</si>
  <si>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</si>
  <si>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</si>
  <si>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</si>
  <si>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</si>
  <si>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</si>
  <si>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</si>
  <si>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</si>
  <si>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</si>
  <si>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</si>
  <si>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</si>
  <si>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</si>
  <si>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</si>
  <si>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</si>
  <si>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</si>
  <si>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t>94.241</t>
  </si>
  <si>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</si>
  <si>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</si>
  <si>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</si>
  <si>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</si>
  <si>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</si>
  <si>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</si>
  <si>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t>Table 49b: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</si>
  <si>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</si>
  <si>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</si>
  <si>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</si>
  <si>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</si>
  <si>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</si>
  <si>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June 2021.</t>
  </si>
  <si>
    <t>** Issued at a fixed rate of 1.70% p.a.</t>
  </si>
  <si>
    <t>Table 50: Buyback Auction of Government of Mauritius Securities: October 2019 and November 2019</t>
  </si>
  <si>
    <t xml:space="preserve"> 04 October 2019 - Rs500 mn</t>
  </si>
  <si>
    <t xml:space="preserve"> 11 October 2019 -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</si>
  <si>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</si>
  <si>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</si>
  <si>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</si>
  <si>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</si>
  <si>
    <r>
      <t>3Y-GMTNotes</t>
    </r>
    <r>
      <rPr>
        <b/>
        <vertAlign val="superscript"/>
        <sz val="11"/>
        <color rgb="FF002060"/>
        <rFont val="Segoe UI"/>
        <family val="2"/>
      </rPr>
      <t xml:space="preserve"> 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</si>
  <si>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</si>
  <si>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</si>
  <si>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</si>
  <si>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</si>
  <si>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2.90% 3-Year Government of Mauritius Treasury Notes due on 17 February 2020.</t>
    </r>
  </si>
  <si>
    <r>
      <rPr>
        <i/>
        <vertAlign val="superscript"/>
        <sz val="10"/>
        <color rgb="FF002060"/>
        <rFont val="Segoe UI"/>
        <family val="2"/>
      </rPr>
      <t>2</t>
    </r>
    <r>
      <rPr>
        <i/>
        <sz val="10"/>
        <color rgb="FF002060"/>
        <rFont val="Segoe UI"/>
        <family val="2"/>
      </rPr>
      <t xml:space="preserve"> 3.95% 5-Year Government of Mauritius Bonds due on 14 November 2019.</t>
    </r>
  </si>
  <si>
    <t>Table 51: Outstanding Government of Mauritius Securities:  July 2020 to July 2021</t>
  </si>
  <si>
    <t xml:space="preserve">Treasury Bills  </t>
  </si>
  <si>
    <t>Treasury Certificates</t>
  </si>
  <si>
    <t>Treasury Notes</t>
  </si>
  <si>
    <t>5-Year GoM Bonds</t>
  </si>
  <si>
    <t xml:space="preserve">MDLS/GOM Bonds  </t>
  </si>
  <si>
    <t>Silver Bonds</t>
  </si>
  <si>
    <t>Table 52: Maturity Structure of Government of Mauritius Securities outstanding at end July 2021</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</si>
  <si>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</si>
  <si>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</si>
  <si>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</si>
  <si>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</si>
  <si>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</si>
  <si>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</si>
  <si>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</si>
  <si>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</si>
  <si>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</si>
  <si>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</si>
  <si>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</si>
  <si>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</si>
  <si>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</si>
  <si>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</si>
  <si>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</si>
  <si>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</si>
  <si>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</si>
  <si>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</si>
  <si>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</si>
  <si>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</si>
  <si>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</si>
  <si>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 xml:space="preserve">Figures include: </t>
  </si>
  <si>
    <t>Government of Mauritius Silver Retirement and Savings Bonds with no fixed maturity date.</t>
  </si>
  <si>
    <t>Table 53a: Secondary Market Transactions by Counterparty: July 2021</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</si>
  <si>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</si>
  <si>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</si>
  <si>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</si>
  <si>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</si>
  <si>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</si>
  <si>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</si>
  <si>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</si>
  <si>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</si>
  <si>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</si>
  <si>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</si>
  <si>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</si>
  <si>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</si>
  <si>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53b: Weekly Secondary Market Transactions: July 2021</t>
  </si>
  <si>
    <t>Value</t>
  </si>
  <si>
    <t>01 - 02 July</t>
  </si>
  <si>
    <t>05 - 09 July</t>
  </si>
  <si>
    <t>12 - 16 July</t>
  </si>
  <si>
    <t>19 - 23 July</t>
  </si>
  <si>
    <t>26 - 30 July</t>
  </si>
  <si>
    <t xml:space="preserve">Table 53c: Secondary Market Yields by Residual Days to Maturity: July 2021 </t>
  </si>
  <si>
    <t>Residual days to maturity</t>
  </si>
  <si>
    <t xml:space="preserve">Amount traded </t>
  </si>
  <si>
    <t xml:space="preserve">Range </t>
  </si>
  <si>
    <t xml:space="preserve">  (Rs million)</t>
  </si>
  <si>
    <t>Up to 91 days</t>
  </si>
  <si>
    <t>0.35-0.80</t>
  </si>
  <si>
    <t>Between 92 and 182 days</t>
  </si>
  <si>
    <t>0.57-1.15</t>
  </si>
  <si>
    <t>Between 183 and 364 days</t>
  </si>
  <si>
    <t>0.69-1.40</t>
  </si>
  <si>
    <t>Between 1 and 3 years</t>
  </si>
  <si>
    <t>0.85-2.35</t>
  </si>
  <si>
    <t>Between 3 and 5 years</t>
  </si>
  <si>
    <t>Between 5 and 10 years</t>
  </si>
  <si>
    <t>2.98-4.25</t>
  </si>
  <si>
    <t>More than 10 years</t>
  </si>
  <si>
    <t>3.90-4.70</t>
  </si>
  <si>
    <t>0.35-4.70</t>
  </si>
  <si>
    <t>Table 54: Secondary Market Activity: July 2020 to July 2021</t>
  </si>
  <si>
    <r>
      <t xml:space="preserve">Holdings of SMC </t>
    </r>
    <r>
      <rPr>
        <b/>
        <vertAlign val="superscript"/>
        <sz val="11"/>
        <color rgb="FF002060"/>
        <rFont val="Segoe UI"/>
        <family val="2"/>
      </rPr>
      <t>1</t>
    </r>
    <r>
      <rPr>
        <b/>
        <sz val="11"/>
        <color rgb="FF002060"/>
        <rFont val="Segoe UI"/>
        <family val="2"/>
      </rPr>
      <t xml:space="preserve"> as at end of period</t>
    </r>
  </si>
  <si>
    <r>
      <t xml:space="preserve">Amount of Securities transacted outside SMC </t>
    </r>
    <r>
      <rPr>
        <b/>
        <vertAlign val="superscript"/>
        <sz val="11"/>
        <color rgb="FF002060"/>
        <rFont val="Segoe UI"/>
        <family val="2"/>
      </rPr>
      <t>2</t>
    </r>
  </si>
  <si>
    <t>Total amount of secondary market transactions</t>
  </si>
  <si>
    <t>1-2 July</t>
  </si>
  <si>
    <t>5-9 July</t>
  </si>
  <si>
    <t>12-16 July</t>
  </si>
  <si>
    <t>19-23 July</t>
  </si>
  <si>
    <t>26-30 July</t>
  </si>
  <si>
    <r>
      <rPr>
        <i/>
        <vertAlign val="superscript"/>
        <sz val="10"/>
        <color rgb="FF002060"/>
        <rFont val="Segoe UI"/>
        <family val="2"/>
      </rPr>
      <t>1</t>
    </r>
    <r>
      <rPr>
        <i/>
        <sz val="10"/>
        <color rgb="FF002060"/>
        <rFont val="Segoe UI"/>
        <family val="2"/>
      </rPr>
      <t xml:space="preserve"> SMC: Secondary Market Cell of the Bank of Mauritius.  </t>
    </r>
  </si>
  <si>
    <r>
      <rPr>
        <i/>
        <vertAlign val="superscript"/>
        <sz val="10"/>
        <color rgb="FF002060"/>
        <rFont val="Segoe UI"/>
        <family val="2"/>
      </rPr>
      <t xml:space="preserve">2 </t>
    </r>
    <r>
      <rPr>
        <i/>
        <sz val="10"/>
        <color rgb="FF002060"/>
        <rFont val="Segoe UI"/>
        <family val="2"/>
      </rPr>
      <t xml:space="preserve">Includes Transactions by Primary Dealers.  </t>
    </r>
  </si>
  <si>
    <t>Source:  Accounting and Budgeting Division.</t>
  </si>
  <si>
    <t xml:space="preserve">Table 55a: Transactions on the Interbank Money Market: July 2019 to July 2021 </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</si>
  <si>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</si>
  <si>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</si>
  <si>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</si>
  <si>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</si>
  <si>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</si>
  <si>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</si>
  <si>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</si>
  <si>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</si>
  <si>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</si>
  <si>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</si>
  <si>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</si>
  <si>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</si>
  <si>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</si>
  <si>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Jul</t>
  </si>
  <si>
    <t>0.30-0.45</t>
  </si>
  <si>
    <t>02 - 08 Jul</t>
  </si>
  <si>
    <t>09 - 15 Jul</t>
  </si>
  <si>
    <t>16 - 22 Jul</t>
  </si>
  <si>
    <t>0.25-0.30</t>
  </si>
  <si>
    <t>23 - 29 Jul</t>
  </si>
  <si>
    <t>0.30-0.40</t>
  </si>
  <si>
    <t>30 - 31 Jul</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</si>
  <si>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</si>
  <si>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</si>
  <si>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</si>
  <si>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</si>
  <si>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</si>
  <si>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</si>
  <si>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</si>
  <si>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</si>
  <si>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</si>
  <si>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</si>
  <si>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</si>
  <si>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</si>
  <si>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</si>
  <si>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</si>
  <si>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</si>
  <si>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</si>
  <si>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</si>
  <si>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</si>
  <si>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</si>
  <si>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</si>
  <si>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</si>
  <si>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</si>
  <si>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</si>
  <si>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</si>
  <si>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</si>
  <si>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</si>
  <si>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</si>
  <si>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</si>
  <si>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</si>
  <si>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</si>
  <si>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</si>
  <si>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</si>
  <si>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</si>
  <si>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</si>
  <si>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</si>
  <si>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</si>
  <si>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</si>
  <si>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</si>
  <si>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</si>
  <si>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</si>
  <si>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</si>
  <si>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</si>
  <si>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</si>
  <si>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</si>
  <si>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</si>
  <si>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</si>
  <si>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7.50-8.50</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</si>
  <si>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</si>
  <si>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</si>
  <si>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</si>
  <si>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</si>
  <si>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</si>
  <si>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</si>
  <si>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</si>
  <si>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</si>
  <si>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</si>
  <si>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</si>
  <si>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</si>
  <si>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</si>
  <si>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</si>
  <si>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</si>
  <si>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</si>
  <si>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</si>
  <si>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</si>
  <si>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</si>
  <si>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</si>
  <si>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</si>
  <si>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</si>
  <si>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</si>
  <si>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</si>
  <si>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</si>
  <si>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</si>
  <si>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</si>
  <si>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</si>
  <si>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</si>
  <si>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</si>
  <si>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</si>
  <si>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</si>
  <si>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</si>
  <si>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</si>
  <si>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</si>
  <si>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</si>
  <si>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</si>
  <si>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</si>
  <si>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</si>
  <si>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</si>
  <si>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</si>
  <si>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</si>
  <si>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</si>
  <si>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</si>
  <si>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</si>
  <si>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</si>
  <si>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</si>
  <si>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</si>
  <si>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</si>
  <si>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</si>
  <si>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</si>
  <si>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</si>
  <si>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</si>
  <si>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</si>
  <si>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</si>
  <si>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</si>
  <si>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</si>
  <si>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</si>
  <si>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</si>
  <si>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</si>
  <si>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</si>
  <si>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</si>
  <si>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</si>
  <si>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</si>
  <si>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</si>
  <si>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</si>
  <si>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</si>
  <si>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</si>
  <si>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</si>
  <si>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</si>
  <si>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</si>
  <si>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</si>
  <si>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</si>
  <si>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</si>
  <si>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</si>
  <si>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</si>
  <si>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</si>
  <si>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</si>
  <si>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</si>
  <si>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</si>
  <si>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</si>
  <si>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</si>
  <si>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</si>
  <si>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</si>
  <si>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</si>
  <si>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</si>
  <si>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</si>
  <si>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</si>
  <si>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</si>
  <si>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</si>
  <si>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</si>
  <si>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</si>
  <si>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</si>
  <si>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</si>
  <si>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</si>
  <si>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</si>
  <si>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</si>
  <si>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</si>
  <si>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</si>
  <si>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</si>
  <si>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</si>
  <si>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</si>
  <si>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</si>
  <si>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</si>
  <si>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</si>
  <si>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</si>
  <si>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</si>
  <si>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</si>
  <si>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</si>
  <si>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</si>
  <si>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</si>
  <si>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</si>
  <si>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</si>
  <si>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</si>
  <si>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</si>
  <si>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</si>
  <si>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</si>
  <si>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</si>
  <si>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</si>
  <si>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 xml:space="preserve">Table 55b: Repo Transactions on the Interbank Money Market: July 2019 to July 2021 </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</si>
  <si>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</si>
  <si>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</si>
  <si>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</si>
  <si>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</si>
  <si>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</si>
  <si>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</si>
  <si>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</si>
  <si>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</si>
  <si>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Note1: Interest Rate applicable as from 21.03.2020</t>
  </si>
  <si>
    <t>Table 56: Transactions on the Interbank Foreign Exchange Market: July 2019 to July 2021</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</si>
  <si>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</si>
  <si>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</si>
  <si>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</si>
  <si>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</si>
  <si>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</si>
  <si>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</si>
  <si>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</si>
  <si>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</si>
  <si>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</si>
  <si>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</si>
  <si>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</si>
  <si>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</si>
  <si>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</si>
  <si>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</si>
  <si>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</si>
  <si>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42.5500-42.8667</t>
  </si>
  <si>
    <t>42.5143-43.2000</t>
  </si>
  <si>
    <t>42.5294-43.1642</t>
  </si>
  <si>
    <t>42.6111-43.2000</t>
  </si>
  <si>
    <t>42.6500-43.1348</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</si>
  <si>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</si>
  <si>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</si>
  <si>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</si>
  <si>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</si>
  <si>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</si>
  <si>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</si>
  <si>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</si>
  <si>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</si>
  <si>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</si>
  <si>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</si>
  <si>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</si>
  <si>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</si>
  <si>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</si>
  <si>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</si>
  <si>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</si>
  <si>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</si>
  <si>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</si>
  <si>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</si>
  <si>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</si>
  <si>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</si>
  <si>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</si>
  <si>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</si>
  <si>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</si>
  <si>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</si>
  <si>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</si>
  <si>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</si>
  <si>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</si>
  <si>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</si>
  <si>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</si>
  <si>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</si>
  <si>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</si>
  <si>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</si>
  <si>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</si>
  <si>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</si>
  <si>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</si>
  <si>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</si>
  <si>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</si>
  <si>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</si>
  <si>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</si>
  <si>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</si>
  <si>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</si>
  <si>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</si>
  <si>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</si>
  <si>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</si>
  <si>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</si>
  <si>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</si>
  <si>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</si>
  <si>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</si>
  <si>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</si>
  <si>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</si>
  <si>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</si>
  <si>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</si>
  <si>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</si>
  <si>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</si>
  <si>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</si>
  <si>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</si>
  <si>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</si>
  <si>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</si>
  <si>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</si>
  <si>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</si>
  <si>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</si>
  <si>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</si>
  <si>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</si>
  <si>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</si>
  <si>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</si>
  <si>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</si>
  <si>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</si>
  <si>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</si>
  <si>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</si>
  <si>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</si>
  <si>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</si>
  <si>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</si>
  <si>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</si>
  <si>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</si>
  <si>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</si>
  <si>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</si>
  <si>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</si>
  <si>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</si>
  <si>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</si>
  <si>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</si>
  <si>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</si>
  <si>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</si>
  <si>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</si>
  <si>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</si>
  <si>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</si>
  <si>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</si>
  <si>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</si>
  <si>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</si>
  <si>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</si>
  <si>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</si>
  <si>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</si>
  <si>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</si>
  <si>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</si>
  <si>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</si>
  <si>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</si>
  <si>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</si>
  <si>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</si>
  <si>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</si>
  <si>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</si>
  <si>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</si>
  <si>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</si>
  <si>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</si>
  <si>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</si>
  <si>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</si>
  <si>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</si>
  <si>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</si>
  <si>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</si>
  <si>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</si>
  <si>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</si>
  <si>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</si>
  <si>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</si>
  <si>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</si>
  <si>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</si>
  <si>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</si>
  <si>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</si>
  <si>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</si>
  <si>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</si>
  <si>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</si>
  <si>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</si>
  <si>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</si>
  <si>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</si>
  <si>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</si>
  <si>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</si>
  <si>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</si>
  <si>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</si>
  <si>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</si>
  <si>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</si>
  <si>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</si>
  <si>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</si>
  <si>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</si>
  <si>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</si>
  <si>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</si>
  <si>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</si>
  <si>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</si>
  <si>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</si>
  <si>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</si>
  <si>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</si>
  <si>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</si>
  <si>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</si>
  <si>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</si>
  <si>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</si>
  <si>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</si>
  <si>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</si>
  <si>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</si>
  <si>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</si>
  <si>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</si>
  <si>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</si>
  <si>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</si>
  <si>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</si>
  <si>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</si>
  <si>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</si>
  <si>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</si>
  <si>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</si>
  <si>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</si>
  <si>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</si>
  <si>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</si>
  <si>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</si>
  <si>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</si>
  <si>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</si>
  <si>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</si>
  <si>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</si>
  <si>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</si>
  <si>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</si>
  <si>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</si>
  <si>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</si>
  <si>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</si>
  <si>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</si>
  <si>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</si>
  <si>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</si>
  <si>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</si>
  <si>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</si>
  <si>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</si>
  <si>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</si>
  <si>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</si>
  <si>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</si>
  <si>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</si>
  <si>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</si>
  <si>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</si>
  <si>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</si>
  <si>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</si>
  <si>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</si>
  <si>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</si>
  <si>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</si>
  <si>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</si>
  <si>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</si>
  <si>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</si>
  <si>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</si>
  <si>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</si>
  <si>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</si>
  <si>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</si>
  <si>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</si>
  <si>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</si>
  <si>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</si>
  <si>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</si>
  <si>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</si>
  <si>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</si>
  <si>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</si>
  <si>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</si>
  <si>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</si>
  <si>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</si>
  <si>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</si>
  <si>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</si>
  <si>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</si>
  <si>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</si>
  <si>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</si>
  <si>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</si>
  <si>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</si>
  <si>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</si>
  <si>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</si>
  <si>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</si>
  <si>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</si>
  <si>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</si>
  <si>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</si>
  <si>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</si>
  <si>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</si>
  <si>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</si>
  <si>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</si>
  <si>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</si>
  <si>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</si>
  <si>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</si>
  <si>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</si>
  <si>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</si>
  <si>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</si>
  <si>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</si>
  <si>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</si>
  <si>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</si>
  <si>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</si>
  <si>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</si>
  <si>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</si>
  <si>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</si>
  <si>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</si>
  <si>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</si>
  <si>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</si>
  <si>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</si>
  <si>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</si>
  <si>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</si>
  <si>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</si>
  <si>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</si>
  <si>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</si>
  <si>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</si>
  <si>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</si>
  <si>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</si>
  <si>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</si>
  <si>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</si>
  <si>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</si>
  <si>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</si>
  <si>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</si>
  <si>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</si>
  <si>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</si>
  <si>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</si>
  <si>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</si>
  <si>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</si>
  <si>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</si>
  <si>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</si>
  <si>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</si>
  <si>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</si>
  <si>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</si>
  <si>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</si>
  <si>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</si>
  <si>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</si>
  <si>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</si>
  <si>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</si>
  <si>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</si>
  <si>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</si>
  <si>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</si>
  <si>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</si>
  <si>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</si>
  <si>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</si>
  <si>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</si>
  <si>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</si>
  <si>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</si>
  <si>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</si>
  <si>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</si>
  <si>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</si>
  <si>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</si>
  <si>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</si>
  <si>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</si>
  <si>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</si>
  <si>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</si>
  <si>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57a: Intervention by the Bank of Mauritius on the Domestic Foreign Exchange Market: July 2020 to July 2021</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</si>
  <si>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</si>
  <si>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</si>
  <si>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</si>
  <si>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</si>
  <si>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</si>
  <si>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</si>
  <si>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</si>
  <si>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</si>
  <si>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</si>
  <si>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</si>
  <si>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</si>
  <si>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</si>
  <si>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</si>
  <si>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</si>
  <si>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</si>
  <si>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</si>
  <si>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</si>
  <si>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</si>
  <si>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</si>
  <si>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</si>
  <si>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</si>
  <si>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</si>
  <si>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</si>
  <si>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</si>
  <si>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</si>
  <si>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</si>
  <si>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</si>
  <si>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</si>
  <si>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</si>
  <si>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</si>
  <si>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</si>
  <si>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</si>
  <si>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</si>
  <si>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</si>
  <si>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</si>
  <si>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</si>
  <si>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</si>
  <si>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</si>
  <si>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</si>
  <si>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</si>
  <si>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</si>
  <si>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</si>
  <si>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</si>
  <si>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</si>
  <si>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</si>
  <si>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Table 57b: Purchases and Sales of Foreign Currency by the Bank of Mauritius from Government and Other Institutions: July 2020 to July 2021</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</si>
  <si>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</si>
  <si>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</si>
  <si>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</si>
  <si>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</si>
  <si>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</si>
  <si>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</si>
  <si>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</si>
  <si>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</si>
  <si>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</si>
  <si>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</si>
  <si>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</si>
  <si>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</si>
  <si>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</si>
  <si>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</si>
  <si>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</si>
  <si>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</si>
  <si>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</si>
  <si>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</si>
  <si>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</si>
  <si>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</si>
  <si>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</si>
  <si>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</si>
  <si>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</si>
  <si>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</si>
  <si>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</si>
  <si>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</si>
  <si>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</si>
  <si>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</si>
  <si>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</si>
  <si>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</si>
  <si>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</si>
  <si>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</si>
  <si>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</si>
  <si>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</si>
  <si>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</si>
  <si>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</si>
  <si>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</si>
  <si>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</si>
  <si>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</si>
  <si>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</si>
  <si>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</si>
  <si>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</si>
  <si>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</si>
  <si>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</si>
  <si>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</si>
  <si>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</si>
  <si>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</si>
  <si>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</si>
  <si>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</si>
  <si>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</si>
  <si>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</si>
  <si>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</si>
  <si>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</si>
  <si>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</si>
  <si>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</si>
  <si>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</si>
  <si>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</si>
  <si>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</si>
  <si>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</si>
  <si>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</si>
  <si>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</si>
  <si>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</si>
  <si>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</si>
  <si>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</si>
  <si>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</si>
  <si>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</si>
  <si>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</si>
  <si>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</si>
  <si>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</si>
  <si>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</si>
  <si>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</si>
  <si>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</si>
  <si>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</si>
  <si>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</si>
  <si>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</si>
  <si>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</si>
  <si>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</si>
  <si>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</si>
  <si>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</si>
  <si>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</si>
  <si>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</si>
  <si>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</si>
  <si>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</si>
  <si>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</si>
  <si>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</si>
  <si>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</si>
  <si>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</si>
  <si>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</si>
  <si>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</si>
  <si>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</si>
  <si>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</si>
  <si>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</si>
  <si>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</si>
  <si>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</si>
  <si>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</si>
  <si>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</si>
  <si>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</si>
  <si>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</si>
  <si>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</si>
  <si>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</si>
  <si>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</si>
  <si>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</si>
  <si>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</si>
  <si>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</si>
  <si>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</si>
  <si>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</si>
  <si>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</si>
  <si>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</si>
  <si>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</si>
  <si>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</si>
  <si>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</si>
  <si>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</si>
  <si>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</si>
  <si>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</si>
  <si>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</si>
  <si>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</si>
  <si>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</si>
  <si>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</si>
  <si>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</si>
  <si>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</si>
  <si>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</si>
  <si>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</si>
  <si>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</si>
  <si>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</si>
  <si>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</si>
  <si>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</si>
  <si>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</si>
  <si>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</si>
  <si>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</si>
  <si>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</si>
  <si>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</si>
  <si>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</si>
  <si>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</si>
  <si>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</si>
  <si>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</si>
  <si>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</si>
  <si>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</si>
  <si>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</si>
  <si>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</si>
  <si>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</si>
  <si>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</si>
  <si>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</si>
  <si>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</si>
  <si>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</si>
  <si>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</si>
  <si>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</si>
  <si>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</si>
  <si>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</si>
  <si>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</si>
  <si>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</si>
  <si>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</si>
  <si>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</si>
  <si>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</si>
  <si>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</si>
  <si>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</si>
  <si>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</si>
  <si>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</si>
  <si>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</si>
  <si>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</si>
  <si>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</si>
  <si>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</si>
  <si>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</si>
  <si>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</si>
  <si>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</si>
  <si>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</si>
  <si>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</si>
  <si>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</si>
  <si>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</si>
  <si>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</si>
  <si>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</si>
  <si>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</si>
  <si>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</si>
  <si>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</si>
  <si>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</si>
  <si>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</si>
  <si>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</si>
  <si>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</si>
  <si>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</si>
  <si>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</si>
  <si>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</si>
  <si>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</si>
  <si>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</si>
  <si>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</si>
  <si>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</si>
  <si>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</si>
  <si>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</si>
  <si>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</si>
  <si>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</si>
  <si>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</si>
  <si>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</si>
  <si>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</si>
  <si>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</si>
  <si>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</si>
  <si>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</si>
  <si>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</si>
  <si>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</si>
  <si>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</si>
  <si>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</si>
  <si>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</si>
  <si>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</si>
  <si>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</si>
  <si>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</si>
  <si>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</si>
  <si>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</si>
  <si>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</si>
  <si>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</si>
  <si>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</si>
  <si>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Source: Financial Markets Operations Division; Accounting and Budgeting Division.</t>
  </si>
  <si>
    <t>BUY</t>
  </si>
  <si>
    <t>ZAR</t>
  </si>
  <si>
    <t xml:space="preserve">Central COB </t>
  </si>
  <si>
    <t>SELL</t>
  </si>
  <si>
    <t>CAD</t>
  </si>
  <si>
    <t>CHF</t>
  </si>
  <si>
    <t>AUD</t>
  </si>
  <si>
    <t>check</t>
  </si>
  <si>
    <r>
      <t>Table 58a: Weighted Average Dealt Selling Rates of the Rupee</t>
    </r>
    <r>
      <rPr>
        <b/>
        <vertAlign val="superscript"/>
        <sz val="12"/>
        <color indexed="56"/>
        <rFont val="Segoe UI"/>
        <family val="2"/>
      </rPr>
      <t>1</t>
    </r>
    <r>
      <rPr>
        <b/>
        <sz val="12"/>
        <color indexed="56"/>
        <rFont val="Segoe UI"/>
        <family val="2"/>
      </rPr>
      <t xml:space="preserve"> against the USD, EUR and GBP:</t>
    </r>
  </si>
  <si>
    <t>July 2020 to July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</si>
  <si>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</si>
  <si>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</si>
  <si>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</si>
  <si>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</si>
  <si>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</si>
  <si>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</si>
  <si>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58b: Exchange Rate of the Rupee (End of Period): July 2020 to July 2021</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</si>
  <si>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</si>
  <si>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</si>
  <si>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</si>
  <si>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</si>
  <si>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</si>
  <si>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</si>
  <si>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</si>
  <si>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</si>
  <si>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</si>
  <si>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</si>
  <si>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</si>
  <si>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</si>
  <si>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</si>
  <si>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</si>
  <si>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58c: Exchange Rate of the Rupee (Period Average): July 2020 to July 2021</t>
  </si>
  <si>
    <t>Table 58d: Average Exchange Rate of the Rupee vis-à-vis Major Trading Partner Currencies: July 2020 and July 2021</t>
  </si>
  <si>
    <t>Indicative Selling Rates</t>
  </si>
  <si>
    <t>Average for</t>
  </si>
  <si>
    <t>Appreciation/</t>
  </si>
  <si>
    <t>12 Months</t>
  </si>
  <si>
    <t>(Depreciation)</t>
  </si>
  <si>
    <t>ended July 2020</t>
  </si>
  <si>
    <t>ended July 2021</t>
  </si>
  <si>
    <t>of Rupee</t>
  </si>
  <si>
    <t>between [1] &amp; [2]</t>
  </si>
  <si>
    <t>[1]</t>
  </si>
  <si>
    <t>[2]</t>
  </si>
  <si>
    <t>Hong Kong dollar</t>
  </si>
  <si>
    <t>(i)   [1] is calculated on the basis of the daily average exchange rates for the period August 2019 to July 2020.</t>
  </si>
  <si>
    <t xml:space="preserve">      [2] is calculated on the basis of the daily average exchange rates for the period August 2020 to July 2021.</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</si>
  <si>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</si>
  <si>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</si>
  <si>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</si>
  <si>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59: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2019 to July 2021</t>
    </r>
  </si>
  <si>
    <t>EUR/USD</t>
  </si>
  <si>
    <t>GBP/USD</t>
  </si>
  <si>
    <t>USD/JPY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</si>
  <si>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</si>
  <si>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</si>
  <si>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</si>
  <si>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</si>
  <si>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</si>
  <si>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</si>
  <si>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</si>
  <si>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</si>
  <si>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</si>
  <si>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</si>
  <si>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</si>
  <si>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</si>
  <si>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</si>
  <si>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</si>
  <si>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</si>
  <si>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</si>
  <si>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</si>
  <si>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</si>
  <si>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</si>
  <si>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</si>
  <si>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</si>
  <si>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</si>
  <si>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</si>
  <si>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</si>
  <si>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</si>
  <si>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</si>
  <si>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</si>
  <si>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</si>
  <si>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</si>
  <si>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</si>
  <si>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</si>
  <si>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</si>
  <si>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</si>
  <si>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</si>
  <si>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</si>
  <si>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</si>
  <si>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</si>
  <si>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</si>
  <si>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</si>
  <si>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</si>
  <si>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</si>
  <si>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</si>
  <si>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</si>
  <si>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</si>
  <si>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</si>
  <si>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</si>
  <si>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</si>
  <si>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</si>
  <si>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</si>
  <si>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</si>
  <si>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</si>
  <si>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</si>
  <si>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</si>
  <si>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</si>
  <si>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</si>
  <si>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</si>
  <si>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</si>
  <si>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</si>
  <si>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</si>
  <si>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</si>
  <si>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</si>
  <si>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</si>
  <si>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</si>
  <si>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</si>
  <si>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</si>
  <si>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</si>
  <si>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</si>
  <si>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</si>
  <si>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</si>
  <si>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</si>
  <si>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</si>
  <si>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</si>
  <si>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</si>
  <si>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</si>
  <si>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</si>
  <si>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</si>
  <si>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</si>
  <si>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</si>
  <si>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</si>
  <si>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</si>
  <si>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</si>
  <si>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</si>
  <si>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</si>
  <si>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</si>
  <si>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</si>
  <si>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</si>
  <si>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</si>
  <si>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</si>
  <si>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</si>
  <si>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</si>
  <si>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</si>
  <si>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</si>
  <si>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</si>
  <si>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</si>
  <si>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</si>
  <si>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</si>
  <si>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</si>
  <si>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</si>
  <si>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</si>
  <si>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</si>
  <si>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</si>
  <si>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</si>
  <si>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</si>
  <si>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</si>
  <si>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</si>
  <si>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</si>
  <si>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</si>
  <si>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</si>
  <si>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</si>
  <si>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</si>
  <si>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</si>
  <si>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</si>
  <si>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</si>
  <si>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</si>
  <si>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</si>
  <si>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</si>
  <si>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</si>
  <si>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</si>
  <si>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</si>
  <si>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</si>
  <si>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</si>
  <si>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</si>
  <si>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</si>
  <si>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</si>
  <si>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</si>
  <si>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</si>
  <si>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1.1002/04</t>
  </si>
  <si>
    <t>1.1063/66</t>
  </si>
  <si>
    <t>1.1514/16</t>
  </si>
  <si>
    <t>1.1684/87</t>
  </si>
  <si>
    <t>1.1227/30</t>
  </si>
  <si>
    <t>1.1455/58</t>
  </si>
  <si>
    <t>1.5561/65</t>
  </si>
  <si>
    <t>1.3172/76</t>
  </si>
  <si>
    <t>1.2993/96</t>
  </si>
  <si>
    <t>1.3169/73</t>
  </si>
  <si>
    <t>1.1822/25</t>
  </si>
  <si>
    <t>1.2486/88</t>
  </si>
  <si>
    <t>1.2654/57</t>
  </si>
  <si>
    <t>123.27/30</t>
  </si>
  <si>
    <t>104.12/16</t>
  </si>
  <si>
    <t>112.43/46</t>
  </si>
  <si>
    <t>111.42/44</t>
  </si>
  <si>
    <t>1.3807/09</t>
  </si>
  <si>
    <t>108.17/19</t>
  </si>
  <si>
    <t>106.77/79</t>
  </si>
  <si>
    <t>110.26/28</t>
  </si>
  <si>
    <t>1.1137/40</t>
  </si>
  <si>
    <t>1.1207/10</t>
  </si>
  <si>
    <t>1.1814/16</t>
  </si>
  <si>
    <t>1.1557/59</t>
  </si>
  <si>
    <t>1.1125/27</t>
  </si>
  <si>
    <t>1.1827/30</t>
  </si>
  <si>
    <t>1.5596/99</t>
  </si>
  <si>
    <t>1.3115/19</t>
  </si>
  <si>
    <t>1.2970/73</t>
  </si>
  <si>
    <t>1.2889/92</t>
  </si>
  <si>
    <t>1.2147/49</t>
  </si>
  <si>
    <t>1.3130/32</t>
  </si>
  <si>
    <t>123.18/21</t>
  </si>
  <si>
    <t>101.28/32</t>
  </si>
  <si>
    <t>109.84/86</t>
  </si>
  <si>
    <t>111.06/08</t>
  </si>
  <si>
    <t>106.26/29</t>
  </si>
  <si>
    <t>106.01/03</t>
  </si>
  <si>
    <t>1.1231/33</t>
  </si>
  <si>
    <t>1.1212/15</t>
  </si>
  <si>
    <t>1.1912/14</t>
  </si>
  <si>
    <t>1.1656/59</t>
  </si>
  <si>
    <t>1.1014/16</t>
  </si>
  <si>
    <t>1.1794/97</t>
  </si>
  <si>
    <t>1.5335/39</t>
  </si>
  <si>
    <t>1.3151/55</t>
  </si>
  <si>
    <t>1.3295/98</t>
  </si>
  <si>
    <t>1.3044/48</t>
  </si>
  <si>
    <t>1.2366/69</t>
  </si>
  <si>
    <t>1.2971/73</t>
  </si>
  <si>
    <t>120.11/14</t>
  </si>
  <si>
    <t>101.89/92</t>
  </si>
  <si>
    <t>110.67/69</t>
  </si>
  <si>
    <t>111.92/94</t>
  </si>
  <si>
    <t>107.52/54</t>
  </si>
  <si>
    <t>105.58/60</t>
  </si>
  <si>
    <t>1.1028/30</t>
  </si>
  <si>
    <t>1.1755/58</t>
  </si>
  <si>
    <t>1.1492/94</t>
  </si>
  <si>
    <t>1.1046/49</t>
  </si>
  <si>
    <t>1.1769/72</t>
  </si>
  <si>
    <t>1.5326/30</t>
  </si>
  <si>
    <t>1.2352/55</t>
  </si>
  <si>
    <t>1.3205/07</t>
  </si>
  <si>
    <t>1.3017/20</t>
  </si>
  <si>
    <t>1.2623/25</t>
  </si>
  <si>
    <t>1.2975/78</t>
  </si>
  <si>
    <t>120.05/08</t>
  </si>
  <si>
    <t>103.74/77</t>
  </si>
  <si>
    <t>112.91/93</t>
  </si>
  <si>
    <t>112.84/85</t>
  </si>
  <si>
    <t>108.13/17</t>
  </si>
  <si>
    <t>105.20/22</t>
  </si>
  <si>
    <t>1.0733/35</t>
  </si>
  <si>
    <t>1.0806/08</t>
  </si>
  <si>
    <t>1.1739/41</t>
  </si>
  <si>
    <t>1.1837/40</t>
  </si>
  <si>
    <t>1.5201/04</t>
  </si>
  <si>
    <t>1.2444/47</t>
  </si>
  <si>
    <t>1.3215/18</t>
  </si>
  <si>
    <t>1.2888/91</t>
  </si>
  <si>
    <t>1.2884/86</t>
  </si>
  <si>
    <t>1.3213/15</t>
  </si>
  <si>
    <t>122.55/59</t>
  </si>
  <si>
    <t>108.31/36</t>
  </si>
  <si>
    <t>112.71/74</t>
  </si>
  <si>
    <t>113.35/37</t>
  </si>
  <si>
    <t>108.88/90</t>
  </si>
  <si>
    <t>104.32/34</t>
  </si>
  <si>
    <t>1.0880/82</t>
  </si>
  <si>
    <t>1.0544/47</t>
  </si>
  <si>
    <t>1.1834/36</t>
  </si>
  <si>
    <t>1.1376/78</t>
  </si>
  <si>
    <t>1.1105/08</t>
  </si>
  <si>
    <t>1.2165/68</t>
  </si>
  <si>
    <t>1.4997/01</t>
  </si>
  <si>
    <t>1.2481/84</t>
  </si>
  <si>
    <t>1.3404/06</t>
  </si>
  <si>
    <t>1.2663/66</t>
  </si>
  <si>
    <t>1.3109/11</t>
  </si>
  <si>
    <t>1.3432/35</t>
  </si>
  <si>
    <t>121.76/80</t>
  </si>
  <si>
    <t>115.99/02</t>
  </si>
  <si>
    <t>112.93/95</t>
  </si>
  <si>
    <t>112.34/36</t>
  </si>
  <si>
    <t>109.13/16</t>
  </si>
  <si>
    <t>103.80/82</t>
  </si>
  <si>
    <r>
      <rPr>
        <i/>
        <vertAlign val="superscript"/>
        <sz val="10"/>
        <color indexed="56"/>
        <rFont val="Segoe UI"/>
        <family val="2"/>
      </rPr>
      <t>1</t>
    </r>
    <r>
      <rPr>
        <i/>
        <sz val="10"/>
        <color indexed="56"/>
        <rFont val="Segoe UI"/>
        <family val="2"/>
      </rPr>
      <t>Reuters with reference to Asian Markets, 09 30 hrs, Mauritian time.</t>
    </r>
  </si>
  <si>
    <t>Table 60: Mauritius Exchange Rate Index (MERI): January 2019 to July 2021</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</si>
  <si>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</si>
  <si>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</si>
  <si>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</si>
  <si>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</si>
  <si>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</si>
  <si>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</si>
  <si>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</si>
  <si>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61: Foreign Currency Transactions: July 2020 to July 2021</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</si>
  <si>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</si>
  <si>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</si>
  <si>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</si>
  <si>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</si>
  <si>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</si>
  <si>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</si>
  <si>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62a: Foreign Currency Purchases by Sector: July 2020 to July 2021</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</si>
  <si>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</si>
  <si>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</si>
  <si>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</si>
  <si>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</si>
  <si>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</si>
  <si>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</si>
  <si>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</si>
  <si>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</si>
  <si>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</si>
  <si>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</si>
  <si>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</si>
  <si>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</si>
  <si>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</si>
  <si>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</si>
  <si>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</si>
  <si>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</si>
  <si>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</si>
  <si>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</si>
  <si>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</si>
  <si>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</si>
  <si>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</si>
  <si>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</si>
  <si>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</si>
  <si>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</si>
  <si>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</si>
  <si>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</si>
  <si>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</si>
  <si>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</si>
  <si>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</si>
  <si>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</si>
  <si>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</si>
  <si>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t>
  </si>
  <si>
    <r>
      <t>Table 62b: Foreign Currency Sales by Sector: July 2020 to July 2021</t>
    </r>
    <r>
      <rPr>
        <b/>
        <vertAlign val="superscript"/>
        <sz val="12"/>
        <color rgb="FF002060"/>
        <rFont val="Segoe UI"/>
        <family val="2"/>
      </rPr>
      <t>1</t>
    </r>
  </si>
  <si>
    <r>
      <t>Table 63a: Foreign Currency Purchases by Major Currencies: July 2020 to July 2021</t>
    </r>
    <r>
      <rPr>
        <b/>
        <vertAlign val="superscript"/>
        <sz val="12"/>
        <color rgb="FF002060"/>
        <rFont val="Segoe UI"/>
        <family val="2"/>
      </rPr>
      <t>1</t>
    </r>
  </si>
  <si>
    <t>GBP</t>
  </si>
  <si>
    <r>
      <t>Table 63b: Foreign Currency Sales by Major Currencies: July 2020 to July 2021</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</si>
  <si>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</si>
  <si>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</si>
  <si>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64: Swap Transactions by Sector in Major Currencies: May 2021 to July 2021</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</si>
  <si>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</si>
  <si>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</si>
  <si>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</si>
  <si>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</si>
  <si>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</si>
  <si>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</si>
  <si>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</si>
  <si>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</si>
  <si>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</si>
  <si>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</si>
  <si>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65a: Transactions on the Stock Exchange of Mauritius: July 2020 to July 2021</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</si>
  <si>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</si>
  <si>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</si>
  <si>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</si>
  <si>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</si>
  <si>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</si>
  <si>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</si>
  <si>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</si>
  <si>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</si>
  <si>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</si>
  <si>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</si>
  <si>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</si>
  <si>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</si>
  <si>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</si>
  <si>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Jul-21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</si>
  <si>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</si>
  <si>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</si>
  <si>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</si>
  <si>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65b: Transactions by Non-Residents on the Stock Exchange of Mauritius: July 2020 to July 2021</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</si>
  <si>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</si>
  <si>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</si>
  <si>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</si>
  <si>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</si>
  <si>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</si>
  <si>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</si>
  <si>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</si>
  <si>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</si>
  <si>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</si>
  <si>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</si>
  <si>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</si>
  <si>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</si>
  <si>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</si>
  <si>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</si>
  <si>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</si>
  <si>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</si>
  <si>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</si>
  <si>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</si>
  <si>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</si>
  <si>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</si>
  <si>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</si>
  <si>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</si>
  <si>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</si>
  <si>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</si>
  <si>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</si>
  <si>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</si>
  <si>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</si>
  <si>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</si>
  <si>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</si>
  <si>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</si>
  <si>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</si>
  <si>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66: Tourist Arrivals</t>
    </r>
    <r>
      <rPr>
        <b/>
        <vertAlign val="superscript"/>
        <sz val="12"/>
        <color rgb="FF002060"/>
        <rFont val="Segoe UI"/>
        <family val="2"/>
      </rPr>
      <t>1</t>
    </r>
    <r>
      <rPr>
        <b/>
        <sz val="12"/>
        <color rgb="FF002060"/>
        <rFont val="Segoe UI"/>
        <family val="2"/>
      </rPr>
      <t>: January 2017 to July 2021 and Gross Tourism Earnings</t>
    </r>
    <r>
      <rPr>
        <b/>
        <vertAlign val="superscript"/>
        <sz val="12"/>
        <color rgb="FF002060"/>
        <rFont val="Segoe UI"/>
        <family val="2"/>
      </rPr>
      <t>2</t>
    </r>
    <r>
      <rPr>
        <b/>
        <sz val="12"/>
        <color rgb="FF002060"/>
        <rFont val="Segoe UI"/>
        <family val="2"/>
      </rPr>
      <t>: January 2017 to June 2021</t>
    </r>
  </si>
  <si>
    <t xml:space="preserve">Tourist Arrivals* </t>
  </si>
  <si>
    <t>Gross Tourism Earnings ^</t>
  </si>
  <si>
    <t>Tourist Arrivals</t>
  </si>
  <si>
    <t>Gross Tourism Earnings</t>
  </si>
  <si>
    <t xml:space="preserve">(Rs million) </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</si>
  <si>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</si>
  <si>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</si>
  <si>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Source: Statistics Mauritius.</t>
    </r>
  </si>
  <si>
    <r>
      <rPr>
        <i/>
        <vertAlign val="superscript"/>
        <sz val="10"/>
        <color rgb="FF002060"/>
        <rFont val="Segoe UI"/>
        <family val="2"/>
      </rPr>
      <t>2</t>
    </r>
    <r>
      <rPr>
        <i/>
        <sz val="10"/>
        <color rgb="FF002060"/>
        <rFont val="Segoe UI"/>
        <family val="2"/>
      </rPr>
      <t xml:space="preserve"> Source: Economic Analysis &amp; Research and Statistics Department.</t>
    </r>
  </si>
  <si>
    <t>Table 67: Gross Official International Reserves: July 2018 to July 2021</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</si>
  <si>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</si>
  <si>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</si>
  <si>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</si>
  <si>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</si>
  <si>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</si>
  <si>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</si>
  <si>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</si>
  <si>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</si>
  <si>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</si>
  <si>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</si>
  <si>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</si>
  <si>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</si>
  <si>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</si>
  <si>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</si>
  <si>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</si>
  <si>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</si>
  <si>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</si>
  <si>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</si>
  <si>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</si>
  <si>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</si>
  <si>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</si>
  <si>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</si>
  <si>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</si>
  <si>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</si>
  <si>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</si>
  <si>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</si>
  <si>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</si>
  <si>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</si>
  <si>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</si>
  <si>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</si>
  <si>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</si>
  <si>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</si>
  <si>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</si>
  <si>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</si>
  <si>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</si>
  <si>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</si>
  <si>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</si>
  <si>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</si>
  <si>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</si>
  <si>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</si>
  <si>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</si>
  <si>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</si>
  <si>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</si>
  <si>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</si>
  <si>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</si>
  <si>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</si>
  <si>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</si>
  <si>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</si>
  <si>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</si>
  <si>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</si>
  <si>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</si>
  <si>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</si>
  <si>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</si>
  <si>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</si>
  <si>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</si>
  <si>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</si>
  <si>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</si>
  <si>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</si>
  <si>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</si>
  <si>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</si>
  <si>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</si>
  <si>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</si>
  <si>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</si>
  <si>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</si>
  <si>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</si>
  <si>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</si>
  <si>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</si>
  <si>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</si>
  <si>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</si>
  <si>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</si>
  <si>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</si>
  <si>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</si>
  <si>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</si>
  <si>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</si>
  <si>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</si>
  <si>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</si>
  <si>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</si>
  <si>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</si>
  <si>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</si>
  <si>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</si>
  <si>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</si>
  <si>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</si>
  <si>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</si>
  <si>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</si>
  <si>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</si>
  <si>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</si>
  <si>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</si>
  <si>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</si>
  <si>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</si>
  <si>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</si>
  <si>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</si>
  <si>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</si>
  <si>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</si>
  <si>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</si>
  <si>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</si>
  <si>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</si>
  <si>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</si>
  <si>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</si>
  <si>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 Dec-20</t>
  </si>
  <si>
    <r>
      <t xml:space="preserve">Jul-21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</si>
  <si>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</si>
  <si>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</si>
  <si>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Note: The monthly import cover is computed using imports of goods and services for the respective years except for 2021, which is based on imports of goods and services for calendar year 2020.</t>
  </si>
  <si>
    <t>Table 68a: Gross Direct Investment Flows in Mauritius (Excluding Global Business) by Sector: 2013 to 2020 (Annual) and First Quarter of 2021</t>
  </si>
  <si>
    <t>2006</t>
  </si>
  <si>
    <t>2007</t>
  </si>
  <si>
    <t>2008</t>
  </si>
  <si>
    <t>2009</t>
  </si>
  <si>
    <r>
      <t>2010</t>
    </r>
    <r>
      <rPr>
        <b/>
        <vertAlign val="superscript"/>
        <sz val="11"/>
        <color rgb="FF002060"/>
        <rFont val="Segoe UI"/>
        <family val="2"/>
      </rPr>
      <t xml:space="preserve"> </t>
    </r>
  </si>
  <si>
    <t>2011</t>
  </si>
  <si>
    <t>2012</t>
  </si>
  <si>
    <t>2013</t>
  </si>
  <si>
    <t>2018</t>
  </si>
  <si>
    <r>
      <t xml:space="preserve">2019 </t>
    </r>
    <r>
      <rPr>
        <b/>
        <vertAlign val="superscript"/>
        <sz val="11"/>
        <color rgb="FF002060"/>
        <rFont val="Segoe UI"/>
        <family val="2"/>
      </rPr>
      <t>1</t>
    </r>
  </si>
  <si>
    <r>
      <t xml:space="preserve">2020 </t>
    </r>
    <r>
      <rPr>
        <b/>
        <vertAlign val="superscript"/>
        <sz val="11"/>
        <color rgb="FF002060"/>
        <rFont val="Segoe UI"/>
        <family val="2"/>
      </rPr>
      <t>2</t>
    </r>
  </si>
  <si>
    <r>
      <t xml:space="preserve">2021
(Jan-Mar)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</si>
  <si>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</si>
  <si>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</si>
  <si>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</si>
  <si>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</si>
  <si>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</si>
  <si>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</si>
  <si>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</si>
  <si>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</si>
  <si>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2013 to 2019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</si>
  <si>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</si>
  <si>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</si>
  <si>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</si>
  <si>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rPr>
        <i/>
        <vertAlign val="superscript"/>
        <sz val="10"/>
        <color rgb="FF002060"/>
        <rFont val="Segoe UI"/>
        <family val="2"/>
      </rPr>
      <t>4</t>
    </r>
    <r>
      <rPr>
        <i/>
        <sz val="10"/>
        <color rgb="FF002060"/>
        <rFont val="Segoe UI"/>
        <family val="2"/>
      </rPr>
      <t xml:space="preserve"> The data for 2020, which include the Bank's estimate for FALS, will be allocated once results from FALS are fnalised.</t>
    </r>
  </si>
  <si>
    <t>Table 68b: Gross Direct Investment Flows in Mauritius (Excluding Global Business) by Geographical Origin: 2013 to 2020 (Annual) and First Quarter of  2021</t>
  </si>
  <si>
    <t>Region / Economy</t>
  </si>
  <si>
    <t xml:space="preserve">2017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</si>
  <si>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</si>
  <si>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</si>
  <si>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</si>
  <si>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</si>
  <si>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</si>
  <si>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</si>
  <si>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</si>
  <si>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</si>
  <si>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</si>
  <si>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</si>
  <si>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</si>
  <si>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</si>
  <si>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</si>
  <si>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</si>
  <si>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</si>
  <si>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</si>
  <si>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</si>
  <si>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</si>
  <si>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</si>
  <si>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</si>
  <si>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</si>
  <si>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</si>
  <si>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</si>
  <si>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</si>
  <si>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</si>
  <si>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</si>
  <si>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</si>
  <si>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</si>
  <si>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Other </t>
  </si>
  <si>
    <t xml:space="preserve">        Oceania </t>
  </si>
  <si>
    <r>
      <t xml:space="preserve">   Unspecified </t>
    </r>
    <r>
      <rPr>
        <b/>
        <vertAlign val="superscript"/>
        <sz val="11"/>
        <color rgb="FF002060"/>
        <rFont val="Segoe UI"/>
        <family val="2"/>
      </rPr>
      <t>3</t>
    </r>
  </si>
  <si>
    <t>Note: The data for 2013 to 2019 have been supplemented with the results from the Foreign Assets and Liabilities Survey (FALS) and therefore also include reinvested earnings and shareholders’ loans.</t>
  </si>
  <si>
    <r>
      <rPr>
        <i/>
        <vertAlign val="superscript"/>
        <sz val="10"/>
        <color rgb="FF002060"/>
        <rFont val="Segoe UI"/>
        <family val="2"/>
      </rPr>
      <t>3</t>
    </r>
    <r>
      <rPr>
        <i/>
        <sz val="10"/>
        <color rgb="FF002060"/>
        <rFont val="Segoe UI"/>
        <family val="2"/>
      </rPr>
      <t xml:space="preserve"> The data for 2020, which include the Bank's estimate for FALS, will be allocated once results from FALS are fnalised.</t>
    </r>
  </si>
  <si>
    <t>Table 69a: Gross Direct Investment Flows Abroad (Excluding Global Business) by Sector: 2013 to 2020 (Annual) and First Quarter of 2021</t>
  </si>
  <si>
    <t xml:space="preserve">Sector </t>
  </si>
  <si>
    <r>
      <t>2020</t>
    </r>
    <r>
      <rPr>
        <b/>
        <vertAlign val="superscript"/>
        <sz val="11"/>
        <color rgb="FF002060"/>
        <rFont val="Segoe UI"/>
        <family val="2"/>
      </rPr>
      <t>2</t>
    </r>
  </si>
  <si>
    <r>
      <t>2021 
(Jan-Mar)</t>
    </r>
    <r>
      <rPr>
        <b/>
        <vertAlign val="superscript"/>
        <sz val="11"/>
        <color rgb="FF002060"/>
        <rFont val="Segoe UI"/>
        <family val="2"/>
      </rPr>
      <t>2</t>
    </r>
  </si>
  <si>
    <r>
      <t xml:space="preserve">Unspecified </t>
    </r>
    <r>
      <rPr>
        <vertAlign val="superscript"/>
        <sz val="11"/>
        <color rgb="FF002060"/>
        <rFont val="Segoe UI"/>
        <family val="2"/>
      </rPr>
      <t>3</t>
    </r>
  </si>
  <si>
    <t>(ii)  The data for 2013 to 2019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</si>
  <si>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2020, which include the Bank's estimate for FALS, will be allocated once results from FALS are fnalised.</t>
    </r>
  </si>
  <si>
    <t>Table 69b: Gross Direct Investment Flows Abroad (Excluding Global Business) by Geographical Destination: 2013 to 2020 (Annual) and First Quarter of 2021</t>
  </si>
  <si>
    <r>
      <t>2021
(Jan-Mar)</t>
    </r>
    <r>
      <rPr>
        <b/>
        <vertAlign val="superscript"/>
        <sz val="11"/>
        <color rgb="FF002060"/>
        <rFont val="Segoe UI"/>
        <family val="2"/>
      </rPr>
      <t>2</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</si>
  <si>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</si>
  <si>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</si>
  <si>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</si>
  <si>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</si>
  <si>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</si>
  <si>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</si>
  <si>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</si>
  <si>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</si>
  <si>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</si>
  <si>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</si>
  <si>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</si>
  <si>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</si>
  <si>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</si>
  <si>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t>Table 70a: Inward Workers' Remittances, Top 10 Source Countries: 2018Q1 to 2021Q1</t>
  </si>
  <si>
    <t>2017Q2</t>
  </si>
  <si>
    <t>2017Q3</t>
  </si>
  <si>
    <t>2017Q4</t>
  </si>
  <si>
    <t>2018Q2</t>
  </si>
  <si>
    <t>2018Q3</t>
  </si>
  <si>
    <t>2018Q4</t>
  </si>
  <si>
    <t>2019Q2</t>
  </si>
  <si>
    <t>2019Q3</t>
  </si>
  <si>
    <t>2019Q4</t>
  </si>
  <si>
    <t>2020Q2</t>
  </si>
  <si>
    <t>2020Q3</t>
  </si>
  <si>
    <t>2020Q4</t>
  </si>
  <si>
    <r>
      <t xml:space="preserve">2021Q1 </t>
    </r>
    <r>
      <rPr>
        <b/>
        <vertAlign val="superscript"/>
        <sz val="10.5"/>
        <color rgb="FF002060"/>
        <rFont val="Segoe UI"/>
        <family val="2"/>
      </rPr>
      <t>1</t>
    </r>
  </si>
  <si>
    <t>Inward Remittances</t>
  </si>
  <si>
    <t>United Kingdom</t>
  </si>
  <si>
    <t>Kenya</t>
  </si>
  <si>
    <t>USA</t>
  </si>
  <si>
    <t>Italy</t>
  </si>
  <si>
    <t>Australia</t>
  </si>
  <si>
    <t>Canada</t>
  </si>
  <si>
    <t>United Arab Emirates</t>
  </si>
  <si>
    <t>Switzerland</t>
  </si>
  <si>
    <t>Ireland</t>
  </si>
  <si>
    <r>
      <t xml:space="preserve">1 </t>
    </r>
    <r>
      <rPr>
        <i/>
        <sz val="9"/>
        <color rgb="FF002060"/>
        <rFont val="Segoe UI"/>
        <family val="2"/>
      </rPr>
      <t xml:space="preserve">Provisional. </t>
    </r>
  </si>
  <si>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</si>
  <si>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Table 70b: Outward Workers' Remittances, Top 5 Destination Countries: 2018Q1 to 2021Q1</t>
  </si>
  <si>
    <t xml:space="preserve">2019Q3 </t>
  </si>
  <si>
    <t>Outward Remittances</t>
  </si>
  <si>
    <t>Bangladesh</t>
  </si>
  <si>
    <t>Madagascar</t>
  </si>
  <si>
    <r>
      <rPr>
        <i/>
        <vertAlign val="superscript"/>
        <sz val="9"/>
        <color rgb="FF002060"/>
        <rFont val="Segoe UI"/>
        <family val="2"/>
      </rPr>
      <t>1</t>
    </r>
    <r>
      <rPr>
        <i/>
        <sz val="9"/>
        <color rgb="FF002060"/>
        <rFont val="Segoe UI"/>
        <family val="2"/>
      </rPr>
      <t xml:space="preserve"> Provisional.</t>
    </r>
  </si>
  <si>
    <r>
      <t>Table 70c: Remittance Cost</t>
    </r>
    <r>
      <rPr>
        <b/>
        <vertAlign val="superscript"/>
        <sz val="12"/>
        <color rgb="FF002060"/>
        <rFont val="Segoe UI"/>
        <family val="2"/>
      </rPr>
      <t>1</t>
    </r>
    <r>
      <rPr>
        <b/>
        <sz val="12"/>
        <color rgb="FF002060"/>
        <rFont val="Segoe UI"/>
        <family val="2"/>
      </rPr>
      <t>: 2018Q1 to 2021Q1</t>
    </r>
  </si>
  <si>
    <r>
      <t>2021Q1</t>
    </r>
    <r>
      <rPr>
        <b/>
        <vertAlign val="superscript"/>
        <sz val="10.5"/>
        <color rgb="FF002060"/>
        <rFont val="Segoe UI"/>
        <family val="2"/>
      </rPr>
      <t xml:space="preserve"> 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</si>
  <si>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</si>
  <si>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</si>
  <si>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</si>
  <si>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</si>
  <si>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Table 70d: Outward Workers' Remittances by Domestic Remitter's Sector of Activity, 2018Q1 to 2021Q1</t>
  </si>
  <si>
    <t xml:space="preserve">2020Q4 </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</si>
  <si>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</si>
  <si>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</si>
  <si>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</si>
  <si>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71: Coordinated Direct Investment Survey - Position data for Mauritius as at end-2019 vis-à-vis Top 10 Counterpart Economies</t>
  </si>
  <si>
    <t>Stock of Direct Investment Liabilities</t>
  </si>
  <si>
    <t>Stock of Direct Investment Assets</t>
  </si>
  <si>
    <t xml:space="preserve">Total    </t>
  </si>
  <si>
    <t>United States</t>
  </si>
  <si>
    <t>Cayman Islands</t>
  </si>
  <si>
    <t>Singapore</t>
  </si>
  <si>
    <t>China, P.R.: Hong Kong</t>
  </si>
  <si>
    <t>Netherlands</t>
  </si>
  <si>
    <t>China, P.R.: Mainland</t>
  </si>
  <si>
    <t>Luxembourg</t>
  </si>
  <si>
    <t>Thailand</t>
  </si>
  <si>
    <t>Virgin Islands, British</t>
  </si>
  <si>
    <r>
      <rPr>
        <i/>
        <vertAlign val="superscript"/>
        <sz val="10"/>
        <color rgb="FF002060"/>
        <rFont val="Segoe UI"/>
        <family val="2"/>
      </rPr>
      <t>1</t>
    </r>
    <r>
      <rPr>
        <i/>
        <sz val="10"/>
        <color rgb="FF002060"/>
        <rFont val="Segoe UI"/>
        <family val="2"/>
      </rPr>
      <t xml:space="preserve"> Revised.</t>
    </r>
  </si>
  <si>
    <t>Note: The Coordinated Direct Investment Survey includes cross-border position data of Global Business License Holders (GBLHs).</t>
  </si>
  <si>
    <t>Table 72: Balance of Payments - First Quarters of 2020 and 2021</t>
  </si>
  <si>
    <r>
      <t xml:space="preserve">2020Q1 </t>
    </r>
    <r>
      <rPr>
        <b/>
        <vertAlign val="superscript"/>
        <sz val="11"/>
        <color rgb="FF002060"/>
        <rFont val="Segoe UI"/>
        <family val="2"/>
      </rPr>
      <t>1</t>
    </r>
  </si>
  <si>
    <r>
      <t xml:space="preserve">2021Q1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</si>
  <si>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</si>
  <si>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</si>
  <si>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</si>
  <si>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</si>
  <si>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</si>
  <si>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</si>
  <si>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</si>
  <si>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</si>
  <si>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</si>
  <si>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</si>
  <si>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</si>
  <si>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</si>
  <si>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</si>
  <si>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</si>
  <si>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</si>
  <si>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</si>
  <si>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</si>
  <si>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</si>
  <si>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</si>
  <si>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</si>
  <si>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</si>
  <si>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</si>
  <si>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</si>
  <si>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</si>
  <si>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</si>
  <si>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</si>
  <si>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</si>
  <si>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</si>
  <si>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</si>
  <si>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</si>
  <si>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</si>
  <si>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</si>
  <si>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</si>
  <si>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</si>
  <si>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</si>
  <si>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</si>
  <si>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</si>
  <si>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</si>
  <si>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</si>
  <si>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</si>
  <si>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</si>
  <si>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</si>
  <si>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</si>
  <si>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</si>
  <si>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</si>
  <si>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</si>
  <si>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</si>
  <si>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</si>
  <si>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</si>
  <si>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</si>
  <si>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</si>
  <si>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</si>
  <si>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</si>
  <si>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</si>
  <si>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</si>
  <si>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</si>
  <si>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</si>
  <si>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</si>
  <si>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</si>
  <si>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</si>
  <si>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</si>
  <si>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</si>
  <si>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</si>
  <si>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</si>
  <si>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</si>
  <si>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</si>
  <si>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</si>
  <si>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</si>
  <si>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</si>
  <si>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</si>
  <si>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</si>
  <si>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</si>
  <si>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</si>
  <si>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</si>
  <si>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</si>
  <si>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</si>
  <si>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</si>
  <si>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</si>
  <si>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</si>
  <si>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</si>
  <si>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</si>
  <si>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</si>
  <si>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</si>
  <si>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</si>
  <si>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</si>
  <si>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</si>
  <si>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</si>
  <si>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</si>
  <si>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73: International Investment Position: External Assets and Liabilities at end-December 2016, 2017, 2018 and 2019</t>
  </si>
  <si>
    <r>
      <t xml:space="preserve">2018 </t>
    </r>
    <r>
      <rPr>
        <b/>
        <vertAlign val="superscript"/>
        <sz val="11"/>
        <color rgb="FF002060"/>
        <rFont val="Segoe UI"/>
        <family val="2"/>
      </rPr>
      <t>1</t>
    </r>
  </si>
  <si>
    <t xml:space="preserve"> International Investment Position, net</t>
  </si>
  <si>
    <t xml:space="preserve"> Assets</t>
  </si>
  <si>
    <t xml:space="preserve">   Direct investment abroad </t>
  </si>
  <si>
    <t xml:space="preserve">      Equity capital and reinvested earnings</t>
  </si>
  <si>
    <t xml:space="preserve">         Claims on affiliated enterprises</t>
  </si>
  <si>
    <t xml:space="preserve">               o/w global business</t>
  </si>
  <si>
    <t xml:space="preserve">         Liabilities to affiliated enterprises (-)  </t>
  </si>
  <si>
    <t xml:space="preserve">      Other capital</t>
  </si>
  <si>
    <t xml:space="preserve">         Claims on affiliated enterprises   </t>
  </si>
  <si>
    <t xml:space="preserve">         Liabilities to affiliated enterprises (-) </t>
  </si>
  <si>
    <t xml:space="preserve">   Portfolio investment</t>
  </si>
  <si>
    <t xml:space="preserve">       Equity securities</t>
  </si>
  <si>
    <t xml:space="preserve">         Monetary authorities</t>
  </si>
  <si>
    <t xml:space="preserve">         General government</t>
  </si>
  <si>
    <t xml:space="preserve">         Banks</t>
  </si>
  <si>
    <t xml:space="preserve">         Other sectors</t>
  </si>
  <si>
    <t xml:space="preserve">       Debt securities</t>
  </si>
  <si>
    <t xml:space="preserve">         Bonds and notes</t>
  </si>
  <si>
    <t xml:space="preserve">           Monetary authorities</t>
  </si>
  <si>
    <t xml:space="preserve">           General government</t>
  </si>
  <si>
    <t xml:space="preserve">           Banks</t>
  </si>
  <si>
    <t xml:space="preserve">           Other sectors</t>
  </si>
  <si>
    <t xml:space="preserve">         Money-market instruments </t>
  </si>
  <si>
    <t xml:space="preserve">   Financial derivatives</t>
  </si>
  <si>
    <t xml:space="preserve">      Monetary authorities</t>
  </si>
  <si>
    <t xml:space="preserve">      General government</t>
  </si>
  <si>
    <t xml:space="preserve">      Banks</t>
  </si>
  <si>
    <t xml:space="preserve">      Other sectors</t>
  </si>
  <si>
    <t xml:space="preserve">               o/w global business </t>
  </si>
  <si>
    <t xml:space="preserve">   Other investment</t>
  </si>
  <si>
    <t xml:space="preserve">       Trade credits</t>
  </si>
  <si>
    <t xml:space="preserve">             Long-term</t>
  </si>
  <si>
    <t xml:space="preserve">             Short-term</t>
  </si>
  <si>
    <t xml:space="preserve">       Loans</t>
  </si>
  <si>
    <t xml:space="preserve">       Currency and deposits</t>
  </si>
  <si>
    <t xml:space="preserve">       Other assets</t>
  </si>
  <si>
    <t xml:space="preserve">   Reserve assets</t>
  </si>
  <si>
    <t xml:space="preserve">     Monetary gold</t>
  </si>
  <si>
    <t xml:space="preserve">     Special drawing rights</t>
  </si>
  <si>
    <t xml:space="preserve">     Reserve position in the Fund</t>
  </si>
  <si>
    <t xml:space="preserve">     Other Reserve Assets</t>
  </si>
  <si>
    <t xml:space="preserve">         With monetary authorities</t>
  </si>
  <si>
    <t xml:space="preserve">         With banks</t>
  </si>
  <si>
    <t xml:space="preserve">       Securities</t>
  </si>
  <si>
    <t xml:space="preserve">         Equities</t>
  </si>
  <si>
    <t xml:space="preserve">         Money-market instruments</t>
  </si>
  <si>
    <t xml:space="preserve">       Financial derivatives ,net</t>
  </si>
  <si>
    <t xml:space="preserve">       Other claims</t>
  </si>
  <si>
    <t xml:space="preserve"> Liabilities</t>
  </si>
  <si>
    <t xml:space="preserve">   Direct investment in reporting economy </t>
  </si>
  <si>
    <t xml:space="preserve">         Claims on direct investors   (-)</t>
  </si>
  <si>
    <t xml:space="preserve">         Liabilities to direct investors</t>
  </si>
  <si>
    <t xml:space="preserve">         Claims on direct investors   (-) </t>
  </si>
  <si>
    <t xml:space="preserve">           Deposit-taking corporations</t>
  </si>
  <si>
    <t xml:space="preserve">         Bonds and notes </t>
  </si>
  <si>
    <t xml:space="preserve">   Financial derivatives </t>
  </si>
  <si>
    <t xml:space="preserve">             Use of Fund credit &amp; loans from the Fund</t>
  </si>
  <si>
    <t xml:space="preserve">             Other long-term</t>
  </si>
  <si>
    <r>
      <t xml:space="preserve">             Other</t>
    </r>
    <r>
      <rPr>
        <b/>
        <sz val="11.5"/>
        <color rgb="FF002060"/>
        <rFont val="Segoe UI"/>
        <family val="2"/>
      </rPr>
      <t xml:space="preserve"> </t>
    </r>
    <r>
      <rPr>
        <sz val="11.5"/>
        <color rgb="FF002060"/>
        <rFont val="Segoe UI"/>
        <family val="2"/>
      </rPr>
      <t>Long-term</t>
    </r>
  </si>
  <si>
    <t xml:space="preserve">       Other liabilities</t>
  </si>
  <si>
    <r>
      <t xml:space="preserve">              </t>
    </r>
    <r>
      <rPr>
        <i/>
        <sz val="11.5"/>
        <color rgb="FF002060"/>
        <rFont val="Segoe UI"/>
        <family val="2"/>
      </rPr>
      <t>of which Allocations of SDRs</t>
    </r>
  </si>
  <si>
    <r>
      <rPr>
        <i/>
        <vertAlign val="superscript"/>
        <sz val="10"/>
        <color rgb="FF002060"/>
        <rFont val="Segoe UI"/>
        <family val="2"/>
      </rPr>
      <t>1</t>
    </r>
    <r>
      <rPr>
        <i/>
        <sz val="10"/>
        <color rgb="FF002060"/>
        <rFont val="Segoe UI"/>
        <family val="2"/>
      </rPr>
      <t>Revised estimates.</t>
    </r>
  </si>
  <si>
    <t>Table 74: Leasing Facilities to Households and Corporates: March 2020 to March 2021</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</si>
  <si>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</si>
  <si>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</si>
  <si>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</si>
  <si>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</si>
  <si>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</si>
  <si>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</si>
  <si>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</si>
  <si>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</si>
  <si>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</si>
  <si>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</si>
  <si>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r>
      <t>As at end-December 2020</t>
    </r>
    <r>
      <rPr>
        <b/>
        <vertAlign val="superscript"/>
        <sz val="11"/>
        <color rgb="FF002060"/>
        <rFont val="Segoe UI"/>
        <family val="2"/>
      </rPr>
      <t>1</t>
    </r>
  </si>
  <si>
    <t>As at end-March 2021</t>
  </si>
  <si>
    <t>(Number)</t>
  </si>
  <si>
    <t>Motor vehicle</t>
  </si>
  <si>
    <t xml:space="preserve">      Leasing</t>
  </si>
  <si>
    <t xml:space="preserve">      NBDTIs</t>
  </si>
  <si>
    <t>Figures may not add up due to rounding.</t>
  </si>
  <si>
    <r>
      <t>1</t>
    </r>
    <r>
      <rPr>
        <i/>
        <sz val="9"/>
        <color rgb="FF002060"/>
        <rFont val="Segoe UI"/>
        <family val="2"/>
      </rPr>
      <t xml:space="preserve"> Leasing facilities granted for buildings, office equipment, machinery and other assets.</t>
    </r>
  </si>
  <si>
    <r>
      <rPr>
        <i/>
        <vertAlign val="superscript"/>
        <sz val="10"/>
        <color rgb="FF002060"/>
        <rFont val="Segoe UI"/>
        <family val="2"/>
      </rPr>
      <t xml:space="preserve">1 </t>
    </r>
    <r>
      <rPr>
        <i/>
        <sz val="10"/>
        <color rgb="FF002060"/>
        <rFont val="Segoe UI"/>
        <family val="2"/>
      </rPr>
      <t xml:space="preserve">Revised. </t>
    </r>
  </si>
  <si>
    <t>Table of Contents</t>
  </si>
  <si>
    <t xml:space="preserve">1. Selected Economic Indicators of Mauritius: 2010 to 2020 </t>
  </si>
  <si>
    <t xml:space="preserve">2. Selected Trading Partners' Real GDP Growth and Inflation Rates: 2017 to 2021 (Annual) and 2017Q1 to 2021Q2 (Quarterly) </t>
  </si>
  <si>
    <t>3. Selected Global Stock Market Indices: 2017 to 2020 (Annual) and January 2019 to July 2021 (Monthly)</t>
  </si>
  <si>
    <t>4. FAO Food Price Indices and Oil Prices: 2016 to 2020 (Annual) and January 2018 to July 2021 (Monthly)</t>
  </si>
  <si>
    <t>5. GDP and Expenditure Components at Current Market Prices, 2017 to 2021 (Annual) and Real Growth Rates, 2017Q1 to 2021Q1 (Quarterly)</t>
  </si>
  <si>
    <t>6. Gross Value Added by Industry Group at Current Basic Prices, 2017 to 2021 (Annual) and Sectoral Growth Rates, 2017Q1 to 2021Q1 (Quarterly)</t>
  </si>
  <si>
    <t>7. Labour Force and Unemployment Rate: 2017 to 2020 (Annual), 2017Q1 to 2021Q1 (Quarterly) and May 2020 to December 2020</t>
  </si>
  <si>
    <t>8. Exports and Imports by Product Group: 2017 to 2020 (Annual) and January 2019 to May 2021 (Monthly)</t>
  </si>
  <si>
    <t>9. Monthly Statement of Budgetary Central Government Operations: July 2020 to January 2021</t>
  </si>
  <si>
    <t>10. Outstanding Public Sector Debt: March 2020 to June 2021</t>
  </si>
  <si>
    <t>11. Consumer Price Index (CPI) and Inflation Rates: January 2017 to July 2021</t>
  </si>
  <si>
    <t>12. Headline and Core Inflation Rates: July 2019 to July 2021</t>
  </si>
  <si>
    <t>13. Selected Price Indicators: 2017 to 2020 (Annual) and 2017Q1 to 2021Q2 (Quarterly)</t>
  </si>
  <si>
    <t>14. Bank of Mauritius Statement of Financial Position as at end May 2021</t>
  </si>
  <si>
    <t>15. Sectoral Balance Sheet of Bank of Mauritius: July 2020 to July 2021</t>
  </si>
  <si>
    <t>16. Central Bank Survey: July 2020 to July 2021</t>
  </si>
  <si>
    <t xml:space="preserve">17. Sectoral Balance Sheet of Banks: June 2020 to June 2021 </t>
  </si>
  <si>
    <t xml:space="preserve">18. Sectoral Balance Sheet of Non-Bank Deposit Taking Institutions: June 2020 to June 2021 </t>
  </si>
  <si>
    <t>19. Sectoral Balance Sheet of Other Depository Corporations: June 2020 to June 2021</t>
  </si>
  <si>
    <t>20. Other Depository Corporations Survey: June 2020 to June 2021</t>
  </si>
  <si>
    <t>21. Depository Corporations Survey: June 2020 to June 2021</t>
  </si>
  <si>
    <t>22a. Components and Sources of Monetary Base: June 2020 to June 2021</t>
  </si>
  <si>
    <t>22b. Components and Sources of Broad Money Liabilities: June 2020 to June 2021</t>
  </si>
  <si>
    <t>23. Bank Loans to Other Nonfinancial Corporations, Households and Other Sectors as at end-June 2021</t>
  </si>
  <si>
    <t>24. Bank Loans to Other Nonfinancial Corporations, Households and Other Sectors: June 2020 to June 2021</t>
  </si>
  <si>
    <t>25a. Banks' Interest Rates on New Rupee Deposits: June 2020 to June 2021</t>
  </si>
  <si>
    <t>25b. Banks' Interest Rates on New Rupee Loans to Other Nonfinancial Corporations, Households and Other Sectors: June 2020 to June 2021</t>
  </si>
  <si>
    <t>26. Banks' Principal Interest Rates and Other Interest Rates: June 2018 to June 2021</t>
  </si>
  <si>
    <t>27. NBDTIs Loans to Other Nonfinancial Corporations, Households and Other Sectors as at end-June 2021</t>
  </si>
  <si>
    <t>28. NBDTIs Loans to Other Nonfinancial Corporations, Households and Other Sectors: June 2020 to June 2021</t>
  </si>
  <si>
    <t>29. NBDTIs Interest Rates on New Rupee Deposits: June 2020 to June 2021</t>
  </si>
  <si>
    <t>30. NBDTIs Interest Rates on New Rupee Loans to Other Nonfinancial Corporations, Households and Other Sectors: June 2020 to June 2021</t>
  </si>
  <si>
    <t>31. ODCs Loans to Other Nonfinancial Corporations, Households and Other Sectors as at end-June 2021</t>
  </si>
  <si>
    <t>32. ODCs Loans to Other Nonfinancial Corporations, Households and Other Sectors: June 2020 to June 2021</t>
  </si>
  <si>
    <t>33. Maintenance of Cash Reserve Ratio (CRR) by Banks: 30 July 2020 to 29 July 2021</t>
  </si>
  <si>
    <t>34. Maturity Pattern of Banks' Foreign Currency Deposits: As at end-March 2021</t>
  </si>
  <si>
    <t>35. Financial Soundness Indicators of Other Depository Corporations: December 2018 to March 2021</t>
  </si>
  <si>
    <t>36. Currency in Circulation: July 2020 to July 2021</t>
  </si>
  <si>
    <t>37. Cheque Clearance: January 2019 to July 2021</t>
  </si>
  <si>
    <t>38a. Mauritius Automated Clearing and Settlement System (MACSS) Rupee Transactions: January 2019 to July 2021</t>
  </si>
  <si>
    <t>38b. Mauritius Automated Clearing and Settlement System (MACSS) Foreign Currency Transactions: January 2019 to July 2021</t>
  </si>
  <si>
    <t>39. Card Transactions: June 2020 to June 2021</t>
  </si>
  <si>
    <t>40. Internet Banking Transactions: June 2020 to June 2021</t>
  </si>
  <si>
    <t>41. Mobile Banking and Mobile Payments: June 2020 to June 2021</t>
  </si>
  <si>
    <t>42. Assets and Liabilities of Non-Bank Deposit Taking Leasing Companies: June 2020 - June 2021</t>
  </si>
  <si>
    <t>43. Consolidated Quarterly Profit and Loss Statement of Non-Bank Deposit Taking Leasing Companies: December 2014 to June 2021</t>
  </si>
  <si>
    <t>44. Sectorwise Distribution of Credit to Non-Residents: June 2021</t>
  </si>
  <si>
    <t xml:space="preserve">45a. Auctions of Government of Mauritius Treasury Bills: June 2021 and July 2021 </t>
  </si>
  <si>
    <t>45b. Auctions of Government of Mauritius Treasury Bills: July 2020 to July 2021</t>
  </si>
  <si>
    <t>45c. Weighted Average Yields on Government of Mauritius Treasury Bills/ Bank of Mauritius Bills: July 2020 to July 2021</t>
  </si>
  <si>
    <t>46a. Auctions of Bank of Mauritius Bills: June 2021 and July 2021</t>
  </si>
  <si>
    <t>46b. Auctions of Bank of Mauritius Bills: July 2020 to July 2021</t>
  </si>
  <si>
    <t xml:space="preserve">47. Weighted Average Yields on Government of Mauritius Treasury Bills/ Bank of Mauritius Bills: July 2021 </t>
  </si>
  <si>
    <t>48a. Auctions of Government of Mauritius Notes and Bonds</t>
  </si>
  <si>
    <t>48b. Auctions of Fifteen-Year Inflation-Indexed Government of Mauritius Bonds</t>
  </si>
  <si>
    <t>49a. Issue of Bank of Mauritius Notes and Bonds</t>
  </si>
  <si>
    <t>49b. Auctions of 28-Day Bank of Mauritius Bills: February 2020 and March 2020</t>
  </si>
  <si>
    <t>50. Buyback Auction of Government of Mauritius Securities: October 2019 and November 2019</t>
  </si>
  <si>
    <t>51. Outstanding Government of Mauritius Securities: July 2020 to July 2021</t>
  </si>
  <si>
    <t>52. Maturity Structure of Government of Mauritius Securities outstanding at end-July 2021</t>
  </si>
  <si>
    <t>53a. Secondary Market Transactions by Counterparty: July 2021</t>
  </si>
  <si>
    <t>53b. Weekly Secondary Market Transactions: July 2021</t>
  </si>
  <si>
    <t>53c. Secondary Market Yields by Residual Days to Maturity: July 2021</t>
  </si>
  <si>
    <t>54. Secondary Market Activity: July 2020 to July 2021</t>
  </si>
  <si>
    <t xml:space="preserve">55a. Transactions on the Interbank Money Market: July 2019 to July 2021 </t>
  </si>
  <si>
    <t xml:space="preserve">55b. Repo Transactions on the Interbank Money Market: July 2019 to July 2021 </t>
  </si>
  <si>
    <t>56. Transactions on the Interbank Foreign Exchange Market: July 2019 to July 2021</t>
  </si>
  <si>
    <t>57a. Intervention by the Bank of Mauritius on the Domestic Foreign Exchange Market: July 2020 to July 2021</t>
  </si>
  <si>
    <t>57b. Purchases and Sales of Foreign Currency by the Bank of Mauritius from Government and Other Institutions: July 2020 to July 2021</t>
  </si>
  <si>
    <t>58a. Weighted Average Dealt Selling Rates of the Rupee against the USD, EUR and GBP: July 2020 to July 2021</t>
  </si>
  <si>
    <t>58b. Exchange Rate of the Rupee (End of Period): July 2020 to July 2021</t>
  </si>
  <si>
    <t>58c. Exchange Rate of the Rupee (Period Average): July 2020 to July 2021</t>
  </si>
  <si>
    <t>58d. Average Exchange Rate of the Rupee vis-à-vis Major Trading Partner Currencies: July 2020 and July 2021</t>
  </si>
  <si>
    <t>59. Monthly Average Exchange Rates of Selected Currencies vis-à-vis the US Dollar: January 2019 to July 2021</t>
  </si>
  <si>
    <t>60. Mauritius Exchange Rate Index (MERI): January 2019 to July 2021</t>
  </si>
  <si>
    <t>61. Foreign Currency Transactions: July 2020 to July 2021</t>
  </si>
  <si>
    <t>62a. Foreign Currency Purchases by Sector: July 2020 to July 2021</t>
  </si>
  <si>
    <t>62b. Foreign Currency Sales by Sector: July 2020 to July 2021</t>
  </si>
  <si>
    <t>63a. Foreign Currency Purchases by Major Currencies: July 2020 to July 2021</t>
  </si>
  <si>
    <t>63b. Foreign Currency Sales by Major Currencies: July 2020 to July 2021</t>
  </si>
  <si>
    <t>64. Swap Transactions by Sector in Major Currencies: May 2021 to July 2021</t>
  </si>
  <si>
    <t>65a. Transactions on the Stock Exchange of Mauritius: July 2020 to July 2021</t>
  </si>
  <si>
    <t>65b. Transactions by Non-Residents on the Stock Exchange of Mauritius: July 2020 to July 2021</t>
  </si>
  <si>
    <t>66. Tourist Arrivals: January 2017 to July 2021 and Gross Tourism Earnings: January 2017 to June 2021</t>
  </si>
  <si>
    <t>67. Gross Official International Reserves: July 2018 to July 2021</t>
  </si>
  <si>
    <t>68a. Gross Direct Investment Flows in Mauritius (Excluding Global Business) by Sector: 2013 to 2020 (Annual) and First Quarter of 2021</t>
  </si>
  <si>
    <t>68b. Gross Direct Investment Flows in Mauritius (Excluding Global Business) by Geographical Origin: 2013 to 2020 (Annual) and  First Quarter of 2021</t>
  </si>
  <si>
    <t>69a. Gross Direct Investment Flows Abroad (Excluding Global Business) by Sector: 2013 to 2020 (Annual) and  First Quarter of 2021</t>
  </si>
  <si>
    <t>69b. Gross Direct Investment Flows Abroad (Excluding Global Business) by Geographical Destination: 2013 to 2020 (Annual) and  First Quarter of 2021</t>
  </si>
  <si>
    <t>70a. Inward Workers' Remittances, Top 10 Source Countries: 2018Q1 to 2021Q1</t>
  </si>
  <si>
    <t>70b. Outward Workers' Remittances, Top 5 Destination Countries: 2018Q1 to 2021Q1</t>
  </si>
  <si>
    <t>70c. Remittance Cost: 2018Q1 to 2021Q1</t>
  </si>
  <si>
    <t>70d. Outward Workers' Remittances by Domestic Remitter's Sector of Activity: 2018Q1 to 2021Q1</t>
  </si>
  <si>
    <t>71. Coordinated Direct Investment Survey - Position data for Mauritius as at end-2019 vis-à-vis Top 10 Counterpart Economies</t>
  </si>
  <si>
    <t>72. Balance of Payments - First Quarters of 2020 and 2021</t>
  </si>
  <si>
    <t>73. International Investment Position: External Assets and Liabilities at end-December 2016, 2017, 2018 and 2019</t>
  </si>
  <si>
    <t>74. Leasing Facilities to Households and Corporates: March 2020 to March 2021</t>
  </si>
  <si>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</si>
  <si>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FTSE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</si>
</sst>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_ ;\-#,##0.0\ "/>
    <numFmt numFmtId="169" formatCode="_-* #,##0.0_-;\-* #,##0.0_-;_-* &quot;-&quot;??_-;_-@_-"/>
    <numFmt numFmtId="170" formatCode="\+#,##0"/>
    <numFmt numFmtId="171" formatCode="0.0%"/>
    <numFmt numFmtId="172" formatCode="0.000"/>
    <numFmt numFmtId="173" formatCode="#,##0.0_);\(#,##0.0\)"/>
    <numFmt numFmtId="174" formatCode="&quot;+&quot;#,##0.0"/>
    <numFmt numFmtId="175" formatCode="[$-409]mmm\-yy;@"/>
    <numFmt numFmtId="176" formatCode="_(* #,##0.000000000_);_(* \(#,##0.000000000\);_(* &quot;-&quot;??_);_(@_)"/>
    <numFmt numFmtId="177" formatCode="_(* #,##0.0_);_(* \(#,##0.0\);_(* &quot;-&quot;??_);_(@_)"/>
    <numFmt numFmtId="178" formatCode="#,##0\ \ "/>
    <numFmt numFmtId="179" formatCode="0.0_);\(0.0\)"/>
    <numFmt numFmtId="180" formatCode="#,##0.000"/>
    <numFmt numFmtId="181" formatCode="0_);\(0\)"/>
    <numFmt numFmtId="182" formatCode="\(#,##0.0\)"/>
    <numFmt numFmtId="183" formatCode="#,##0\ "/>
    <numFmt numFmtId="184" formatCode="mmmm\ yyyy"/>
    <numFmt numFmtId="185" formatCode="\(0\)"/>
    <numFmt numFmtId="186" formatCode="\+#,##0.0\ ;\-#,##0.0\ "/>
    <numFmt numFmtId="187" formatCode="_-* #,##0_-;\-* #,##0_-;_-* &quot;-&quot;??_-;_-@_-"/>
    <numFmt numFmtId="188" formatCode="0."/>
    <numFmt numFmtId="189" formatCode="0.0."/>
    <numFmt numFmtId="190" formatCode="[$-809]dd\ mmmm\ yyyy;@"/>
    <numFmt numFmtId="191" formatCode="[$-409]d/mmm/yy;@"/>
    <numFmt numFmtId="192" formatCode="dd/mmmm/yy"/>
    <numFmt numFmtId="193" formatCode="#,##0.0_);[Red]\(#,##0.0\)"/>
    <numFmt numFmtId="194" formatCode="dd/mm/yy;@"/>
    <numFmt numFmtId="195" formatCode="[$-409]mmm/yy;@"/>
    <numFmt numFmtId="196" formatCode="_(* #,##0.000_);_(* \(#,##0.000\);_(* &quot;-&quot;??_);_(@_)"/>
    <numFmt numFmtId="197" formatCode="#,##0_ ;[Red]\-#,##0\ "/>
    <numFmt numFmtId="198" formatCode="[$-409]mmmm\-yy;@"/>
    <numFmt numFmtId="199" formatCode="dd\ mmmm"/>
    <numFmt numFmtId="200" formatCode="d\ mmm"/>
    <numFmt numFmtId="201" formatCode="mmmm\-yy"/>
    <numFmt numFmtId="202" formatCode="dd/mmmm"/>
    <numFmt numFmtId="203" formatCode="#,##0.0000"/>
    <numFmt numFmtId="204" formatCode="0.0000"/>
    <numFmt numFmtId="205" formatCode="_(* #,##0.0000_);_(* \(#,##0.0000\);_(* &quot;-&quot;??_);_(@_)"/>
    <numFmt numFmtId="206" formatCode="#,##0.000_);\(#,##0.000\)"/>
    <numFmt numFmtId="207" formatCode="0.00000"/>
    <numFmt numFmtId="208" formatCode="[$-409]mmmmm;@"/>
    <numFmt numFmtId="209" formatCode="0.000000"/>
    <numFmt numFmtId="210" formatCode="[$-409]d\-mmm\-yy;@"/>
    <numFmt numFmtId="211" formatCode="0;;\-;@\,"/>
    <numFmt numFmtId="212" formatCode="#\ ###\ ##0;\-#\ ###;&quot;-&quot;"/>
    <numFmt numFmtId="213" formatCode="\(0.00\)"/>
    <numFmt numFmtId="214" formatCode="mmmm\ d\,\ yyyy"/>
  </numFmts>
  <fonts count="180" x14ac:knownFonts="1">
    <font>
      <sz val="11"/>
      <color theme="1"/>
      <name val="Calibri"/>
      <family val="2"/>
      <scheme val="minor"/>
    </font>
    <font>
      <sz val="11"/>
      <color theme="1"/>
      <name val="Calibri"/>
      <family val="2"/>
      <scheme val="minor"/>
    </font>
    <font>
      <sz val="10"/>
      <color theme="1"/>
      <name val="Segoe UI"/>
      <family val="2"/>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b/>
      <vertAlign val="superscript"/>
      <sz val="11"/>
      <color rgb="FFC00000"/>
      <name val="Segoe UI"/>
      <family val="2"/>
    </font>
    <font>
      <sz val="11"/>
      <color rgb="FFC00000"/>
      <name val="Times New Roman"/>
      <family val="1"/>
    </font>
    <font>
      <vertAlign val="superscript"/>
      <sz val="10"/>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sz val="9"/>
      <color rgb="FF002060"/>
      <name val="Segoe UI"/>
      <family val="2"/>
    </font>
    <font>
      <b/>
      <sz val="11"/>
      <color rgb="FF002060"/>
      <name val="Times New Roman"/>
      <family val="1"/>
    </font>
    <font>
      <b/>
      <sz val="11"/>
      <name val="Times New Roman"/>
      <family val="1"/>
    </font>
    <font>
      <b/>
      <vertAlign val="superscript"/>
      <sz val="12"/>
      <color rgb="FF002060"/>
      <name val="Segoe UI"/>
      <family val="2"/>
    </font>
    <font>
      <sz val="12"/>
      <color rgb="FF002060"/>
      <name val="Segoe UI"/>
      <family val="2"/>
    </font>
    <font>
      <i/>
      <sz val="10.5"/>
      <color rgb="FF002060"/>
      <name val="Segoe UI"/>
      <family val="2"/>
    </font>
    <font>
      <b/>
      <sz val="10.5"/>
      <color rgb="FF002060"/>
      <name val="Segoe UI"/>
      <family val="2"/>
    </font>
    <font>
      <b/>
      <i/>
      <sz val="11"/>
      <color rgb="FF002060"/>
      <name val="Segoe UI"/>
      <family val="2"/>
    </font>
    <font>
      <sz val="10.5"/>
      <color theme="1"/>
      <name val="Segoe UI"/>
      <family val="2"/>
    </font>
    <font>
      <b/>
      <i/>
      <sz val="10.5"/>
      <color rgb="FF002060"/>
      <name val="Segoe UI"/>
      <family val="2"/>
    </font>
    <font>
      <i/>
      <sz val="11"/>
      <color rgb="FF002060"/>
      <name val="Segoe UI"/>
      <family val="2"/>
    </font>
    <font>
      <b/>
      <sz val="10"/>
      <color rgb="FF002060"/>
      <name val="Segoe UI"/>
      <family val="2"/>
    </font>
    <font>
      <b/>
      <sz val="13"/>
      <color rgb="FF002060"/>
      <name val="Segoe UI"/>
      <family val="2"/>
    </font>
    <font>
      <sz val="10"/>
      <name val="Segoe UI"/>
      <family val="2"/>
    </font>
    <font>
      <sz val="10"/>
      <name val="MS Sans Serif"/>
      <family val="2"/>
    </font>
    <font>
      <vertAlign val="superscript"/>
      <sz val="11"/>
      <color rgb="FF002060"/>
      <name val="Segoe UI"/>
      <family val="2"/>
    </font>
    <font>
      <i/>
      <sz val="9"/>
      <color rgb="FF002060"/>
      <name val="Segoe UI"/>
      <family val="2"/>
    </font>
    <font>
      <sz val="12"/>
      <name val="Times New Roman"/>
      <family val="1"/>
    </font>
    <font>
      <i/>
      <sz val="12"/>
      <color rgb="FF002060"/>
      <name val="Segoe UI"/>
      <family val="2"/>
    </font>
    <font>
      <sz val="10"/>
      <color theme="1"/>
      <name val="Calibri"/>
      <family val="2"/>
      <scheme val="minor"/>
    </font>
    <font>
      <sz val="10"/>
      <name val="Arial"/>
      <family val="2"/>
    </font>
    <font>
      <sz val="10"/>
      <name val="Times New Roman"/>
      <family val="1"/>
    </font>
    <font>
      <i/>
      <sz val="10"/>
      <name val="Segoe UI"/>
      <family val="2"/>
    </font>
    <font>
      <sz val="12"/>
      <name val="Segoe UI"/>
      <family val="2"/>
    </font>
    <font>
      <sz val="12"/>
      <color indexed="23"/>
      <name val="Segoe UI"/>
      <family val="2"/>
    </font>
    <font>
      <sz val="11"/>
      <color indexed="23"/>
      <name val="Segoe UI"/>
      <family val="2"/>
    </font>
    <font>
      <sz val="10"/>
      <color indexed="23"/>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10"/>
      <color theme="1" tint="4.9989318521683403E-2"/>
      <name val="Segoe UI"/>
      <family val="2"/>
    </font>
    <font>
      <b/>
      <sz val="10"/>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sz val="11"/>
      <color theme="1"/>
      <name val="Calibri"/>
      <family val="2"/>
    </font>
    <font>
      <u/>
      <sz val="11"/>
      <color theme="10"/>
      <name val="Calibri"/>
      <family val="2"/>
      <scheme val="minor"/>
    </font>
    <font>
      <sz val="10"/>
      <name val="Arial"/>
      <family val="2"/>
    </font>
    <font>
      <i/>
      <u/>
      <sz val="11"/>
      <color theme="10"/>
      <name val="Calibri"/>
      <family val="2"/>
      <scheme val="minor"/>
    </font>
    <font>
      <b/>
      <i/>
      <sz val="9"/>
      <color rgb="FF002060"/>
      <name val="Segoe UI"/>
      <family val="2"/>
    </font>
    <font>
      <b/>
      <i/>
      <sz val="9"/>
      <color theme="1" tint="4.9989318521683403E-2"/>
      <name val="Segoe UI"/>
      <family val="2"/>
    </font>
    <font>
      <i/>
      <u/>
      <sz val="9"/>
      <color theme="10"/>
      <name val="Calibri"/>
      <family val="2"/>
      <scheme val="minor"/>
    </font>
    <font>
      <i/>
      <u/>
      <sz val="9"/>
      <color rgb="FF002060"/>
      <name val="Segoe UI"/>
      <family val="2"/>
    </font>
    <font>
      <sz val="10"/>
      <name val="Arial"/>
      <family val="2"/>
    </font>
    <font>
      <i/>
      <sz val="10"/>
      <color theme="1"/>
      <name val="Calibri"/>
      <family val="2"/>
      <scheme val="minor"/>
    </font>
    <font>
      <sz val="10.5"/>
      <color theme="1"/>
      <name val="Calibri"/>
      <family val="2"/>
      <scheme val="minor"/>
    </font>
    <font>
      <sz val="12"/>
      <color theme="1"/>
      <name val="Segoe UI"/>
      <family val="2"/>
    </font>
    <font>
      <sz val="11"/>
      <color theme="1"/>
      <name val="Segoe UI"/>
      <family val="2"/>
    </font>
    <font>
      <i/>
      <sz val="10"/>
      <color theme="1"/>
      <name val="Segoe UI"/>
      <family val="2"/>
    </font>
    <font>
      <b/>
      <sz val="12"/>
      <color rgb="FF002060"/>
      <name val="Calibri"/>
      <family val="2"/>
      <scheme val="minor"/>
    </font>
    <font>
      <b/>
      <sz val="11"/>
      <color theme="4" tint="0.59999389629810485"/>
      <name val="Segoe UI"/>
      <family val="2"/>
    </font>
    <font>
      <i/>
      <vertAlign val="superscript"/>
      <sz val="11"/>
      <color rgb="FF002060"/>
      <name val="Segoe UI"/>
      <family val="2"/>
    </font>
    <font>
      <i/>
      <sz val="11"/>
      <color theme="1"/>
      <name val="Segoe UI"/>
      <family val="2"/>
    </font>
    <font>
      <sz val="7"/>
      <name val="Segoe UI"/>
      <family val="2"/>
    </font>
    <font>
      <sz val="10"/>
      <color rgb="FF002060"/>
      <name val="Calibri"/>
      <family val="2"/>
      <scheme val="minor"/>
    </font>
    <font>
      <sz val="11"/>
      <color rgb="FF002060"/>
      <name val="Calibri"/>
      <family val="2"/>
      <scheme val="minor"/>
    </font>
    <font>
      <i/>
      <sz val="10"/>
      <color rgb="FF002060"/>
      <name val="Calibri"/>
      <family val="2"/>
      <scheme val="minor"/>
    </font>
    <font>
      <sz val="11"/>
      <color rgb="FF92D050"/>
      <name val="Segoe UI"/>
      <family val="2"/>
    </font>
    <font>
      <sz val="11"/>
      <color rgb="FFC00000"/>
      <name val="Segoe UI"/>
      <family val="2"/>
    </font>
    <font>
      <b/>
      <vertAlign val="superscript"/>
      <sz val="13"/>
      <color rgb="FF002060"/>
      <name val="Segoe UI"/>
      <family val="2"/>
    </font>
    <font>
      <b/>
      <sz val="11"/>
      <name val="Segoe UI"/>
      <family val="2"/>
    </font>
    <font>
      <sz val="10"/>
      <color rgb="FF0070C0"/>
      <name val="Segoe UI"/>
      <family val="2"/>
    </font>
    <font>
      <sz val="10"/>
      <color theme="7" tint="-0.499984740745262"/>
      <name val="Segoe UI"/>
      <family val="2"/>
    </font>
    <font>
      <sz val="11"/>
      <name val="Segoe UI"/>
      <family val="2"/>
    </font>
    <font>
      <sz val="10"/>
      <name val="Arial"/>
    </font>
    <font>
      <b/>
      <u/>
      <sz val="9"/>
      <name val="Segoe UI"/>
      <family val="2"/>
    </font>
    <font>
      <sz val="9"/>
      <name val="Segoe UI"/>
      <family val="2"/>
    </font>
    <font>
      <b/>
      <sz val="13"/>
      <color rgb="FFFF0000"/>
      <name val="Segoe UI"/>
      <family val="2"/>
    </font>
    <font>
      <u/>
      <sz val="12"/>
      <color rgb="FF002060"/>
      <name val="Segoe UI"/>
      <family val="2"/>
    </font>
    <font>
      <b/>
      <u/>
      <sz val="12"/>
      <color rgb="FF002060"/>
      <name val="Segoe UI"/>
      <family val="2"/>
    </font>
    <font>
      <sz val="10"/>
      <color indexed="56"/>
      <name val="Segoe UI"/>
      <family val="2"/>
    </font>
    <font>
      <sz val="10.5"/>
      <name val="Segoe UI"/>
      <family val="2"/>
    </font>
    <font>
      <i/>
      <vertAlign val="superscript"/>
      <sz val="12"/>
      <color rgb="FF002060"/>
      <name val="Segoe UI"/>
      <family val="2"/>
    </font>
    <font>
      <sz val="11"/>
      <color rgb="FFFF0000"/>
      <name val="Calibri"/>
      <family val="2"/>
      <scheme val="minor"/>
    </font>
    <font>
      <b/>
      <sz val="11"/>
      <color theme="1"/>
      <name val="Calibri"/>
      <family val="2"/>
      <scheme val="minor"/>
    </font>
    <font>
      <b/>
      <sz val="16"/>
      <color rgb="FF002060"/>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i/>
      <vertAlign val="superscript"/>
      <sz val="9.5"/>
      <color rgb="FF002060"/>
      <name val="Segoe UI"/>
      <family val="2"/>
    </font>
    <font>
      <i/>
      <sz val="12"/>
      <color theme="1"/>
      <name val="Segoe UI"/>
      <family val="2"/>
    </font>
    <font>
      <b/>
      <sz val="12"/>
      <color theme="1"/>
      <name val="Segoe UI"/>
      <family val="2"/>
    </font>
    <font>
      <i/>
      <sz val="12"/>
      <name val="Segoe UI"/>
      <family val="2"/>
    </font>
    <font>
      <b/>
      <i/>
      <sz val="12"/>
      <color rgb="FF002060"/>
      <name val="Segoe UI"/>
      <family val="2"/>
    </font>
    <font>
      <b/>
      <sz val="9"/>
      <color theme="1"/>
      <name val="Calibri"/>
      <family val="2"/>
      <scheme val="minor"/>
    </font>
    <font>
      <b/>
      <i/>
      <sz val="11"/>
      <color theme="1"/>
      <name val="Calibri"/>
      <family val="2"/>
      <scheme val="minor"/>
    </font>
    <font>
      <i/>
      <sz val="10"/>
      <color indexed="56"/>
      <name val="Segoe UI"/>
      <family val="2"/>
    </font>
    <font>
      <i/>
      <vertAlign val="superscript"/>
      <sz val="10"/>
      <color indexed="56"/>
      <name val="Segoe UI"/>
      <family val="2"/>
    </font>
    <font>
      <sz val="20"/>
      <color rgb="FF002060"/>
      <name val="Segoe UI"/>
      <family val="2"/>
    </font>
    <font>
      <i/>
      <vertAlign val="superscript"/>
      <sz val="10"/>
      <color theme="3" tint="-0.249977111117893"/>
      <name val="Segoe UI"/>
      <family val="2"/>
    </font>
    <font>
      <b/>
      <vertAlign val="superscript"/>
      <sz val="11"/>
      <color indexed="56"/>
      <name val="Segoe UI"/>
      <family val="2"/>
    </font>
    <font>
      <sz val="10"/>
      <name val="Calibri"/>
      <family val="2"/>
    </font>
    <font>
      <sz val="9.5"/>
      <color rgb="FF002060"/>
      <name val="Segoe UI"/>
      <family val="2"/>
    </font>
    <font>
      <b/>
      <vertAlign val="superscript"/>
      <sz val="10.5"/>
      <color rgb="FF002060"/>
      <name val="Segoe UI"/>
      <family val="2"/>
    </font>
    <font>
      <i/>
      <sz val="10.5"/>
      <color theme="1"/>
      <name val="Calibri"/>
      <family val="2"/>
      <scheme val="minor"/>
    </font>
    <font>
      <i/>
      <sz val="9"/>
      <color theme="1"/>
      <name val="Segoe UI"/>
      <family val="2"/>
    </font>
    <font>
      <i/>
      <sz val="9.5"/>
      <color theme="1"/>
      <name val="Calibri"/>
      <family val="2"/>
      <scheme val="minor"/>
    </font>
    <font>
      <i/>
      <sz val="10.5"/>
      <color theme="1"/>
      <name val="Segoe UI"/>
      <family val="2"/>
    </font>
    <font>
      <i/>
      <sz val="9.5"/>
      <color theme="1"/>
      <name val="Segoe UI"/>
      <family val="2"/>
    </font>
    <font>
      <sz val="9.5"/>
      <color theme="1"/>
      <name val="Calibri"/>
      <family val="2"/>
      <scheme val="minor"/>
    </font>
    <font>
      <sz val="9.5"/>
      <color theme="1"/>
      <name val="Segoe UI"/>
      <family val="2"/>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i/>
      <sz val="11"/>
      <color rgb="FF002060"/>
      <name val="Calibri"/>
      <family val="2"/>
      <scheme val="minor"/>
    </font>
    <font>
      <b/>
      <i/>
      <sz val="11"/>
      <color rgb="FF002060"/>
      <name val="Calibri"/>
      <family val="2"/>
      <scheme val="minor"/>
    </font>
    <font>
      <i/>
      <vertAlign val="superscript"/>
      <sz val="10.5"/>
      <color rgb="FF002060"/>
      <name val="Segoe UI"/>
      <family val="2"/>
    </font>
    <font>
      <sz val="11"/>
      <color rgb="FFFF0000"/>
      <name val="Arial"/>
      <family val="2"/>
    </font>
    <font>
      <sz val="11"/>
      <color rgb="FFFF0000"/>
      <name val="Segoe UI"/>
      <family val="2"/>
    </font>
    <font>
      <b/>
      <sz val="11"/>
      <name val="Arial"/>
      <family val="2"/>
    </font>
    <font>
      <b/>
      <sz val="11"/>
      <color theme="1"/>
      <name val="Segoe UI"/>
      <family val="2"/>
    </font>
    <font>
      <sz val="10"/>
      <name val="Courier"/>
      <family val="3"/>
    </font>
    <font>
      <sz val="11.5"/>
      <color rgb="FF002060"/>
      <name val="Segoe UI"/>
      <family val="2"/>
    </font>
    <font>
      <b/>
      <sz val="11.5"/>
      <color rgb="FF002060"/>
      <name val="Segoe UI"/>
      <family val="2"/>
    </font>
    <font>
      <i/>
      <sz val="11.5"/>
      <color rgb="FF002060"/>
      <name val="Segoe UI"/>
      <family val="2"/>
    </font>
    <font>
      <b/>
      <i/>
      <sz val="10"/>
      <name val="Segoe UI"/>
      <family val="2"/>
    </font>
    <font>
      <sz val="10"/>
      <color rgb="FFFF0000"/>
      <name val="Segoe UI"/>
      <family val="2"/>
    </font>
    <font>
      <sz val="11.5"/>
      <name val="Segoe UI"/>
      <family val="2"/>
    </font>
    <font>
      <b/>
      <sz val="20"/>
      <color rgb="FF002060"/>
      <name val="Segoe UI Semibold"/>
      <family val="2"/>
    </font>
    <font>
      <u/>
      <sz val="11"/>
      <color theme="10"/>
      <name val="Segoe UI"/>
      <family val="2"/>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lightGray">
        <fgColor indexed="22"/>
        <bgColor theme="0"/>
      </patternFill>
    </fill>
    <fill>
      <patternFill patternType="lightGray">
        <fgColor indexed="22"/>
        <bgColor theme="0" tint="-0.14999847407452621"/>
      </patternFill>
    </fill>
    <fill>
      <patternFill patternType="solid">
        <fgColor rgb="FFFFFF00"/>
        <bgColor indexed="64"/>
      </patternFill>
    </fill>
    <fill>
      <patternFill patternType="solid">
        <fgColor indexed="9"/>
        <bgColor indexed="64"/>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17">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right/>
      <top style="thick">
        <color rgb="FF002060"/>
      </top>
      <bottom/>
      <diagonal/>
    </border>
    <border>
      <left/>
      <right style="thick">
        <color rgb="FF002060"/>
      </right>
      <top style="thick">
        <color rgb="FF002060"/>
      </top>
      <bottom/>
      <diagonal/>
    </border>
    <border>
      <left style="thick">
        <color rgb="FF002060"/>
      </left>
      <right/>
      <top style="medium">
        <color rgb="FF002060"/>
      </top>
      <bottom style="medium">
        <color rgb="FF002060"/>
      </bottom>
      <diagonal/>
    </border>
    <border>
      <left/>
      <right/>
      <top style="medium">
        <color rgb="FF002060"/>
      </top>
      <bottom style="medium">
        <color rgb="FF002060"/>
      </bottom>
      <diagonal/>
    </border>
    <border>
      <left/>
      <right style="thick">
        <color rgb="FF002060"/>
      </right>
      <top style="medium">
        <color rgb="FF002060"/>
      </top>
      <bottom style="medium">
        <color rgb="FF002060"/>
      </bottom>
      <diagonal/>
    </border>
    <border>
      <left/>
      <right/>
      <top/>
      <bottom style="medium">
        <color rgb="FF002060"/>
      </bottom>
      <diagonal/>
    </border>
    <border>
      <left style="thick">
        <color rgb="FF002060"/>
      </left>
      <right/>
      <top style="medium">
        <color rgb="FF002060"/>
      </top>
      <bottom/>
      <diagonal/>
    </border>
    <border>
      <left/>
      <right style="thick">
        <color rgb="FF002060"/>
      </right>
      <top/>
      <bottom/>
      <diagonal/>
    </border>
    <border>
      <left/>
      <right style="thick">
        <color rgb="FF002060"/>
      </right>
      <top/>
      <bottom style="medium">
        <color rgb="FF002060"/>
      </bottom>
      <diagonal/>
    </border>
    <border>
      <left/>
      <right style="thick">
        <color rgb="FF002060"/>
      </right>
      <top style="medium">
        <color rgb="FF002060"/>
      </top>
      <bottom/>
      <diagonal/>
    </border>
    <border>
      <left style="thick">
        <color rgb="FF002060"/>
      </left>
      <right style="thick">
        <color rgb="FF002060"/>
      </right>
      <top style="medium">
        <color rgb="FF002060"/>
      </top>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thick">
        <color rgb="FF002060"/>
      </left>
      <right style="medium">
        <color rgb="FF002060"/>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bottom/>
      <diagonal/>
    </border>
    <border>
      <left style="medium">
        <color rgb="FF002060"/>
      </left>
      <right/>
      <top/>
      <bottom/>
      <diagonal/>
    </border>
    <border>
      <left style="thick">
        <color rgb="FF002060"/>
      </left>
      <right style="medium">
        <color rgb="FF002060"/>
      </right>
      <top style="medium">
        <color rgb="FF002060"/>
      </top>
      <bottom/>
      <diagonal/>
    </border>
    <border>
      <left style="thick">
        <color rgb="FF002060"/>
      </left>
      <right style="medium">
        <color rgb="FF002060"/>
      </right>
      <top/>
      <bottom style="thick">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bottom style="medium">
        <color rgb="FF002060"/>
      </bottom>
      <diagonal/>
    </border>
    <border>
      <left style="medium">
        <color rgb="FF002060"/>
      </left>
      <right style="thick">
        <color rgb="FF002060"/>
      </right>
      <top/>
      <bottom/>
      <diagonal/>
    </border>
    <border>
      <left style="medium">
        <color rgb="FF002060"/>
      </left>
      <right style="thick">
        <color rgb="FF002060"/>
      </right>
      <top style="thick">
        <color rgb="FF002060"/>
      </top>
      <bottom style="medium">
        <color rgb="FF002060"/>
      </bottom>
      <diagonal/>
    </border>
    <border>
      <left style="medium">
        <color rgb="FF002060"/>
      </left>
      <right style="thick">
        <color rgb="FF002060"/>
      </right>
      <top/>
      <bottom style="thick">
        <color rgb="FF002060"/>
      </bottom>
      <diagonal/>
    </border>
    <border>
      <left/>
      <right style="medium">
        <color rgb="FF002060"/>
      </right>
      <top/>
      <bottom style="medium">
        <color rgb="FF002060"/>
      </bottom>
      <diagonal/>
    </border>
    <border>
      <left style="medium">
        <color rgb="FF002060"/>
      </left>
      <right/>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right/>
      <top style="thick">
        <color rgb="FF002060"/>
      </top>
      <bottom style="thick">
        <color rgb="FF002060"/>
      </bottom>
      <diagonal/>
    </border>
    <border>
      <left style="double">
        <color rgb="FF002060"/>
      </left>
      <right/>
      <top style="thick">
        <color rgb="FF002060"/>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top style="medium">
        <color rgb="FF002060"/>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medium">
        <color rgb="FF002060"/>
      </right>
      <top style="thin">
        <color indexed="64"/>
      </top>
      <bottom style="medium">
        <color rgb="FF002060"/>
      </bottom>
      <diagonal/>
    </border>
    <border>
      <left style="thick">
        <color rgb="FF002060"/>
      </left>
      <right style="medium">
        <color rgb="FF002060"/>
      </right>
      <top style="medium">
        <color rgb="FF002060"/>
      </top>
      <bottom style="medium">
        <color rgb="FF002060"/>
      </bottom>
      <diagonal/>
    </border>
    <border>
      <left/>
      <right style="medium">
        <color rgb="FF002060"/>
      </right>
      <top style="thick">
        <color rgb="FF002060"/>
      </top>
      <bottom style="medium">
        <color rgb="FF002060"/>
      </bottom>
      <diagonal/>
    </border>
    <border>
      <left style="thick">
        <color rgb="FF002060"/>
      </left>
      <right/>
      <top/>
      <bottom style="medium">
        <color rgb="FF002060"/>
      </bottom>
      <diagonal/>
    </border>
    <border>
      <left style="medium">
        <color indexed="64"/>
      </left>
      <right style="thick">
        <color rgb="FF002060"/>
      </right>
      <top/>
      <bottom/>
      <diagonal/>
    </border>
    <border>
      <left/>
      <right style="thin">
        <color indexed="64"/>
      </right>
      <top style="medium">
        <color rgb="FF002060"/>
      </top>
      <bottom style="medium">
        <color rgb="FF002060"/>
      </bottom>
      <diagonal/>
    </border>
    <border>
      <left style="thin">
        <color indexed="64"/>
      </left>
      <right style="medium">
        <color indexed="64"/>
      </right>
      <top style="medium">
        <color rgb="FF002060"/>
      </top>
      <bottom style="medium">
        <color rgb="FF002060"/>
      </bottom>
      <diagonal/>
    </border>
    <border>
      <left style="medium">
        <color indexed="64"/>
      </left>
      <right style="thick">
        <color rgb="FF002060"/>
      </right>
      <top style="medium">
        <color rgb="FF002060"/>
      </top>
      <bottom style="medium">
        <color rgb="FF002060"/>
      </bottom>
      <diagonal/>
    </border>
    <border>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right style="thin">
        <color indexed="64"/>
      </right>
      <top/>
      <bottom/>
      <diagonal/>
    </border>
    <border>
      <left style="thin">
        <color indexed="64"/>
      </left>
      <right style="thin">
        <color indexed="64"/>
      </right>
      <top/>
      <bottom/>
      <diagonal/>
    </border>
    <border>
      <left style="thin">
        <color indexed="64"/>
      </left>
      <right style="thick">
        <color rgb="FF002060"/>
      </right>
      <top/>
      <bottom/>
      <diagonal/>
    </border>
    <border>
      <left style="thin">
        <color indexed="64"/>
      </left>
      <right/>
      <top/>
      <bottom style="medium">
        <color rgb="FF002060"/>
      </bottom>
      <diagonal/>
    </border>
    <border>
      <left style="thick">
        <color rgb="FF002060"/>
      </left>
      <right style="medium">
        <color rgb="FF002060"/>
      </right>
      <top style="thin">
        <color indexed="64"/>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medium">
        <color indexed="64"/>
      </right>
      <top/>
      <bottom style="medium">
        <color rgb="FF002060"/>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top style="thick">
        <color rgb="FF002060"/>
      </top>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double">
        <color rgb="FF002060"/>
      </left>
      <right/>
      <top style="medium">
        <color rgb="FF002060"/>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thick">
        <color rgb="FF002060"/>
      </left>
      <right style="thick">
        <color rgb="FF002060"/>
      </right>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style="double">
        <color indexed="64"/>
      </left>
      <right style="medium">
        <color indexed="64"/>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right style="double">
        <color rgb="FF002060"/>
      </right>
      <top style="thick">
        <color rgb="FF002060"/>
      </top>
      <bottom style="medium">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style="thick">
        <color rgb="FF002060"/>
      </left>
      <right style="thick">
        <color rgb="FF002060"/>
      </right>
      <top/>
      <bottom style="medium">
        <color indexed="64"/>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medium">
        <color rgb="FF002060"/>
      </left>
      <right style="double">
        <color rgb="FF002060"/>
      </right>
      <top style="thick">
        <color rgb="FF002060"/>
      </top>
      <bottom style="medium">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top style="thick">
        <color rgb="FF002060"/>
      </top>
      <bottom style="medium">
        <color rgb="FF002060"/>
      </bottom>
      <diagonal/>
    </border>
    <border>
      <left/>
      <right style="thin">
        <color rgb="FF002060"/>
      </right>
      <top style="thin">
        <color rgb="FF002060"/>
      </top>
      <bottom style="hair">
        <color rgb="FF002060"/>
      </bottom>
      <diagonal/>
    </border>
    <border>
      <left/>
      <right style="thin">
        <color rgb="FF002060"/>
      </right>
      <top style="hair">
        <color rgb="FF002060"/>
      </top>
      <bottom style="hair">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s>
  <cellStyleXfs count="88">
    <xf numFmtId="0" fontId="0"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1" fillId="0" borderId="0"/>
    <xf numFmtId="0" fontId="3" fillId="0" borderId="0"/>
    <xf numFmtId="0" fontId="1" fillId="0" borderId="0"/>
    <xf numFmtId="9" fontId="1" fillId="0" borderId="0" applyFont="0" applyFill="0" applyBorder="0" applyAlignment="0" applyProtection="0"/>
    <xf numFmtId="0" fontId="3" fillId="0" borderId="0"/>
    <xf numFmtId="0" fontId="37" fillId="0" borderId="0"/>
    <xf numFmtId="0" fontId="37" fillId="0" borderId="0"/>
    <xf numFmtId="0" fontId="40" fillId="0" borderId="0"/>
    <xf numFmtId="40" fontId="34" fillId="0" borderId="0" applyFont="0" applyFill="0" applyBorder="0" applyAlignment="0" applyProtection="0"/>
    <xf numFmtId="165" fontId="3" fillId="0" borderId="0" applyFont="0" applyFill="0" applyBorder="0" applyAlignment="0" applyProtection="0"/>
    <xf numFmtId="0" fontId="4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4" fillId="0" borderId="0"/>
    <xf numFmtId="43" fontId="3" fillId="0" borderId="0" applyFont="0" applyFill="0" applyBorder="0" applyAlignment="0" applyProtection="0"/>
    <xf numFmtId="43" fontId="2" fillId="0" borderId="0" applyFont="0" applyFill="0" applyBorder="0" applyAlignment="0" applyProtection="0"/>
    <xf numFmtId="0" fontId="2" fillId="0" borderId="0"/>
    <xf numFmtId="0" fontId="34"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41" fillId="0" borderId="0"/>
    <xf numFmtId="0" fontId="1" fillId="0" borderId="0"/>
    <xf numFmtId="0" fontId="1" fillId="0" borderId="0"/>
    <xf numFmtId="165" fontId="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3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66" fillId="0" borderId="0"/>
    <xf numFmtId="0" fontId="66" fillId="0" borderId="0"/>
    <xf numFmtId="0" fontId="3" fillId="0" borderId="0"/>
    <xf numFmtId="43" fontId="1" fillId="0" borderId="0" applyFont="0" applyFill="0" applyBorder="0" applyAlignment="0" applyProtection="0"/>
    <xf numFmtId="0" fontId="1" fillId="0" borderId="0"/>
    <xf numFmtId="0" fontId="2" fillId="0" borderId="0"/>
    <xf numFmtId="0" fontId="1" fillId="0" borderId="0"/>
    <xf numFmtId="0" fontId="3" fillId="0" borderId="0"/>
    <xf numFmtId="0" fontId="3" fillId="0" borderId="0"/>
    <xf numFmtId="43" fontId="3" fillId="0" borderId="0" applyFont="0" applyFill="0" applyBorder="0" applyAlignment="0" applyProtection="0"/>
    <xf numFmtId="165" fontId="3" fillId="0" borderId="0" applyFont="0" applyFill="0" applyBorder="0" applyAlignment="0" applyProtection="0"/>
    <xf numFmtId="0" fontId="28" fillId="0" borderId="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0" fontId="28" fillId="0" borderId="0"/>
    <xf numFmtId="0" fontId="1" fillId="0" borderId="0"/>
    <xf numFmtId="165" fontId="3"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68" fillId="0" borderId="0"/>
    <xf numFmtId="0" fontId="74" fillId="0" borderId="0"/>
    <xf numFmtId="0" fontId="3" fillId="0" borderId="0"/>
    <xf numFmtId="0" fontId="28" fillId="0" borderId="0"/>
    <xf numFmtId="43" fontId="28" fillId="0" borderId="0" applyFont="0" applyFill="0" applyBorder="0" applyAlignment="0" applyProtection="0"/>
    <xf numFmtId="0" fontId="34" fillId="0" borderId="0"/>
    <xf numFmtId="0" fontId="3" fillId="0" borderId="0"/>
    <xf numFmtId="0" fontId="95" fillId="0" borderId="0"/>
    <xf numFmtId="9" fontId="1" fillId="0" borderId="0" applyFont="0" applyFill="0" applyBorder="0" applyAlignment="0" applyProtection="0"/>
    <xf numFmtId="0" fontId="34" fillId="0" borderId="0"/>
    <xf numFmtId="43" fontId="1" fillId="0" borderId="0" applyFont="0" applyFill="0" applyBorder="0" applyAlignment="0" applyProtection="0"/>
    <xf numFmtId="0" fontId="3" fillId="0" borderId="0"/>
    <xf numFmtId="0" fontId="1" fillId="0" borderId="0"/>
    <xf numFmtId="0" fontId="34" fillId="0" borderId="0"/>
    <xf numFmtId="0" fontId="34" fillId="0" borderId="0"/>
    <xf numFmtId="0" fontId="1" fillId="0" borderId="0"/>
    <xf numFmtId="0" fontId="1" fillId="0" borderId="0"/>
    <xf numFmtId="165"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171" fillId="0" borderId="0"/>
    <xf numFmtId="0" fontId="67" fillId="0" borderId="0" applyNumberFormat="0" applyFill="0" applyBorder="0" applyAlignment="0" applyProtection="0"/>
  </cellStyleXfs>
  <cellXfs count="4012">
    <xf numFmtId="0" fontId="0" fillId="0" borderId="0" xfId="0"/>
    <xf numFmtId="0" fontId="5" fillId="2" borderId="0" xfId="2" applyFont="1" applyFill="1" applyAlignment="1">
      <alignment vertical="center"/>
    </xf>
    <xf numFmtId="164" fontId="6" fillId="2" borderId="0" xfId="3" applyNumberFormat="1" applyFont="1" applyFill="1" applyAlignment="1">
      <alignment vertical="center"/>
    </xf>
    <xf numFmtId="0" fontId="6" fillId="2" borderId="0" xfId="4" applyFont="1" applyFill="1" applyAlignment="1">
      <alignment vertical="center"/>
    </xf>
    <xf numFmtId="0" fontId="7" fillId="2" borderId="0" xfId="4" applyFont="1" applyFill="1" applyAlignment="1">
      <alignment vertical="center"/>
    </xf>
    <xf numFmtId="0" fontId="7" fillId="2" borderId="0" xfId="2" applyFont="1" applyFill="1" applyAlignment="1">
      <alignment vertical="center"/>
    </xf>
    <xf numFmtId="0" fontId="5" fillId="2" borderId="0" xfId="4" applyFont="1" applyFill="1" applyAlignment="1">
      <alignment vertical="center"/>
    </xf>
    <xf numFmtId="0" fontId="8" fillId="3" borderId="1" xfId="2" applyFont="1" applyFill="1" applyBorder="1" applyAlignment="1">
      <alignment horizontal="center" vertical="center"/>
    </xf>
    <xf numFmtId="0" fontId="8" fillId="3" borderId="2" xfId="2" applyFont="1" applyFill="1" applyBorder="1" applyAlignment="1">
      <alignment horizontal="center" vertical="center"/>
    </xf>
    <xf numFmtId="0" fontId="9" fillId="2" borderId="0" xfId="4" applyFont="1" applyFill="1" applyAlignment="1">
      <alignment vertical="center"/>
    </xf>
    <xf numFmtId="0" fontId="9" fillId="2" borderId="0" xfId="2" applyFont="1" applyFill="1" applyAlignment="1">
      <alignment vertical="center"/>
    </xf>
    <xf numFmtId="0" fontId="8" fillId="3" borderId="3" xfId="2" applyFont="1" applyFill="1" applyBorder="1" applyAlignment="1">
      <alignment horizontal="left" vertical="center"/>
    </xf>
    <xf numFmtId="0" fontId="11" fillId="0" borderId="4" xfId="2" applyFont="1" applyBorder="1" applyAlignment="1">
      <alignment horizontal="left" vertical="center"/>
    </xf>
    <xf numFmtId="0" fontId="11" fillId="2" borderId="4" xfId="2" applyFont="1" applyFill="1" applyBorder="1" applyAlignment="1">
      <alignment horizontal="left" vertical="center"/>
    </xf>
    <xf numFmtId="3" fontId="11" fillId="2" borderId="4" xfId="4" applyNumberFormat="1" applyFont="1" applyFill="1" applyBorder="1" applyAlignment="1">
      <alignment horizontal="right" vertical="center"/>
    </xf>
    <xf numFmtId="3" fontId="11" fillId="2" borderId="4" xfId="4" quotePrefix="1" applyNumberFormat="1" applyFont="1" applyFill="1" applyBorder="1" applyAlignment="1">
      <alignment horizontal="right" vertical="center"/>
    </xf>
    <xf numFmtId="3" fontId="11" fillId="2" borderId="4" xfId="5" applyNumberFormat="1" applyFont="1" applyFill="1" applyBorder="1" applyAlignment="1">
      <alignment horizontal="right" vertical="center"/>
    </xf>
    <xf numFmtId="3" fontId="11" fillId="2" borderId="4" xfId="5" quotePrefix="1" applyNumberFormat="1" applyFont="1" applyFill="1" applyBorder="1" applyAlignment="1">
      <alignment horizontal="right" vertical="center"/>
    </xf>
    <xf numFmtId="0" fontId="11" fillId="0" borderId="4" xfId="2" applyFont="1" applyFill="1" applyBorder="1" applyAlignment="1">
      <alignment horizontal="left" vertical="center"/>
    </xf>
    <xf numFmtId="166" fontId="11" fillId="2" borderId="4" xfId="5" quotePrefix="1" applyNumberFormat="1" applyFont="1" applyFill="1" applyBorder="1" applyAlignment="1">
      <alignment horizontal="right" vertical="center"/>
    </xf>
    <xf numFmtId="166" fontId="11" fillId="2" borderId="4" xfId="4" quotePrefix="1" applyNumberFormat="1" applyFont="1" applyFill="1" applyBorder="1" applyAlignment="1">
      <alignment horizontal="right" vertical="center"/>
    </xf>
    <xf numFmtId="0" fontId="9" fillId="0" borderId="0" xfId="4" applyFont="1" applyFill="1" applyAlignment="1">
      <alignment vertical="center"/>
    </xf>
    <xf numFmtId="0" fontId="9" fillId="0" borderId="0" xfId="2" applyFont="1" applyFill="1" applyAlignment="1">
      <alignment vertical="center"/>
    </xf>
    <xf numFmtId="167" fontId="11" fillId="2" borderId="4" xfId="5" applyNumberFormat="1" applyFont="1" applyFill="1" applyBorder="1" applyAlignment="1">
      <alignment horizontal="right" vertical="center"/>
    </xf>
    <xf numFmtId="169" fontId="11" fillId="2" borderId="4" xfId="6" applyNumberFormat="1" applyFont="1" applyFill="1" applyBorder="1" applyAlignment="1">
      <alignment horizontal="right" vertical="center" wrapText="1"/>
    </xf>
    <xf numFmtId="0" fontId="14" fillId="0" borderId="0" xfId="4" applyFont="1" applyFill="1" applyAlignment="1">
      <alignment vertical="center"/>
    </xf>
    <xf numFmtId="0" fontId="14" fillId="0" borderId="0" xfId="2" applyFont="1" applyFill="1" applyAlignment="1">
      <alignment vertical="center"/>
    </xf>
    <xf numFmtId="3" fontId="11" fillId="2" borderId="4" xfId="2" quotePrefix="1" applyNumberFormat="1" applyFont="1" applyFill="1" applyBorder="1" applyAlignment="1">
      <alignment horizontal="right" vertical="center"/>
    </xf>
    <xf numFmtId="3" fontId="11" fillId="2" borderId="4" xfId="7" quotePrefix="1" applyNumberFormat="1" applyFont="1" applyFill="1" applyBorder="1" applyAlignment="1">
      <alignment horizontal="right" vertical="center"/>
    </xf>
    <xf numFmtId="3" fontId="11" fillId="2" borderId="4" xfId="8" quotePrefix="1" applyNumberFormat="1" applyFont="1" applyFill="1" applyBorder="1" applyAlignment="1">
      <alignment horizontal="right" vertical="center"/>
    </xf>
    <xf numFmtId="170" fontId="11" fillId="2" borderId="4" xfId="2" applyNumberFormat="1" applyFont="1" applyFill="1" applyBorder="1" applyAlignment="1">
      <alignment horizontal="right" vertical="center"/>
    </xf>
    <xf numFmtId="170" fontId="11" fillId="2" borderId="4" xfId="2" quotePrefix="1" applyNumberFormat="1" applyFont="1" applyFill="1" applyBorder="1" applyAlignment="1">
      <alignment horizontal="right" vertical="center"/>
    </xf>
    <xf numFmtId="0" fontId="11" fillId="2" borderId="4" xfId="2" applyFont="1" applyFill="1" applyBorder="1" applyAlignment="1">
      <alignment horizontal="left"/>
    </xf>
    <xf numFmtId="164" fontId="11" fillId="2" borderId="4" xfId="3" applyNumberFormat="1" applyFont="1" applyFill="1" applyBorder="1" applyAlignment="1">
      <alignment horizontal="right" vertical="center"/>
    </xf>
    <xf numFmtId="164" fontId="11" fillId="2" borderId="4" xfId="3" quotePrefix="1" applyNumberFormat="1" applyFont="1" applyFill="1" applyBorder="1" applyAlignment="1">
      <alignment horizontal="right" vertical="center"/>
    </xf>
    <xf numFmtId="166" fontId="11" fillId="2" borderId="4" xfId="4" applyNumberFormat="1" applyFont="1" applyFill="1" applyBorder="1" applyAlignment="1">
      <alignment horizontal="right" vertical="center"/>
    </xf>
    <xf numFmtId="0" fontId="16" fillId="2" borderId="0" xfId="2" applyFont="1" applyFill="1" applyAlignment="1">
      <alignment vertical="center"/>
    </xf>
    <xf numFmtId="0" fontId="17" fillId="2" borderId="0" xfId="2" applyFont="1" applyFill="1" applyAlignment="1">
      <alignment vertical="center"/>
    </xf>
    <xf numFmtId="0" fontId="17" fillId="2" borderId="0" xfId="4" applyFont="1" applyFill="1" applyAlignment="1">
      <alignment vertical="center"/>
    </xf>
    <xf numFmtId="0" fontId="18" fillId="2" borderId="0" xfId="2" applyFont="1" applyFill="1" applyAlignment="1">
      <alignment vertical="center"/>
    </xf>
    <xf numFmtId="0" fontId="18" fillId="2" borderId="0" xfId="4" applyFont="1" applyFill="1" applyAlignment="1">
      <alignment vertical="center"/>
    </xf>
    <xf numFmtId="0" fontId="17" fillId="2" borderId="0" xfId="11" applyFont="1" applyFill="1" applyAlignment="1">
      <alignment vertical="center"/>
    </xf>
    <xf numFmtId="166" fontId="17" fillId="2" borderId="0" xfId="4" applyNumberFormat="1" applyFont="1" applyFill="1" applyAlignment="1">
      <alignment vertical="center"/>
    </xf>
    <xf numFmtId="0" fontId="18" fillId="2" borderId="0" xfId="12" applyFont="1" applyFill="1" applyAlignment="1">
      <alignment vertical="center"/>
    </xf>
    <xf numFmtId="0" fontId="16" fillId="2" borderId="0" xfId="11" applyFont="1" applyFill="1" applyAlignment="1">
      <alignment vertical="center"/>
    </xf>
    <xf numFmtId="0" fontId="19" fillId="2" borderId="0" xfId="2" applyFont="1" applyFill="1" applyAlignment="1">
      <alignment vertical="center"/>
    </xf>
    <xf numFmtId="0" fontId="15" fillId="2" borderId="0" xfId="2" applyFont="1" applyFill="1" applyAlignment="1">
      <alignment vertical="center"/>
    </xf>
    <xf numFmtId="0" fontId="19" fillId="2" borderId="0" xfId="4" applyFont="1" applyFill="1" applyAlignment="1">
      <alignment vertical="center"/>
    </xf>
    <xf numFmtId="0" fontId="20" fillId="2" borderId="0" xfId="4" applyFont="1" applyFill="1" applyAlignment="1">
      <alignment vertical="center"/>
    </xf>
    <xf numFmtId="0" fontId="21" fillId="2" borderId="0" xfId="2" applyFont="1" applyFill="1" applyAlignment="1">
      <alignment vertical="center"/>
    </xf>
    <xf numFmtId="171" fontId="7" fillId="2" borderId="0" xfId="13" applyNumberFormat="1" applyFont="1" applyFill="1" applyAlignment="1">
      <alignment vertical="center"/>
    </xf>
    <xf numFmtId="0" fontId="22" fillId="2" borderId="0" xfId="2" applyFont="1" applyFill="1" applyAlignment="1">
      <alignment vertical="center"/>
    </xf>
    <xf numFmtId="0" fontId="17" fillId="2" borderId="0" xfId="0" applyFont="1" applyFill="1"/>
    <xf numFmtId="0" fontId="5" fillId="2" borderId="0" xfId="14" applyFont="1" applyFill="1"/>
    <xf numFmtId="0" fontId="5" fillId="3" borderId="18" xfId="14" applyFont="1" applyFill="1" applyBorder="1"/>
    <xf numFmtId="0" fontId="5" fillId="3" borderId="19" xfId="14" applyFont="1" applyFill="1" applyBorder="1"/>
    <xf numFmtId="0" fontId="4" fillId="0" borderId="0" xfId="15" applyFont="1" applyAlignment="1">
      <alignment horizontal="left" vertical="center"/>
    </xf>
    <xf numFmtId="0" fontId="24" fillId="0" borderId="0" xfId="15" applyFont="1" applyAlignment="1">
      <alignment vertical="center"/>
    </xf>
    <xf numFmtId="0" fontId="19" fillId="0" borderId="0" xfId="15" applyFont="1" applyAlignment="1">
      <alignment vertical="center"/>
    </xf>
    <xf numFmtId="0" fontId="8" fillId="3" borderId="52" xfId="16" applyFont="1" applyFill="1" applyBorder="1" applyAlignment="1">
      <alignment horizontal="center" vertical="center"/>
    </xf>
    <xf numFmtId="0" fontId="8" fillId="3" borderId="53" xfId="16" applyFont="1" applyFill="1" applyBorder="1" applyAlignment="1">
      <alignment horizontal="center" vertical="center"/>
    </xf>
    <xf numFmtId="0" fontId="8" fillId="3" borderId="54" xfId="16" applyFont="1" applyFill="1" applyBorder="1" applyAlignment="1">
      <alignment horizontal="center" vertical="center"/>
    </xf>
    <xf numFmtId="0" fontId="5" fillId="0" borderId="0" xfId="15" applyFont="1" applyAlignment="1">
      <alignment vertical="center"/>
    </xf>
    <xf numFmtId="0" fontId="8" fillId="3" borderId="24" xfId="16" applyFont="1" applyFill="1" applyBorder="1" applyAlignment="1">
      <alignment horizontal="left" vertical="center"/>
    </xf>
    <xf numFmtId="167" fontId="11" fillId="0" borderId="4" xfId="16" applyNumberFormat="1" applyFont="1" applyBorder="1" applyAlignment="1">
      <alignment horizontal="center" vertical="center"/>
    </xf>
    <xf numFmtId="167" fontId="11" fillId="0" borderId="41" xfId="16" applyNumberFormat="1" applyFont="1" applyBorder="1" applyAlignment="1">
      <alignment horizontal="center" vertical="center"/>
    </xf>
    <xf numFmtId="167" fontId="11" fillId="0" borderId="41" xfId="16" applyNumberFormat="1" applyFont="1" applyFill="1" applyBorder="1" applyAlignment="1">
      <alignment horizontal="center" vertical="center"/>
    </xf>
    <xf numFmtId="0" fontId="8" fillId="3" borderId="24" xfId="16" quotePrefix="1" applyFont="1" applyFill="1" applyBorder="1" applyAlignment="1">
      <alignment horizontal="left" vertical="center"/>
    </xf>
    <xf numFmtId="167" fontId="11" fillId="0" borderId="55" xfId="16" applyNumberFormat="1" applyFont="1" applyBorder="1" applyAlignment="1">
      <alignment horizontal="center" vertical="center"/>
    </xf>
    <xf numFmtId="0" fontId="11" fillId="0" borderId="4" xfId="15" applyFont="1" applyBorder="1" applyAlignment="1">
      <alignment horizontal="center" vertical="center"/>
    </xf>
    <xf numFmtId="0" fontId="11" fillId="0" borderId="41" xfId="15" applyFont="1" applyFill="1" applyBorder="1" applyAlignment="1">
      <alignment horizontal="center" vertical="center"/>
    </xf>
    <xf numFmtId="167" fontId="26" fillId="0" borderId="4" xfId="16" applyNumberFormat="1" applyFont="1" applyBorder="1" applyAlignment="1">
      <alignment horizontal="center" vertical="center"/>
    </xf>
    <xf numFmtId="167" fontId="26" fillId="0" borderId="41" xfId="16" applyNumberFormat="1" applyFont="1" applyFill="1" applyBorder="1" applyAlignment="1">
      <alignment horizontal="center" vertical="center"/>
    </xf>
    <xf numFmtId="0" fontId="27" fillId="3" borderId="24" xfId="16" applyFont="1" applyFill="1" applyBorder="1" applyAlignment="1">
      <alignment horizontal="left" vertical="center"/>
    </xf>
    <xf numFmtId="174" fontId="26" fillId="0" borderId="4" xfId="16" quotePrefix="1" applyNumberFormat="1" applyFont="1" applyBorder="1" applyAlignment="1">
      <alignment horizontal="center" vertical="center"/>
    </xf>
    <xf numFmtId="174" fontId="26" fillId="0" borderId="41" xfId="16" quotePrefix="1" applyNumberFormat="1" applyFont="1" applyFill="1" applyBorder="1" applyAlignment="1">
      <alignment horizontal="center" vertical="center"/>
    </xf>
    <xf numFmtId="0" fontId="8" fillId="3" borderId="27" xfId="16" applyFont="1" applyFill="1" applyBorder="1" applyAlignment="1">
      <alignment horizontal="left" vertical="center"/>
    </xf>
    <xf numFmtId="174" fontId="26" fillId="0" borderId="6" xfId="16" quotePrefix="1" applyNumberFormat="1" applyFont="1" applyBorder="1" applyAlignment="1">
      <alignment horizontal="center" vertical="center"/>
    </xf>
    <xf numFmtId="174" fontId="26" fillId="0" borderId="43" xfId="16" quotePrefix="1" applyNumberFormat="1" applyFont="1" applyFill="1" applyBorder="1" applyAlignment="1">
      <alignment horizontal="center" vertical="center"/>
    </xf>
    <xf numFmtId="0" fontId="17" fillId="0" borderId="0" xfId="16" applyFont="1" applyAlignment="1">
      <alignment horizontal="left" vertical="center"/>
    </xf>
    <xf numFmtId="0" fontId="17" fillId="0" borderId="0" xfId="15" applyFont="1" applyAlignment="1">
      <alignment vertical="center"/>
    </xf>
    <xf numFmtId="0" fontId="16" fillId="0" borderId="0" xfId="16" applyFont="1" applyAlignment="1">
      <alignment horizontal="left" vertical="center"/>
    </xf>
    <xf numFmtId="0" fontId="17" fillId="0" borderId="0" xfId="15" applyFont="1"/>
    <xf numFmtId="0" fontId="38" fillId="0" borderId="0" xfId="15" applyFont="1" applyAlignment="1">
      <alignment vertical="center"/>
    </xf>
    <xf numFmtId="0" fontId="24" fillId="2" borderId="0" xfId="14" applyFont="1" applyFill="1"/>
    <xf numFmtId="0" fontId="5" fillId="5" borderId="0" xfId="14" applyFont="1" applyFill="1"/>
    <xf numFmtId="0" fontId="30" fillId="2" borderId="0" xfId="14" applyFont="1" applyFill="1" applyAlignment="1">
      <alignment horizontal="right"/>
    </xf>
    <xf numFmtId="0" fontId="17" fillId="2" borderId="0" xfId="14" applyFont="1" applyFill="1" applyAlignment="1">
      <alignment horizontal="right"/>
    </xf>
    <xf numFmtId="0" fontId="25" fillId="2" borderId="0" xfId="14" applyFont="1" applyFill="1" applyAlignment="1">
      <alignment horizontal="right"/>
    </xf>
    <xf numFmtId="0" fontId="8" fillId="3" borderId="50" xfId="20" applyFont="1" applyFill="1" applyBorder="1" applyAlignment="1">
      <alignment horizontal="center"/>
    </xf>
    <xf numFmtId="17" fontId="8" fillId="3" borderId="50" xfId="14" applyNumberFormat="1" applyFont="1" applyFill="1" applyBorder="1" applyAlignment="1">
      <alignment horizontal="center"/>
    </xf>
    <xf numFmtId="17" fontId="8" fillId="3" borderId="50" xfId="14" quotePrefix="1" applyNumberFormat="1" applyFont="1" applyFill="1" applyBorder="1" applyAlignment="1">
      <alignment horizontal="center"/>
    </xf>
    <xf numFmtId="0" fontId="11" fillId="2" borderId="18" xfId="14" applyFont="1" applyFill="1" applyBorder="1"/>
    <xf numFmtId="0" fontId="8" fillId="3" borderId="18" xfId="20" applyFont="1" applyFill="1" applyBorder="1"/>
    <xf numFmtId="166" fontId="26" fillId="2" borderId="18" xfId="14" applyNumberFormat="1" applyFont="1" applyFill="1" applyBorder="1"/>
    <xf numFmtId="0" fontId="5" fillId="3" borderId="18" xfId="20" applyFont="1" applyFill="1" applyBorder="1"/>
    <xf numFmtId="166" fontId="11" fillId="2" borderId="18" xfId="14" applyNumberFormat="1" applyFont="1" applyFill="1" applyBorder="1"/>
    <xf numFmtId="0" fontId="5" fillId="3" borderId="18" xfId="20" applyFont="1" applyFill="1" applyBorder="1" applyAlignment="1">
      <alignment horizontal="left" indent="2"/>
    </xf>
    <xf numFmtId="0" fontId="8" fillId="3" borderId="19" xfId="20" applyFont="1" applyFill="1" applyBorder="1"/>
    <xf numFmtId="0" fontId="24" fillId="0" borderId="0" xfId="14" applyFont="1"/>
    <xf numFmtId="0" fontId="5" fillId="3" borderId="18" xfId="20" applyFont="1" applyFill="1" applyBorder="1" applyAlignment="1">
      <alignment horizontal="center"/>
    </xf>
    <xf numFmtId="0" fontId="5" fillId="3" borderId="18" xfId="20" applyFont="1" applyFill="1" applyBorder="1" applyAlignment="1">
      <alignment horizontal="left" indent="1"/>
    </xf>
    <xf numFmtId="0" fontId="17" fillId="2" borderId="0" xfId="14" applyFont="1" applyFill="1"/>
    <xf numFmtId="0" fontId="17" fillId="2" borderId="0" xfId="14" applyFont="1" applyFill="1" applyAlignment="1">
      <alignment horizontal="left"/>
    </xf>
    <xf numFmtId="0" fontId="19" fillId="2" borderId="0" xfId="14" applyFont="1" applyFill="1"/>
    <xf numFmtId="0" fontId="4" fillId="2" borderId="0" xfId="21" applyFont="1" applyFill="1"/>
    <xf numFmtId="0" fontId="31" fillId="2" borderId="0" xfId="14" applyFont="1" applyFill="1"/>
    <xf numFmtId="166" fontId="26" fillId="2" borderId="18" xfId="14" applyNumberFormat="1" applyFont="1" applyFill="1" applyBorder="1" applyAlignment="1">
      <alignment vertical="center"/>
    </xf>
    <xf numFmtId="166" fontId="26" fillId="0" borderId="18" xfId="14" applyNumberFormat="1" applyFont="1" applyBorder="1" applyAlignment="1">
      <alignment vertical="center"/>
    </xf>
    <xf numFmtId="0" fontId="11" fillId="2" borderId="19" xfId="14" applyFont="1" applyFill="1" applyBorder="1"/>
    <xf numFmtId="0" fontId="19" fillId="0" borderId="0" xfId="14" applyFont="1"/>
    <xf numFmtId="0" fontId="24" fillId="2" borderId="0" xfId="21" applyFont="1" applyFill="1"/>
    <xf numFmtId="0" fontId="8" fillId="5" borderId="0" xfId="21" applyFont="1" applyFill="1"/>
    <xf numFmtId="0" fontId="24" fillId="5" borderId="0" xfId="21" applyFont="1" applyFill="1"/>
    <xf numFmtId="0" fontId="24" fillId="5" borderId="0" xfId="14" applyFont="1" applyFill="1"/>
    <xf numFmtId="0" fontId="11" fillId="2" borderId="18" xfId="20" applyFont="1" applyFill="1" applyBorder="1"/>
    <xf numFmtId="0" fontId="5" fillId="7" borderId="0" xfId="14" applyFont="1" applyFill="1"/>
    <xf numFmtId="0" fontId="30" fillId="5" borderId="0" xfId="14" applyFont="1" applyFill="1" applyAlignment="1">
      <alignment horizontal="center"/>
    </xf>
    <xf numFmtId="0" fontId="38" fillId="5" borderId="0" xfId="14" applyFont="1" applyFill="1" applyAlignment="1">
      <alignment horizontal="center"/>
    </xf>
    <xf numFmtId="166" fontId="11" fillId="2" borderId="18" xfId="20" applyNumberFormat="1" applyFont="1" applyFill="1" applyBorder="1"/>
    <xf numFmtId="171" fontId="26" fillId="2" borderId="19" xfId="23" applyNumberFormat="1" applyFont="1" applyFill="1" applyBorder="1"/>
    <xf numFmtId="0" fontId="17" fillId="2" borderId="0" xfId="14" applyFont="1" applyFill="1" applyAlignment="1"/>
    <xf numFmtId="0" fontId="4" fillId="2" borderId="0" xfId="21" applyFont="1" applyFill="1" applyAlignment="1">
      <alignment horizontal="left" vertical="top"/>
    </xf>
    <xf numFmtId="0" fontId="17" fillId="2" borderId="0" xfId="14" applyFont="1" applyFill="1" applyAlignment="1">
      <alignment vertical="center"/>
    </xf>
    <xf numFmtId="0" fontId="42" fillId="2" borderId="0" xfId="14" applyFont="1" applyFill="1"/>
    <xf numFmtId="0" fontId="4" fillId="2" borderId="0" xfId="21" applyFont="1" applyFill="1" applyAlignment="1">
      <alignment vertical="center"/>
    </xf>
    <xf numFmtId="0" fontId="44" fillId="2" borderId="0" xfId="14" applyFont="1" applyFill="1" applyAlignment="1">
      <alignment vertical="center"/>
    </xf>
    <xf numFmtId="0" fontId="19" fillId="2" borderId="0" xfId="14" applyFont="1" applyFill="1" applyAlignment="1">
      <alignment vertical="center"/>
    </xf>
    <xf numFmtId="0" fontId="36" fillId="2" borderId="0" xfId="14" applyFont="1" applyFill="1" applyAlignment="1">
      <alignment vertical="center"/>
    </xf>
    <xf numFmtId="0" fontId="46" fillId="2" borderId="0" xfId="14" applyFont="1" applyFill="1" applyAlignment="1">
      <alignment vertical="center"/>
    </xf>
    <xf numFmtId="0" fontId="17" fillId="2" borderId="0" xfId="14" applyFont="1" applyFill="1" applyAlignment="1">
      <alignment horizontal="right" vertical="center"/>
    </xf>
    <xf numFmtId="0" fontId="45" fillId="2" borderId="0" xfId="14" applyFont="1" applyFill="1" applyAlignment="1">
      <alignment vertical="center"/>
    </xf>
    <xf numFmtId="0" fontId="11" fillId="2" borderId="18" xfId="14" applyFont="1" applyFill="1" applyBorder="1" applyAlignment="1">
      <alignment vertical="center"/>
    </xf>
    <xf numFmtId="166" fontId="11" fillId="2" borderId="18" xfId="14" applyNumberFormat="1" applyFont="1" applyFill="1" applyBorder="1" applyAlignment="1">
      <alignment vertical="center"/>
    </xf>
    <xf numFmtId="0" fontId="11" fillId="2" borderId="19" xfId="14" applyFont="1" applyFill="1" applyBorder="1" applyAlignment="1">
      <alignment vertical="center"/>
    </xf>
    <xf numFmtId="0" fontId="16" fillId="2" borderId="0" xfId="14" applyFont="1" applyFill="1" applyAlignment="1">
      <alignment vertical="center"/>
    </xf>
    <xf numFmtId="0" fontId="5" fillId="6" borderId="60" xfId="14" applyFont="1" applyFill="1" applyBorder="1" applyAlignment="1">
      <alignment horizontal="center" vertical="center"/>
    </xf>
    <xf numFmtId="17" fontId="8" fillId="6" borderId="50" xfId="14" applyNumberFormat="1" applyFont="1" applyFill="1" applyBorder="1" applyAlignment="1">
      <alignment horizontal="center" vertical="center"/>
    </xf>
    <xf numFmtId="17" fontId="8" fillId="6" borderId="50" xfId="14" quotePrefix="1" applyNumberFormat="1" applyFont="1" applyFill="1" applyBorder="1" applyAlignment="1">
      <alignment horizontal="center" vertical="center"/>
    </xf>
    <xf numFmtId="0" fontId="8" fillId="6" borderId="3" xfId="14" applyFont="1" applyFill="1" applyBorder="1" applyAlignment="1">
      <alignment horizontal="center" vertical="center"/>
    </xf>
    <xf numFmtId="0" fontId="8" fillId="6" borderId="3" xfId="14" applyFont="1" applyFill="1" applyBorder="1" applyAlignment="1">
      <alignment vertical="center"/>
    </xf>
    <xf numFmtId="0" fontId="5" fillId="6" borderId="3" xfId="14" applyFont="1" applyFill="1" applyBorder="1" applyAlignment="1">
      <alignment vertical="center"/>
    </xf>
    <xf numFmtId="166" fontId="5" fillId="6" borderId="3" xfId="14" applyNumberFormat="1" applyFont="1" applyFill="1" applyBorder="1" applyAlignment="1">
      <alignment vertical="center"/>
    </xf>
    <xf numFmtId="0" fontId="5" fillId="6" borderId="3" xfId="14" applyFont="1" applyFill="1" applyBorder="1" applyAlignment="1">
      <alignment horizontal="left" vertical="center"/>
    </xf>
    <xf numFmtId="0" fontId="30" fillId="6" borderId="3" xfId="14" applyFont="1" applyFill="1" applyBorder="1" applyAlignment="1">
      <alignment vertical="center"/>
    </xf>
    <xf numFmtId="0" fontId="5" fillId="6" borderId="5" xfId="14" applyFont="1" applyFill="1" applyBorder="1" applyAlignment="1">
      <alignment vertical="center"/>
    </xf>
    <xf numFmtId="0" fontId="31" fillId="5" borderId="0" xfId="14" applyFont="1" applyFill="1" applyAlignment="1">
      <alignment horizontal="center" vertical="center"/>
    </xf>
    <xf numFmtId="0" fontId="5" fillId="2" borderId="0" xfId="14" applyFont="1" applyFill="1" applyAlignment="1">
      <alignment vertical="center"/>
    </xf>
    <xf numFmtId="0" fontId="8" fillId="6" borderId="60" xfId="14" applyFont="1" applyFill="1" applyBorder="1" applyAlignment="1">
      <alignment horizontal="center" vertical="center"/>
    </xf>
    <xf numFmtId="0" fontId="19" fillId="2" borderId="18" xfId="14" applyFont="1" applyFill="1" applyBorder="1" applyAlignment="1">
      <alignment vertical="center"/>
    </xf>
    <xf numFmtId="0" fontId="4" fillId="2" borderId="0" xfId="24" applyFont="1" applyFill="1" applyAlignment="1">
      <alignment vertical="center"/>
    </xf>
    <xf numFmtId="0" fontId="24" fillId="2" borderId="0" xfId="24" applyFont="1" applyFill="1" applyAlignment="1">
      <alignment vertical="center"/>
    </xf>
    <xf numFmtId="175" fontId="8" fillId="2" borderId="20" xfId="24" applyNumberFormat="1" applyFont="1" applyFill="1" applyBorder="1" applyAlignment="1">
      <alignment horizontal="center" vertical="center"/>
    </xf>
    <xf numFmtId="175" fontId="8" fillId="2" borderId="0" xfId="24" applyNumberFormat="1" applyFont="1" applyFill="1" applyAlignment="1">
      <alignment horizontal="center" vertical="center"/>
    </xf>
    <xf numFmtId="0" fontId="17" fillId="2" borderId="0" xfId="24" applyFont="1" applyFill="1" applyAlignment="1">
      <alignment horizontal="right" vertical="center"/>
    </xf>
    <xf numFmtId="0" fontId="8" fillId="3" borderId="56" xfId="24" applyFont="1" applyFill="1" applyBorder="1" applyAlignment="1">
      <alignment horizontal="center" vertical="center"/>
    </xf>
    <xf numFmtId="175" fontId="8" fillId="3" borderId="51" xfId="24" applyNumberFormat="1" applyFont="1" applyFill="1" applyBorder="1" applyAlignment="1">
      <alignment horizontal="center" vertical="center"/>
    </xf>
    <xf numFmtId="175" fontId="8" fillId="3" borderId="50" xfId="24" applyNumberFormat="1" applyFont="1" applyFill="1" applyBorder="1" applyAlignment="1">
      <alignment horizontal="center" vertical="center"/>
    </xf>
    <xf numFmtId="175" fontId="8" fillId="3" borderId="50" xfId="24" quotePrefix="1" applyNumberFormat="1" applyFont="1" applyFill="1" applyBorder="1" applyAlignment="1">
      <alignment horizontal="center" vertical="center"/>
    </xf>
    <xf numFmtId="0" fontId="19" fillId="2" borderId="0" xfId="24" applyFont="1" applyFill="1" applyAlignment="1">
      <alignment vertical="center"/>
    </xf>
    <xf numFmtId="0" fontId="5" fillId="3" borderId="57" xfId="24" applyFont="1" applyFill="1" applyBorder="1" applyAlignment="1">
      <alignment vertical="center"/>
    </xf>
    <xf numFmtId="0" fontId="19" fillId="2" borderId="61" xfId="24" applyFont="1" applyFill="1" applyBorder="1" applyAlignment="1">
      <alignment vertical="center"/>
    </xf>
    <xf numFmtId="3" fontId="11" fillId="2" borderId="18" xfId="24" applyNumberFormat="1" applyFont="1" applyFill="1" applyBorder="1" applyAlignment="1">
      <alignment vertical="center"/>
    </xf>
    <xf numFmtId="0" fontId="30" fillId="3" borderId="57" xfId="24" applyFont="1" applyFill="1" applyBorder="1" applyAlignment="1">
      <alignment vertical="center"/>
    </xf>
    <xf numFmtId="3" fontId="25" fillId="2" borderId="18" xfId="24" applyNumberFormat="1" applyFont="1" applyFill="1" applyBorder="1" applyAlignment="1">
      <alignment vertical="center"/>
    </xf>
    <xf numFmtId="0" fontId="17" fillId="2" borderId="0" xfId="24" applyFont="1" applyFill="1" applyAlignment="1">
      <alignment vertical="center"/>
    </xf>
    <xf numFmtId="0" fontId="8" fillId="3" borderId="57" xfId="24" applyFont="1" applyFill="1" applyBorder="1" applyAlignment="1">
      <alignment vertical="center"/>
    </xf>
    <xf numFmtId="3" fontId="26" fillId="2" borderId="18" xfId="24" applyNumberFormat="1" applyFont="1" applyFill="1" applyBorder="1" applyAlignment="1">
      <alignment vertical="center"/>
    </xf>
    <xf numFmtId="0" fontId="31" fillId="2" borderId="0" xfId="24" applyFont="1" applyFill="1" applyAlignment="1">
      <alignment vertical="center"/>
    </xf>
    <xf numFmtId="0" fontId="8" fillId="3" borderId="62" xfId="24" applyFont="1" applyFill="1" applyBorder="1" applyAlignment="1">
      <alignment horizontal="center" vertical="center"/>
    </xf>
    <xf numFmtId="3" fontId="11" fillId="0" borderId="63" xfId="24" applyNumberFormat="1" applyFont="1" applyBorder="1" applyAlignment="1">
      <alignment vertical="center"/>
    </xf>
    <xf numFmtId="0" fontId="5" fillId="3" borderId="58" xfId="24" applyFont="1" applyFill="1" applyBorder="1" applyAlignment="1">
      <alignment vertical="center"/>
    </xf>
    <xf numFmtId="0" fontId="11" fillId="2" borderId="19" xfId="24" applyFont="1" applyFill="1" applyBorder="1" applyAlignment="1">
      <alignment vertical="center"/>
    </xf>
    <xf numFmtId="0" fontId="5" fillId="2" borderId="0" xfId="24" applyFont="1" applyFill="1" applyAlignment="1">
      <alignment vertical="center"/>
    </xf>
    <xf numFmtId="3" fontId="29" fillId="2" borderId="18" xfId="24" applyNumberFormat="1" applyFont="1" applyFill="1" applyBorder="1" applyAlignment="1">
      <alignment vertical="center"/>
    </xf>
    <xf numFmtId="0" fontId="47" fillId="2" borderId="0" xfId="24" applyFont="1" applyFill="1" applyAlignment="1">
      <alignment vertical="center"/>
    </xf>
    <xf numFmtId="0" fontId="11" fillId="2" borderId="18" xfId="24" applyFont="1" applyFill="1" applyBorder="1" applyAlignment="1">
      <alignment vertical="center"/>
    </xf>
    <xf numFmtId="3" fontId="11" fillId="2" borderId="63" xfId="24" applyNumberFormat="1" applyFont="1" applyFill="1" applyBorder="1" applyAlignment="1">
      <alignment vertical="center"/>
    </xf>
    <xf numFmtId="0" fontId="27" fillId="3" borderId="57" xfId="24" applyFont="1" applyFill="1" applyBorder="1" applyAlignment="1">
      <alignment vertical="center"/>
    </xf>
    <xf numFmtId="0" fontId="30" fillId="3" borderId="57" xfId="24" applyFont="1" applyFill="1" applyBorder="1" applyAlignment="1">
      <alignment horizontal="left" vertical="center"/>
    </xf>
    <xf numFmtId="0" fontId="17" fillId="2" borderId="0" xfId="24" applyFont="1" applyFill="1"/>
    <xf numFmtId="0" fontId="49" fillId="2" borderId="0" xfId="24" applyFont="1" applyFill="1"/>
    <xf numFmtId="3" fontId="31" fillId="3" borderId="50" xfId="14" applyNumberFormat="1" applyFont="1" applyFill="1" applyBorder="1" applyAlignment="1">
      <alignment horizontal="left"/>
    </xf>
    <xf numFmtId="3" fontId="8" fillId="3" borderId="18" xfId="14" applyNumberFormat="1" applyFont="1" applyFill="1" applyBorder="1" applyAlignment="1">
      <alignment horizontal="left"/>
    </xf>
    <xf numFmtId="3" fontId="26" fillId="0" borderId="18" xfId="14" quotePrefix="1" applyNumberFormat="1" applyFont="1" applyBorder="1" applyAlignment="1">
      <alignment horizontal="center"/>
    </xf>
    <xf numFmtId="164" fontId="19" fillId="2" borderId="0" xfId="3" applyNumberFormat="1" applyFont="1" applyFill="1"/>
    <xf numFmtId="43" fontId="19" fillId="2" borderId="0" xfId="3" applyFont="1" applyFill="1"/>
    <xf numFmtId="3" fontId="8" fillId="3" borderId="18" xfId="25" applyNumberFormat="1" applyFont="1" applyFill="1" applyBorder="1" applyProtection="1">
      <protection hidden="1"/>
    </xf>
    <xf numFmtId="3" fontId="26" fillId="2" borderId="18" xfId="3" applyNumberFormat="1" applyFont="1" applyFill="1" applyBorder="1" applyAlignment="1">
      <alignment horizontal="center"/>
    </xf>
    <xf numFmtId="3" fontId="5" fillId="3" borderId="18" xfId="25" applyNumberFormat="1" applyFont="1" applyFill="1" applyBorder="1" applyProtection="1">
      <protection hidden="1"/>
    </xf>
    <xf numFmtId="3" fontId="11" fillId="2" borderId="18" xfId="3" applyNumberFormat="1" applyFont="1" applyFill="1" applyBorder="1" applyAlignment="1">
      <alignment horizontal="center"/>
    </xf>
    <xf numFmtId="3" fontId="30" fillId="3" borderId="18" xfId="25" applyNumberFormat="1" applyFont="1" applyFill="1" applyBorder="1" applyProtection="1">
      <protection hidden="1"/>
    </xf>
    <xf numFmtId="3" fontId="25" fillId="2" borderId="18" xfId="3" applyNumberFormat="1" applyFont="1" applyFill="1" applyBorder="1" applyAlignment="1">
      <alignment horizontal="center"/>
    </xf>
    <xf numFmtId="164" fontId="31" fillId="2" borderId="0" xfId="3" applyNumberFormat="1" applyFont="1" applyFill="1"/>
    <xf numFmtId="164" fontId="17" fillId="2" borderId="0" xfId="3" applyNumberFormat="1" applyFont="1" applyFill="1"/>
    <xf numFmtId="164" fontId="19" fillId="0" borderId="0" xfId="3" applyNumberFormat="1" applyFont="1" applyFill="1"/>
    <xf numFmtId="3" fontId="5" fillId="3" borderId="19" xfId="25" applyNumberFormat="1" applyFont="1" applyFill="1" applyBorder="1" applyProtection="1">
      <protection hidden="1"/>
    </xf>
    <xf numFmtId="3" fontId="11" fillId="2" borderId="19" xfId="3" applyNumberFormat="1" applyFont="1" applyFill="1" applyBorder="1" applyAlignment="1">
      <alignment horizontal="center"/>
    </xf>
    <xf numFmtId="3" fontId="17" fillId="0" borderId="0" xfId="25" applyNumberFormat="1" applyFont="1" applyProtection="1">
      <protection hidden="1"/>
    </xf>
    <xf numFmtId="3" fontId="19" fillId="0" borderId="0" xfId="3" applyNumberFormat="1" applyFont="1" applyFill="1" applyBorder="1" applyAlignment="1">
      <alignment horizontal="center"/>
    </xf>
    <xf numFmtId="3" fontId="19" fillId="0" borderId="0" xfId="25" applyNumberFormat="1" applyFont="1" applyProtection="1">
      <protection hidden="1"/>
    </xf>
    <xf numFmtId="3" fontId="8" fillId="3" borderId="50" xfId="14" applyNumberFormat="1" applyFont="1" applyFill="1" applyBorder="1" applyAlignment="1">
      <alignment horizontal="left"/>
    </xf>
    <xf numFmtId="3" fontId="31" fillId="2" borderId="18" xfId="1" applyNumberFormat="1" applyFont="1" applyFill="1" applyBorder="1" applyAlignment="1">
      <alignment horizontal="center"/>
    </xf>
    <xf numFmtId="176" fontId="19" fillId="2" borderId="0" xfId="3" applyNumberFormat="1" applyFont="1" applyFill="1"/>
    <xf numFmtId="3" fontId="19" fillId="2" borderId="18" xfId="1" applyNumberFormat="1" applyFont="1" applyFill="1" applyBorder="1" applyAlignment="1">
      <alignment horizontal="center"/>
    </xf>
    <xf numFmtId="3" fontId="8" fillId="3" borderId="17" xfId="14" applyNumberFormat="1" applyFont="1" applyFill="1" applyBorder="1" applyAlignment="1">
      <alignment horizontal="left"/>
    </xf>
    <xf numFmtId="37" fontId="31" fillId="0" borderId="13" xfId="1" quotePrefix="1" applyNumberFormat="1" applyFont="1" applyFill="1" applyBorder="1" applyAlignment="1">
      <alignment horizontal="center"/>
    </xf>
    <xf numFmtId="37" fontId="31" fillId="0" borderId="17" xfId="1" quotePrefix="1" applyNumberFormat="1" applyFont="1" applyFill="1" applyBorder="1" applyAlignment="1">
      <alignment horizontal="center"/>
    </xf>
    <xf numFmtId="164" fontId="39" fillId="0" borderId="0" xfId="3" applyNumberFormat="1" applyFont="1"/>
    <xf numFmtId="37" fontId="17" fillId="0" borderId="3" xfId="1" applyNumberFormat="1" applyFont="1" applyFill="1" applyBorder="1" applyAlignment="1" applyProtection="1">
      <alignment horizontal="center"/>
      <protection hidden="1"/>
    </xf>
    <xf numFmtId="37" fontId="17" fillId="0" borderId="18" xfId="1" applyNumberFormat="1" applyFont="1" applyFill="1" applyBorder="1" applyAlignment="1" applyProtection="1">
      <alignment horizontal="center"/>
      <protection hidden="1"/>
    </xf>
    <xf numFmtId="37" fontId="31" fillId="0" borderId="3" xfId="1" applyNumberFormat="1" applyFont="1" applyFill="1" applyBorder="1" applyAlignment="1" applyProtection="1">
      <alignment horizontal="center"/>
      <protection hidden="1"/>
    </xf>
    <xf numFmtId="37" fontId="31" fillId="0" borderId="18" xfId="1" applyNumberFormat="1" applyFont="1" applyFill="1" applyBorder="1" applyAlignment="1" applyProtection="1">
      <alignment horizontal="center"/>
      <protection hidden="1"/>
    </xf>
    <xf numFmtId="3" fontId="8" fillId="3" borderId="17" xfId="25" applyNumberFormat="1" applyFont="1" applyFill="1" applyBorder="1" applyProtection="1">
      <protection hidden="1"/>
    </xf>
    <xf numFmtId="37" fontId="31" fillId="0" borderId="13" xfId="1" applyNumberFormat="1" applyFont="1" applyFill="1" applyBorder="1" applyAlignment="1" applyProtection="1">
      <alignment horizontal="center"/>
      <protection hidden="1"/>
    </xf>
    <xf numFmtId="37" fontId="31" fillId="0" borderId="17" xfId="1" applyNumberFormat="1" applyFont="1" applyFill="1" applyBorder="1" applyAlignment="1" applyProtection="1">
      <alignment horizontal="center"/>
      <protection hidden="1"/>
    </xf>
    <xf numFmtId="3" fontId="8" fillId="3" borderId="19" xfId="25" applyNumberFormat="1" applyFont="1" applyFill="1" applyBorder="1" applyProtection="1">
      <protection hidden="1"/>
    </xf>
    <xf numFmtId="37" fontId="31" fillId="0" borderId="5" xfId="1" applyNumberFormat="1" applyFont="1" applyFill="1" applyBorder="1" applyAlignment="1" applyProtection="1">
      <alignment horizontal="center"/>
      <protection hidden="1"/>
    </xf>
    <xf numFmtId="37" fontId="31" fillId="0" borderId="19" xfId="1" applyNumberFormat="1" applyFont="1" applyFill="1" applyBorder="1" applyAlignment="1" applyProtection="1">
      <alignment horizontal="center"/>
      <protection hidden="1"/>
    </xf>
    <xf numFmtId="3" fontId="8" fillId="3" borderId="50" xfId="25" applyNumberFormat="1" applyFont="1" applyFill="1" applyBorder="1" applyProtection="1">
      <protection hidden="1"/>
    </xf>
    <xf numFmtId="37" fontId="31" fillId="4" borderId="60" xfId="1" applyNumberFormat="1" applyFont="1" applyFill="1" applyBorder="1" applyAlignment="1" applyProtection="1">
      <alignment horizontal="center"/>
      <protection hidden="1"/>
    </xf>
    <xf numFmtId="37" fontId="31" fillId="4" borderId="50" xfId="1" applyNumberFormat="1" applyFont="1" applyFill="1" applyBorder="1" applyAlignment="1" applyProtection="1">
      <alignment horizontal="center"/>
      <protection hidden="1"/>
    </xf>
    <xf numFmtId="0" fontId="17" fillId="2" borderId="0" xfId="14" applyFont="1" applyFill="1" applyAlignment="1">
      <alignment horizontal="left" wrapText="1"/>
    </xf>
    <xf numFmtId="43" fontId="19" fillId="2" borderId="0" xfId="14" applyNumberFormat="1" applyFont="1" applyFill="1"/>
    <xf numFmtId="0" fontId="4" fillId="2" borderId="0" xfId="14" applyFont="1" applyFill="1"/>
    <xf numFmtId="17" fontId="26" fillId="3" borderId="54" xfId="14" quotePrefix="1" applyNumberFormat="1" applyFont="1" applyFill="1" applyBorder="1" applyAlignment="1">
      <alignment horizontal="center"/>
    </xf>
    <xf numFmtId="3" fontId="8" fillId="3" borderId="18" xfId="25" applyNumberFormat="1" applyFont="1" applyFill="1" applyBorder="1" applyAlignment="1" applyProtection="1">
      <alignment vertical="center"/>
      <protection hidden="1"/>
    </xf>
    <xf numFmtId="0" fontId="32" fillId="2" borderId="0" xfId="14" applyFont="1" applyFill="1"/>
    <xf numFmtId="0" fontId="51" fillId="2" borderId="0" xfId="14" applyFont="1" applyFill="1"/>
    <xf numFmtId="3" fontId="4" fillId="3" borderId="64" xfId="14" applyNumberFormat="1" applyFont="1" applyFill="1" applyBorder="1" applyAlignment="1">
      <alignment horizontal="left"/>
    </xf>
    <xf numFmtId="17" fontId="4" fillId="3" borderId="42" xfId="14" quotePrefix="1" applyNumberFormat="1" applyFont="1" applyFill="1" applyBorder="1" applyAlignment="1">
      <alignment horizontal="center"/>
    </xf>
    <xf numFmtId="17" fontId="26" fillId="3" borderId="42" xfId="14" quotePrefix="1" applyNumberFormat="1" applyFont="1" applyFill="1" applyBorder="1" applyAlignment="1">
      <alignment horizontal="center"/>
    </xf>
    <xf numFmtId="3" fontId="4" fillId="0" borderId="24" xfId="14" quotePrefix="1" applyNumberFormat="1" applyFont="1" applyBorder="1" applyAlignment="1">
      <alignment horizontal="center"/>
    </xf>
    <xf numFmtId="3" fontId="4" fillId="0" borderId="41" xfId="14" quotePrefix="1" applyNumberFormat="1" applyFont="1" applyBorder="1" applyAlignment="1">
      <alignment horizontal="center"/>
    </xf>
    <xf numFmtId="3" fontId="26" fillId="0" borderId="41" xfId="14" quotePrefix="1" applyNumberFormat="1" applyFont="1" applyBorder="1" applyAlignment="1">
      <alignment horizontal="center"/>
    </xf>
    <xf numFmtId="3" fontId="4" fillId="2" borderId="24" xfId="27" applyNumberFormat="1" applyFont="1" applyFill="1" applyBorder="1" applyAlignment="1">
      <alignment horizontal="center"/>
    </xf>
    <xf numFmtId="3" fontId="4" fillId="2" borderId="41" xfId="27" applyNumberFormat="1" applyFont="1" applyFill="1" applyBorder="1" applyAlignment="1">
      <alignment horizontal="center"/>
    </xf>
    <xf numFmtId="3" fontId="26" fillId="2" borderId="41" xfId="27" applyNumberFormat="1" applyFont="1" applyFill="1" applyBorder="1" applyAlignment="1">
      <alignment horizontal="center"/>
    </xf>
    <xf numFmtId="3" fontId="24" fillId="2" borderId="24" xfId="27" applyNumberFormat="1" applyFont="1" applyFill="1" applyBorder="1" applyAlignment="1">
      <alignment horizontal="center"/>
    </xf>
    <xf numFmtId="3" fontId="24" fillId="2" borderId="41" xfId="27" applyNumberFormat="1" applyFont="1" applyFill="1" applyBorder="1" applyAlignment="1">
      <alignment horizontal="center"/>
    </xf>
    <xf numFmtId="3" fontId="11" fillId="2" borderId="41" xfId="27" applyNumberFormat="1" applyFont="1" applyFill="1" applyBorder="1" applyAlignment="1">
      <alignment horizontal="center"/>
    </xf>
    <xf numFmtId="3" fontId="38" fillId="2" borderId="24" xfId="27" applyNumberFormat="1" applyFont="1" applyFill="1" applyBorder="1" applyAlignment="1">
      <alignment horizontal="center"/>
    </xf>
    <xf numFmtId="3" fontId="38" fillId="2" borderId="41" xfId="27" applyNumberFormat="1" applyFont="1" applyFill="1" applyBorder="1" applyAlignment="1">
      <alignment horizontal="center"/>
    </xf>
    <xf numFmtId="3" fontId="25" fillId="2" borderId="41" xfId="27" applyNumberFormat="1" applyFont="1" applyFill="1" applyBorder="1" applyAlignment="1">
      <alignment horizontal="center"/>
    </xf>
    <xf numFmtId="0" fontId="38" fillId="2" borderId="0" xfId="14" applyFont="1" applyFill="1"/>
    <xf numFmtId="3" fontId="24" fillId="2" borderId="27" xfId="27" applyNumberFormat="1" applyFont="1" applyFill="1" applyBorder="1" applyAlignment="1">
      <alignment horizontal="center"/>
    </xf>
    <xf numFmtId="3" fontId="24" fillId="2" borderId="43" xfId="27" applyNumberFormat="1" applyFont="1" applyFill="1" applyBorder="1" applyAlignment="1">
      <alignment horizontal="center"/>
    </xf>
    <xf numFmtId="3" fontId="11" fillId="2" borderId="43" xfId="27" applyNumberFormat="1" applyFont="1" applyFill="1" applyBorder="1" applyAlignment="1">
      <alignment horizontal="center"/>
    </xf>
    <xf numFmtId="3" fontId="30" fillId="2" borderId="0" xfId="25" applyNumberFormat="1" applyFont="1" applyFill="1" applyProtection="1">
      <protection hidden="1"/>
    </xf>
    <xf numFmtId="3" fontId="52" fillId="2" borderId="0" xfId="27" applyNumberFormat="1" applyFont="1" applyFill="1" applyBorder="1" applyAlignment="1">
      <alignment horizontal="center"/>
    </xf>
    <xf numFmtId="3" fontId="53" fillId="2" borderId="0" xfId="27" applyNumberFormat="1" applyFont="1" applyFill="1" applyBorder="1" applyAlignment="1">
      <alignment horizontal="center"/>
    </xf>
    <xf numFmtId="3" fontId="8" fillId="3" borderId="60" xfId="14" applyNumberFormat="1" applyFont="1" applyFill="1" applyBorder="1" applyAlignment="1">
      <alignment horizontal="left" vertical="center"/>
    </xf>
    <xf numFmtId="17" fontId="4" fillId="3" borderId="54" xfId="14" quotePrefix="1" applyNumberFormat="1" applyFont="1" applyFill="1" applyBorder="1" applyAlignment="1">
      <alignment horizontal="center" vertical="center"/>
    </xf>
    <xf numFmtId="17" fontId="26" fillId="3" borderId="54" xfId="14" quotePrefix="1" applyNumberFormat="1" applyFont="1" applyFill="1" applyBorder="1" applyAlignment="1">
      <alignment horizontal="center" vertical="center"/>
    </xf>
    <xf numFmtId="17" fontId="26" fillId="3" borderId="42" xfId="14" quotePrefix="1" applyNumberFormat="1" applyFont="1" applyFill="1" applyBorder="1" applyAlignment="1">
      <alignment horizontal="center" vertical="center"/>
    </xf>
    <xf numFmtId="3" fontId="5" fillId="3" borderId="18" xfId="25" applyNumberFormat="1" applyFont="1" applyFill="1" applyBorder="1" applyAlignment="1" applyProtection="1">
      <alignment wrapText="1"/>
      <protection hidden="1"/>
    </xf>
    <xf numFmtId="3" fontId="4" fillId="2" borderId="24" xfId="27" quotePrefix="1" applyNumberFormat="1" applyFont="1" applyFill="1" applyBorder="1" applyAlignment="1">
      <alignment horizontal="center"/>
    </xf>
    <xf numFmtId="37" fontId="4" fillId="2" borderId="26" xfId="27" quotePrefix="1" applyNumberFormat="1" applyFont="1" applyFill="1" applyBorder="1" applyAlignment="1">
      <alignment horizontal="center"/>
    </xf>
    <xf numFmtId="37" fontId="4" fillId="2" borderId="38" xfId="27" quotePrefix="1" applyNumberFormat="1" applyFont="1" applyFill="1" applyBorder="1" applyAlignment="1">
      <alignment horizontal="center"/>
    </xf>
    <xf numFmtId="37" fontId="26" fillId="2" borderId="38" xfId="27" quotePrefix="1" applyNumberFormat="1" applyFont="1" applyFill="1" applyBorder="1" applyAlignment="1">
      <alignment horizontal="center"/>
    </xf>
    <xf numFmtId="37" fontId="38" fillId="2" borderId="24" xfId="27" applyNumberFormat="1" applyFont="1" applyFill="1" applyBorder="1" applyAlignment="1" applyProtection="1">
      <alignment horizontal="center"/>
      <protection hidden="1"/>
    </xf>
    <xf numFmtId="37" fontId="38" fillId="2" borderId="41" xfId="27" applyNumberFormat="1" applyFont="1" applyFill="1" applyBorder="1" applyAlignment="1" applyProtection="1">
      <alignment horizontal="center"/>
      <protection hidden="1"/>
    </xf>
    <xf numFmtId="37" fontId="25" fillId="2" borderId="41" xfId="27" applyNumberFormat="1" applyFont="1" applyFill="1" applyBorder="1" applyAlignment="1" applyProtection="1">
      <alignment horizontal="center"/>
      <protection hidden="1"/>
    </xf>
    <xf numFmtId="37" fontId="4" fillId="2" borderId="24" xfId="27" applyNumberFormat="1" applyFont="1" applyFill="1" applyBorder="1" applyAlignment="1" applyProtection="1">
      <alignment horizontal="center"/>
      <protection hidden="1"/>
    </xf>
    <xf numFmtId="37" fontId="4" fillId="2" borderId="41" xfId="27" applyNumberFormat="1" applyFont="1" applyFill="1" applyBorder="1" applyAlignment="1" applyProtection="1">
      <alignment horizontal="center"/>
      <protection hidden="1"/>
    </xf>
    <xf numFmtId="37" fontId="26" fillId="2" borderId="41" xfId="27" applyNumberFormat="1" applyFont="1" applyFill="1" applyBorder="1" applyAlignment="1" applyProtection="1">
      <alignment horizontal="center"/>
      <protection hidden="1"/>
    </xf>
    <xf numFmtId="3" fontId="24" fillId="4" borderId="18" xfId="25" applyNumberFormat="1" applyFont="1" applyFill="1" applyBorder="1" applyProtection="1">
      <protection hidden="1"/>
    </xf>
    <xf numFmtId="3" fontId="24" fillId="4" borderId="0" xfId="25" applyNumberFormat="1" applyFont="1" applyFill="1" applyProtection="1">
      <protection hidden="1"/>
    </xf>
    <xf numFmtId="37" fontId="4" fillId="2" borderId="26" xfId="27" applyNumberFormat="1" applyFont="1" applyFill="1" applyBorder="1" applyAlignment="1" applyProtection="1">
      <alignment horizontal="center"/>
      <protection hidden="1"/>
    </xf>
    <xf numFmtId="37" fontId="4" fillId="2" borderId="38" xfId="27" applyNumberFormat="1" applyFont="1" applyFill="1" applyBorder="1" applyAlignment="1" applyProtection="1">
      <alignment horizontal="center"/>
      <protection hidden="1"/>
    </xf>
    <xf numFmtId="37" fontId="26" fillId="2" borderId="38" xfId="27" applyNumberFormat="1" applyFont="1" applyFill="1" applyBorder="1" applyAlignment="1" applyProtection="1">
      <alignment horizontal="center"/>
      <protection hidden="1"/>
    </xf>
    <xf numFmtId="37" fontId="4" fillId="2" borderId="27" xfId="27" applyNumberFormat="1" applyFont="1" applyFill="1" applyBorder="1" applyAlignment="1" applyProtection="1">
      <alignment horizontal="center"/>
      <protection hidden="1"/>
    </xf>
    <xf numFmtId="37" fontId="4" fillId="2" borderId="43" xfId="27" applyNumberFormat="1" applyFont="1" applyFill="1" applyBorder="1" applyAlignment="1" applyProtection="1">
      <alignment horizontal="center"/>
      <protection hidden="1"/>
    </xf>
    <xf numFmtId="37" fontId="26" fillId="2" borderId="43" xfId="27" applyNumberFormat="1" applyFont="1" applyFill="1" applyBorder="1" applyAlignment="1" applyProtection="1">
      <alignment horizontal="center"/>
      <protection hidden="1"/>
    </xf>
    <xf numFmtId="37" fontId="4" fillId="4" borderId="52" xfId="27" applyNumberFormat="1" applyFont="1" applyFill="1" applyBorder="1" applyAlignment="1" applyProtection="1">
      <alignment horizontal="center"/>
      <protection hidden="1"/>
    </xf>
    <xf numFmtId="37" fontId="4" fillId="4" borderId="54" xfId="27" applyNumberFormat="1" applyFont="1" applyFill="1" applyBorder="1" applyAlignment="1" applyProtection="1">
      <alignment horizontal="center"/>
      <protection hidden="1"/>
    </xf>
    <xf numFmtId="37" fontId="26" fillId="4" borderId="54" xfId="27" applyNumberFormat="1" applyFont="1" applyFill="1" applyBorder="1" applyAlignment="1" applyProtection="1">
      <alignment horizontal="center"/>
      <protection hidden="1"/>
    </xf>
    <xf numFmtId="164" fontId="47" fillId="2" borderId="0" xfId="14" applyNumberFormat="1" applyFont="1" applyFill="1"/>
    <xf numFmtId="164" fontId="54" fillId="2" borderId="0" xfId="14" applyNumberFormat="1" applyFont="1" applyFill="1"/>
    <xf numFmtId="0" fontId="4" fillId="2" borderId="0" xfId="24" applyFont="1" applyFill="1"/>
    <xf numFmtId="0" fontId="30" fillId="2" borderId="0" xfId="24" applyFont="1" applyFill="1" applyAlignment="1">
      <alignment horizontal="right"/>
    </xf>
    <xf numFmtId="0" fontId="30" fillId="2" borderId="0" xfId="29" applyFont="1" applyFill="1" applyAlignment="1">
      <alignment horizontal="right"/>
    </xf>
    <xf numFmtId="3" fontId="5" fillId="6" borderId="57" xfId="24" applyNumberFormat="1" applyFont="1" applyFill="1" applyBorder="1"/>
    <xf numFmtId="0" fontId="17" fillId="2" borderId="0" xfId="24" applyFont="1" applyFill="1" applyAlignment="1">
      <alignment horizontal="left"/>
    </xf>
    <xf numFmtId="0" fontId="19" fillId="2" borderId="0" xfId="24" applyFont="1" applyFill="1"/>
    <xf numFmtId="0" fontId="36" fillId="2" borderId="0" xfId="24" applyFont="1" applyFill="1" applyAlignment="1">
      <alignment horizontal="center"/>
    </xf>
    <xf numFmtId="0" fontId="17" fillId="2" borderId="0" xfId="29" applyFont="1" applyFill="1" applyAlignment="1">
      <alignment horizontal="right"/>
    </xf>
    <xf numFmtId="0" fontId="33" fillId="0" borderId="0" xfId="24" applyFont="1"/>
    <xf numFmtId="0" fontId="17" fillId="0" borderId="0" xfId="24" applyFont="1" applyAlignment="1">
      <alignment horizontal="left" wrapText="1"/>
    </xf>
    <xf numFmtId="0" fontId="43" fillId="0" borderId="0" xfId="24" applyFont="1"/>
    <xf numFmtId="0" fontId="56" fillId="2" borderId="0" xfId="14" applyFont="1" applyFill="1"/>
    <xf numFmtId="0" fontId="57" fillId="2" borderId="0" xfId="14" applyFont="1" applyFill="1"/>
    <xf numFmtId="0" fontId="25" fillId="2" borderId="0" xfId="14" applyFont="1" applyFill="1" applyAlignment="1">
      <alignment horizontal="right" vertical="center"/>
    </xf>
    <xf numFmtId="3" fontId="8" fillId="3" borderId="18" xfId="14" applyNumberFormat="1" applyFont="1" applyFill="1" applyBorder="1" applyAlignment="1">
      <alignment horizontal="left" vertical="center"/>
    </xf>
    <xf numFmtId="3" fontId="26" fillId="2" borderId="18" xfId="3" applyNumberFormat="1" applyFont="1" applyFill="1" applyBorder="1" applyAlignment="1">
      <alignment horizontal="center" vertical="center"/>
    </xf>
    <xf numFmtId="37" fontId="26" fillId="2" borderId="18" xfId="3" applyNumberFormat="1" applyFont="1" applyFill="1" applyBorder="1" applyAlignment="1">
      <alignment horizontal="center" vertical="center"/>
    </xf>
    <xf numFmtId="3" fontId="19" fillId="2" borderId="0" xfId="14" applyNumberFormat="1" applyFont="1" applyFill="1" applyAlignment="1">
      <alignment horizontal="center" vertical="center"/>
    </xf>
    <xf numFmtId="37" fontId="26" fillId="0" borderId="18" xfId="3" applyNumberFormat="1" applyFont="1" applyFill="1" applyBorder="1" applyAlignment="1">
      <alignment horizontal="center" vertical="center"/>
    </xf>
    <xf numFmtId="37" fontId="26" fillId="2" borderId="0" xfId="14" applyNumberFormat="1" applyFont="1" applyFill="1" applyBorder="1" applyAlignment="1">
      <alignment horizontal="center" vertical="center"/>
    </xf>
    <xf numFmtId="0" fontId="31" fillId="2" borderId="0" xfId="14" applyFont="1" applyFill="1" applyAlignment="1">
      <alignment vertical="center"/>
    </xf>
    <xf numFmtId="0" fontId="31" fillId="0" borderId="0" xfId="14" applyFont="1" applyAlignment="1">
      <alignment vertical="center"/>
    </xf>
    <xf numFmtId="3" fontId="8" fillId="3" borderId="17" xfId="14" applyNumberFormat="1" applyFont="1" applyFill="1" applyBorder="1" applyAlignment="1">
      <alignment horizontal="left" vertical="center"/>
    </xf>
    <xf numFmtId="37" fontId="26" fillId="2" borderId="13" xfId="3" quotePrefix="1" applyNumberFormat="1" applyFont="1" applyFill="1" applyBorder="1" applyAlignment="1">
      <alignment horizontal="center" vertical="center"/>
    </xf>
    <xf numFmtId="37" fontId="26" fillId="2" borderId="17" xfId="3" quotePrefix="1" applyNumberFormat="1" applyFont="1" applyFill="1" applyBorder="1" applyAlignment="1">
      <alignment horizontal="center" vertical="center"/>
    </xf>
    <xf numFmtId="3" fontId="30" fillId="3" borderId="18" xfId="25" applyNumberFormat="1" applyFont="1" applyFill="1" applyBorder="1" applyAlignment="1" applyProtection="1">
      <alignment vertical="center"/>
      <protection hidden="1"/>
    </xf>
    <xf numFmtId="37" fontId="25" fillId="2" borderId="3" xfId="3" applyNumberFormat="1" applyFont="1" applyFill="1" applyBorder="1" applyAlignment="1" applyProtection="1">
      <alignment horizontal="center" vertical="center"/>
      <protection hidden="1"/>
    </xf>
    <xf numFmtId="37" fontId="25" fillId="2" borderId="18" xfId="3" applyNumberFormat="1" applyFont="1" applyFill="1" applyBorder="1" applyAlignment="1" applyProtection="1">
      <alignment horizontal="center" vertical="center"/>
      <protection hidden="1"/>
    </xf>
    <xf numFmtId="37" fontId="26" fillId="0" borderId="3" xfId="3" applyNumberFormat="1" applyFont="1" applyBorder="1" applyAlignment="1" applyProtection="1">
      <alignment horizontal="center" vertical="center"/>
      <protection hidden="1"/>
    </xf>
    <xf numFmtId="37" fontId="26" fillId="0" borderId="18" xfId="3" applyNumberFormat="1" applyFont="1" applyBorder="1" applyAlignment="1" applyProtection="1">
      <alignment horizontal="center" vertical="center"/>
      <protection hidden="1"/>
    </xf>
    <xf numFmtId="3" fontId="19" fillId="4" borderId="18" xfId="25" applyNumberFormat="1" applyFont="1" applyFill="1" applyBorder="1" applyAlignment="1" applyProtection="1">
      <alignment vertical="center"/>
      <protection hidden="1"/>
    </xf>
    <xf numFmtId="37" fontId="26" fillId="2" borderId="3" xfId="3" applyNumberFormat="1" applyFont="1" applyFill="1" applyBorder="1" applyAlignment="1" applyProtection="1">
      <alignment horizontal="center" vertical="center"/>
      <protection hidden="1"/>
    </xf>
    <xf numFmtId="37" fontId="26" fillId="2" borderId="18" xfId="3" applyNumberFormat="1" applyFont="1" applyFill="1" applyBorder="1" applyAlignment="1" applyProtection="1">
      <alignment horizontal="center" vertical="center"/>
      <protection hidden="1"/>
    </xf>
    <xf numFmtId="3" fontId="19" fillId="4" borderId="0" xfId="25" applyNumberFormat="1" applyFont="1" applyFill="1" applyAlignment="1" applyProtection="1">
      <alignment vertical="center"/>
      <protection hidden="1"/>
    </xf>
    <xf numFmtId="3" fontId="8" fillId="3" borderId="17" xfId="25" applyNumberFormat="1" applyFont="1" applyFill="1" applyBorder="1" applyAlignment="1" applyProtection="1">
      <alignment vertical="center"/>
      <protection hidden="1"/>
    </xf>
    <xf numFmtId="37" fontId="26" fillId="2" borderId="13" xfId="3" applyNumberFormat="1" applyFont="1" applyFill="1" applyBorder="1" applyAlignment="1" applyProtection="1">
      <alignment horizontal="center" vertical="center"/>
      <protection hidden="1"/>
    </xf>
    <xf numFmtId="37" fontId="26" fillId="2" borderId="17" xfId="3" applyNumberFormat="1" applyFont="1" applyFill="1" applyBorder="1" applyAlignment="1" applyProtection="1">
      <alignment horizontal="center" vertical="center"/>
      <protection hidden="1"/>
    </xf>
    <xf numFmtId="3" fontId="8" fillId="3" borderId="19" xfId="25" applyNumberFormat="1" applyFont="1" applyFill="1" applyBorder="1" applyAlignment="1" applyProtection="1">
      <alignment vertical="center"/>
      <protection hidden="1"/>
    </xf>
    <xf numFmtId="37" fontId="26" fillId="2" borderId="5" xfId="3" applyNumberFormat="1" applyFont="1" applyFill="1" applyBorder="1" applyAlignment="1" applyProtection="1">
      <alignment horizontal="center" vertical="center"/>
      <protection hidden="1"/>
    </xf>
    <xf numFmtId="37" fontId="26" fillId="2" borderId="19" xfId="3" applyNumberFormat="1" applyFont="1" applyFill="1" applyBorder="1" applyAlignment="1" applyProtection="1">
      <alignment horizontal="center" vertical="center"/>
      <protection hidden="1"/>
    </xf>
    <xf numFmtId="3" fontId="8" fillId="3" borderId="50" xfId="25" applyNumberFormat="1" applyFont="1" applyFill="1" applyBorder="1" applyAlignment="1" applyProtection="1">
      <alignment vertical="center"/>
      <protection hidden="1"/>
    </xf>
    <xf numFmtId="37" fontId="26" fillId="4" borderId="60" xfId="3" applyNumberFormat="1" applyFont="1" applyFill="1" applyBorder="1" applyAlignment="1" applyProtection="1">
      <alignment horizontal="center" vertical="center"/>
      <protection hidden="1"/>
    </xf>
    <xf numFmtId="37" fontId="26" fillId="4" borderId="50" xfId="3" applyNumberFormat="1" applyFont="1" applyFill="1" applyBorder="1" applyAlignment="1" applyProtection="1">
      <alignment horizontal="center" vertical="center"/>
      <protection hidden="1"/>
    </xf>
    <xf numFmtId="0" fontId="17" fillId="2" borderId="0" xfId="14" applyFont="1" applyFill="1" applyAlignment="1">
      <alignment vertical="center" wrapText="1"/>
    </xf>
    <xf numFmtId="164" fontId="58" fillId="2" borderId="0" xfId="14" applyNumberFormat="1" applyFont="1" applyFill="1"/>
    <xf numFmtId="0" fontId="17" fillId="2" borderId="0" xfId="0" applyFont="1" applyFill="1" applyAlignment="1">
      <alignment vertical="center"/>
    </xf>
    <xf numFmtId="0" fontId="59" fillId="2" borderId="0" xfId="0" applyFont="1" applyFill="1"/>
    <xf numFmtId="37" fontId="17" fillId="2" borderId="0" xfId="0" applyNumberFormat="1" applyFont="1" applyFill="1"/>
    <xf numFmtId="0" fontId="17" fillId="2" borderId="0" xfId="0" applyFont="1" applyFill="1" applyAlignment="1">
      <alignment horizontal="left" vertical="center" wrapText="1"/>
    </xf>
    <xf numFmtId="0" fontId="17" fillId="2" borderId="0" xfId="0" applyFont="1" applyFill="1" applyAlignment="1">
      <alignment wrapText="1"/>
    </xf>
    <xf numFmtId="0" fontId="59" fillId="2" borderId="0" xfId="0" applyFont="1" applyFill="1" applyAlignment="1">
      <alignment wrapText="1"/>
    </xf>
    <xf numFmtId="0" fontId="17" fillId="2" borderId="0" xfId="0" applyFont="1" applyFill="1" applyAlignment="1">
      <alignment vertical="center" wrapText="1"/>
    </xf>
    <xf numFmtId="0" fontId="17" fillId="2" borderId="0" xfId="0" applyFont="1" applyFill="1" applyAlignment="1">
      <alignment horizontal="left" wrapText="1"/>
    </xf>
    <xf numFmtId="0" fontId="59" fillId="2" borderId="0" xfId="0" applyFont="1" applyFill="1" applyAlignment="1">
      <alignment horizontal="left" wrapText="1"/>
    </xf>
    <xf numFmtId="0" fontId="60" fillId="2" borderId="0" xfId="14" applyFont="1" applyFill="1" applyAlignment="1">
      <alignment horizontal="left"/>
    </xf>
    <xf numFmtId="0" fontId="56" fillId="2" borderId="0" xfId="14" applyFont="1" applyFill="1" applyAlignment="1">
      <alignment wrapText="1"/>
    </xf>
    <xf numFmtId="0" fontId="57" fillId="2" borderId="0" xfId="14" applyFont="1" applyFill="1" applyAlignment="1">
      <alignment wrapText="1"/>
    </xf>
    <xf numFmtId="0" fontId="19" fillId="2" borderId="0" xfId="14" applyFont="1" applyFill="1" applyAlignment="1">
      <alignment wrapText="1"/>
    </xf>
    <xf numFmtId="0" fontId="61" fillId="2" borderId="0" xfId="14" applyFont="1" applyFill="1" applyAlignment="1">
      <alignment wrapText="1"/>
    </xf>
    <xf numFmtId="0" fontId="4" fillId="2" borderId="20" xfId="14" applyFont="1" applyFill="1" applyBorder="1" applyAlignment="1">
      <alignment horizontal="left" wrapText="1"/>
    </xf>
    <xf numFmtId="0" fontId="60" fillId="2" borderId="20" xfId="14" applyFont="1" applyFill="1" applyBorder="1" applyAlignment="1">
      <alignment horizontal="right" vertical="top" wrapText="1"/>
    </xf>
    <xf numFmtId="3" fontId="8" fillId="3" borderId="50" xfId="14" applyNumberFormat="1" applyFont="1" applyFill="1" applyBorder="1" applyAlignment="1">
      <alignment horizontal="left" vertical="center"/>
    </xf>
    <xf numFmtId="175" fontId="26" fillId="3" borderId="50" xfId="14" quotePrefix="1" applyNumberFormat="1" applyFont="1" applyFill="1" applyBorder="1" applyAlignment="1">
      <alignment horizontal="center" vertical="center"/>
    </xf>
    <xf numFmtId="175" fontId="8" fillId="3" borderId="50" xfId="14" quotePrefix="1" applyNumberFormat="1" applyFont="1" applyFill="1" applyBorder="1" applyAlignment="1">
      <alignment horizontal="center" vertical="center"/>
    </xf>
    <xf numFmtId="3" fontId="26" fillId="0" borderId="18" xfId="14" quotePrefix="1" applyNumberFormat="1" applyFont="1" applyBorder="1" applyAlignment="1">
      <alignment horizontal="center" vertical="center"/>
    </xf>
    <xf numFmtId="37" fontId="26" fillId="0" borderId="17" xfId="3" quotePrefix="1" applyNumberFormat="1" applyFont="1" applyBorder="1" applyAlignment="1">
      <alignment horizontal="center" vertical="center"/>
    </xf>
    <xf numFmtId="37" fontId="25" fillId="0" borderId="18" xfId="3" applyNumberFormat="1" applyFont="1" applyBorder="1" applyAlignment="1" applyProtection="1">
      <alignment horizontal="center" vertical="center"/>
      <protection hidden="1"/>
    </xf>
    <xf numFmtId="37" fontId="26" fillId="0" borderId="17" xfId="3" applyNumberFormat="1" applyFont="1" applyBorder="1" applyAlignment="1" applyProtection="1">
      <alignment horizontal="center" vertical="center"/>
      <protection hidden="1"/>
    </xf>
    <xf numFmtId="37" fontId="26" fillId="0" borderId="19" xfId="3" applyNumberFormat="1" applyFont="1" applyBorder="1" applyAlignment="1" applyProtection="1">
      <alignment horizontal="center" vertical="center"/>
      <protection hidden="1"/>
    </xf>
    <xf numFmtId="37" fontId="26" fillId="3" borderId="50" xfId="3" applyNumberFormat="1" applyFont="1" applyFill="1" applyBorder="1" applyAlignment="1" applyProtection="1">
      <alignment horizontal="center" vertical="center"/>
      <protection hidden="1"/>
    </xf>
    <xf numFmtId="0" fontId="62" fillId="2" borderId="0" xfId="14" applyFont="1" applyFill="1"/>
    <xf numFmtId="0" fontId="59" fillId="2" borderId="0" xfId="0" applyFont="1" applyFill="1" applyAlignment="1">
      <alignment vertical="center" wrapText="1"/>
    </xf>
    <xf numFmtId="43" fontId="56" fillId="2" borderId="0" xfId="14" applyNumberFormat="1" applyFont="1" applyFill="1"/>
    <xf numFmtId="2" fontId="19" fillId="0" borderId="0" xfId="24" applyNumberFormat="1" applyFont="1" applyAlignment="1">
      <alignment horizontal="center"/>
    </xf>
    <xf numFmtId="3" fontId="4" fillId="6" borderId="65" xfId="24" applyNumberFormat="1" applyFont="1" applyFill="1" applyBorder="1" applyAlignment="1">
      <alignment horizontal="center"/>
    </xf>
    <xf numFmtId="17" fontId="8" fillId="6" borderId="66" xfId="24" quotePrefix="1" applyNumberFormat="1" applyFont="1" applyFill="1" applyBorder="1" applyAlignment="1">
      <alignment horizontal="center"/>
    </xf>
    <xf numFmtId="17" fontId="8" fillId="6" borderId="64" xfId="24" quotePrefix="1" applyNumberFormat="1" applyFont="1" applyFill="1" applyBorder="1" applyAlignment="1">
      <alignment horizontal="center"/>
    </xf>
    <xf numFmtId="3" fontId="4" fillId="6" borderId="57" xfId="24" applyNumberFormat="1" applyFont="1" applyFill="1" applyBorder="1"/>
    <xf numFmtId="0" fontId="63" fillId="2" borderId="18" xfId="0" applyFont="1" applyFill="1" applyBorder="1" applyAlignment="1">
      <alignment horizontal="right"/>
    </xf>
    <xf numFmtId="3" fontId="4" fillId="6" borderId="57" xfId="24" applyNumberFormat="1" applyFont="1" applyFill="1" applyBorder="1" applyAlignment="1">
      <alignment horizontal="left" indent="2"/>
    </xf>
    <xf numFmtId="2" fontId="26" fillId="2" borderId="18" xfId="0" applyNumberFormat="1" applyFont="1" applyFill="1" applyBorder="1" applyAlignment="1">
      <alignment horizontal="center"/>
    </xf>
    <xf numFmtId="2" fontId="11" fillId="2" borderId="18" xfId="0" applyNumberFormat="1" applyFont="1" applyFill="1" applyBorder="1" applyAlignment="1">
      <alignment horizontal="center"/>
    </xf>
    <xf numFmtId="3" fontId="20" fillId="6" borderId="58" xfId="24" applyNumberFormat="1" applyFont="1" applyFill="1" applyBorder="1"/>
    <xf numFmtId="0" fontId="11" fillId="2" borderId="19" xfId="0" applyFont="1" applyFill="1" applyBorder="1" applyAlignment="1">
      <alignment horizontal="right"/>
    </xf>
    <xf numFmtId="0" fontId="64" fillId="0" borderId="0" xfId="14" applyFont="1" applyAlignment="1">
      <alignment horizontal="center" vertical="top" wrapText="1"/>
    </xf>
    <xf numFmtId="0" fontId="55" fillId="0" borderId="0" xfId="24" applyFont="1" applyAlignment="1">
      <alignment horizontal="center" vertical="top"/>
    </xf>
    <xf numFmtId="0" fontId="17" fillId="0" borderId="0" xfId="24" applyFont="1" applyAlignment="1">
      <alignment horizontal="right"/>
    </xf>
    <xf numFmtId="0" fontId="64" fillId="3" borderId="50" xfId="24" applyFont="1" applyFill="1" applyBorder="1" applyAlignment="1">
      <alignment horizontal="left" wrapText="1"/>
    </xf>
    <xf numFmtId="17" fontId="64" fillId="3" borderId="50" xfId="24" applyNumberFormat="1" applyFont="1" applyFill="1" applyBorder="1" applyAlignment="1">
      <alignment horizontal="center"/>
    </xf>
    <xf numFmtId="17" fontId="8" fillId="3" borderId="50" xfId="24" applyNumberFormat="1" applyFont="1" applyFill="1" applyBorder="1" applyAlignment="1">
      <alignment horizontal="center"/>
    </xf>
    <xf numFmtId="49" fontId="8" fillId="3" borderId="50" xfId="24" applyNumberFormat="1" applyFont="1" applyFill="1" applyBorder="1" applyAlignment="1">
      <alignment horizontal="center"/>
    </xf>
    <xf numFmtId="0" fontId="8" fillId="3" borderId="61" xfId="24" applyFont="1" applyFill="1" applyBorder="1" applyAlignment="1">
      <alignment horizontal="left" vertical="center" wrapText="1"/>
    </xf>
    <xf numFmtId="2" fontId="4" fillId="0" borderId="14" xfId="23" applyNumberFormat="1" applyFont="1" applyBorder="1" applyAlignment="1">
      <alignment horizontal="center" vertical="center"/>
    </xf>
    <xf numFmtId="2" fontId="26" fillId="0" borderId="14" xfId="23" applyNumberFormat="1" applyFont="1" applyBorder="1" applyAlignment="1">
      <alignment horizontal="center" vertical="center"/>
    </xf>
    <xf numFmtId="0" fontId="33" fillId="0" borderId="0" xfId="24" applyFont="1" applyAlignment="1">
      <alignment vertical="center"/>
    </xf>
    <xf numFmtId="3" fontId="8" fillId="3" borderId="18" xfId="25" applyNumberFormat="1" applyFont="1" applyFill="1" applyBorder="1" applyAlignment="1" applyProtection="1">
      <alignment horizontal="left" vertical="center"/>
      <protection hidden="1"/>
    </xf>
    <xf numFmtId="0" fontId="55" fillId="0" borderId="0" xfId="24" applyFont="1" applyAlignment="1">
      <alignment vertical="center"/>
    </xf>
    <xf numFmtId="0" fontId="8" fillId="3" borderId="17" xfId="24" applyFont="1" applyFill="1" applyBorder="1" applyAlignment="1">
      <alignment vertical="center" wrapText="1"/>
    </xf>
    <xf numFmtId="0" fontId="4" fillId="0" borderId="16" xfId="24" applyFont="1" applyBorder="1" applyAlignment="1">
      <alignment horizontal="center" vertical="center"/>
    </xf>
    <xf numFmtId="0" fontId="26" fillId="0" borderId="16" xfId="24" applyFont="1" applyBorder="1" applyAlignment="1">
      <alignment horizontal="center" vertical="center"/>
    </xf>
    <xf numFmtId="43" fontId="26" fillId="0" borderId="17" xfId="24" applyNumberFormat="1" applyFont="1" applyBorder="1" applyAlignment="1">
      <alignment horizontal="center" vertical="center"/>
    </xf>
    <xf numFmtId="2" fontId="26" fillId="0" borderId="17" xfId="24" applyNumberFormat="1" applyFont="1" applyBorder="1" applyAlignment="1">
      <alignment horizontal="center" vertical="center"/>
    </xf>
    <xf numFmtId="3" fontId="30" fillId="3" borderId="18" xfId="25" applyNumberFormat="1" applyFont="1" applyFill="1" applyBorder="1" applyAlignment="1" applyProtection="1">
      <alignment horizontal="left" vertical="center"/>
      <protection hidden="1"/>
    </xf>
    <xf numFmtId="2" fontId="24" fillId="0" borderId="18" xfId="23" applyNumberFormat="1" applyFont="1" applyBorder="1" applyAlignment="1">
      <alignment horizontal="center" vertical="center"/>
    </xf>
    <xf numFmtId="2" fontId="11" fillId="0" borderId="18" xfId="23" applyNumberFormat="1" applyFont="1" applyBorder="1" applyAlignment="1">
      <alignment horizontal="center" vertical="center"/>
    </xf>
    <xf numFmtId="2" fontId="26" fillId="0" borderId="18" xfId="23" applyNumberFormat="1" applyFont="1" applyBorder="1" applyAlignment="1">
      <alignment horizontal="center" vertical="center"/>
    </xf>
    <xf numFmtId="3" fontId="8" fillId="3" borderId="19" xfId="25" applyNumberFormat="1" applyFont="1" applyFill="1" applyBorder="1" applyAlignment="1" applyProtection="1">
      <alignment horizontal="left" vertical="center"/>
      <protection hidden="1"/>
    </xf>
    <xf numFmtId="2" fontId="4" fillId="0" borderId="21" xfId="23" applyNumberFormat="1" applyFont="1" applyBorder="1" applyAlignment="1">
      <alignment horizontal="center" vertical="center"/>
    </xf>
    <xf numFmtId="2" fontId="26" fillId="0" borderId="21" xfId="23" applyNumberFormat="1" applyFont="1" applyBorder="1" applyAlignment="1">
      <alignment horizontal="center" vertical="center"/>
    </xf>
    <xf numFmtId="10" fontId="4" fillId="0" borderId="21" xfId="23" applyNumberFormat="1" applyFont="1" applyBorder="1" applyAlignment="1">
      <alignment horizontal="center" vertical="center"/>
    </xf>
    <xf numFmtId="10" fontId="26" fillId="0" borderId="21" xfId="23" applyNumberFormat="1" applyFont="1" applyBorder="1" applyAlignment="1">
      <alignment horizontal="center" vertical="center"/>
    </xf>
    <xf numFmtId="0" fontId="17" fillId="2" borderId="0" xfId="14" applyFont="1" applyFill="1" applyAlignment="1">
      <alignment wrapText="1"/>
    </xf>
    <xf numFmtId="0" fontId="60" fillId="0" borderId="0" xfId="24" applyFont="1" applyAlignment="1">
      <alignment horizontal="left" wrapText="1"/>
    </xf>
    <xf numFmtId="0" fontId="65" fillId="0" borderId="0" xfId="24" applyFont="1"/>
    <xf numFmtId="0" fontId="43" fillId="0" borderId="0" xfId="24" applyFont="1" applyAlignment="1">
      <alignment horizontal="center"/>
    </xf>
    <xf numFmtId="0" fontId="36" fillId="2" borderId="0" xfId="14" applyFont="1" applyFill="1"/>
    <xf numFmtId="0" fontId="17" fillId="2" borderId="0" xfId="14" applyFont="1" applyFill="1" applyAlignment="1">
      <alignment horizontal="left" vertical="top" wrapText="1"/>
    </xf>
    <xf numFmtId="0" fontId="8" fillId="3" borderId="42" xfId="2" applyFont="1" applyFill="1" applyBorder="1" applyAlignment="1">
      <alignment horizontal="center" vertical="center"/>
    </xf>
    <xf numFmtId="3" fontId="11" fillId="2" borderId="41" xfId="4" quotePrefix="1" applyNumberFormat="1" applyFont="1" applyFill="1" applyBorder="1" applyAlignment="1">
      <alignment horizontal="right" vertical="center"/>
    </xf>
    <xf numFmtId="3" fontId="11" fillId="0" borderId="41" xfId="4" quotePrefix="1" applyNumberFormat="1" applyFont="1" applyFill="1" applyBorder="1" applyAlignment="1">
      <alignment horizontal="right" vertical="center"/>
    </xf>
    <xf numFmtId="166" fontId="11" fillId="2" borderId="41" xfId="4" quotePrefix="1" applyNumberFormat="1" applyFont="1" applyFill="1" applyBorder="1" applyAlignment="1">
      <alignment horizontal="right" vertical="center"/>
    </xf>
    <xf numFmtId="168" fontId="11" fillId="2" borderId="4" xfId="6" applyNumberFormat="1" applyFont="1" applyFill="1" applyBorder="1" applyAlignment="1">
      <alignment horizontal="right" vertical="center" wrapText="1"/>
    </xf>
    <xf numFmtId="168" fontId="11" fillId="2" borderId="41" xfId="6" applyNumberFormat="1" applyFont="1" applyFill="1" applyBorder="1" applyAlignment="1">
      <alignment horizontal="right" vertical="center" wrapText="1"/>
    </xf>
    <xf numFmtId="3" fontId="11" fillId="2" borderId="41" xfId="5" quotePrefix="1" applyNumberFormat="1" applyFont="1" applyFill="1" applyBorder="1" applyAlignment="1">
      <alignment horizontal="right" vertical="center"/>
    </xf>
    <xf numFmtId="0" fontId="17" fillId="2" borderId="0" xfId="24" applyFont="1" applyFill="1" applyAlignment="1">
      <alignment horizontal="left" vertical="center" wrapText="1"/>
    </xf>
    <xf numFmtId="0" fontId="69" fillId="2" borderId="0" xfId="64" applyFont="1" applyFill="1" applyAlignment="1"/>
    <xf numFmtId="3" fontId="8" fillId="3" borderId="18" xfId="25" applyNumberFormat="1" applyFont="1" applyFill="1" applyBorder="1" applyAlignment="1" applyProtection="1">
      <alignment wrapText="1"/>
      <protection hidden="1"/>
    </xf>
    <xf numFmtId="0" fontId="36" fillId="2" borderId="0" xfId="14" applyFont="1" applyFill="1" applyAlignment="1">
      <alignment horizontal="left" wrapText="1"/>
    </xf>
    <xf numFmtId="164" fontId="70" fillId="2" borderId="0" xfId="14" applyNumberFormat="1" applyFont="1" applyFill="1"/>
    <xf numFmtId="164" fontId="71" fillId="2" borderId="0" xfId="14" applyNumberFormat="1" applyFont="1" applyFill="1"/>
    <xf numFmtId="0" fontId="20" fillId="2" borderId="0" xfId="14" applyFont="1" applyFill="1"/>
    <xf numFmtId="0" fontId="36" fillId="2" borderId="0" xfId="28" applyFont="1" applyFill="1" applyAlignment="1"/>
    <xf numFmtId="0" fontId="36" fillId="2" borderId="0" xfId="28" applyFont="1" applyFill="1" applyAlignment="1">
      <alignment horizontal="left" wrapText="1"/>
    </xf>
    <xf numFmtId="0" fontId="36" fillId="2" borderId="0" xfId="14" applyFont="1" applyFill="1" applyAlignment="1"/>
    <xf numFmtId="0" fontId="72" fillId="2" borderId="0" xfId="64" applyFont="1" applyFill="1" applyAlignment="1"/>
    <xf numFmtId="0" fontId="36" fillId="2" borderId="0" xfId="14" applyFont="1" applyFill="1" applyAlignment="1">
      <alignment horizontal="left"/>
    </xf>
    <xf numFmtId="0" fontId="4" fillId="2" borderId="0" xfId="67" applyFont="1" applyFill="1"/>
    <xf numFmtId="0" fontId="24" fillId="2" borderId="0" xfId="67" applyFont="1" applyFill="1"/>
    <xf numFmtId="0" fontId="30" fillId="2" borderId="0" xfId="14" applyFont="1" applyFill="1"/>
    <xf numFmtId="0" fontId="24" fillId="2" borderId="18" xfId="14" applyFont="1" applyFill="1" applyBorder="1"/>
    <xf numFmtId="166" fontId="4" fillId="2" borderId="18" xfId="14" applyNumberFormat="1" applyFont="1" applyFill="1" applyBorder="1"/>
    <xf numFmtId="166" fontId="8" fillId="2" borderId="18" xfId="14" applyNumberFormat="1" applyFont="1" applyFill="1" applyBorder="1"/>
    <xf numFmtId="166" fontId="26" fillId="0" borderId="18" xfId="14" applyNumberFormat="1" applyFont="1" applyBorder="1"/>
    <xf numFmtId="0" fontId="24" fillId="2" borderId="18" xfId="20" applyFont="1" applyFill="1" applyBorder="1"/>
    <xf numFmtId="0" fontId="5" fillId="2" borderId="18" xfId="14" applyFont="1" applyFill="1" applyBorder="1"/>
    <xf numFmtId="0" fontId="11" fillId="0" borderId="18" xfId="14" applyFont="1" applyBorder="1"/>
    <xf numFmtId="166" fontId="24" fillId="2" borderId="18" xfId="14" applyNumberFormat="1" applyFont="1" applyFill="1" applyBorder="1"/>
    <xf numFmtId="166" fontId="5" fillId="2" borderId="18" xfId="14" applyNumberFormat="1" applyFont="1" applyFill="1" applyBorder="1"/>
    <xf numFmtId="166" fontId="11" fillId="0" borderId="18" xfId="14" applyNumberFormat="1" applyFont="1" applyBorder="1"/>
    <xf numFmtId="166" fontId="4" fillId="2" borderId="19" xfId="14" applyNumberFormat="1" applyFont="1" applyFill="1" applyBorder="1"/>
    <xf numFmtId="166" fontId="26" fillId="2" borderId="19" xfId="14" applyNumberFormat="1" applyFont="1" applyFill="1" applyBorder="1"/>
    <xf numFmtId="166" fontId="26" fillId="0" borderId="19" xfId="14" applyNumberFormat="1" applyFont="1" applyBorder="1"/>
    <xf numFmtId="0" fontId="25" fillId="0" borderId="0" xfId="14" applyFont="1" applyAlignment="1">
      <alignment horizontal="right"/>
    </xf>
    <xf numFmtId="0" fontId="24" fillId="2" borderId="19" xfId="14" applyFont="1" applyFill="1" applyBorder="1"/>
    <xf numFmtId="0" fontId="24" fillId="0" borderId="19" xfId="14" applyFont="1" applyBorder="1"/>
    <xf numFmtId="0" fontId="16" fillId="2" borderId="0" xfId="14" applyFont="1" applyFill="1"/>
    <xf numFmtId="0" fontId="19" fillId="5" borderId="0" xfId="14" applyFont="1" applyFill="1"/>
    <xf numFmtId="0" fontId="19" fillId="2" borderId="0" xfId="14" applyFont="1" applyFill="1" applyAlignment="1">
      <alignment horizontal="right"/>
    </xf>
    <xf numFmtId="0" fontId="8" fillId="6" borderId="68" xfId="14" applyFont="1" applyFill="1" applyBorder="1" applyAlignment="1">
      <alignment horizontal="center"/>
    </xf>
    <xf numFmtId="17" fontId="8" fillId="6" borderId="69" xfId="14" applyNumberFormat="1" applyFont="1" applyFill="1" applyBorder="1" applyAlignment="1">
      <alignment horizontal="center"/>
    </xf>
    <xf numFmtId="17" fontId="8" fillId="6" borderId="70" xfId="14" applyNumberFormat="1" applyFont="1" applyFill="1" applyBorder="1" applyAlignment="1">
      <alignment horizontal="center"/>
    </xf>
    <xf numFmtId="17" fontId="8" fillId="6" borderId="70" xfId="14" quotePrefix="1" applyNumberFormat="1" applyFont="1" applyFill="1" applyBorder="1" applyAlignment="1">
      <alignment horizontal="center"/>
    </xf>
    <xf numFmtId="0" fontId="5" fillId="6" borderId="57" xfId="14" applyFont="1" applyFill="1" applyBorder="1" applyAlignment="1">
      <alignment horizontal="center"/>
    </xf>
    <xf numFmtId="0" fontId="19" fillId="2" borderId="14" xfId="14" applyFont="1" applyFill="1" applyBorder="1"/>
    <xf numFmtId="0" fontId="19" fillId="2" borderId="18" xfId="14" applyFont="1" applyFill="1" applyBorder="1"/>
    <xf numFmtId="0" fontId="8" fillId="6" borderId="57" xfId="14" applyFont="1" applyFill="1" applyBorder="1"/>
    <xf numFmtId="166" fontId="31" fillId="2" borderId="14" xfId="14" applyNumberFormat="1" applyFont="1" applyFill="1" applyBorder="1"/>
    <xf numFmtId="166" fontId="31" fillId="2" borderId="18" xfId="14" applyNumberFormat="1" applyFont="1" applyFill="1" applyBorder="1"/>
    <xf numFmtId="166" fontId="26" fillId="0" borderId="18" xfId="14" applyNumberFormat="1" applyFont="1" applyFill="1" applyBorder="1"/>
    <xf numFmtId="0" fontId="5" fillId="6" borderId="57" xfId="14" applyFont="1" applyFill="1" applyBorder="1"/>
    <xf numFmtId="166" fontId="19" fillId="2" borderId="14" xfId="14" applyNumberFormat="1" applyFont="1" applyFill="1" applyBorder="1"/>
    <xf numFmtId="166" fontId="19" fillId="2" borderId="18" xfId="14" applyNumberFormat="1" applyFont="1" applyFill="1" applyBorder="1"/>
    <xf numFmtId="166" fontId="11" fillId="0" borderId="18" xfId="14" applyNumberFormat="1" applyFont="1" applyFill="1" applyBorder="1"/>
    <xf numFmtId="0" fontId="31" fillId="2" borderId="14" xfId="14" applyFont="1" applyFill="1" applyBorder="1"/>
    <xf numFmtId="0" fontId="31" fillId="2" borderId="18" xfId="14" applyFont="1" applyFill="1" applyBorder="1"/>
    <xf numFmtId="0" fontId="8" fillId="2" borderId="18" xfId="14" applyFont="1" applyFill="1" applyBorder="1"/>
    <xf numFmtId="0" fontId="4" fillId="2" borderId="18" xfId="14" applyFont="1" applyFill="1" applyBorder="1"/>
    <xf numFmtId="0" fontId="26" fillId="2" borderId="18" xfId="14" applyFont="1" applyFill="1" applyBorder="1"/>
    <xf numFmtId="0" fontId="26" fillId="0" borderId="18" xfId="14" applyFont="1" applyBorder="1"/>
    <xf numFmtId="0" fontId="26" fillId="0" borderId="18" xfId="14" applyFont="1" applyFill="1" applyBorder="1"/>
    <xf numFmtId="0" fontId="8" fillId="6" borderId="57" xfId="14" applyFont="1" applyFill="1" applyBorder="1" applyAlignment="1">
      <alignment wrapText="1"/>
    </xf>
    <xf numFmtId="166" fontId="31" fillId="2" borderId="14" xfId="14" applyNumberFormat="1" applyFont="1" applyFill="1" applyBorder="1" applyAlignment="1">
      <alignment vertical="center"/>
    </xf>
    <xf numFmtId="166" fontId="31" fillId="2" borderId="18" xfId="14" applyNumberFormat="1" applyFont="1" applyFill="1" applyBorder="1" applyAlignment="1">
      <alignment vertical="center"/>
    </xf>
    <xf numFmtId="166" fontId="8" fillId="2" borderId="18" xfId="14" applyNumberFormat="1" applyFont="1" applyFill="1" applyBorder="1" applyAlignment="1">
      <alignment vertical="center"/>
    </xf>
    <xf numFmtId="166" fontId="4" fillId="2" borderId="18" xfId="14" applyNumberFormat="1" applyFont="1" applyFill="1" applyBorder="1" applyAlignment="1">
      <alignment vertical="center"/>
    </xf>
    <xf numFmtId="166" fontId="26" fillId="0" borderId="18" xfId="14" applyNumberFormat="1" applyFont="1" applyFill="1" applyBorder="1" applyAlignment="1">
      <alignment vertical="center"/>
    </xf>
    <xf numFmtId="0" fontId="5" fillId="6" borderId="58" xfId="14" applyFont="1" applyFill="1" applyBorder="1"/>
    <xf numFmtId="0" fontId="19" fillId="2" borderId="21" xfId="14" applyFont="1" applyFill="1" applyBorder="1"/>
    <xf numFmtId="0" fontId="19" fillId="2" borderId="19" xfId="14" applyFont="1" applyFill="1" applyBorder="1"/>
    <xf numFmtId="0" fontId="11" fillId="0" borderId="19" xfId="14" applyFont="1" applyBorder="1"/>
    <xf numFmtId="0" fontId="11" fillId="0" borderId="19" xfId="14" applyFont="1" applyFill="1" applyBorder="1"/>
    <xf numFmtId="166" fontId="17" fillId="2" borderId="0" xfId="14" applyNumberFormat="1" applyFont="1" applyFill="1"/>
    <xf numFmtId="0" fontId="1" fillId="0" borderId="0" xfId="12"/>
    <xf numFmtId="0" fontId="39" fillId="0" borderId="0" xfId="12" applyFont="1"/>
    <xf numFmtId="0" fontId="75" fillId="0" borderId="0" xfId="12" applyFont="1"/>
    <xf numFmtId="167" fontId="11" fillId="0" borderId="43" xfId="12" applyNumberFormat="1" applyFont="1" applyFill="1" applyBorder="1" applyAlignment="1">
      <alignment horizontal="center" vertical="center"/>
    </xf>
    <xf numFmtId="167" fontId="11" fillId="0" borderId="6" xfId="12" applyNumberFormat="1" applyFont="1" applyFill="1" applyBorder="1" applyAlignment="1">
      <alignment horizontal="center" vertical="center"/>
    </xf>
    <xf numFmtId="167" fontId="11" fillId="0" borderId="34" xfId="12" applyNumberFormat="1" applyFont="1" applyFill="1" applyBorder="1" applyAlignment="1">
      <alignment horizontal="center" vertical="center"/>
    </xf>
    <xf numFmtId="167" fontId="11" fillId="0" borderId="59" xfId="12" applyNumberFormat="1" applyFont="1" applyFill="1" applyBorder="1" applyAlignment="1">
      <alignment horizontal="center" vertical="center"/>
    </xf>
    <xf numFmtId="17" fontId="8" fillId="3" borderId="58" xfId="12" quotePrefix="1" applyNumberFormat="1" applyFont="1" applyFill="1" applyBorder="1" applyAlignment="1">
      <alignment horizontal="left"/>
    </xf>
    <xf numFmtId="167" fontId="11" fillId="0" borderId="41" xfId="12" applyNumberFormat="1" applyFont="1" applyBorder="1" applyAlignment="1">
      <alignment horizontal="center" vertical="center"/>
    </xf>
    <xf numFmtId="167" fontId="11" fillId="0" borderId="4" xfId="12" applyNumberFormat="1" applyFont="1" applyBorder="1" applyAlignment="1">
      <alignment horizontal="center" vertical="center"/>
    </xf>
    <xf numFmtId="167" fontId="11" fillId="0" borderId="33" xfId="12" applyNumberFormat="1" applyFont="1" applyBorder="1" applyAlignment="1">
      <alignment horizontal="center" vertical="center"/>
    </xf>
    <xf numFmtId="167" fontId="11" fillId="0" borderId="48" xfId="12" applyNumberFormat="1" applyFont="1" applyBorder="1" applyAlignment="1">
      <alignment horizontal="center" vertical="center"/>
    </xf>
    <xf numFmtId="17" fontId="8" fillId="3" borderId="57" xfId="12" applyNumberFormat="1" applyFont="1" applyFill="1" applyBorder="1" applyAlignment="1">
      <alignment horizontal="left"/>
    </xf>
    <xf numFmtId="167" fontId="19" fillId="0" borderId="41" xfId="12" applyNumberFormat="1" applyFont="1" applyBorder="1" applyAlignment="1">
      <alignment horizontal="center" vertical="center"/>
    </xf>
    <xf numFmtId="167" fontId="19" fillId="0" borderId="4" xfId="12" applyNumberFormat="1" applyFont="1" applyBorder="1" applyAlignment="1">
      <alignment horizontal="center" vertical="center"/>
    </xf>
    <xf numFmtId="167" fontId="19" fillId="0" borderId="33" xfId="12" applyNumberFormat="1" applyFont="1" applyBorder="1" applyAlignment="1">
      <alignment horizontal="center" vertical="center"/>
    </xf>
    <xf numFmtId="167" fontId="19" fillId="0" borderId="48" xfId="12" applyNumberFormat="1" applyFont="1" applyBorder="1" applyAlignment="1">
      <alignment horizontal="center" vertical="center"/>
    </xf>
    <xf numFmtId="17" fontId="31" fillId="3" borderId="57" xfId="12" applyNumberFormat="1" applyFont="1" applyFill="1" applyBorder="1" applyAlignment="1">
      <alignment horizontal="left"/>
    </xf>
    <xf numFmtId="0" fontId="8" fillId="3" borderId="71" xfId="12" applyFont="1" applyFill="1" applyBorder="1" applyAlignment="1">
      <alignment horizontal="center" vertical="center" wrapText="1"/>
    </xf>
    <xf numFmtId="0" fontId="8" fillId="3" borderId="72" xfId="12" applyFont="1" applyFill="1" applyBorder="1" applyAlignment="1">
      <alignment horizontal="center" vertical="center" wrapText="1"/>
    </xf>
    <xf numFmtId="0" fontId="8" fillId="3" borderId="73" xfId="12" applyFont="1" applyFill="1" applyBorder="1" applyAlignment="1">
      <alignment horizontal="center" vertical="center" wrapText="1"/>
    </xf>
    <xf numFmtId="0" fontId="8" fillId="3" borderId="71" xfId="12" applyFont="1" applyFill="1" applyBorder="1" applyAlignment="1">
      <alignment horizontal="center" vertical="center"/>
    </xf>
    <xf numFmtId="0" fontId="8" fillId="3" borderId="72" xfId="12" applyFont="1" applyFill="1" applyBorder="1" applyAlignment="1">
      <alignment horizontal="center" vertical="center"/>
    </xf>
    <xf numFmtId="0" fontId="8" fillId="3" borderId="74" xfId="12" applyFont="1" applyFill="1" applyBorder="1" applyAlignment="1">
      <alignment horizontal="center" vertical="center"/>
    </xf>
    <xf numFmtId="0" fontId="8" fillId="3" borderId="68" xfId="12" applyFont="1" applyFill="1" applyBorder="1" applyAlignment="1">
      <alignment horizontal="center" vertical="center"/>
    </xf>
    <xf numFmtId="0" fontId="8" fillId="3" borderId="56" xfId="12" applyFont="1" applyFill="1" applyBorder="1" applyAlignment="1">
      <alignment horizontal="center" vertical="center"/>
    </xf>
    <xf numFmtId="0" fontId="17" fillId="0" borderId="0" xfId="12" applyFont="1" applyAlignment="1">
      <alignment horizontal="right" vertical="center"/>
    </xf>
    <xf numFmtId="0" fontId="24" fillId="0" borderId="0" xfId="12" applyFont="1" applyAlignment="1">
      <alignment vertical="center"/>
    </xf>
    <xf numFmtId="0" fontId="19" fillId="0" borderId="0" xfId="12" applyFont="1" applyAlignment="1">
      <alignment horizontal="center" vertical="center"/>
    </xf>
    <xf numFmtId="0" fontId="4" fillId="0" borderId="0" xfId="12" applyFont="1" applyAlignment="1">
      <alignment horizontal="left" vertical="center"/>
    </xf>
    <xf numFmtId="0" fontId="76" fillId="0" borderId="0" xfId="12" applyFont="1" applyAlignment="1">
      <alignment horizontal="left"/>
    </xf>
    <xf numFmtId="0" fontId="36" fillId="2" borderId="0" xfId="14" applyFont="1" applyFill="1" applyAlignment="1">
      <alignment horizontal="left" vertical="center" wrapText="1"/>
    </xf>
    <xf numFmtId="0" fontId="36" fillId="2" borderId="0" xfId="28" applyFont="1" applyFill="1" applyAlignment="1">
      <alignment horizontal="left" vertical="top" wrapText="1"/>
    </xf>
    <xf numFmtId="0" fontId="17" fillId="2" borderId="0" xfId="14" applyFont="1" applyFill="1" applyAlignment="1">
      <alignment horizontal="left" vertical="top" wrapText="1"/>
    </xf>
    <xf numFmtId="0" fontId="17" fillId="2" borderId="0" xfId="24" applyFont="1" applyFill="1" applyAlignment="1">
      <alignment horizontal="left" vertical="center" wrapText="1"/>
    </xf>
    <xf numFmtId="0" fontId="17" fillId="2" borderId="0" xfId="14" applyFont="1" applyFill="1" applyAlignment="1">
      <alignment horizontal="left" vertical="top" wrapText="1"/>
    </xf>
    <xf numFmtId="0" fontId="17" fillId="2" borderId="0" xfId="24" applyFont="1" applyFill="1" applyAlignment="1">
      <alignment horizontal="left" vertical="center" wrapText="1"/>
    </xf>
    <xf numFmtId="0" fontId="36" fillId="2" borderId="0" xfId="28" applyFont="1" applyFill="1" applyAlignment="1">
      <alignment horizontal="left" vertical="top" wrapText="1"/>
    </xf>
    <xf numFmtId="3" fontId="26" fillId="2" borderId="18" xfId="14" quotePrefix="1" applyNumberFormat="1" applyFont="1" applyFill="1" applyBorder="1" applyAlignment="1">
      <alignment horizontal="center" vertical="center"/>
    </xf>
    <xf numFmtId="0" fontId="8" fillId="0" borderId="5" xfId="2" applyFont="1" applyFill="1" applyBorder="1" applyAlignment="1">
      <alignment horizontal="left" vertical="center"/>
    </xf>
    <xf numFmtId="0" fontId="5" fillId="0" borderId="6" xfId="2" applyFont="1" applyFill="1" applyBorder="1" applyAlignment="1">
      <alignment horizontal="left" vertical="center"/>
    </xf>
    <xf numFmtId="0" fontId="5" fillId="0" borderId="6" xfId="4" applyFont="1" applyFill="1" applyBorder="1" applyAlignment="1">
      <alignment vertical="center"/>
    </xf>
    <xf numFmtId="0" fontId="5" fillId="0" borderId="43" xfId="4" applyFont="1" applyFill="1" applyBorder="1" applyAlignment="1">
      <alignment vertical="center"/>
    </xf>
    <xf numFmtId="0" fontId="4" fillId="2" borderId="0" xfId="12" applyFont="1" applyFill="1" applyAlignment="1">
      <alignment vertical="center"/>
    </xf>
    <xf numFmtId="0" fontId="26" fillId="2" borderId="0" xfId="12" applyFont="1" applyFill="1"/>
    <xf numFmtId="0" fontId="11" fillId="2" borderId="0" xfId="12" applyFont="1" applyFill="1"/>
    <xf numFmtId="0" fontId="5" fillId="2" borderId="0" xfId="12" applyFont="1" applyFill="1"/>
    <xf numFmtId="0" fontId="8" fillId="3" borderId="29" xfId="12" applyFont="1" applyFill="1" applyBorder="1" applyAlignment="1">
      <alignment horizontal="center" vertical="center"/>
    </xf>
    <xf numFmtId="0" fontId="8" fillId="3" borderId="10" xfId="12" applyFont="1" applyFill="1" applyBorder="1" applyAlignment="1">
      <alignment horizontal="center" vertical="center"/>
    </xf>
    <xf numFmtId="0" fontId="8" fillId="3" borderId="30" xfId="12" applyFont="1" applyFill="1" applyBorder="1" applyAlignment="1">
      <alignment horizontal="center" vertical="center"/>
    </xf>
    <xf numFmtId="0" fontId="8" fillId="3" borderId="11" xfId="12" applyFont="1" applyFill="1" applyBorder="1" applyAlignment="1">
      <alignment horizontal="center" vertical="center"/>
    </xf>
    <xf numFmtId="0" fontId="8" fillId="3" borderId="26" xfId="12" applyFont="1" applyFill="1" applyBorder="1" applyAlignment="1">
      <alignment horizontal="right" vertical="center" wrapText="1"/>
    </xf>
    <xf numFmtId="167" fontId="11" fillId="2" borderId="31" xfId="12" applyNumberFormat="1" applyFont="1" applyFill="1" applyBorder="1" applyAlignment="1">
      <alignment horizontal="center" vertical="center"/>
    </xf>
    <xf numFmtId="167" fontId="11" fillId="2" borderId="32" xfId="12" applyNumberFormat="1" applyFont="1" applyFill="1" applyBorder="1" applyAlignment="1">
      <alignment horizontal="center" vertical="center"/>
    </xf>
    <xf numFmtId="167" fontId="11" fillId="2" borderId="79" xfId="12" applyNumberFormat="1" applyFont="1" applyFill="1" applyBorder="1" applyAlignment="1">
      <alignment horizontal="center" vertical="center"/>
    </xf>
    <xf numFmtId="167" fontId="11" fillId="2" borderId="0" xfId="12" applyNumberFormat="1" applyFont="1" applyFill="1" applyAlignment="1">
      <alignment horizontal="center" vertical="center"/>
    </xf>
    <xf numFmtId="167" fontId="11" fillId="2" borderId="14" xfId="12" applyNumberFormat="1" applyFont="1" applyFill="1" applyBorder="1" applyAlignment="1">
      <alignment horizontal="center" vertical="center"/>
    </xf>
    <xf numFmtId="0" fontId="8" fillId="3" borderId="24" xfId="12" applyFont="1" applyFill="1" applyBorder="1" applyAlignment="1">
      <alignment horizontal="right" vertical="center"/>
    </xf>
    <xf numFmtId="167" fontId="26" fillId="2" borderId="33" xfId="12" applyNumberFormat="1" applyFont="1" applyFill="1" applyBorder="1" applyAlignment="1">
      <alignment horizontal="center" vertical="center"/>
    </xf>
    <xf numFmtId="167" fontId="11" fillId="2" borderId="25" xfId="12" applyNumberFormat="1" applyFont="1" applyFill="1" applyBorder="1" applyAlignment="1">
      <alignment horizontal="center" vertical="center"/>
    </xf>
    <xf numFmtId="167" fontId="11" fillId="2" borderId="33" xfId="12" applyNumberFormat="1" applyFont="1" applyFill="1" applyBorder="1" applyAlignment="1">
      <alignment horizontal="center" vertical="center"/>
    </xf>
    <xf numFmtId="0" fontId="8" fillId="3" borderId="80" xfId="12" applyFont="1" applyFill="1" applyBorder="1" applyAlignment="1">
      <alignment horizontal="right" vertical="center"/>
    </xf>
    <xf numFmtId="167" fontId="26" fillId="2" borderId="81" xfId="12" applyNumberFormat="1" applyFont="1" applyFill="1" applyBorder="1" applyAlignment="1">
      <alignment horizontal="center" vertical="center"/>
    </xf>
    <xf numFmtId="167" fontId="11" fillId="2" borderId="82" xfId="12" applyNumberFormat="1" applyFont="1" applyFill="1" applyBorder="1" applyAlignment="1">
      <alignment horizontal="center" vertical="center"/>
    </xf>
    <xf numFmtId="167" fontId="11" fillId="2" borderId="83" xfId="12" applyNumberFormat="1" applyFont="1" applyFill="1" applyBorder="1" applyAlignment="1">
      <alignment horizontal="center" vertical="center"/>
    </xf>
    <xf numFmtId="167" fontId="11" fillId="2" borderId="81" xfId="12" applyNumberFormat="1" applyFont="1" applyFill="1" applyBorder="1" applyAlignment="1">
      <alignment horizontal="center" vertical="center"/>
    </xf>
    <xf numFmtId="167" fontId="11" fillId="2" borderId="84" xfId="12" applyNumberFormat="1" applyFont="1" applyFill="1" applyBorder="1" applyAlignment="1">
      <alignment horizontal="center" vertical="center"/>
    </xf>
    <xf numFmtId="0" fontId="8" fillId="3" borderId="24" xfId="12" applyFont="1" applyFill="1" applyBorder="1" applyAlignment="1">
      <alignment horizontal="right" vertical="center" wrapText="1"/>
    </xf>
    <xf numFmtId="167" fontId="26" fillId="2" borderId="85" xfId="12" applyNumberFormat="1" applyFont="1" applyFill="1" applyBorder="1" applyAlignment="1">
      <alignment horizontal="center" vertical="center"/>
    </xf>
    <xf numFmtId="167" fontId="11" fillId="2" borderId="86" xfId="12" applyNumberFormat="1" applyFont="1" applyFill="1" applyBorder="1" applyAlignment="1">
      <alignment horizontal="center" vertical="center"/>
    </xf>
    <xf numFmtId="167" fontId="11" fillId="2" borderId="87" xfId="12" applyNumberFormat="1" applyFont="1" applyFill="1" applyBorder="1" applyAlignment="1">
      <alignment horizontal="center" vertical="center"/>
    </xf>
    <xf numFmtId="167" fontId="11" fillId="2" borderId="88" xfId="12" applyNumberFormat="1" applyFont="1" applyFill="1" applyBorder="1" applyAlignment="1">
      <alignment horizontal="center" vertical="center"/>
    </xf>
    <xf numFmtId="17" fontId="8" fillId="3" borderId="24" xfId="12" applyNumberFormat="1" applyFont="1" applyFill="1" applyBorder="1" applyAlignment="1">
      <alignment horizontal="left"/>
    </xf>
    <xf numFmtId="17" fontId="8" fillId="3" borderId="24" xfId="12" applyNumberFormat="1" applyFont="1" applyFill="1" applyBorder="1" applyAlignment="1">
      <alignment horizontal="right"/>
    </xf>
    <xf numFmtId="167" fontId="11" fillId="2" borderId="0" xfId="12" applyNumberFormat="1" applyFont="1" applyFill="1"/>
    <xf numFmtId="0" fontId="11" fillId="2" borderId="89" xfId="12" applyFont="1" applyFill="1" applyBorder="1"/>
    <xf numFmtId="167" fontId="11" fillId="2" borderId="0" xfId="12" applyNumberFormat="1" applyFont="1" applyFill="1" applyBorder="1" applyAlignment="1">
      <alignment horizontal="center" vertical="center"/>
    </xf>
    <xf numFmtId="17" fontId="8" fillId="3" borderId="80" xfId="12" applyNumberFormat="1" applyFont="1" applyFill="1" applyBorder="1" applyAlignment="1">
      <alignment horizontal="right"/>
    </xf>
    <xf numFmtId="167" fontId="26" fillId="2" borderId="88" xfId="12" applyNumberFormat="1" applyFont="1" applyFill="1" applyBorder="1" applyAlignment="1">
      <alignment horizontal="center" vertical="center"/>
    </xf>
    <xf numFmtId="167" fontId="11" fillId="2" borderId="91" xfId="12" applyNumberFormat="1" applyFont="1" applyFill="1" applyBorder="1" applyAlignment="1">
      <alignment horizontal="center" vertical="center"/>
    </xf>
    <xf numFmtId="167" fontId="11" fillId="0" borderId="0" xfId="12" applyNumberFormat="1" applyFont="1" applyFill="1" applyBorder="1" applyAlignment="1">
      <alignment horizontal="center" vertical="center"/>
    </xf>
    <xf numFmtId="167" fontId="11" fillId="0" borderId="14" xfId="12" applyNumberFormat="1" applyFont="1" applyFill="1" applyBorder="1" applyAlignment="1">
      <alignment horizontal="center" vertical="center"/>
    </xf>
    <xf numFmtId="17" fontId="8" fillId="3" borderId="27" xfId="12" applyNumberFormat="1" applyFont="1" applyFill="1" applyBorder="1" applyAlignment="1">
      <alignment horizontal="right"/>
    </xf>
    <xf numFmtId="167" fontId="26" fillId="0" borderId="34" xfId="12" applyNumberFormat="1" applyFont="1" applyFill="1" applyBorder="1" applyAlignment="1">
      <alignment horizontal="center" vertical="center"/>
    </xf>
    <xf numFmtId="167" fontId="11" fillId="0" borderId="20" xfId="12" applyNumberFormat="1" applyFont="1" applyFill="1" applyBorder="1" applyAlignment="1">
      <alignment horizontal="center" vertical="center"/>
    </xf>
    <xf numFmtId="167" fontId="11" fillId="0" borderId="21" xfId="12" applyNumberFormat="1" applyFont="1" applyFill="1" applyBorder="1" applyAlignment="1">
      <alignment horizontal="center" vertical="center"/>
    </xf>
    <xf numFmtId="0" fontId="17" fillId="2" borderId="0" xfId="12" applyFont="1" applyFill="1"/>
    <xf numFmtId="0" fontId="24" fillId="2" borderId="0" xfId="12" applyFont="1" applyFill="1"/>
    <xf numFmtId="177" fontId="11" fillId="2" borderId="0" xfId="1" applyNumberFormat="1" applyFont="1" applyFill="1" applyAlignment="1">
      <alignment horizontal="center" vertical="center"/>
    </xf>
    <xf numFmtId="2" fontId="11" fillId="2" borderId="0" xfId="12" applyNumberFormat="1" applyFont="1" applyFill="1"/>
    <xf numFmtId="0" fontId="77" fillId="2" borderId="0" xfId="12" applyFont="1" applyFill="1" applyAlignment="1">
      <alignment vertical="center"/>
    </xf>
    <xf numFmtId="0" fontId="77" fillId="2" borderId="0" xfId="12" applyFont="1" applyFill="1"/>
    <xf numFmtId="0" fontId="17" fillId="2" borderId="0" xfId="12" applyFont="1" applyFill="1" applyAlignment="1">
      <alignment horizontal="right"/>
    </xf>
    <xf numFmtId="0" fontId="5" fillId="3" borderId="39" xfId="12" applyFont="1" applyFill="1" applyBorder="1" applyAlignment="1">
      <alignment horizontal="center" vertical="center"/>
    </xf>
    <xf numFmtId="0" fontId="8" fillId="3" borderId="37" xfId="12" applyFont="1" applyFill="1" applyBorder="1" applyAlignment="1">
      <alignment horizontal="center" vertical="center"/>
    </xf>
    <xf numFmtId="0" fontId="8" fillId="3" borderId="37" xfId="12" applyFont="1" applyFill="1" applyBorder="1" applyAlignment="1">
      <alignment horizontal="center" vertical="center" wrapText="1"/>
    </xf>
    <xf numFmtId="0" fontId="8" fillId="3" borderId="39" xfId="12" applyFont="1" applyFill="1" applyBorder="1" applyAlignment="1">
      <alignment horizontal="center" vertical="center" wrapText="1"/>
    </xf>
    <xf numFmtId="0" fontId="8" fillId="3" borderId="39" xfId="12" quotePrefix="1" applyFont="1" applyFill="1" applyBorder="1" applyAlignment="1">
      <alignment horizontal="center" vertical="center"/>
    </xf>
    <xf numFmtId="0" fontId="8" fillId="3" borderId="12" xfId="12" applyFont="1" applyFill="1" applyBorder="1" applyAlignment="1">
      <alignment horizontal="center" vertical="center" wrapText="1"/>
    </xf>
    <xf numFmtId="0" fontId="8" fillId="3" borderId="26" xfId="12" applyFont="1" applyFill="1" applyBorder="1" applyAlignment="1">
      <alignment horizontal="right" vertical="center" indent="1"/>
    </xf>
    <xf numFmtId="164" fontId="26" fillId="2" borderId="36" xfId="3" applyNumberFormat="1" applyFont="1" applyFill="1" applyBorder="1" applyAlignment="1">
      <alignment horizontal="center" vertical="center"/>
    </xf>
    <xf numFmtId="164" fontId="11" fillId="2" borderId="36" xfId="3" applyNumberFormat="1" applyFont="1" applyFill="1" applyBorder="1" applyAlignment="1">
      <alignment horizontal="center" vertical="center"/>
    </xf>
    <xf numFmtId="164" fontId="11" fillId="2" borderId="38" xfId="3" applyNumberFormat="1" applyFont="1" applyFill="1" applyBorder="1" applyAlignment="1">
      <alignment horizontal="center" vertical="center"/>
    </xf>
    <xf numFmtId="0" fontId="78" fillId="2" borderId="0" xfId="12" applyFont="1" applyFill="1"/>
    <xf numFmtId="0" fontId="8" fillId="3" borderId="24" xfId="12" applyFont="1" applyFill="1" applyBorder="1" applyAlignment="1">
      <alignment horizontal="right" vertical="center" indent="1"/>
    </xf>
    <xf numFmtId="164" fontId="26" fillId="2" borderId="4" xfId="3" applyNumberFormat="1" applyFont="1" applyFill="1" applyBorder="1" applyAlignment="1">
      <alignment horizontal="center" vertical="center"/>
    </xf>
    <xf numFmtId="164" fontId="11" fillId="2" borderId="4" xfId="3" applyNumberFormat="1" applyFont="1" applyFill="1" applyBorder="1" applyAlignment="1">
      <alignment horizontal="center" vertical="center"/>
    </xf>
    <xf numFmtId="164" fontId="11" fillId="2" borderId="41" xfId="3" applyNumberFormat="1" applyFont="1" applyFill="1" applyBorder="1" applyAlignment="1">
      <alignment horizontal="center" vertical="center"/>
    </xf>
    <xf numFmtId="0" fontId="8" fillId="3" borderId="24" xfId="12" quotePrefix="1" applyFont="1" applyFill="1" applyBorder="1" applyAlignment="1">
      <alignment horizontal="right" vertical="center" indent="1"/>
    </xf>
    <xf numFmtId="164" fontId="11" fillId="2" borderId="4" xfId="3" quotePrefix="1" applyNumberFormat="1" applyFont="1" applyFill="1" applyBorder="1" applyAlignment="1">
      <alignment horizontal="center" vertical="center"/>
    </xf>
    <xf numFmtId="0" fontId="8" fillId="3" borderId="23" xfId="12" quotePrefix="1" applyFont="1" applyFill="1" applyBorder="1" applyAlignment="1">
      <alignment horizontal="right" vertical="center" indent="1"/>
    </xf>
    <xf numFmtId="164" fontId="26" fillId="2" borderId="37" xfId="3" applyNumberFormat="1" applyFont="1" applyFill="1" applyBorder="1" applyAlignment="1">
      <alignment horizontal="center" vertical="center"/>
    </xf>
    <xf numFmtId="164" fontId="11" fillId="2" borderId="37" xfId="3" applyNumberFormat="1" applyFont="1" applyFill="1" applyBorder="1" applyAlignment="1">
      <alignment horizontal="center" vertical="center"/>
    </xf>
    <xf numFmtId="164" fontId="11" fillId="2" borderId="37" xfId="3" quotePrefix="1" applyNumberFormat="1" applyFont="1" applyFill="1" applyBorder="1" applyAlignment="1">
      <alignment horizontal="center" vertical="center"/>
    </xf>
    <xf numFmtId="164" fontId="11" fillId="2" borderId="40" xfId="3" applyNumberFormat="1" applyFont="1" applyFill="1" applyBorder="1" applyAlignment="1">
      <alignment horizontal="center" vertical="center"/>
    </xf>
    <xf numFmtId="0" fontId="8" fillId="3" borderId="24" xfId="12" applyFont="1" applyFill="1" applyBorder="1" applyAlignment="1">
      <alignment horizontal="right"/>
    </xf>
    <xf numFmtId="164" fontId="11" fillId="2" borderId="4" xfId="3" applyNumberFormat="1" applyFont="1" applyFill="1" applyBorder="1" applyAlignment="1">
      <alignment horizontal="center"/>
    </xf>
    <xf numFmtId="164" fontId="11" fillId="2" borderId="37" xfId="3" applyNumberFormat="1" applyFont="1" applyFill="1" applyBorder="1" applyAlignment="1">
      <alignment horizontal="center"/>
    </xf>
    <xf numFmtId="17" fontId="8" fillId="3" borderId="97" xfId="12" applyNumberFormat="1" applyFont="1" applyFill="1" applyBorder="1" applyAlignment="1">
      <alignment horizontal="right" indent="1"/>
    </xf>
    <xf numFmtId="17" fontId="8" fillId="3" borderId="3" xfId="12" applyNumberFormat="1" applyFont="1" applyFill="1" applyBorder="1" applyAlignment="1">
      <alignment horizontal="right"/>
    </xf>
    <xf numFmtId="167" fontId="26" fillId="2" borderId="36" xfId="12" applyNumberFormat="1" applyFont="1" applyFill="1" applyBorder="1" applyAlignment="1">
      <alignment horizontal="center" vertical="center"/>
    </xf>
    <xf numFmtId="167" fontId="11" fillId="2" borderId="36" xfId="12" applyNumberFormat="1" applyFont="1" applyFill="1" applyBorder="1" applyAlignment="1">
      <alignment horizontal="center" vertical="center"/>
    </xf>
    <xf numFmtId="167" fontId="11" fillId="2" borderId="38" xfId="12" applyNumberFormat="1" applyFont="1" applyFill="1" applyBorder="1" applyAlignment="1">
      <alignment horizontal="center" vertical="center"/>
    </xf>
    <xf numFmtId="0" fontId="8" fillId="3" borderId="3" xfId="12" applyFont="1" applyFill="1" applyBorder="1" applyAlignment="1">
      <alignment horizontal="right"/>
    </xf>
    <xf numFmtId="167" fontId="26" fillId="2" borderId="4" xfId="12" applyNumberFormat="1" applyFont="1" applyFill="1" applyBorder="1" applyAlignment="1">
      <alignment horizontal="center" vertical="center"/>
    </xf>
    <xf numFmtId="167" fontId="11" fillId="2" borderId="4" xfId="12" applyNumberFormat="1" applyFont="1" applyFill="1" applyBorder="1" applyAlignment="1">
      <alignment horizontal="center" vertical="center"/>
    </xf>
    <xf numFmtId="167" fontId="11" fillId="2" borderId="41" xfId="12" applyNumberFormat="1" applyFont="1" applyFill="1" applyBorder="1" applyAlignment="1">
      <alignment horizontal="center" vertical="center"/>
    </xf>
    <xf numFmtId="167" fontId="26" fillId="2" borderId="4" xfId="3" applyNumberFormat="1" applyFont="1" applyFill="1" applyBorder="1" applyAlignment="1">
      <alignment horizontal="center" vertical="center"/>
    </xf>
    <xf numFmtId="167" fontId="11" fillId="2" borderId="4" xfId="3" applyNumberFormat="1" applyFont="1" applyFill="1" applyBorder="1" applyAlignment="1">
      <alignment horizontal="center" vertical="center"/>
    </xf>
    <xf numFmtId="167" fontId="11" fillId="2" borderId="4" xfId="3" applyNumberFormat="1" applyFont="1" applyFill="1" applyBorder="1" applyAlignment="1">
      <alignment horizontal="center"/>
    </xf>
    <xf numFmtId="167" fontId="11" fillId="2" borderId="41" xfId="3" applyNumberFormat="1" applyFont="1" applyFill="1" applyBorder="1" applyAlignment="1">
      <alignment horizontal="center" vertical="center"/>
    </xf>
    <xf numFmtId="0" fontId="8" fillId="3" borderId="23" xfId="12" applyFont="1" applyFill="1" applyBorder="1" applyAlignment="1">
      <alignment horizontal="right"/>
    </xf>
    <xf numFmtId="167" fontId="26" fillId="2" borderId="37" xfId="3" applyNumberFormat="1" applyFont="1" applyFill="1" applyBorder="1" applyAlignment="1">
      <alignment horizontal="center" vertical="center"/>
    </xf>
    <xf numFmtId="167" fontId="11" fillId="2" borderId="37" xfId="3" applyNumberFormat="1" applyFont="1" applyFill="1" applyBorder="1" applyAlignment="1">
      <alignment horizontal="center" vertical="center"/>
    </xf>
    <xf numFmtId="167" fontId="11" fillId="2" borderId="37" xfId="3" applyNumberFormat="1" applyFont="1" applyFill="1" applyBorder="1" applyAlignment="1">
      <alignment horizontal="center"/>
    </xf>
    <xf numFmtId="167" fontId="11" fillId="2" borderId="40" xfId="3" applyNumberFormat="1" applyFont="1" applyFill="1" applyBorder="1" applyAlignment="1">
      <alignment horizontal="center" vertical="center"/>
    </xf>
    <xf numFmtId="0" fontId="2" fillId="2" borderId="0" xfId="12" applyFont="1" applyFill="1"/>
    <xf numFmtId="167" fontId="2" fillId="2" borderId="0" xfId="12" applyNumberFormat="1" applyFont="1" applyFill="1" applyAlignment="1">
      <alignment horizontal="center" vertical="center"/>
    </xf>
    <xf numFmtId="0" fontId="79" fillId="2" borderId="0" xfId="12" applyFont="1" applyFill="1"/>
    <xf numFmtId="0" fontId="28" fillId="2" borderId="0" xfId="12" applyFont="1" applyFill="1"/>
    <xf numFmtId="178" fontId="4" fillId="2" borderId="0" xfId="12" applyNumberFormat="1" applyFont="1" applyFill="1"/>
    <xf numFmtId="178" fontId="80" fillId="2" borderId="0" xfId="12" applyNumberFormat="1" applyFont="1" applyFill="1"/>
    <xf numFmtId="0" fontId="8" fillId="3" borderId="42" xfId="12" applyFont="1" applyFill="1" applyBorder="1"/>
    <xf numFmtId="0" fontId="8" fillId="3" borderId="39" xfId="12" applyFont="1" applyFill="1" applyBorder="1" applyAlignment="1">
      <alignment horizontal="center" vertical="center"/>
    </xf>
    <xf numFmtId="0" fontId="8" fillId="3" borderId="40" xfId="12" applyFont="1" applyFill="1" applyBorder="1" applyAlignment="1">
      <alignment horizontal="center" vertical="center" wrapText="1"/>
    </xf>
    <xf numFmtId="0" fontId="5" fillId="2" borderId="3" xfId="12" applyFont="1" applyFill="1" applyBorder="1" applyAlignment="1">
      <alignment horizontal="right" vertical="center"/>
    </xf>
    <xf numFmtId="164" fontId="19" fillId="2" borderId="4" xfId="3" applyNumberFormat="1" applyFont="1" applyFill="1" applyBorder="1" applyAlignment="1">
      <alignment horizontal="right" vertical="center"/>
    </xf>
    <xf numFmtId="164" fontId="19" fillId="2" borderId="0" xfId="3" applyNumberFormat="1" applyFont="1" applyFill="1" applyBorder="1" applyAlignment="1">
      <alignment horizontal="right" vertical="center"/>
    </xf>
    <xf numFmtId="164" fontId="19" fillId="2" borderId="100" xfId="3" applyNumberFormat="1" applyFont="1" applyFill="1" applyBorder="1" applyAlignment="1">
      <alignment horizontal="right" vertical="center"/>
    </xf>
    <xf numFmtId="0" fontId="8" fillId="3" borderId="3" xfId="12" applyFont="1" applyFill="1" applyBorder="1" applyAlignment="1">
      <alignment horizontal="right" vertical="center" indent="1"/>
    </xf>
    <xf numFmtId="164" fontId="26" fillId="2" borderId="4" xfId="3" applyNumberFormat="1" applyFont="1" applyFill="1" applyBorder="1" applyAlignment="1">
      <alignment horizontal="right" vertical="center"/>
    </xf>
    <xf numFmtId="164" fontId="26" fillId="2" borderId="37" xfId="3" applyNumberFormat="1" applyFont="1" applyFill="1" applyBorder="1" applyAlignment="1">
      <alignment horizontal="right" vertical="center"/>
    </xf>
    <xf numFmtId="17" fontId="8" fillId="3" borderId="9" xfId="12" applyNumberFormat="1" applyFont="1" applyFill="1" applyBorder="1" applyAlignment="1">
      <alignment horizontal="right"/>
    </xf>
    <xf numFmtId="0" fontId="26" fillId="3" borderId="39" xfId="12" applyFont="1" applyFill="1" applyBorder="1"/>
    <xf numFmtId="164" fontId="26" fillId="3" borderId="103" xfId="3" applyNumberFormat="1" applyFont="1" applyFill="1" applyBorder="1" applyAlignment="1">
      <alignment horizontal="center"/>
    </xf>
    <xf numFmtId="17" fontId="8" fillId="3" borderId="13" xfId="12" applyNumberFormat="1" applyFont="1" applyFill="1" applyBorder="1" applyAlignment="1">
      <alignment horizontal="right"/>
    </xf>
    <xf numFmtId="167" fontId="26" fillId="2" borderId="36" xfId="12" applyNumberFormat="1" applyFont="1" applyFill="1" applyBorder="1" applyAlignment="1">
      <alignment horizontal="right" vertical="center" indent="1"/>
    </xf>
    <xf numFmtId="167" fontId="26" fillId="2" borderId="4" xfId="12" applyNumberFormat="1" applyFont="1" applyFill="1" applyBorder="1" applyAlignment="1">
      <alignment horizontal="right" vertical="center" indent="1"/>
    </xf>
    <xf numFmtId="0" fontId="8" fillId="3" borderId="13" xfId="12" applyFont="1" applyFill="1" applyBorder="1" applyAlignment="1">
      <alignment horizontal="right"/>
    </xf>
    <xf numFmtId="0" fontId="8" fillId="3" borderId="27" xfId="12" applyFont="1" applyFill="1" applyBorder="1" applyAlignment="1">
      <alignment horizontal="right"/>
    </xf>
    <xf numFmtId="167" fontId="26" fillId="2" borderId="6" xfId="12" applyNumberFormat="1" applyFont="1" applyFill="1" applyBorder="1" applyAlignment="1">
      <alignment horizontal="right" vertical="center" indent="1"/>
    </xf>
    <xf numFmtId="167" fontId="11" fillId="2" borderId="6" xfId="3" applyNumberFormat="1" applyFont="1" applyFill="1" applyBorder="1" applyAlignment="1">
      <alignment horizontal="center" vertical="center"/>
    </xf>
    <xf numFmtId="167" fontId="11" fillId="2" borderId="43" xfId="3" applyNumberFormat="1" applyFont="1" applyFill="1" applyBorder="1" applyAlignment="1">
      <alignment horizontal="center" vertical="center"/>
    </xf>
    <xf numFmtId="0" fontId="30" fillId="2" borderId="0" xfId="12" applyFont="1" applyFill="1"/>
    <xf numFmtId="0" fontId="83" fillId="2" borderId="0" xfId="12" applyFont="1" applyFill="1"/>
    <xf numFmtId="0" fontId="8" fillId="3" borderId="29" xfId="12" applyFont="1" applyFill="1" applyBorder="1" applyAlignment="1">
      <alignment horizontal="center" wrapText="1"/>
    </xf>
    <xf numFmtId="0" fontId="8" fillId="3" borderId="44" xfId="12" applyFont="1" applyFill="1" applyBorder="1" applyAlignment="1">
      <alignment horizontal="center" wrapText="1"/>
    </xf>
    <xf numFmtId="0" fontId="8" fillId="3" borderId="12" xfId="12" applyFont="1" applyFill="1" applyBorder="1" applyAlignment="1">
      <alignment horizontal="center" wrapText="1"/>
    </xf>
    <xf numFmtId="0" fontId="8" fillId="3" borderId="15" xfId="12" applyFont="1" applyFill="1" applyBorder="1" applyAlignment="1">
      <alignment horizontal="center" wrapText="1"/>
    </xf>
    <xf numFmtId="3" fontId="11" fillId="2" borderId="31" xfId="3" applyNumberFormat="1" applyFont="1" applyFill="1" applyBorder="1" applyAlignment="1">
      <alignment horizontal="center" vertical="center"/>
    </xf>
    <xf numFmtId="3" fontId="11" fillId="2" borderId="36" xfId="3" applyNumberFormat="1" applyFont="1" applyFill="1" applyBorder="1" applyAlignment="1">
      <alignment horizontal="center" vertical="center"/>
    </xf>
    <xf numFmtId="173" fontId="11" fillId="2" borderId="36" xfId="3" applyNumberFormat="1" applyFont="1" applyFill="1" applyBorder="1" applyAlignment="1">
      <alignment horizontal="center" vertical="center"/>
    </xf>
    <xf numFmtId="173" fontId="11" fillId="2" borderId="31" xfId="3" applyNumberFormat="1" applyFont="1" applyFill="1" applyBorder="1" applyAlignment="1">
      <alignment horizontal="center" vertical="center"/>
    </xf>
    <xf numFmtId="3" fontId="11" fillId="2" borderId="33" xfId="3" applyNumberFormat="1" applyFont="1" applyFill="1" applyBorder="1" applyAlignment="1">
      <alignment horizontal="center" vertical="center"/>
    </xf>
    <xf numFmtId="173" fontId="11" fillId="2" borderId="16" xfId="3" applyNumberFormat="1" applyFont="1" applyFill="1" applyBorder="1" applyAlignment="1">
      <alignment horizontal="center" vertical="center"/>
    </xf>
    <xf numFmtId="164" fontId="19" fillId="2" borderId="0" xfId="12" applyNumberFormat="1" applyFont="1" applyFill="1"/>
    <xf numFmtId="0" fontId="19" fillId="2" borderId="0" xfId="12" applyFont="1" applyFill="1"/>
    <xf numFmtId="3" fontId="11" fillId="2" borderId="4" xfId="3" applyNumberFormat="1" applyFont="1" applyFill="1" applyBorder="1" applyAlignment="1">
      <alignment horizontal="center" vertical="center"/>
    </xf>
    <xf numFmtId="173" fontId="11" fillId="2" borderId="4" xfId="3" applyNumberFormat="1" applyFont="1" applyFill="1" applyBorder="1" applyAlignment="1">
      <alignment horizontal="center" vertical="center"/>
    </xf>
    <xf numFmtId="173" fontId="11" fillId="2" borderId="33" xfId="3" applyNumberFormat="1" applyFont="1" applyFill="1" applyBorder="1" applyAlignment="1">
      <alignment horizontal="center" vertical="center"/>
    </xf>
    <xf numFmtId="173" fontId="11" fillId="2" borderId="14" xfId="3" applyNumberFormat="1" applyFont="1" applyFill="1" applyBorder="1" applyAlignment="1">
      <alignment horizontal="center" vertical="center"/>
    </xf>
    <xf numFmtId="164" fontId="19" fillId="0" borderId="0" xfId="12" applyNumberFormat="1" applyFont="1"/>
    <xf numFmtId="0" fontId="19" fillId="0" borderId="0" xfId="12" applyFont="1"/>
    <xf numFmtId="3" fontId="11" fillId="2" borderId="31" xfId="12" applyNumberFormat="1" applyFont="1" applyFill="1" applyBorder="1" applyAlignment="1">
      <alignment horizontal="center" vertical="center"/>
    </xf>
    <xf numFmtId="3" fontId="11" fillId="2" borderId="36" xfId="12" applyNumberFormat="1" applyFont="1" applyFill="1" applyBorder="1" applyAlignment="1">
      <alignment horizontal="center" vertical="center"/>
    </xf>
    <xf numFmtId="3" fontId="11" fillId="2" borderId="33" xfId="12" applyNumberFormat="1" applyFont="1" applyFill="1" applyBorder="1" applyAlignment="1">
      <alignment horizontal="center"/>
    </xf>
    <xf numFmtId="3" fontId="11" fillId="2" borderId="4" xfId="12" applyNumberFormat="1" applyFont="1" applyFill="1" applyBorder="1" applyAlignment="1">
      <alignment horizontal="center"/>
    </xf>
    <xf numFmtId="3" fontId="11" fillId="2" borderId="33" xfId="12" applyNumberFormat="1" applyFont="1" applyFill="1" applyBorder="1" applyAlignment="1">
      <alignment horizontal="center" vertical="center"/>
    </xf>
    <xf numFmtId="3" fontId="11" fillId="2" borderId="4" xfId="12" applyNumberFormat="1" applyFont="1" applyFill="1" applyBorder="1" applyAlignment="1">
      <alignment horizontal="center" vertical="center"/>
    </xf>
    <xf numFmtId="179" fontId="11" fillId="2" borderId="4" xfId="3" applyNumberFormat="1" applyFont="1" applyFill="1" applyBorder="1" applyAlignment="1">
      <alignment horizontal="center" vertical="center"/>
    </xf>
    <xf numFmtId="3" fontId="11" fillId="2" borderId="44" xfId="12" applyNumberFormat="1" applyFont="1" applyFill="1" applyBorder="1" applyAlignment="1">
      <alignment horizontal="center" vertical="center"/>
    </xf>
    <xf numFmtId="3" fontId="11" fillId="2" borderId="37" xfId="12" applyNumberFormat="1" applyFont="1" applyFill="1" applyBorder="1" applyAlignment="1">
      <alignment horizontal="center" vertical="center"/>
    </xf>
    <xf numFmtId="179" fontId="11" fillId="2" borderId="37" xfId="3" applyNumberFormat="1" applyFont="1" applyFill="1" applyBorder="1" applyAlignment="1">
      <alignment horizontal="center" vertical="center"/>
    </xf>
    <xf numFmtId="3" fontId="11" fillId="2" borderId="37" xfId="3" applyNumberFormat="1" applyFont="1" applyFill="1" applyBorder="1" applyAlignment="1">
      <alignment horizontal="center" vertical="center"/>
    </xf>
    <xf numFmtId="173" fontId="11" fillId="2" borderId="44" xfId="3" applyNumberFormat="1" applyFont="1" applyFill="1" applyBorder="1" applyAlignment="1">
      <alignment horizontal="center" vertical="center"/>
    </xf>
    <xf numFmtId="3" fontId="11" fillId="2" borderId="44" xfId="12" applyNumberFormat="1" applyFont="1" applyFill="1" applyBorder="1" applyAlignment="1">
      <alignment horizontal="center"/>
    </xf>
    <xf numFmtId="3" fontId="11" fillId="2" borderId="37" xfId="12" applyNumberFormat="1" applyFont="1" applyFill="1" applyBorder="1" applyAlignment="1">
      <alignment horizontal="center"/>
    </xf>
    <xf numFmtId="173" fontId="11" fillId="2" borderId="15" xfId="3" applyNumberFormat="1" applyFont="1" applyFill="1" applyBorder="1" applyAlignment="1">
      <alignment horizontal="center" vertical="center"/>
    </xf>
    <xf numFmtId="3" fontId="11" fillId="2" borderId="44" xfId="3" applyNumberFormat="1" applyFont="1" applyFill="1" applyBorder="1" applyAlignment="1">
      <alignment horizontal="center" vertical="center"/>
    </xf>
    <xf numFmtId="3" fontId="19" fillId="2" borderId="0" xfId="12" applyNumberFormat="1" applyFont="1" applyFill="1"/>
    <xf numFmtId="173" fontId="11" fillId="0" borderId="37" xfId="3" applyNumberFormat="1" applyFont="1" applyFill="1" applyBorder="1" applyAlignment="1">
      <alignment horizontal="center" vertical="center"/>
    </xf>
    <xf numFmtId="3" fontId="11" fillId="0" borderId="37" xfId="3" applyNumberFormat="1" applyFont="1" applyFill="1" applyBorder="1" applyAlignment="1">
      <alignment horizontal="center" vertical="center"/>
    </xf>
    <xf numFmtId="3" fontId="11" fillId="0" borderId="44" xfId="3" applyNumberFormat="1" applyFont="1" applyFill="1" applyBorder="1" applyAlignment="1">
      <alignment horizontal="center" vertical="center"/>
    </xf>
    <xf numFmtId="173" fontId="11" fillId="0" borderId="44" xfId="3" applyNumberFormat="1" applyFont="1" applyFill="1" applyBorder="1" applyAlignment="1">
      <alignment horizontal="center" vertical="center"/>
    </xf>
    <xf numFmtId="173" fontId="11" fillId="0" borderId="15" xfId="3" applyNumberFormat="1" applyFont="1" applyFill="1" applyBorder="1" applyAlignment="1">
      <alignment horizontal="center" vertical="center"/>
    </xf>
    <xf numFmtId="0" fontId="8" fillId="3" borderId="115" xfId="12" applyFont="1" applyFill="1" applyBorder="1" applyAlignment="1">
      <alignment horizontal="right"/>
    </xf>
    <xf numFmtId="180" fontId="19" fillId="2" borderId="0" xfId="12" applyNumberFormat="1" applyFont="1" applyFill="1"/>
    <xf numFmtId="3" fontId="11" fillId="2" borderId="32" xfId="3" applyNumberFormat="1" applyFont="1" applyFill="1" applyBorder="1" applyAlignment="1">
      <alignment horizontal="center" vertical="center"/>
    </xf>
    <xf numFmtId="179" fontId="11" fillId="2" borderId="36" xfId="3" applyNumberFormat="1" applyFont="1" applyFill="1" applyBorder="1" applyAlignment="1">
      <alignment horizontal="center" vertical="center"/>
    </xf>
    <xf numFmtId="3" fontId="11" fillId="2" borderId="25" xfId="3" applyNumberFormat="1" applyFont="1" applyFill="1" applyBorder="1" applyAlignment="1">
      <alignment horizontal="center" vertical="center"/>
    </xf>
    <xf numFmtId="3" fontId="11" fillId="2" borderId="45" xfId="3" applyNumberFormat="1" applyFont="1" applyFill="1" applyBorder="1" applyAlignment="1">
      <alignment horizontal="center" vertical="center"/>
    </xf>
    <xf numFmtId="173" fontId="11" fillId="2" borderId="38" xfId="3" applyNumberFormat="1" applyFont="1" applyFill="1" applyBorder="1" applyAlignment="1">
      <alignment horizontal="center" vertical="center"/>
    </xf>
    <xf numFmtId="173" fontId="11" fillId="2" borderId="41" xfId="3" applyNumberFormat="1" applyFont="1" applyFill="1" applyBorder="1" applyAlignment="1">
      <alignment horizontal="center" vertical="center"/>
    </xf>
    <xf numFmtId="166" fontId="11" fillId="2" borderId="37" xfId="3" applyNumberFormat="1" applyFont="1" applyFill="1" applyBorder="1" applyAlignment="1">
      <alignment horizontal="center" vertical="center"/>
    </xf>
    <xf numFmtId="166" fontId="11" fillId="2" borderId="40" xfId="3" applyNumberFormat="1" applyFont="1" applyFill="1" applyBorder="1" applyAlignment="1">
      <alignment horizontal="center" vertical="center"/>
    </xf>
    <xf numFmtId="0" fontId="8" fillId="3" borderId="26" xfId="12" applyFont="1" applyFill="1" applyBorder="1" applyAlignment="1">
      <alignment horizontal="right"/>
    </xf>
    <xf numFmtId="167" fontId="19" fillId="2" borderId="0" xfId="12" applyNumberFormat="1" applyFont="1" applyFill="1"/>
    <xf numFmtId="179" fontId="11" fillId="2" borderId="41" xfId="3" applyNumberFormat="1" applyFont="1" applyFill="1" applyBorder="1" applyAlignment="1">
      <alignment horizontal="center" vertical="center"/>
    </xf>
    <xf numFmtId="3" fontId="11" fillId="2" borderId="34" xfId="3" applyNumberFormat="1" applyFont="1" applyFill="1" applyBorder="1" applyAlignment="1">
      <alignment horizontal="center" vertical="center"/>
    </xf>
    <xf numFmtId="3" fontId="11" fillId="2" borderId="6" xfId="3" applyNumberFormat="1" applyFont="1" applyFill="1" applyBorder="1" applyAlignment="1">
      <alignment horizontal="center" vertical="center"/>
    </xf>
    <xf numFmtId="179" fontId="11" fillId="2" borderId="6" xfId="3" applyNumberFormat="1" applyFont="1" applyFill="1" applyBorder="1" applyAlignment="1">
      <alignment horizontal="center" vertical="center"/>
    </xf>
    <xf numFmtId="179" fontId="11" fillId="2" borderId="43" xfId="3" applyNumberFormat="1" applyFont="1" applyFill="1" applyBorder="1" applyAlignment="1">
      <alignment horizontal="center" vertical="center"/>
    </xf>
    <xf numFmtId="3" fontId="79" fillId="2" borderId="0" xfId="12" applyNumberFormat="1" applyFont="1" applyFill="1"/>
    <xf numFmtId="3" fontId="79" fillId="2" borderId="0" xfId="3" applyNumberFormat="1" applyFont="1" applyFill="1" applyBorder="1" applyAlignment="1">
      <alignment horizontal="right" vertical="center"/>
    </xf>
    <xf numFmtId="37" fontId="79" fillId="2" borderId="0" xfId="3" applyNumberFormat="1" applyFont="1" applyFill="1" applyBorder="1" applyAlignment="1">
      <alignment horizontal="right" vertical="center"/>
    </xf>
    <xf numFmtId="177" fontId="79" fillId="2" borderId="0" xfId="3" applyNumberFormat="1" applyFont="1" applyFill="1" applyBorder="1" applyAlignment="1">
      <alignment horizontal="right" vertical="center"/>
    </xf>
    <xf numFmtId="180" fontId="79" fillId="2" borderId="0" xfId="3" applyNumberFormat="1" applyFont="1" applyFill="1" applyBorder="1" applyAlignment="1">
      <alignment horizontal="right" vertical="center"/>
    </xf>
    <xf numFmtId="3" fontId="2" fillId="2" borderId="0" xfId="12" applyNumberFormat="1" applyFont="1" applyFill="1"/>
    <xf numFmtId="0" fontId="4" fillId="2" borderId="0" xfId="14" applyFont="1" applyFill="1" applyAlignment="1">
      <alignment vertical="center"/>
    </xf>
    <xf numFmtId="0" fontId="32" fillId="2" borderId="0" xfId="14" applyFont="1" applyFill="1" applyAlignment="1">
      <alignment vertical="center"/>
    </xf>
    <xf numFmtId="3" fontId="84" fillId="0" borderId="0" xfId="12" applyNumberFormat="1" applyFont="1"/>
    <xf numFmtId="0" fontId="5" fillId="3" borderId="50" xfId="14" applyFont="1" applyFill="1" applyBorder="1"/>
    <xf numFmtId="17" fontId="26" fillId="3" borderId="51" xfId="14" applyNumberFormat="1" applyFont="1" applyFill="1" applyBorder="1" applyAlignment="1">
      <alignment horizontal="center"/>
    </xf>
    <xf numFmtId="17" fontId="26" fillId="3" borderId="50" xfId="14" applyNumberFormat="1" applyFont="1" applyFill="1" applyBorder="1" applyAlignment="1">
      <alignment horizontal="center"/>
    </xf>
    <xf numFmtId="17" fontId="8" fillId="3" borderId="52" xfId="14" applyNumberFormat="1" applyFont="1" applyFill="1" applyBorder="1" applyAlignment="1">
      <alignment horizontal="center"/>
    </xf>
    <xf numFmtId="17" fontId="8" fillId="3" borderId="53" xfId="14" applyNumberFormat="1" applyFont="1" applyFill="1" applyBorder="1" applyAlignment="1">
      <alignment horizontal="center"/>
    </xf>
    <xf numFmtId="17" fontId="8" fillId="3" borderId="54" xfId="14" applyNumberFormat="1" applyFont="1" applyFill="1" applyBorder="1" applyAlignment="1">
      <alignment horizontal="center"/>
    </xf>
    <xf numFmtId="3" fontId="84" fillId="2" borderId="0" xfId="12" applyNumberFormat="1" applyFont="1" applyFill="1" applyAlignment="1">
      <alignment vertical="center"/>
    </xf>
    <xf numFmtId="0" fontId="8" fillId="3" borderId="18" xfId="14" applyFont="1" applyFill="1" applyBorder="1"/>
    <xf numFmtId="3" fontId="26" fillId="0" borderId="111" xfId="12" applyNumberFormat="1" applyFont="1" applyBorder="1"/>
    <xf numFmtId="3" fontId="26" fillId="0" borderId="112" xfId="12" applyNumberFormat="1" applyFont="1" applyBorder="1"/>
    <xf numFmtId="3" fontId="26" fillId="2" borderId="18" xfId="14" applyNumberFormat="1" applyFont="1" applyFill="1" applyBorder="1"/>
    <xf numFmtId="3" fontId="26" fillId="2" borderId="24" xfId="14" applyNumberFormat="1" applyFont="1" applyFill="1" applyBorder="1"/>
    <xf numFmtId="3" fontId="26" fillId="2" borderId="4" xfId="14" applyNumberFormat="1" applyFont="1" applyFill="1" applyBorder="1"/>
    <xf numFmtId="3" fontId="26" fillId="2" borderId="41" xfId="14" applyNumberFormat="1" applyFont="1" applyFill="1" applyBorder="1"/>
    <xf numFmtId="0" fontId="33" fillId="0" borderId="0" xfId="12" applyFont="1"/>
    <xf numFmtId="3" fontId="11" fillId="0" borderId="111" xfId="12" applyNumberFormat="1" applyFont="1" applyBorder="1"/>
    <xf numFmtId="3" fontId="11" fillId="0" borderId="112" xfId="12" applyNumberFormat="1" applyFont="1" applyBorder="1"/>
    <xf numFmtId="3" fontId="11" fillId="2" borderId="18" xfId="14" applyNumberFormat="1" applyFont="1" applyFill="1" applyBorder="1"/>
    <xf numFmtId="3" fontId="11" fillId="2" borderId="24" xfId="14" applyNumberFormat="1" applyFont="1" applyFill="1" applyBorder="1"/>
    <xf numFmtId="3" fontId="11" fillId="2" borderId="4" xfId="14" applyNumberFormat="1" applyFont="1" applyFill="1" applyBorder="1"/>
    <xf numFmtId="3" fontId="11" fillId="2" borderId="41" xfId="14" applyNumberFormat="1" applyFont="1" applyFill="1" applyBorder="1"/>
    <xf numFmtId="0" fontId="27" fillId="3" borderId="18" xfId="14" applyFont="1" applyFill="1" applyBorder="1"/>
    <xf numFmtId="3" fontId="11" fillId="0" borderId="116" xfId="12" applyNumberFormat="1" applyFont="1" applyBorder="1"/>
    <xf numFmtId="3" fontId="11" fillId="0" borderId="117" xfId="12" applyNumberFormat="1" applyFont="1" applyBorder="1"/>
    <xf numFmtId="3" fontId="11" fillId="2" borderId="19" xfId="14" applyNumberFormat="1" applyFont="1" applyFill="1" applyBorder="1"/>
    <xf numFmtId="3" fontId="11" fillId="2" borderId="27" xfId="14" applyNumberFormat="1" applyFont="1" applyFill="1" applyBorder="1"/>
    <xf numFmtId="3" fontId="11" fillId="2" borderId="6" xfId="14" applyNumberFormat="1" applyFont="1" applyFill="1" applyBorder="1"/>
    <xf numFmtId="3" fontId="11" fillId="2" borderId="43" xfId="14" applyNumberFormat="1" applyFont="1" applyFill="1" applyBorder="1"/>
    <xf numFmtId="0" fontId="5" fillId="0" borderId="0" xfId="14" applyFont="1"/>
    <xf numFmtId="3" fontId="11" fillId="0" borderId="0" xfId="12" applyNumberFormat="1" applyFont="1"/>
    <xf numFmtId="3" fontId="11" fillId="0" borderId="0" xfId="14" applyNumberFormat="1" applyFont="1"/>
    <xf numFmtId="0" fontId="17" fillId="2" borderId="0" xfId="14" applyFont="1" applyFill="1" applyAlignment="1">
      <alignment horizontal="left" vertical="center"/>
    </xf>
    <xf numFmtId="0" fontId="5" fillId="0" borderId="0" xfId="12" applyFont="1" applyAlignment="1">
      <alignment vertical="center"/>
    </xf>
    <xf numFmtId="0" fontId="78" fillId="0" borderId="0" xfId="12" applyFont="1" applyAlignment="1">
      <alignment vertical="center"/>
    </xf>
    <xf numFmtId="0" fontId="78" fillId="0" borderId="0" xfId="12" applyFont="1"/>
    <xf numFmtId="0" fontId="5" fillId="0" borderId="0" xfId="12" applyFont="1"/>
    <xf numFmtId="3" fontId="78" fillId="0" borderId="0" xfId="12" applyNumberFormat="1" applyFont="1"/>
    <xf numFmtId="0" fontId="4" fillId="2" borderId="0" xfId="11" applyFont="1" applyFill="1" applyAlignment="1">
      <alignment vertical="center"/>
    </xf>
    <xf numFmtId="0" fontId="24" fillId="2" borderId="0" xfId="11" applyFont="1" applyFill="1"/>
    <xf numFmtId="0" fontId="17" fillId="2" borderId="0" xfId="11" applyFont="1" applyFill="1" applyBorder="1"/>
    <xf numFmtId="0" fontId="19" fillId="0" borderId="0" xfId="70" applyFont="1" applyAlignment="1">
      <alignment vertical="center"/>
    </xf>
    <xf numFmtId="0" fontId="19" fillId="0" borderId="0" xfId="70" applyFont="1" applyAlignment="1">
      <alignment horizontal="right" vertical="center"/>
    </xf>
    <xf numFmtId="0" fontId="5" fillId="3" borderId="38" xfId="11" applyFont="1" applyFill="1" applyBorder="1"/>
    <xf numFmtId="0" fontId="11" fillId="0" borderId="0" xfId="70" applyFont="1" applyAlignment="1">
      <alignment vertical="top"/>
    </xf>
    <xf numFmtId="0" fontId="5" fillId="3" borderId="43" xfId="11" applyFont="1" applyFill="1" applyBorder="1"/>
    <xf numFmtId="0" fontId="5" fillId="3" borderId="41" xfId="11" applyFont="1" applyFill="1" applyBorder="1"/>
    <xf numFmtId="37" fontId="11" fillId="2" borderId="14" xfId="11" applyNumberFormat="1" applyFont="1" applyFill="1" applyBorder="1"/>
    <xf numFmtId="37" fontId="11" fillId="2" borderId="24" xfId="11" applyNumberFormat="1" applyFont="1" applyFill="1" applyBorder="1"/>
    <xf numFmtId="37" fontId="11" fillId="2" borderId="4" xfId="11" applyNumberFormat="1" applyFont="1" applyFill="1" applyBorder="1"/>
    <xf numFmtId="37" fontId="11" fillId="2" borderId="120" xfId="11" applyNumberFormat="1" applyFont="1" applyFill="1" applyBorder="1"/>
    <xf numFmtId="37" fontId="11" fillId="2" borderId="4" xfId="11" applyNumberFormat="1" applyFont="1" applyFill="1" applyBorder="1" applyAlignment="1">
      <alignment horizontal="center"/>
    </xf>
    <xf numFmtId="37" fontId="11" fillId="2" borderId="120" xfId="11" applyNumberFormat="1" applyFont="1" applyFill="1" applyBorder="1" applyAlignment="1">
      <alignment horizontal="center"/>
    </xf>
    <xf numFmtId="0" fontId="5" fillId="3" borderId="41" xfId="11" applyFont="1" applyFill="1" applyBorder="1" applyAlignment="1">
      <alignment wrapText="1"/>
    </xf>
    <xf numFmtId="0" fontId="17" fillId="3" borderId="41" xfId="11" applyFont="1" applyFill="1" applyBorder="1" applyAlignment="1">
      <alignment horizontal="left"/>
    </xf>
    <xf numFmtId="179" fontId="11" fillId="2" borderId="14" xfId="11" applyNumberFormat="1" applyFont="1" applyFill="1" applyBorder="1"/>
    <xf numFmtId="179" fontId="11" fillId="2" borderId="24" xfId="11" applyNumberFormat="1" applyFont="1" applyFill="1" applyBorder="1"/>
    <xf numFmtId="179" fontId="11" fillId="2" borderId="4" xfId="11" applyNumberFormat="1" applyFont="1" applyFill="1" applyBorder="1"/>
    <xf numFmtId="179" fontId="17" fillId="2" borderId="4" xfId="11" applyNumberFormat="1" applyFont="1" applyFill="1" applyBorder="1"/>
    <xf numFmtId="179" fontId="17" fillId="2" borderId="120" xfId="11" applyNumberFormat="1" applyFont="1" applyFill="1" applyBorder="1"/>
    <xf numFmtId="181" fontId="11" fillId="2" borderId="120" xfId="11" applyNumberFormat="1" applyFont="1" applyFill="1" applyBorder="1"/>
    <xf numFmtId="181" fontId="11" fillId="2" borderId="4" xfId="11" applyNumberFormat="1" applyFont="1" applyFill="1" applyBorder="1"/>
    <xf numFmtId="181" fontId="11" fillId="2" borderId="4" xfId="11" quotePrefix="1" applyNumberFormat="1" applyFont="1" applyFill="1" applyBorder="1" applyAlignment="1">
      <alignment horizontal="center"/>
    </xf>
    <xf numFmtId="164" fontId="11" fillId="2" borderId="120" xfId="3" applyNumberFormat="1" applyFont="1" applyFill="1" applyBorder="1"/>
    <xf numFmtId="164" fontId="11" fillId="2" borderId="4" xfId="3" applyNumberFormat="1" applyFont="1" applyFill="1" applyBorder="1"/>
    <xf numFmtId="179" fontId="25" fillId="2" borderId="14" xfId="11" applyNumberFormat="1" applyFont="1" applyFill="1" applyBorder="1"/>
    <xf numFmtId="179" fontId="25" fillId="2" borderId="24" xfId="11" applyNumberFormat="1" applyFont="1" applyFill="1" applyBorder="1"/>
    <xf numFmtId="179" fontId="25" fillId="2" borderId="4" xfId="11" applyNumberFormat="1" applyFont="1" applyFill="1" applyBorder="1"/>
    <xf numFmtId="0" fontId="17" fillId="3" borderId="40" xfId="11" applyFont="1" applyFill="1" applyBorder="1" applyAlignment="1">
      <alignment horizontal="left"/>
    </xf>
    <xf numFmtId="179" fontId="11" fillId="2" borderId="15" xfId="11" applyNumberFormat="1" applyFont="1" applyFill="1" applyBorder="1"/>
    <xf numFmtId="179" fontId="11" fillId="2" borderId="23" xfId="11" applyNumberFormat="1" applyFont="1" applyFill="1" applyBorder="1"/>
    <xf numFmtId="179" fontId="11" fillId="2" borderId="37" xfId="11" applyNumberFormat="1" applyFont="1" applyFill="1" applyBorder="1"/>
    <xf numFmtId="179" fontId="17" fillId="2" borderId="37" xfId="11" applyNumberFormat="1" applyFont="1" applyFill="1" applyBorder="1"/>
    <xf numFmtId="179" fontId="17" fillId="2" borderId="121" xfId="11" applyNumberFormat="1" applyFont="1" applyFill="1" applyBorder="1"/>
    <xf numFmtId="3" fontId="17" fillId="0" borderId="0" xfId="70" applyNumberFormat="1" applyFont="1"/>
    <xf numFmtId="182" fontId="17" fillId="0" borderId="0" xfId="70" applyNumberFormat="1" applyFont="1" applyAlignment="1">
      <alignment horizontal="right"/>
    </xf>
    <xf numFmtId="0" fontId="17" fillId="0" borderId="0" xfId="70" applyFont="1"/>
    <xf numFmtId="0" fontId="17" fillId="0" borderId="0" xfId="71" applyFont="1" applyAlignment="1">
      <alignment vertical="center"/>
    </xf>
    <xf numFmtId="0" fontId="17" fillId="0" borderId="0" xfId="71" applyFont="1" applyAlignment="1">
      <alignment vertical="center" wrapText="1"/>
    </xf>
    <xf numFmtId="37" fontId="17" fillId="0" borderId="0" xfId="70" applyNumberFormat="1" applyFont="1"/>
    <xf numFmtId="3" fontId="17" fillId="0" borderId="0" xfId="70" applyNumberFormat="1" applyFont="1" applyAlignment="1">
      <alignment horizontal="left"/>
    </xf>
    <xf numFmtId="3" fontId="17" fillId="0" borderId="0" xfId="70" applyNumberFormat="1" applyFont="1" applyAlignment="1">
      <alignment wrapText="1"/>
    </xf>
    <xf numFmtId="3" fontId="36" fillId="0" borderId="0" xfId="70" applyNumberFormat="1" applyFont="1" applyAlignment="1">
      <alignment wrapText="1"/>
    </xf>
    <xf numFmtId="3" fontId="17" fillId="0" borderId="0" xfId="70" applyNumberFormat="1" applyFont="1" applyAlignment="1">
      <alignment horizontal="center"/>
    </xf>
    <xf numFmtId="0" fontId="19" fillId="0" borderId="0" xfId="11" applyFont="1"/>
    <xf numFmtId="0" fontId="19" fillId="0" borderId="0" xfId="70" applyFont="1"/>
    <xf numFmtId="3" fontId="19" fillId="0" borderId="0" xfId="70" applyNumberFormat="1" applyFont="1"/>
    <xf numFmtId="167" fontId="19" fillId="0" borderId="0" xfId="70" applyNumberFormat="1" applyFont="1"/>
    <xf numFmtId="0" fontId="19" fillId="10" borderId="0" xfId="70" applyFont="1" applyFill="1"/>
    <xf numFmtId="0" fontId="85" fillId="2" borderId="0" xfId="12" applyFont="1" applyFill="1"/>
    <xf numFmtId="0" fontId="8" fillId="3" borderId="67" xfId="12" applyFont="1" applyFill="1" applyBorder="1" applyAlignment="1">
      <alignment horizontal="center" vertical="center" wrapText="1"/>
    </xf>
    <xf numFmtId="0" fontId="8" fillId="3" borderId="122" xfId="12" applyFont="1" applyFill="1" applyBorder="1" applyAlignment="1">
      <alignment horizontal="center" vertical="center" wrapText="1"/>
    </xf>
    <xf numFmtId="0" fontId="8" fillId="3" borderId="123" xfId="12" applyFont="1" applyFill="1" applyBorder="1" applyAlignment="1">
      <alignment horizontal="center" vertical="center" wrapText="1"/>
    </xf>
    <xf numFmtId="0" fontId="86" fillId="2" borderId="0" xfId="12" applyFont="1" applyFill="1"/>
    <xf numFmtId="0" fontId="8" fillId="3" borderId="23" xfId="12" applyFont="1" applyFill="1" applyBorder="1" applyAlignment="1">
      <alignment horizontal="right" vertical="center"/>
    </xf>
    <xf numFmtId="167" fontId="11" fillId="2" borderId="6" xfId="12" applyNumberFormat="1" applyFont="1" applyFill="1" applyBorder="1" applyAlignment="1">
      <alignment horizontal="center" vertical="center"/>
    </xf>
    <xf numFmtId="167" fontId="11" fillId="2" borderId="37" xfId="12" applyNumberFormat="1" applyFont="1" applyFill="1" applyBorder="1" applyAlignment="1">
      <alignment horizontal="center" vertical="center"/>
    </xf>
    <xf numFmtId="167" fontId="11" fillId="2" borderId="43" xfId="12" applyNumberFormat="1" applyFont="1" applyFill="1" applyBorder="1" applyAlignment="1">
      <alignment horizontal="center" vertical="center"/>
    </xf>
    <xf numFmtId="167" fontId="11" fillId="2" borderId="40" xfId="12" applyNumberFormat="1" applyFont="1" applyFill="1" applyBorder="1" applyAlignment="1">
      <alignment horizontal="center" vertical="center"/>
    </xf>
    <xf numFmtId="0" fontId="85" fillId="2" borderId="0" xfId="12" applyFont="1" applyFill="1" applyBorder="1"/>
    <xf numFmtId="0" fontId="87" fillId="2" borderId="0" xfId="12" applyFont="1" applyFill="1"/>
    <xf numFmtId="167" fontId="17" fillId="2" borderId="0" xfId="12" applyNumberFormat="1" applyFont="1" applyFill="1" applyAlignment="1">
      <alignment horizontal="center" vertical="center"/>
    </xf>
    <xf numFmtId="0" fontId="4" fillId="2" borderId="0" xfId="12" applyFont="1" applyFill="1"/>
    <xf numFmtId="0" fontId="24" fillId="2" borderId="0" xfId="12" applyFont="1" applyFill="1" applyAlignment="1">
      <alignment horizontal="right" indent="1"/>
    </xf>
    <xf numFmtId="0" fontId="5" fillId="3" borderId="9" xfId="12" applyFont="1" applyFill="1" applyBorder="1" applyAlignment="1">
      <alignment horizontal="center" vertical="center"/>
    </xf>
    <xf numFmtId="0" fontId="5" fillId="3" borderId="10" xfId="12" applyFont="1" applyFill="1" applyBorder="1" applyAlignment="1">
      <alignment horizontal="center" vertical="center"/>
    </xf>
    <xf numFmtId="0" fontId="5" fillId="3" borderId="11" xfId="12" applyFont="1" applyFill="1" applyBorder="1" applyAlignment="1">
      <alignment horizontal="center" vertical="center"/>
    </xf>
    <xf numFmtId="0" fontId="8" fillId="3" borderId="13" xfId="12" applyFont="1" applyFill="1" applyBorder="1" applyAlignment="1">
      <alignment horizontal="right" vertical="center" indent="1"/>
    </xf>
    <xf numFmtId="167" fontId="11" fillId="2" borderId="3" xfId="12" applyNumberFormat="1" applyFont="1" applyFill="1" applyBorder="1" applyAlignment="1">
      <alignment horizontal="center" vertical="center"/>
    </xf>
    <xf numFmtId="1" fontId="8" fillId="3" borderId="0" xfId="12" applyNumberFormat="1" applyFont="1" applyFill="1" applyAlignment="1">
      <alignment horizontal="right" vertical="center" indent="1"/>
    </xf>
    <xf numFmtId="167" fontId="5" fillId="2" borderId="0" xfId="12" applyNumberFormat="1" applyFont="1" applyFill="1"/>
    <xf numFmtId="0" fontId="8" fillId="3" borderId="0" xfId="12" applyFont="1" applyFill="1" applyAlignment="1">
      <alignment horizontal="right" vertical="center" indent="1"/>
    </xf>
    <xf numFmtId="0" fontId="8" fillId="3" borderId="3" xfId="12" quotePrefix="1" applyFont="1" applyFill="1" applyBorder="1" applyAlignment="1">
      <alignment horizontal="right" vertical="center" indent="1"/>
    </xf>
    <xf numFmtId="0" fontId="8" fillId="3" borderId="0" xfId="12" applyNumberFormat="1" applyFont="1" applyFill="1" applyAlignment="1">
      <alignment horizontal="right" vertical="center" indent="1"/>
    </xf>
    <xf numFmtId="49" fontId="8" fillId="3" borderId="0" xfId="12" applyNumberFormat="1" applyFont="1" applyFill="1" applyBorder="1" applyAlignment="1">
      <alignment horizontal="right" vertical="center" indent="1"/>
    </xf>
    <xf numFmtId="49" fontId="8" fillId="3" borderId="99" xfId="12" quotePrefix="1" applyNumberFormat="1" applyFont="1" applyFill="1" applyBorder="1" applyAlignment="1">
      <alignment horizontal="right" vertical="center" indent="1"/>
    </xf>
    <xf numFmtId="167" fontId="11" fillId="2" borderId="99" xfId="12" applyNumberFormat="1" applyFont="1" applyFill="1" applyBorder="1" applyAlignment="1">
      <alignment horizontal="center" vertical="center"/>
    </xf>
    <xf numFmtId="167" fontId="11" fillId="2" borderId="12" xfId="12" applyNumberFormat="1" applyFont="1" applyFill="1" applyBorder="1" applyAlignment="1">
      <alignment horizontal="center" vertical="center"/>
    </xf>
    <xf numFmtId="167" fontId="11" fillId="2" borderId="15" xfId="12" applyNumberFormat="1" applyFont="1" applyFill="1" applyBorder="1" applyAlignment="1">
      <alignment horizontal="center" vertical="center"/>
    </xf>
    <xf numFmtId="167" fontId="8" fillId="3" borderId="3" xfId="12" applyNumberFormat="1" applyFont="1" applyFill="1" applyBorder="1" applyAlignment="1">
      <alignment horizontal="right" indent="1"/>
    </xf>
    <xf numFmtId="167" fontId="8" fillId="3" borderId="0" xfId="12" applyNumberFormat="1" applyFont="1" applyFill="1" applyAlignment="1">
      <alignment horizontal="right" indent="1"/>
    </xf>
    <xf numFmtId="167" fontId="8" fillId="3" borderId="99" xfId="12" applyNumberFormat="1" applyFont="1" applyFill="1" applyBorder="1" applyAlignment="1">
      <alignment horizontal="right" indent="1"/>
    </xf>
    <xf numFmtId="167" fontId="8" fillId="3" borderId="12" xfId="12" applyNumberFormat="1" applyFont="1" applyFill="1" applyBorder="1" applyAlignment="1">
      <alignment horizontal="right" indent="1"/>
    </xf>
    <xf numFmtId="17" fontId="8" fillId="3" borderId="99" xfId="12" applyNumberFormat="1" applyFont="1" applyFill="1" applyBorder="1" applyAlignment="1">
      <alignment horizontal="right" indent="1"/>
    </xf>
    <xf numFmtId="167" fontId="8" fillId="3" borderId="13" xfId="12" applyNumberFormat="1" applyFont="1" applyFill="1" applyBorder="1" applyAlignment="1">
      <alignment horizontal="right" indent="1"/>
    </xf>
    <xf numFmtId="167" fontId="11" fillId="2" borderId="13" xfId="12" applyNumberFormat="1" applyFont="1" applyFill="1" applyBorder="1" applyAlignment="1">
      <alignment horizontal="center" vertical="center"/>
    </xf>
    <xf numFmtId="167" fontId="11" fillId="2" borderId="16" xfId="12" applyNumberFormat="1" applyFont="1" applyFill="1" applyBorder="1" applyAlignment="1">
      <alignment horizontal="center" vertical="center"/>
    </xf>
    <xf numFmtId="167" fontId="8" fillId="3" borderId="79" xfId="12" applyNumberFormat="1" applyFont="1" applyFill="1" applyBorder="1" applyAlignment="1">
      <alignment horizontal="right" indent="1"/>
    </xf>
    <xf numFmtId="167" fontId="8" fillId="3" borderId="17" xfId="12" applyNumberFormat="1" applyFont="1" applyFill="1" applyBorder="1" applyAlignment="1">
      <alignment horizontal="right" indent="1"/>
    </xf>
    <xf numFmtId="167" fontId="8" fillId="3" borderId="18" xfId="12" applyNumberFormat="1" applyFont="1" applyFill="1" applyBorder="1" applyAlignment="1">
      <alignment horizontal="right" indent="1"/>
    </xf>
    <xf numFmtId="167" fontId="8" fillId="3" borderId="19" xfId="12" applyNumberFormat="1" applyFont="1" applyFill="1" applyBorder="1" applyAlignment="1">
      <alignment horizontal="right" indent="1"/>
    </xf>
    <xf numFmtId="167" fontId="11" fillId="2" borderId="20" xfId="12" applyNumberFormat="1" applyFont="1" applyFill="1" applyBorder="1" applyAlignment="1">
      <alignment horizontal="center" vertical="center"/>
    </xf>
    <xf numFmtId="167" fontId="11" fillId="2" borderId="21" xfId="12" applyNumberFormat="1" applyFont="1" applyFill="1" applyBorder="1" applyAlignment="1">
      <alignment horizontal="center" vertical="center"/>
    </xf>
    <xf numFmtId="167" fontId="17" fillId="2" borderId="0" xfId="12" applyNumberFormat="1" applyFont="1" applyFill="1" applyAlignment="1">
      <alignment horizontal="right" indent="1"/>
    </xf>
    <xf numFmtId="0" fontId="11" fillId="2" borderId="0" xfId="12" applyFont="1" applyFill="1" applyAlignment="1">
      <alignment horizontal="right" indent="1"/>
    </xf>
    <xf numFmtId="0" fontId="4" fillId="2" borderId="0" xfId="0" applyFont="1" applyFill="1" applyAlignment="1">
      <alignment vertical="center"/>
    </xf>
    <xf numFmtId="0" fontId="24" fillId="2" borderId="0" xfId="0" applyFont="1" applyFill="1" applyAlignment="1">
      <alignment vertical="center"/>
    </xf>
    <xf numFmtId="0" fontId="24" fillId="2" borderId="0" xfId="0" applyFont="1" applyFill="1"/>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5" fillId="2" borderId="0" xfId="0" applyFont="1" applyFill="1"/>
    <xf numFmtId="0" fontId="8" fillId="3" borderId="12"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24" xfId="0" applyFont="1" applyFill="1" applyBorder="1" applyAlignment="1">
      <alignment horizontal="right" vertical="center"/>
    </xf>
    <xf numFmtId="3" fontId="11" fillId="2" borderId="0" xfId="0" applyNumberFormat="1" applyFont="1" applyFill="1" applyAlignment="1">
      <alignment horizontal="center" vertical="center"/>
    </xf>
    <xf numFmtId="3" fontId="11" fillId="2" borderId="14" xfId="0" applyNumberFormat="1" applyFont="1" applyFill="1" applyBorder="1" applyAlignment="1">
      <alignment horizontal="center" vertical="center"/>
    </xf>
    <xf numFmtId="0" fontId="11" fillId="2" borderId="0" xfId="0" applyFont="1" applyFill="1"/>
    <xf numFmtId="1" fontId="11" fillId="2" borderId="0" xfId="0" applyNumberFormat="1" applyFont="1" applyFill="1"/>
    <xf numFmtId="3" fontId="11" fillId="2" borderId="25" xfId="0" applyNumberFormat="1" applyFont="1" applyFill="1" applyBorder="1" applyAlignment="1">
      <alignment horizontal="center" vertical="center"/>
    </xf>
    <xf numFmtId="0" fontId="8" fillId="3" borderId="23" xfId="0" applyFont="1" applyFill="1" applyBorder="1" applyAlignment="1">
      <alignment horizontal="right" vertical="center"/>
    </xf>
    <xf numFmtId="3" fontId="11" fillId="2" borderId="12" xfId="0" applyNumberFormat="1" applyFont="1" applyFill="1" applyBorder="1" applyAlignment="1">
      <alignment horizontal="center" vertical="center"/>
    </xf>
    <xf numFmtId="3" fontId="11" fillId="2" borderId="15" xfId="0" applyNumberFormat="1" applyFont="1" applyFill="1" applyBorder="1" applyAlignment="1">
      <alignment horizontal="center" vertical="center"/>
    </xf>
    <xf numFmtId="17" fontId="8" fillId="3" borderId="24" xfId="0" applyNumberFormat="1" applyFont="1" applyFill="1" applyBorder="1" applyAlignment="1">
      <alignment horizontal="left"/>
    </xf>
    <xf numFmtId="3" fontId="11" fillId="2" borderId="0" xfId="1" applyNumberFormat="1" applyFont="1" applyFill="1" applyBorder="1" applyAlignment="1">
      <alignment horizontal="center" vertical="center"/>
    </xf>
    <xf numFmtId="3" fontId="11" fillId="2" borderId="16" xfId="1" applyNumberFormat="1" applyFont="1" applyFill="1" applyBorder="1" applyAlignment="1">
      <alignment horizontal="center" vertical="center"/>
    </xf>
    <xf numFmtId="3" fontId="11" fillId="2" borderId="0" xfId="0" applyNumberFormat="1" applyFont="1" applyFill="1"/>
    <xf numFmtId="17" fontId="8" fillId="3" borderId="24" xfId="0" applyNumberFormat="1" applyFont="1" applyFill="1" applyBorder="1" applyAlignment="1">
      <alignment horizontal="right"/>
    </xf>
    <xf numFmtId="3" fontId="11" fillId="2" borderId="14" xfId="1" applyNumberFormat="1" applyFont="1" applyFill="1" applyBorder="1" applyAlignment="1">
      <alignment horizontal="center" vertical="center"/>
    </xf>
    <xf numFmtId="17" fontId="8" fillId="3" borderId="23" xfId="0" applyNumberFormat="1" applyFont="1" applyFill="1" applyBorder="1" applyAlignment="1">
      <alignment horizontal="right"/>
    </xf>
    <xf numFmtId="3" fontId="11" fillId="2" borderId="12" xfId="1" applyNumberFormat="1" applyFont="1" applyFill="1" applyBorder="1" applyAlignment="1">
      <alignment horizontal="center" vertical="center"/>
    </xf>
    <xf numFmtId="3" fontId="11" fillId="2" borderId="15" xfId="1" applyNumberFormat="1" applyFont="1" applyFill="1" applyBorder="1" applyAlignment="1">
      <alignment horizontal="center" vertical="center"/>
    </xf>
    <xf numFmtId="3" fontId="11" fillId="2" borderId="0" xfId="1" applyNumberFormat="1" applyFont="1" applyFill="1" applyBorder="1" applyAlignment="1">
      <alignment horizontal="center"/>
    </xf>
    <xf numFmtId="3" fontId="11" fillId="2" borderId="14" xfId="1" applyNumberFormat="1" applyFont="1" applyFill="1" applyBorder="1" applyAlignment="1">
      <alignment horizontal="center"/>
    </xf>
    <xf numFmtId="17" fontId="8" fillId="3" borderId="26" xfId="0" applyNumberFormat="1" applyFont="1" applyFill="1" applyBorder="1" applyAlignment="1">
      <alignment horizontal="right"/>
    </xf>
    <xf numFmtId="17" fontId="8" fillId="3" borderId="27" xfId="0" applyNumberFormat="1" applyFont="1" applyFill="1" applyBorder="1" applyAlignment="1">
      <alignment horizontal="right"/>
    </xf>
    <xf numFmtId="3" fontId="11" fillId="2" borderId="20" xfId="1" applyNumberFormat="1" applyFont="1" applyFill="1" applyBorder="1" applyAlignment="1">
      <alignment horizontal="center"/>
    </xf>
    <xf numFmtId="3" fontId="11" fillId="2" borderId="21" xfId="1" applyNumberFormat="1" applyFont="1" applyFill="1" applyBorder="1" applyAlignment="1">
      <alignment horizontal="center"/>
    </xf>
    <xf numFmtId="17" fontId="8" fillId="3" borderId="22" xfId="0" applyNumberFormat="1" applyFont="1" applyFill="1" applyBorder="1" applyAlignment="1">
      <alignment horizontal="right"/>
    </xf>
    <xf numFmtId="3" fontId="11" fillId="2" borderId="7" xfId="1" applyNumberFormat="1" applyFont="1" applyFill="1" applyBorder="1" applyAlignment="1">
      <alignment horizontal="center"/>
    </xf>
    <xf numFmtId="3" fontId="11" fillId="2" borderId="8" xfId="1" applyNumberFormat="1" applyFont="1" applyFill="1" applyBorder="1" applyAlignment="1">
      <alignment horizontal="center"/>
    </xf>
    <xf numFmtId="0" fontId="24" fillId="2" borderId="0" xfId="12" applyFont="1" applyFill="1" applyAlignment="1">
      <alignment vertical="center"/>
    </xf>
    <xf numFmtId="164" fontId="26" fillId="2" borderId="33" xfId="3" applyNumberFormat="1" applyFont="1" applyFill="1" applyBorder="1" applyAlignment="1">
      <alignment horizontal="right" vertical="center"/>
    </xf>
    <xf numFmtId="164" fontId="11" fillId="2" borderId="36" xfId="3" applyNumberFormat="1" applyFont="1" applyFill="1" applyBorder="1" applyAlignment="1">
      <alignment horizontal="right" vertical="center"/>
    </xf>
    <xf numFmtId="164" fontId="11" fillId="2" borderId="46" xfId="12" applyNumberFormat="1" applyFont="1" applyFill="1" applyBorder="1" applyAlignment="1">
      <alignment horizontal="right" vertical="center"/>
    </xf>
    <xf numFmtId="164" fontId="26" fillId="2" borderId="128" xfId="3" applyNumberFormat="1" applyFont="1" applyFill="1" applyBorder="1" applyAlignment="1">
      <alignment horizontal="right" vertical="center"/>
    </xf>
    <xf numFmtId="164" fontId="11" fillId="2" borderId="36" xfId="3" applyNumberFormat="1" applyFont="1" applyFill="1" applyBorder="1" applyAlignment="1">
      <alignment vertical="center"/>
    </xf>
    <xf numFmtId="164" fontId="11" fillId="2" borderId="4" xfId="3" applyNumberFormat="1" applyFont="1" applyFill="1" applyBorder="1" applyAlignment="1">
      <alignment vertical="center"/>
    </xf>
    <xf numFmtId="183" fontId="11" fillId="2" borderId="41" xfId="3" applyNumberFormat="1" applyFont="1" applyFill="1" applyBorder="1" applyAlignment="1">
      <alignment vertical="center"/>
    </xf>
    <xf numFmtId="164" fontId="11" fillId="2" borderId="47" xfId="12" applyNumberFormat="1" applyFont="1" applyFill="1" applyBorder="1" applyAlignment="1">
      <alignment horizontal="right" vertical="center"/>
    </xf>
    <xf numFmtId="164" fontId="26" fillId="2" borderId="48" xfId="3" applyNumberFormat="1" applyFont="1" applyFill="1" applyBorder="1" applyAlignment="1">
      <alignment vertical="center"/>
    </xf>
    <xf numFmtId="183" fontId="26" fillId="2" borderId="33" xfId="12" applyNumberFormat="1" applyFont="1" applyFill="1" applyBorder="1" applyAlignment="1">
      <alignment horizontal="right" vertical="center"/>
    </xf>
    <xf numFmtId="183" fontId="26" fillId="2" borderId="48" xfId="12" applyNumberFormat="1" applyFont="1" applyFill="1" applyBorder="1" applyAlignment="1">
      <alignment horizontal="right" vertical="center"/>
    </xf>
    <xf numFmtId="164" fontId="26" fillId="2" borderId="44" xfId="3" applyNumberFormat="1" applyFont="1" applyFill="1" applyBorder="1" applyAlignment="1">
      <alignment vertical="center"/>
    </xf>
    <xf numFmtId="164" fontId="11" fillId="2" borderId="44" xfId="3" applyNumberFormat="1" applyFont="1" applyFill="1" applyBorder="1" applyAlignment="1">
      <alignment vertical="center"/>
    </xf>
    <xf numFmtId="164" fontId="11" fillId="2" borderId="12" xfId="3" applyNumberFormat="1" applyFont="1" applyFill="1" applyBorder="1" applyAlignment="1">
      <alignment vertical="center"/>
    </xf>
    <xf numFmtId="164" fontId="26" fillId="2" borderId="49" xfId="3" applyNumberFormat="1" applyFont="1" applyFill="1" applyBorder="1" applyAlignment="1">
      <alignment vertical="center"/>
    </xf>
    <xf numFmtId="164" fontId="11" fillId="2" borderId="15" xfId="3" applyNumberFormat="1" applyFont="1" applyFill="1" applyBorder="1" applyAlignment="1">
      <alignment vertical="center"/>
    </xf>
    <xf numFmtId="17" fontId="8" fillId="2" borderId="3" xfId="12" quotePrefix="1" applyNumberFormat="1" applyFont="1" applyFill="1" applyBorder="1" applyAlignment="1">
      <alignment horizontal="right"/>
    </xf>
    <xf numFmtId="17" fontId="8" fillId="2" borderId="33" xfId="12" applyNumberFormat="1" applyFont="1" applyFill="1" applyBorder="1" applyAlignment="1">
      <alignment horizontal="right"/>
    </xf>
    <xf numFmtId="164" fontId="26" fillId="2" borderId="33" xfId="3" applyNumberFormat="1" applyFont="1" applyFill="1" applyBorder="1" applyAlignment="1">
      <alignment vertical="center"/>
    </xf>
    <xf numFmtId="17" fontId="8" fillId="2" borderId="3" xfId="12" applyNumberFormat="1" applyFont="1" applyFill="1" applyBorder="1" applyAlignment="1">
      <alignment horizontal="right"/>
    </xf>
    <xf numFmtId="17" fontId="8" fillId="2" borderId="13" xfId="12" quotePrefix="1" applyNumberFormat="1" applyFont="1" applyFill="1" applyBorder="1" applyAlignment="1">
      <alignment horizontal="left"/>
    </xf>
    <xf numFmtId="17" fontId="8" fillId="2" borderId="31" xfId="12" applyNumberFormat="1" applyFont="1" applyFill="1" applyBorder="1" applyAlignment="1">
      <alignment horizontal="right"/>
    </xf>
    <xf numFmtId="164" fontId="26" fillId="2" borderId="36" xfId="3" applyNumberFormat="1" applyFont="1" applyFill="1" applyBorder="1" applyAlignment="1">
      <alignment vertical="center"/>
    </xf>
    <xf numFmtId="164" fontId="11" fillId="2" borderId="46" xfId="3" applyNumberFormat="1" applyFont="1" applyFill="1" applyBorder="1" applyAlignment="1">
      <alignment vertical="center"/>
    </xf>
    <xf numFmtId="164" fontId="26" fillId="2" borderId="128" xfId="3" applyNumberFormat="1" applyFont="1" applyFill="1" applyBorder="1" applyAlignment="1">
      <alignment vertical="center"/>
    </xf>
    <xf numFmtId="183" fontId="11" fillId="2" borderId="38" xfId="3" applyNumberFormat="1" applyFont="1" applyFill="1" applyBorder="1" applyAlignment="1">
      <alignment vertical="center"/>
    </xf>
    <xf numFmtId="164" fontId="26" fillId="2" borderId="4" xfId="3" applyNumberFormat="1" applyFont="1" applyFill="1" applyBorder="1" applyAlignment="1">
      <alignment vertical="center"/>
    </xf>
    <xf numFmtId="164" fontId="11" fillId="2" borderId="47" xfId="3" applyNumberFormat="1" applyFont="1" applyFill="1" applyBorder="1" applyAlignment="1">
      <alignment vertical="center"/>
    </xf>
    <xf numFmtId="17" fontId="8" fillId="2" borderId="99" xfId="12" applyNumberFormat="1" applyFont="1" applyFill="1" applyBorder="1" applyAlignment="1">
      <alignment horizontal="right"/>
    </xf>
    <xf numFmtId="17" fontId="8" fillId="2" borderId="44" xfId="12" applyNumberFormat="1" applyFont="1" applyFill="1" applyBorder="1" applyAlignment="1">
      <alignment horizontal="right"/>
    </xf>
    <xf numFmtId="164" fontId="26" fillId="2" borderId="37" xfId="3" applyNumberFormat="1" applyFont="1" applyFill="1" applyBorder="1" applyAlignment="1">
      <alignment vertical="center"/>
    </xf>
    <xf numFmtId="164" fontId="11" fillId="2" borderId="37" xfId="3" applyNumberFormat="1" applyFont="1" applyFill="1" applyBorder="1" applyAlignment="1">
      <alignment vertical="center"/>
    </xf>
    <xf numFmtId="164" fontId="11" fillId="2" borderId="127" xfId="3" applyNumberFormat="1" applyFont="1" applyFill="1" applyBorder="1" applyAlignment="1">
      <alignment vertical="center"/>
    </xf>
    <xf numFmtId="183" fontId="11" fillId="2" borderId="40" xfId="3" applyNumberFormat="1" applyFont="1" applyFill="1" applyBorder="1" applyAlignment="1">
      <alignment vertical="center"/>
    </xf>
    <xf numFmtId="17" fontId="8" fillId="2" borderId="3" xfId="12" quotePrefix="1" applyNumberFormat="1" applyFont="1" applyFill="1" applyBorder="1" applyAlignment="1">
      <alignment horizontal="left"/>
    </xf>
    <xf numFmtId="164" fontId="26" fillId="2" borderId="44" xfId="3" applyNumberFormat="1" applyFont="1" applyFill="1" applyBorder="1" applyAlignment="1">
      <alignment horizontal="right" vertical="center"/>
    </xf>
    <xf numFmtId="1" fontId="8" fillId="2" borderId="13" xfId="12" applyNumberFormat="1" applyFont="1" applyFill="1" applyBorder="1" applyAlignment="1">
      <alignment horizontal="left"/>
    </xf>
    <xf numFmtId="164" fontId="26" fillId="2" borderId="36" xfId="3" applyNumberFormat="1" applyFont="1" applyFill="1" applyBorder="1" applyAlignment="1">
      <alignment horizontal="right" vertical="center"/>
    </xf>
    <xf numFmtId="164" fontId="26" fillId="2" borderId="79" xfId="3" applyNumberFormat="1" applyFont="1" applyFill="1" applyBorder="1" applyAlignment="1">
      <alignment vertical="center"/>
    </xf>
    <xf numFmtId="164" fontId="26" fillId="2" borderId="0" xfId="3" applyNumberFormat="1" applyFont="1" applyFill="1" applyBorder="1" applyAlignment="1">
      <alignment vertical="center"/>
    </xf>
    <xf numFmtId="164" fontId="26" fillId="2" borderId="31" xfId="3" applyNumberFormat="1" applyFont="1" applyFill="1" applyBorder="1" applyAlignment="1">
      <alignment vertical="center"/>
    </xf>
    <xf numFmtId="1" fontId="8" fillId="2" borderId="3" xfId="12" applyNumberFormat="1" applyFont="1" applyFill="1" applyBorder="1" applyAlignment="1">
      <alignment horizontal="left"/>
    </xf>
    <xf numFmtId="1" fontId="8" fillId="2" borderId="99" xfId="12" applyNumberFormat="1" applyFont="1" applyFill="1" applyBorder="1" applyAlignment="1">
      <alignment horizontal="left"/>
    </xf>
    <xf numFmtId="17" fontId="8" fillId="2" borderId="31" xfId="12" quotePrefix="1" applyNumberFormat="1" applyFont="1" applyFill="1" applyBorder="1" applyAlignment="1">
      <alignment horizontal="right"/>
    </xf>
    <xf numFmtId="17" fontId="8" fillId="2" borderId="33" xfId="12" quotePrefix="1" applyNumberFormat="1" applyFont="1" applyFill="1" applyBorder="1" applyAlignment="1">
      <alignment horizontal="right"/>
    </xf>
    <xf numFmtId="17" fontId="8" fillId="2" borderId="44" xfId="12" quotePrefix="1" applyNumberFormat="1" applyFont="1" applyFill="1" applyBorder="1" applyAlignment="1">
      <alignment horizontal="right"/>
    </xf>
    <xf numFmtId="1" fontId="8" fillId="2" borderId="5" xfId="12" applyNumberFormat="1" applyFont="1" applyFill="1" applyBorder="1" applyAlignment="1">
      <alignment horizontal="left"/>
    </xf>
    <xf numFmtId="17" fontId="8" fillId="2" borderId="34" xfId="12" quotePrefix="1" applyNumberFormat="1" applyFont="1" applyFill="1" applyBorder="1" applyAlignment="1">
      <alignment horizontal="right"/>
    </xf>
    <xf numFmtId="164" fontId="26" fillId="2" borderId="6" xfId="3" applyNumberFormat="1" applyFont="1" applyFill="1" applyBorder="1" applyAlignment="1">
      <alignment horizontal="right" vertical="center"/>
    </xf>
    <xf numFmtId="164" fontId="11" fillId="2" borderId="6" xfId="3" applyNumberFormat="1" applyFont="1" applyFill="1" applyBorder="1" applyAlignment="1">
      <alignment vertical="center"/>
    </xf>
    <xf numFmtId="164" fontId="11" fillId="2" borderId="129" xfId="3" applyNumberFormat="1" applyFont="1" applyFill="1" applyBorder="1" applyAlignment="1">
      <alignment vertical="center"/>
    </xf>
    <xf numFmtId="164" fontId="26" fillId="2" borderId="34" xfId="3" applyNumberFormat="1" applyFont="1" applyFill="1" applyBorder="1" applyAlignment="1">
      <alignment vertical="center"/>
    </xf>
    <xf numFmtId="183" fontId="11" fillId="2" borderId="43" xfId="3" applyNumberFormat="1" applyFont="1" applyFill="1" applyBorder="1" applyAlignment="1">
      <alignment vertical="center"/>
    </xf>
    <xf numFmtId="164" fontId="31" fillId="2" borderId="0" xfId="3" applyNumberFormat="1" applyFont="1" applyFill="1" applyBorder="1" applyAlignment="1">
      <alignment horizontal="left" vertical="center"/>
    </xf>
    <xf numFmtId="164" fontId="19" fillId="2" borderId="0" xfId="3" applyNumberFormat="1" applyFont="1" applyFill="1" applyBorder="1" applyAlignment="1">
      <alignment horizontal="left" vertical="center"/>
    </xf>
    <xf numFmtId="183" fontId="19" fillId="2" borderId="0" xfId="3" applyNumberFormat="1" applyFont="1" applyFill="1" applyBorder="1" applyAlignment="1">
      <alignment horizontal="left" vertical="center"/>
    </xf>
    <xf numFmtId="164" fontId="17" fillId="2" borderId="0" xfId="12" applyNumberFormat="1" applyFont="1" applyFill="1"/>
    <xf numFmtId="0" fontId="31" fillId="2" borderId="0" xfId="12" applyFont="1" applyFill="1"/>
    <xf numFmtId="0" fontId="38" fillId="2" borderId="0" xfId="24" applyFont="1" applyFill="1" applyAlignment="1">
      <alignment horizontal="right"/>
    </xf>
    <xf numFmtId="0" fontId="38" fillId="2" borderId="0" xfId="24" applyFont="1" applyFill="1" applyAlignment="1">
      <alignment horizontal="center"/>
    </xf>
    <xf numFmtId="0" fontId="19" fillId="2" borderId="0" xfId="24" applyFont="1" applyFill="1" applyAlignment="1">
      <alignment horizontal="center"/>
    </xf>
    <xf numFmtId="0" fontId="36" fillId="2" borderId="20" xfId="24" applyFont="1" applyFill="1" applyBorder="1" applyAlignment="1">
      <alignment horizontal="center"/>
    </xf>
    <xf numFmtId="0" fontId="17" fillId="2" borderId="0" xfId="24" applyFont="1" applyFill="1" applyAlignment="1">
      <alignment horizontal="right"/>
    </xf>
    <xf numFmtId="0" fontId="8" fillId="2" borderId="0" xfId="29" applyFont="1" applyFill="1" applyAlignment="1">
      <alignment horizontal="centerContinuous"/>
    </xf>
    <xf numFmtId="0" fontId="30" fillId="2" borderId="0" xfId="29" applyFont="1" applyFill="1" applyAlignment="1">
      <alignment horizontal="center"/>
    </xf>
    <xf numFmtId="3" fontId="5" fillId="6" borderId="130" xfId="24" applyNumberFormat="1" applyFont="1" applyFill="1" applyBorder="1"/>
    <xf numFmtId="17" fontId="8" fillId="6" borderId="131" xfId="24" applyNumberFormat="1" applyFont="1" applyFill="1" applyBorder="1" applyAlignment="1">
      <alignment horizontal="centerContinuous"/>
    </xf>
    <xf numFmtId="17" fontId="8" fillId="6" borderId="132" xfId="24" applyNumberFormat="1" applyFont="1" applyFill="1" applyBorder="1" applyAlignment="1">
      <alignment horizontal="centerContinuous"/>
    </xf>
    <xf numFmtId="17" fontId="8" fillId="6" borderId="133" xfId="24" applyNumberFormat="1" applyFont="1" applyFill="1" applyBorder="1" applyAlignment="1">
      <alignment horizontal="centerContinuous"/>
    </xf>
    <xf numFmtId="17" fontId="8" fillId="6" borderId="133" xfId="24" quotePrefix="1" applyNumberFormat="1" applyFont="1" applyFill="1" applyBorder="1" applyAlignment="1">
      <alignment horizontal="centerContinuous"/>
    </xf>
    <xf numFmtId="17" fontId="8" fillId="6" borderId="134" xfId="24" quotePrefix="1" applyNumberFormat="1" applyFont="1" applyFill="1" applyBorder="1" applyAlignment="1">
      <alignment horizontal="centerContinuous"/>
    </xf>
    <xf numFmtId="17" fontId="8" fillId="6" borderId="135" xfId="24" quotePrefix="1" applyNumberFormat="1" applyFont="1" applyFill="1" applyBorder="1" applyAlignment="1">
      <alignment horizontal="centerContinuous"/>
    </xf>
    <xf numFmtId="17" fontId="8" fillId="6" borderId="136" xfId="24" quotePrefix="1" applyNumberFormat="1" applyFont="1" applyFill="1" applyBorder="1" applyAlignment="1">
      <alignment horizontal="centerContinuous"/>
    </xf>
    <xf numFmtId="17" fontId="8" fillId="6" borderId="52" xfId="24" quotePrefix="1" applyNumberFormat="1" applyFont="1" applyFill="1" applyBorder="1" applyAlignment="1">
      <alignment horizontal="center"/>
    </xf>
    <xf numFmtId="17" fontId="8" fillId="6" borderId="53" xfId="24" quotePrefix="1" applyNumberFormat="1" applyFont="1" applyFill="1" applyBorder="1" applyAlignment="1">
      <alignment horizontal="center"/>
    </xf>
    <xf numFmtId="17" fontId="8" fillId="6" borderId="54" xfId="24" quotePrefix="1" applyNumberFormat="1" applyFont="1" applyFill="1" applyBorder="1" applyAlignment="1">
      <alignment horizontal="center"/>
    </xf>
    <xf numFmtId="0" fontId="5" fillId="2" borderId="0" xfId="24" applyFont="1" applyFill="1"/>
    <xf numFmtId="0" fontId="5" fillId="2" borderId="0" xfId="24" applyFont="1" applyFill="1" applyAlignment="1">
      <alignment horizontal="center"/>
    </xf>
    <xf numFmtId="3" fontId="8" fillId="6" borderId="137" xfId="24" applyNumberFormat="1" applyFont="1" applyFill="1" applyBorder="1"/>
    <xf numFmtId="0" fontId="5" fillId="2" borderId="138" xfId="24" applyFont="1" applyFill="1" applyBorder="1"/>
    <xf numFmtId="0" fontId="5" fillId="2" borderId="139" xfId="24" applyFont="1" applyFill="1" applyBorder="1"/>
    <xf numFmtId="0" fontId="5" fillId="2" borderId="140" xfId="24" applyFont="1" applyFill="1" applyBorder="1"/>
    <xf numFmtId="0" fontId="5" fillId="2" borderId="139" xfId="0" applyFont="1" applyFill="1" applyBorder="1"/>
    <xf numFmtId="0" fontId="5" fillId="2" borderId="141" xfId="0" applyFont="1" applyFill="1" applyBorder="1"/>
    <xf numFmtId="0" fontId="5" fillId="2" borderId="18" xfId="0" applyFont="1" applyFill="1" applyBorder="1"/>
    <xf numFmtId="0" fontId="5" fillId="2" borderId="18" xfId="0" applyFont="1" applyFill="1" applyBorder="1" applyAlignment="1">
      <alignment horizontal="right"/>
    </xf>
    <xf numFmtId="0" fontId="5" fillId="2" borderId="24" xfId="0" applyFont="1" applyFill="1" applyBorder="1" applyAlignment="1">
      <alignment horizontal="center"/>
    </xf>
    <xf numFmtId="0" fontId="5" fillId="2" borderId="4" xfId="0" applyFont="1" applyFill="1" applyBorder="1" applyAlignment="1">
      <alignment horizontal="center"/>
    </xf>
    <xf numFmtId="0" fontId="88" fillId="2" borderId="4" xfId="0" applyFont="1" applyFill="1" applyBorder="1" applyAlignment="1">
      <alignment horizontal="center"/>
    </xf>
    <xf numFmtId="0" fontId="88" fillId="2" borderId="41" xfId="0" applyFont="1" applyFill="1" applyBorder="1" applyAlignment="1">
      <alignment horizontal="center"/>
    </xf>
    <xf numFmtId="3" fontId="5" fillId="6" borderId="57" xfId="24" applyNumberFormat="1" applyFont="1" applyFill="1" applyBorder="1" applyAlignment="1">
      <alignment horizontal="left"/>
    </xf>
    <xf numFmtId="2" fontId="8" fillId="2" borderId="0" xfId="24" applyNumberFormat="1" applyFont="1" applyFill="1" applyAlignment="1">
      <alignment horizontal="right"/>
    </xf>
    <xf numFmtId="2" fontId="8" fillId="2" borderId="138" xfId="24" applyNumberFormat="1" applyFont="1" applyFill="1" applyBorder="1" applyAlignment="1">
      <alignment horizontal="right"/>
    </xf>
    <xf numFmtId="2" fontId="8" fillId="2" borderId="139" xfId="24" applyNumberFormat="1" applyFont="1" applyFill="1" applyBorder="1" applyAlignment="1">
      <alignment horizontal="right"/>
    </xf>
    <xf numFmtId="2" fontId="8" fillId="2" borderId="140" xfId="24" applyNumberFormat="1" applyFont="1" applyFill="1" applyBorder="1" applyAlignment="1">
      <alignment horizontal="right"/>
    </xf>
    <xf numFmtId="2" fontId="8" fillId="2" borderId="141" xfId="24" applyNumberFormat="1" applyFont="1" applyFill="1" applyBorder="1" applyAlignment="1">
      <alignment horizontal="right"/>
    </xf>
    <xf numFmtId="2" fontId="8" fillId="2" borderId="18" xfId="24" applyNumberFormat="1" applyFont="1" applyFill="1" applyBorder="1" applyAlignment="1">
      <alignment horizontal="right"/>
    </xf>
    <xf numFmtId="2" fontId="8" fillId="2" borderId="24" xfId="24" applyNumberFormat="1" applyFont="1" applyFill="1" applyBorder="1" applyAlignment="1">
      <alignment horizontal="center"/>
    </xf>
    <xf numFmtId="2" fontId="8" fillId="2" borderId="4" xfId="24" applyNumberFormat="1" applyFont="1" applyFill="1" applyBorder="1" applyAlignment="1">
      <alignment horizontal="center"/>
    </xf>
    <xf numFmtId="2" fontId="8" fillId="2" borderId="41" xfId="24" applyNumberFormat="1" applyFont="1" applyFill="1" applyBorder="1" applyAlignment="1">
      <alignment horizontal="center"/>
    </xf>
    <xf numFmtId="2" fontId="5" fillId="2" borderId="4" xfId="0" applyNumberFormat="1" applyFont="1" applyFill="1" applyBorder="1" applyAlignment="1">
      <alignment horizontal="center"/>
    </xf>
    <xf numFmtId="2" fontId="5" fillId="2" borderId="41" xfId="0" applyNumberFormat="1" applyFont="1" applyFill="1" applyBorder="1" applyAlignment="1">
      <alignment horizontal="center"/>
    </xf>
    <xf numFmtId="2" fontId="5" fillId="2" borderId="0" xfId="24" applyNumberFormat="1" applyFont="1" applyFill="1" applyAlignment="1">
      <alignment horizontal="right"/>
    </xf>
    <xf numFmtId="2" fontId="5" fillId="2" borderId="138" xfId="24" applyNumberFormat="1" applyFont="1" applyFill="1" applyBorder="1" applyAlignment="1">
      <alignment horizontal="right"/>
    </xf>
    <xf numFmtId="2" fontId="5" fillId="2" borderId="139" xfId="24" applyNumberFormat="1" applyFont="1" applyFill="1" applyBorder="1" applyAlignment="1">
      <alignment horizontal="right"/>
    </xf>
    <xf numFmtId="2" fontId="5" fillId="2" borderId="140" xfId="24" applyNumberFormat="1" applyFont="1" applyFill="1" applyBorder="1" applyAlignment="1">
      <alignment horizontal="right"/>
    </xf>
    <xf numFmtId="2" fontId="5" fillId="2" borderId="139" xfId="0" applyNumberFormat="1" applyFont="1" applyFill="1" applyBorder="1" applyAlignment="1">
      <alignment horizontal="right"/>
    </xf>
    <xf numFmtId="2" fontId="5" fillId="2" borderId="141" xfId="0" applyNumberFormat="1" applyFont="1" applyFill="1" applyBorder="1" applyAlignment="1">
      <alignment horizontal="right"/>
    </xf>
    <xf numFmtId="2" fontId="5" fillId="2" borderId="18" xfId="0" applyNumberFormat="1" applyFont="1" applyFill="1" applyBorder="1" applyAlignment="1">
      <alignment horizontal="right"/>
    </xf>
    <xf numFmtId="2" fontId="5" fillId="2" borderId="18" xfId="0" applyNumberFormat="1" applyFont="1" applyFill="1" applyBorder="1" applyAlignment="1">
      <alignment horizontal="center"/>
    </xf>
    <xf numFmtId="2" fontId="5" fillId="2" borderId="24" xfId="0" applyNumberFormat="1" applyFont="1" applyFill="1" applyBorder="1" applyAlignment="1">
      <alignment horizontal="center"/>
    </xf>
    <xf numFmtId="2" fontId="5" fillId="0" borderId="41" xfId="0" applyNumberFormat="1" applyFont="1" applyFill="1" applyBorder="1" applyAlignment="1">
      <alignment horizontal="center"/>
    </xf>
    <xf numFmtId="0" fontId="89" fillId="0" borderId="0" xfId="24" applyFont="1" applyFill="1"/>
    <xf numFmtId="2" fontId="5" fillId="0" borderId="4" xfId="0" applyNumberFormat="1" applyFont="1" applyBorder="1" applyAlignment="1">
      <alignment horizontal="center"/>
    </xf>
    <xf numFmtId="3" fontId="5" fillId="6" borderId="58" xfId="24" applyNumberFormat="1" applyFont="1" applyFill="1" applyBorder="1"/>
    <xf numFmtId="2" fontId="5" fillId="2" borderId="20" xfId="24" applyNumberFormat="1" applyFont="1" applyFill="1" applyBorder="1"/>
    <xf numFmtId="0" fontId="5" fillId="2" borderId="142" xfId="24" applyFont="1" applyFill="1" applyBorder="1"/>
    <xf numFmtId="0" fontId="5" fillId="2" borderId="20" xfId="24" applyFont="1" applyFill="1" applyBorder="1"/>
    <xf numFmtId="0" fontId="5" fillId="2" borderId="143" xfId="24" applyFont="1" applyFill="1" applyBorder="1"/>
    <xf numFmtId="0" fontId="5" fillId="2" borderId="144" xfId="24" applyFont="1" applyFill="1" applyBorder="1"/>
    <xf numFmtId="0" fontId="5" fillId="2" borderId="145" xfId="24" applyFont="1" applyFill="1" applyBorder="1"/>
    <xf numFmtId="0" fontId="5" fillId="2" borderId="146" xfId="24" applyFont="1" applyFill="1" applyBorder="1"/>
    <xf numFmtId="0" fontId="5" fillId="2" borderId="144" xfId="0" applyFont="1" applyFill="1" applyBorder="1"/>
    <xf numFmtId="0" fontId="5" fillId="2" borderId="147" xfId="0" applyFont="1" applyFill="1" applyBorder="1"/>
    <xf numFmtId="0" fontId="5" fillId="2" borderId="19" xfId="0" applyFont="1" applyFill="1" applyBorder="1"/>
    <xf numFmtId="0" fontId="5" fillId="2" borderId="19" xfId="0" applyFont="1" applyFill="1" applyBorder="1" applyAlignment="1">
      <alignment horizontal="right"/>
    </xf>
    <xf numFmtId="0" fontId="5" fillId="2" borderId="27" xfId="0" applyFont="1" applyFill="1" applyBorder="1" applyAlignment="1">
      <alignment horizontal="center"/>
    </xf>
    <xf numFmtId="0" fontId="5" fillId="2" borderId="6" xfId="0" applyFont="1" applyFill="1" applyBorder="1" applyAlignment="1">
      <alignment horizontal="center"/>
    </xf>
    <xf numFmtId="0" fontId="5" fillId="2" borderId="43" xfId="0" applyFont="1" applyFill="1" applyBorder="1" applyAlignment="1">
      <alignment horizontal="center"/>
    </xf>
    <xf numFmtId="0" fontId="19" fillId="0" borderId="0" xfId="24" applyFont="1" applyFill="1"/>
    <xf numFmtId="17" fontId="5" fillId="2" borderId="0" xfId="0" applyNumberFormat="1" applyFont="1" applyFill="1"/>
    <xf numFmtId="0" fontId="32" fillId="0" borderId="0" xfId="14" applyFont="1" applyFill="1" applyAlignment="1">
      <alignment horizontal="left"/>
    </xf>
    <xf numFmtId="0" fontId="91" fillId="0" borderId="0" xfId="24" applyFont="1" applyFill="1" applyAlignment="1">
      <alignment horizontal="center"/>
    </xf>
    <xf numFmtId="0" fontId="91" fillId="0" borderId="0" xfId="24" applyFont="1" applyAlignment="1">
      <alignment horizontal="center"/>
    </xf>
    <xf numFmtId="0" fontId="55" fillId="0" borderId="0" xfId="24" applyFont="1"/>
    <xf numFmtId="0" fontId="4" fillId="2" borderId="20" xfId="14" applyFont="1" applyFill="1" applyBorder="1" applyAlignment="1">
      <alignment horizontal="left"/>
    </xf>
    <xf numFmtId="0" fontId="30" fillId="0" borderId="20" xfId="24" applyFont="1" applyBorder="1" applyAlignment="1">
      <alignment horizontal="right"/>
    </xf>
    <xf numFmtId="0" fontId="4" fillId="3" borderId="50" xfId="24" applyFont="1" applyFill="1" applyBorder="1" applyAlignment="1">
      <alignment horizontal="left" wrapText="1"/>
    </xf>
    <xf numFmtId="17" fontId="8" fillId="3" borderId="19" xfId="24" applyNumberFormat="1" applyFont="1" applyFill="1" applyBorder="1" applyAlignment="1">
      <alignment horizontal="center"/>
    </xf>
    <xf numFmtId="0" fontId="4" fillId="3" borderId="61" xfId="24" applyFont="1" applyFill="1" applyBorder="1" applyAlignment="1">
      <alignment horizontal="left" wrapText="1"/>
    </xf>
    <xf numFmtId="2" fontId="8" fillId="0" borderId="14" xfId="22" applyNumberFormat="1" applyFont="1" applyFill="1" applyBorder="1" applyAlignment="1">
      <alignment horizontal="center"/>
    </xf>
    <xf numFmtId="3" fontId="4" fillId="3" borderId="18" xfId="25" applyNumberFormat="1" applyFont="1" applyFill="1" applyBorder="1" applyAlignment="1" applyProtection="1">
      <alignment horizontal="left"/>
      <protection hidden="1"/>
    </xf>
    <xf numFmtId="3" fontId="24" fillId="3" borderId="18" xfId="25" applyNumberFormat="1" applyFont="1" applyFill="1" applyBorder="1" applyAlignment="1" applyProtection="1">
      <alignment horizontal="left"/>
      <protection hidden="1"/>
    </xf>
    <xf numFmtId="2" fontId="5" fillId="0" borderId="14" xfId="22" applyNumberFormat="1" applyFont="1" applyFill="1" applyBorder="1" applyAlignment="1">
      <alignment horizontal="center"/>
    </xf>
    <xf numFmtId="3" fontId="38" fillId="3" borderId="18" xfId="25" applyNumberFormat="1" applyFont="1" applyFill="1" applyBorder="1" applyAlignment="1" applyProtection="1">
      <alignment horizontal="left" indent="1"/>
      <protection hidden="1"/>
    </xf>
    <xf numFmtId="0" fontId="92" fillId="0" borderId="0" xfId="24" applyFont="1"/>
    <xf numFmtId="3" fontId="38" fillId="3" borderId="18" xfId="25" applyNumberFormat="1" applyFont="1" applyFill="1" applyBorder="1" applyAlignment="1" applyProtection="1">
      <alignment horizontal="left" indent="2"/>
      <protection hidden="1"/>
    </xf>
    <xf numFmtId="0" fontId="93" fillId="0" borderId="0" xfId="24" applyFont="1"/>
    <xf numFmtId="3" fontId="24" fillId="3" borderId="19" xfId="25" applyNumberFormat="1" applyFont="1" applyFill="1" applyBorder="1" applyAlignment="1" applyProtection="1">
      <alignment horizontal="left"/>
      <protection hidden="1"/>
    </xf>
    <xf numFmtId="2" fontId="5" fillId="0" borderId="21" xfId="22" applyNumberFormat="1" applyFont="1" applyFill="1" applyBorder="1" applyAlignment="1">
      <alignment horizontal="center"/>
    </xf>
    <xf numFmtId="3" fontId="38" fillId="0" borderId="0" xfId="25" applyNumberFormat="1" applyFont="1" applyAlignment="1" applyProtection="1">
      <alignment horizontal="left"/>
      <protection hidden="1"/>
    </xf>
    <xf numFmtId="2" fontId="5" fillId="0" borderId="0" xfId="22" applyNumberFormat="1" applyFont="1" applyFill="1" applyBorder="1" applyAlignment="1">
      <alignment horizontal="center"/>
    </xf>
    <xf numFmtId="3" fontId="24" fillId="0" borderId="0" xfId="25" applyNumberFormat="1" applyFont="1" applyAlignment="1" applyProtection="1">
      <alignment horizontal="left" indent="1"/>
      <protection hidden="1"/>
    </xf>
    <xf numFmtId="0" fontId="4" fillId="3" borderId="52" xfId="24" applyFont="1" applyFill="1" applyBorder="1" applyAlignment="1">
      <alignment horizontal="left" wrapText="1"/>
    </xf>
    <xf numFmtId="0" fontId="4" fillId="3" borderId="17" xfId="24" applyFont="1" applyFill="1" applyBorder="1" applyAlignment="1">
      <alignment wrapText="1"/>
    </xf>
    <xf numFmtId="0" fontId="8" fillId="0" borderId="16" xfId="24" applyFont="1" applyBorder="1" applyAlignment="1">
      <alignment horizontal="center"/>
    </xf>
    <xf numFmtId="0" fontId="8" fillId="0" borderId="16" xfId="24" applyFont="1" applyFill="1" applyBorder="1" applyAlignment="1">
      <alignment horizontal="center"/>
    </xf>
    <xf numFmtId="2" fontId="5" fillId="0" borderId="18" xfId="22" applyNumberFormat="1" applyFont="1" applyFill="1" applyBorder="1" applyAlignment="1">
      <alignment horizontal="center"/>
    </xf>
    <xf numFmtId="3" fontId="4" fillId="3" borderId="18" xfId="25" applyNumberFormat="1" applyFont="1" applyFill="1" applyBorder="1" applyProtection="1">
      <protection hidden="1"/>
    </xf>
    <xf numFmtId="10" fontId="8" fillId="0" borderId="14" xfId="22" applyNumberFormat="1" applyFont="1" applyFill="1" applyBorder="1" applyAlignment="1">
      <alignment horizontal="center"/>
    </xf>
    <xf numFmtId="3" fontId="4" fillId="3" borderId="19" xfId="25" applyNumberFormat="1" applyFont="1" applyFill="1" applyBorder="1" applyAlignment="1" applyProtection="1">
      <alignment horizontal="left"/>
      <protection hidden="1"/>
    </xf>
    <xf numFmtId="10" fontId="8" fillId="0" borderId="21" xfId="22" applyNumberFormat="1" applyFont="1" applyFill="1" applyBorder="1" applyAlignment="1">
      <alignment horizontal="center"/>
    </xf>
    <xf numFmtId="0" fontId="8" fillId="0" borderId="21" xfId="22" applyNumberFormat="1" applyFont="1" applyFill="1" applyBorder="1" applyAlignment="1">
      <alignment horizontal="center"/>
    </xf>
    <xf numFmtId="0" fontId="16" fillId="11" borderId="0" xfId="24" applyFont="1" applyFill="1" applyAlignment="1">
      <alignment vertical="top"/>
    </xf>
    <xf numFmtId="0" fontId="17" fillId="11" borderId="0" xfId="24" applyFont="1" applyFill="1" applyAlignment="1">
      <alignment horizontal="left" vertical="top"/>
    </xf>
    <xf numFmtId="0" fontId="94" fillId="0" borderId="0" xfId="24" applyFont="1" applyAlignment="1">
      <alignment horizontal="center"/>
    </xf>
    <xf numFmtId="0" fontId="4" fillId="2" borderId="0" xfId="29" applyFont="1" applyFill="1"/>
    <xf numFmtId="0" fontId="24" fillId="2" borderId="0" xfId="29" applyFont="1" applyFill="1"/>
    <xf numFmtId="0" fontId="19" fillId="2" borderId="0" xfId="29" applyFont="1" applyFill="1"/>
    <xf numFmtId="0" fontId="5" fillId="6" borderId="148" xfId="29" applyFont="1" applyFill="1" applyBorder="1"/>
    <xf numFmtId="0" fontId="8" fillId="6" borderId="149" xfId="29" applyFont="1" applyFill="1" applyBorder="1" applyAlignment="1">
      <alignment horizontal="center" vertical="top"/>
    </xf>
    <xf numFmtId="0" fontId="8" fillId="6" borderId="122" xfId="29" applyFont="1" applyFill="1" applyBorder="1" applyAlignment="1">
      <alignment horizontal="center"/>
    </xf>
    <xf numFmtId="0" fontId="8" fillId="6" borderId="77" xfId="29" applyFont="1" applyFill="1" applyBorder="1" applyAlignment="1">
      <alignment horizontal="center"/>
    </xf>
    <xf numFmtId="0" fontId="5" fillId="2" borderId="0" xfId="29" applyFont="1" applyFill="1"/>
    <xf numFmtId="0" fontId="5" fillId="6" borderId="57" xfId="29" applyFont="1" applyFill="1" applyBorder="1"/>
    <xf numFmtId="0" fontId="8" fillId="6" borderId="48" xfId="29" applyFont="1" applyFill="1" applyBorder="1" applyAlignment="1">
      <alignment horizontal="center" vertical="top"/>
    </xf>
    <xf numFmtId="0" fontId="8" fillId="6" borderId="4" xfId="29" applyFont="1" applyFill="1" applyBorder="1" applyAlignment="1">
      <alignment horizontal="center"/>
    </xf>
    <xf numFmtId="0" fontId="8" fillId="6" borderId="33" xfId="29" applyFont="1" applyFill="1" applyBorder="1" applyAlignment="1">
      <alignment horizontal="center"/>
    </xf>
    <xf numFmtId="0" fontId="5" fillId="6" borderId="130" xfId="29" applyFont="1" applyFill="1" applyBorder="1"/>
    <xf numFmtId="0" fontId="8" fillId="6" borderId="49" xfId="29" applyFont="1" applyFill="1" applyBorder="1" applyAlignment="1">
      <alignment horizontal="center" vertical="top"/>
    </xf>
    <xf numFmtId="0" fontId="8" fillId="6" borderId="37" xfId="29" applyFont="1" applyFill="1" applyBorder="1" applyAlignment="1">
      <alignment horizontal="center"/>
    </xf>
    <xf numFmtId="0" fontId="8" fillId="6" borderId="44" xfId="29" applyFont="1" applyFill="1" applyBorder="1" applyAlignment="1">
      <alignment horizontal="center"/>
    </xf>
    <xf numFmtId="17" fontId="8" fillId="8" borderId="57" xfId="29" applyNumberFormat="1" applyFont="1" applyFill="1" applyBorder="1" applyAlignment="1">
      <alignment horizontal="left"/>
    </xf>
    <xf numFmtId="2" fontId="24" fillId="2" borderId="4" xfId="29" applyNumberFormat="1" applyFont="1" applyFill="1" applyBorder="1" applyAlignment="1">
      <alignment horizontal="right"/>
    </xf>
    <xf numFmtId="0" fontId="24" fillId="2" borderId="4" xfId="29" applyFont="1" applyFill="1" applyBorder="1" applyAlignment="1">
      <alignment horizontal="right"/>
    </xf>
    <xf numFmtId="2" fontId="24" fillId="2" borderId="33" xfId="29" applyNumberFormat="1" applyFont="1" applyFill="1" applyBorder="1" applyAlignment="1">
      <alignment horizontal="right"/>
    </xf>
    <xf numFmtId="2" fontId="19" fillId="2" borderId="0" xfId="29" applyNumberFormat="1" applyFont="1" applyFill="1"/>
    <xf numFmtId="2" fontId="24" fillId="2" borderId="4" xfId="29" quotePrefix="1" applyNumberFormat="1" applyFont="1" applyFill="1" applyBorder="1" applyAlignment="1">
      <alignment horizontal="right"/>
    </xf>
    <xf numFmtId="17" fontId="8" fillId="8" borderId="57" xfId="29" quotePrefix="1" applyNumberFormat="1" applyFont="1" applyFill="1" applyBorder="1" applyAlignment="1">
      <alignment horizontal="left"/>
    </xf>
    <xf numFmtId="17" fontId="8" fillId="9" borderId="57" xfId="29" quotePrefix="1" applyNumberFormat="1" applyFont="1" applyFill="1" applyBorder="1" applyAlignment="1">
      <alignment horizontal="left"/>
    </xf>
    <xf numFmtId="2" fontId="5" fillId="2" borderId="0" xfId="29" applyNumberFormat="1" applyFont="1" applyFill="1"/>
    <xf numFmtId="172" fontId="19" fillId="2" borderId="0" xfId="29" applyNumberFormat="1" applyFont="1" applyFill="1"/>
    <xf numFmtId="0" fontId="24" fillId="2" borderId="4" xfId="29" applyFont="1" applyFill="1" applyBorder="1"/>
    <xf numFmtId="0" fontId="17" fillId="2" borderId="0" xfId="29" applyFont="1" applyFill="1" applyAlignment="1">
      <alignment horizontal="centerContinuous"/>
    </xf>
    <xf numFmtId="17" fontId="8" fillId="12" borderId="57" xfId="29" quotePrefix="1" applyNumberFormat="1" applyFont="1" applyFill="1" applyBorder="1" applyAlignment="1">
      <alignment horizontal="left"/>
    </xf>
    <xf numFmtId="17" fontId="8" fillId="6" borderId="57" xfId="29" quotePrefix="1" applyNumberFormat="1" applyFont="1" applyFill="1" applyBorder="1" applyAlignment="1">
      <alignment horizontal="left"/>
    </xf>
    <xf numFmtId="2" fontId="11" fillId="2" borderId="4" xfId="29" applyNumberFormat="1" applyFont="1" applyFill="1" applyBorder="1" applyAlignment="1">
      <alignment horizontal="right" indent="1"/>
    </xf>
    <xf numFmtId="0" fontId="11" fillId="2" borderId="4" xfId="29" applyFont="1" applyFill="1" applyBorder="1" applyAlignment="1">
      <alignment horizontal="right" indent="1"/>
    </xf>
    <xf numFmtId="2" fontId="11" fillId="2" borderId="33" xfId="29" applyNumberFormat="1" applyFont="1" applyFill="1" applyBorder="1" applyAlignment="1">
      <alignment horizontal="right" indent="1"/>
    </xf>
    <xf numFmtId="4" fontId="11" fillId="2" borderId="4" xfId="29" applyNumberFormat="1" applyFont="1" applyFill="1" applyBorder="1" applyAlignment="1">
      <alignment horizontal="right" indent="1"/>
    </xf>
    <xf numFmtId="4" fontId="19" fillId="2" borderId="0" xfId="29" applyNumberFormat="1" applyFont="1" applyFill="1"/>
    <xf numFmtId="4" fontId="5" fillId="2" borderId="0" xfId="29" applyNumberFormat="1" applyFont="1" applyFill="1"/>
    <xf numFmtId="17" fontId="8" fillId="6" borderId="130" xfId="29" quotePrefix="1" applyNumberFormat="1" applyFont="1" applyFill="1" applyBorder="1" applyAlignment="1">
      <alignment horizontal="left"/>
    </xf>
    <xf numFmtId="2" fontId="11" fillId="2" borderId="37" xfId="29" applyNumberFormat="1" applyFont="1" applyFill="1" applyBorder="1" applyAlignment="1">
      <alignment horizontal="right" indent="1"/>
    </xf>
    <xf numFmtId="0" fontId="11" fillId="2" borderId="37" xfId="29" applyFont="1" applyFill="1" applyBorder="1" applyAlignment="1">
      <alignment horizontal="right" indent="1"/>
    </xf>
    <xf numFmtId="4" fontId="11" fillId="2" borderId="37" xfId="29" applyNumberFormat="1" applyFont="1" applyFill="1" applyBorder="1" applyAlignment="1">
      <alignment horizontal="right" indent="1"/>
    </xf>
    <xf numFmtId="2" fontId="11" fillId="2" borderId="44" xfId="29" applyNumberFormat="1" applyFont="1" applyFill="1" applyBorder="1" applyAlignment="1">
      <alignment horizontal="right" indent="1"/>
    </xf>
    <xf numFmtId="17" fontId="8" fillId="3" borderId="57" xfId="29" quotePrefix="1" applyNumberFormat="1" applyFont="1" applyFill="1" applyBorder="1" applyAlignment="1">
      <alignment horizontal="left"/>
    </xf>
    <xf numFmtId="17" fontId="8" fillId="3" borderId="58" xfId="29" quotePrefix="1" applyNumberFormat="1" applyFont="1" applyFill="1" applyBorder="1" applyAlignment="1">
      <alignment horizontal="left"/>
    </xf>
    <xf numFmtId="2" fontId="11" fillId="2" borderId="6" xfId="29" applyNumberFormat="1" applyFont="1" applyFill="1" applyBorder="1" applyAlignment="1">
      <alignment horizontal="right" indent="1"/>
    </xf>
    <xf numFmtId="0" fontId="11" fillId="0" borderId="6" xfId="29" applyFont="1" applyFill="1" applyBorder="1" applyAlignment="1">
      <alignment horizontal="right" indent="1"/>
    </xf>
    <xf numFmtId="4" fontId="11" fillId="2" borderId="6" xfId="29" applyNumberFormat="1" applyFont="1" applyFill="1" applyBorder="1" applyAlignment="1">
      <alignment horizontal="right" indent="1"/>
    </xf>
    <xf numFmtId="2" fontId="11" fillId="2" borderId="34" xfId="29" applyNumberFormat="1" applyFont="1" applyFill="1" applyBorder="1" applyAlignment="1">
      <alignment horizontal="right" indent="1"/>
    </xf>
    <xf numFmtId="0" fontId="17" fillId="2" borderId="0" xfId="29" applyFont="1" applyFill="1" applyAlignment="1">
      <alignment vertical="center"/>
    </xf>
    <xf numFmtId="0" fontId="17" fillId="2" borderId="0" xfId="29" applyFont="1" applyFill="1"/>
    <xf numFmtId="0" fontId="17" fillId="2" borderId="0" xfId="29" applyFont="1" applyFill="1" applyAlignment="1">
      <alignment horizontal="left"/>
    </xf>
    <xf numFmtId="2" fontId="17" fillId="2" borderId="0" xfId="29" applyNumberFormat="1" applyFont="1" applyFill="1"/>
    <xf numFmtId="0" fontId="17" fillId="2" borderId="0" xfId="12" applyFont="1" applyFill="1" applyAlignment="1">
      <alignment horizontal="left"/>
    </xf>
    <xf numFmtId="0" fontId="4" fillId="0" borderId="0" xfId="72" applyFont="1" applyBorder="1"/>
    <xf numFmtId="0" fontId="96" fillId="0" borderId="0" xfId="72" applyFont="1" applyBorder="1"/>
    <xf numFmtId="0" fontId="97" fillId="0" borderId="0" xfId="72" applyFont="1" applyBorder="1"/>
    <xf numFmtId="0" fontId="98" fillId="0" borderId="0" xfId="72" applyFont="1" applyBorder="1" applyAlignment="1">
      <alignment horizontal="center"/>
    </xf>
    <xf numFmtId="0" fontId="91" fillId="0" borderId="0" xfId="72" applyFont="1" applyAlignment="1">
      <alignment horizontal="center"/>
    </xf>
    <xf numFmtId="0" fontId="33" fillId="0" borderId="0" xfId="72" applyFont="1"/>
    <xf numFmtId="0" fontId="41" fillId="0" borderId="0" xfId="72" applyFont="1" applyFill="1"/>
    <xf numFmtId="0" fontId="96" fillId="0" borderId="0" xfId="72" applyFont="1" applyBorder="1" applyAlignment="1">
      <alignment horizontal="center"/>
    </xf>
    <xf numFmtId="0" fontId="94" fillId="0" borderId="0" xfId="72" applyFont="1"/>
    <xf numFmtId="0" fontId="4" fillId="3" borderId="124" xfId="14" applyFont="1" applyFill="1" applyBorder="1"/>
    <xf numFmtId="184" fontId="4" fillId="3" borderId="7" xfId="14" applyNumberFormat="1" applyFont="1" applyFill="1" applyBorder="1" applyAlignment="1">
      <alignment horizontal="center"/>
    </xf>
    <xf numFmtId="0" fontId="24" fillId="3" borderId="7" xfId="14" applyFont="1" applyFill="1" applyBorder="1" applyAlignment="1">
      <alignment horizontal="center"/>
    </xf>
    <xf numFmtId="0" fontId="24" fillId="3" borderId="8" xfId="14" applyFont="1" applyFill="1" applyBorder="1"/>
    <xf numFmtId="0" fontId="4" fillId="3" borderId="3" xfId="14" applyFont="1" applyFill="1" applyBorder="1"/>
    <xf numFmtId="4" fontId="4" fillId="3" borderId="0" xfId="14" applyNumberFormat="1" applyFont="1" applyFill="1" applyBorder="1" applyAlignment="1">
      <alignment horizontal="right"/>
    </xf>
    <xf numFmtId="0" fontId="24" fillId="3" borderId="0" xfId="14" applyFont="1" applyFill="1" applyBorder="1"/>
    <xf numFmtId="0" fontId="24" fillId="3" borderId="14" xfId="14" applyFont="1" applyFill="1" applyBorder="1"/>
    <xf numFmtId="4" fontId="26" fillId="0" borderId="0" xfId="14" applyNumberFormat="1" applyFont="1" applyFill="1" applyBorder="1" applyAlignment="1">
      <alignment horizontal="center"/>
    </xf>
    <xf numFmtId="0" fontId="11" fillId="0" borderId="0" xfId="14" applyFont="1" applyFill="1" applyBorder="1"/>
    <xf numFmtId="0" fontId="24" fillId="0" borderId="14" xfId="14" applyFont="1" applyFill="1" applyBorder="1"/>
    <xf numFmtId="4" fontId="26" fillId="0" borderId="0" xfId="14" applyNumberFormat="1" applyFont="1" applyFill="1" applyBorder="1" applyAlignment="1">
      <alignment horizontal="right"/>
    </xf>
    <xf numFmtId="0" fontId="38" fillId="3" borderId="3" xfId="14" applyFont="1" applyFill="1" applyBorder="1"/>
    <xf numFmtId="0" fontId="24" fillId="3" borderId="3" xfId="14" applyFont="1" applyFill="1" applyBorder="1"/>
    <xf numFmtId="38" fontId="11" fillId="0" borderId="150" xfId="18" applyNumberFormat="1" applyFont="1" applyFill="1" applyBorder="1" applyAlignment="1"/>
    <xf numFmtId="38" fontId="11" fillId="0" borderId="112" xfId="18" applyNumberFormat="1" applyFont="1" applyFill="1" applyBorder="1" applyAlignment="1"/>
    <xf numFmtId="0" fontId="24" fillId="3" borderId="3" xfId="14" applyFont="1" applyFill="1" applyBorder="1" applyAlignment="1">
      <alignment vertical="center" wrapText="1"/>
    </xf>
    <xf numFmtId="0" fontId="24" fillId="3" borderId="3" xfId="14" applyFont="1" applyFill="1" applyBorder="1" applyAlignment="1">
      <alignment wrapText="1"/>
    </xf>
    <xf numFmtId="38" fontId="11" fillId="0" borderId="151" xfId="18" applyNumberFormat="1" applyFont="1" applyFill="1" applyBorder="1" applyAlignment="1"/>
    <xf numFmtId="0" fontId="99" fillId="3" borderId="3" xfId="14" applyFont="1" applyFill="1" applyBorder="1"/>
    <xf numFmtId="38" fontId="11" fillId="0" borderId="0" xfId="18" applyNumberFormat="1" applyFont="1" applyFill="1" applyBorder="1" applyAlignment="1"/>
    <xf numFmtId="4" fontId="26" fillId="0" borderId="0" xfId="14" applyNumberFormat="1" applyFont="1" applyFill="1" applyBorder="1" applyAlignment="1"/>
    <xf numFmtId="38" fontId="11" fillId="0" borderId="152" xfId="18" applyNumberFormat="1" applyFont="1" applyFill="1" applyBorder="1" applyAlignment="1"/>
    <xf numFmtId="38" fontId="11" fillId="0" borderId="153" xfId="18" applyNumberFormat="1" applyFont="1" applyFill="1" applyBorder="1" applyAlignment="1"/>
    <xf numFmtId="0" fontId="100" fillId="3" borderId="3" xfId="14" applyFont="1" applyFill="1" applyBorder="1"/>
    <xf numFmtId="3" fontId="25" fillId="0" borderId="0" xfId="14" applyNumberFormat="1" applyFont="1" applyFill="1" applyBorder="1" applyAlignment="1"/>
    <xf numFmtId="38" fontId="24" fillId="3" borderId="3" xfId="14" applyNumberFormat="1" applyFont="1" applyFill="1" applyBorder="1"/>
    <xf numFmtId="0" fontId="24" fillId="3" borderId="3" xfId="14" applyFont="1" applyFill="1" applyBorder="1" applyAlignment="1">
      <alignment horizontal="left" vertical="top"/>
    </xf>
    <xf numFmtId="38" fontId="11" fillId="0" borderId="152" xfId="18" applyNumberFormat="1" applyFont="1" applyFill="1" applyBorder="1" applyAlignment="1">
      <alignment horizontal="right"/>
    </xf>
    <xf numFmtId="38" fontId="11" fillId="0" borderId="0" xfId="18" applyNumberFormat="1" applyFont="1" applyFill="1" applyBorder="1" applyAlignment="1">
      <alignment horizontal="right"/>
    </xf>
    <xf numFmtId="0" fontId="94" fillId="0" borderId="14" xfId="14" applyFont="1" applyFill="1" applyBorder="1"/>
    <xf numFmtId="3" fontId="102" fillId="0" borderId="0" xfId="14" applyNumberFormat="1" applyFont="1" applyFill="1" applyBorder="1" applyAlignment="1">
      <alignment horizontal="right"/>
    </xf>
    <xf numFmtId="0" fontId="102" fillId="0" borderId="0" xfId="14" applyFont="1" applyFill="1" applyBorder="1"/>
    <xf numFmtId="38" fontId="33" fillId="0" borderId="0" xfId="72" applyNumberFormat="1" applyFont="1"/>
    <xf numFmtId="38" fontId="11" fillId="0" borderId="153" xfId="18" applyNumberFormat="1" applyFont="1" applyFill="1" applyBorder="1" applyAlignment="1">
      <alignment horizontal="right"/>
    </xf>
    <xf numFmtId="0" fontId="24" fillId="3" borderId="5" xfId="14" applyFont="1" applyFill="1" applyBorder="1"/>
    <xf numFmtId="0" fontId="33" fillId="0" borderId="20" xfId="14" applyFont="1" applyBorder="1"/>
    <xf numFmtId="0" fontId="94" fillId="0" borderId="21" xfId="14" applyFont="1" applyFill="1" applyBorder="1"/>
    <xf numFmtId="0" fontId="41" fillId="0" borderId="0" xfId="72" applyFont="1" applyFill="1" applyAlignment="1">
      <alignment horizontal="center"/>
    </xf>
    <xf numFmtId="0" fontId="36" fillId="0" borderId="0" xfId="72" applyFont="1" applyBorder="1"/>
    <xf numFmtId="0" fontId="42" fillId="0" borderId="0" xfId="72" applyFont="1"/>
    <xf numFmtId="165" fontId="41" fillId="0" borderId="0" xfId="19" applyFont="1" applyFill="1"/>
    <xf numFmtId="39" fontId="94" fillId="0" borderId="0" xfId="72" applyNumberFormat="1" applyFont="1"/>
    <xf numFmtId="40" fontId="94" fillId="0" borderId="0" xfId="18" applyFont="1"/>
    <xf numFmtId="40" fontId="33" fillId="0" borderId="0" xfId="18" applyFont="1"/>
    <xf numFmtId="3" fontId="11" fillId="0" borderId="4" xfId="4" quotePrefix="1" applyNumberFormat="1" applyFont="1" applyFill="1" applyBorder="1" applyAlignment="1">
      <alignment horizontal="right" vertical="center"/>
    </xf>
    <xf numFmtId="166" fontId="11" fillId="0" borderId="41" xfId="4" quotePrefix="1" applyNumberFormat="1" applyFont="1" applyFill="1" applyBorder="1" applyAlignment="1">
      <alignment horizontal="right" vertical="center"/>
    </xf>
    <xf numFmtId="3" fontId="11" fillId="0" borderId="4" xfId="7" quotePrefix="1" applyNumberFormat="1" applyFont="1" applyFill="1" applyBorder="1" applyAlignment="1">
      <alignment horizontal="right" vertical="center"/>
    </xf>
    <xf numFmtId="3" fontId="11" fillId="0" borderId="4" xfId="8" quotePrefix="1" applyNumberFormat="1" applyFont="1" applyFill="1" applyBorder="1" applyAlignment="1">
      <alignment horizontal="right" vertical="center"/>
    </xf>
    <xf numFmtId="0" fontId="38" fillId="2" borderId="0" xfId="0" applyFont="1" applyFill="1"/>
    <xf numFmtId="1" fontId="38" fillId="2" borderId="0" xfId="0" applyNumberFormat="1" applyFont="1" applyFill="1"/>
    <xf numFmtId="0" fontId="17" fillId="0" borderId="0" xfId="24" applyFont="1" applyAlignment="1">
      <alignment horizontal="left" wrapText="1"/>
    </xf>
    <xf numFmtId="166" fontId="11" fillId="2" borderId="41" xfId="5" quotePrefix="1" applyNumberFormat="1" applyFont="1" applyFill="1" applyBorder="1" applyAlignment="1">
      <alignment horizontal="right" vertical="center"/>
    </xf>
    <xf numFmtId="0" fontId="8" fillId="3" borderId="39" xfId="12" applyFont="1" applyFill="1" applyBorder="1" applyAlignment="1">
      <alignment horizontal="center"/>
    </xf>
    <xf numFmtId="0" fontId="8" fillId="3" borderId="29" xfId="12" applyFont="1" applyFill="1" applyBorder="1" applyAlignment="1">
      <alignment horizontal="center"/>
    </xf>
    <xf numFmtId="0" fontId="17" fillId="2" borderId="0" xfId="14" applyFont="1" applyFill="1" applyAlignment="1">
      <alignment horizontal="left" vertical="top" wrapText="1"/>
    </xf>
    <xf numFmtId="0" fontId="17" fillId="2" borderId="0" xfId="14" applyFont="1" applyFill="1" applyAlignment="1">
      <alignment horizontal="left" wrapText="1"/>
    </xf>
    <xf numFmtId="0" fontId="17" fillId="0" borderId="0" xfId="0" applyFont="1" applyAlignment="1">
      <alignment horizontal="left" wrapText="1"/>
    </xf>
    <xf numFmtId="0" fontId="17" fillId="0" borderId="0" xfId="24" applyFont="1" applyAlignment="1">
      <alignment horizontal="left" wrapText="1"/>
    </xf>
    <xf numFmtId="164" fontId="19" fillId="2" borderId="0" xfId="1" applyNumberFormat="1" applyFont="1" applyFill="1"/>
    <xf numFmtId="0" fontId="17" fillId="0" borderId="0" xfId="14" applyFont="1" applyAlignment="1">
      <alignment horizontal="right"/>
    </xf>
    <xf numFmtId="3" fontId="64" fillId="0" borderId="18" xfId="14" quotePrefix="1" applyNumberFormat="1" applyFont="1" applyFill="1" applyBorder="1" applyAlignment="1">
      <alignment horizontal="center"/>
    </xf>
    <xf numFmtId="164" fontId="19" fillId="2" borderId="0" xfId="14" applyNumberFormat="1" applyFont="1" applyFill="1"/>
    <xf numFmtId="3" fontId="64" fillId="2" borderId="18" xfId="1" applyNumberFormat="1" applyFont="1" applyFill="1" applyBorder="1" applyAlignment="1">
      <alignment horizontal="center"/>
    </xf>
    <xf numFmtId="164" fontId="31" fillId="2" borderId="0" xfId="1" applyNumberFormat="1" applyFont="1" applyFill="1"/>
    <xf numFmtId="37" fontId="64" fillId="0" borderId="13" xfId="1" quotePrefix="1" applyNumberFormat="1" applyFont="1" applyFill="1" applyBorder="1" applyAlignment="1">
      <alignment horizontal="center"/>
    </xf>
    <xf numFmtId="37" fontId="64" fillId="0" borderId="17" xfId="1" quotePrefix="1" applyNumberFormat="1" applyFont="1" applyFill="1" applyBorder="1" applyAlignment="1">
      <alignment horizontal="center"/>
    </xf>
    <xf numFmtId="0" fontId="39" fillId="0" borderId="0" xfId="0" applyFont="1"/>
    <xf numFmtId="164" fontId="39" fillId="0" borderId="0" xfId="1" applyNumberFormat="1" applyFont="1"/>
    <xf numFmtId="37" fontId="60" fillId="0" borderId="3" xfId="1" applyNumberFormat="1" applyFont="1" applyFill="1" applyBorder="1" applyAlignment="1" applyProtection="1">
      <alignment horizontal="center"/>
      <protection hidden="1"/>
    </xf>
    <xf numFmtId="37" fontId="60" fillId="0" borderId="18" xfId="1" applyNumberFormat="1" applyFont="1" applyFill="1" applyBorder="1" applyAlignment="1" applyProtection="1">
      <alignment horizontal="center"/>
      <protection hidden="1"/>
    </xf>
    <xf numFmtId="37" fontId="64" fillId="0" borderId="3" xfId="1" applyNumberFormat="1" applyFont="1" applyFill="1" applyBorder="1" applyAlignment="1" applyProtection="1">
      <alignment horizontal="center"/>
      <protection hidden="1"/>
    </xf>
    <xf numFmtId="37" fontId="64" fillId="0" borderId="18" xfId="1" applyNumberFormat="1" applyFont="1" applyFill="1" applyBorder="1" applyAlignment="1" applyProtection="1">
      <alignment horizontal="center"/>
      <protection hidden="1"/>
    </xf>
    <xf numFmtId="3" fontId="19" fillId="4" borderId="18" xfId="25" applyNumberFormat="1" applyFont="1" applyFill="1" applyBorder="1" applyProtection="1">
      <protection hidden="1"/>
    </xf>
    <xf numFmtId="3" fontId="19" fillId="4" borderId="0" xfId="25" applyNumberFormat="1" applyFont="1" applyFill="1" applyProtection="1">
      <protection hidden="1"/>
    </xf>
    <xf numFmtId="37" fontId="64" fillId="0" borderId="13" xfId="1" applyNumberFormat="1" applyFont="1" applyFill="1" applyBorder="1" applyAlignment="1" applyProtection="1">
      <alignment horizontal="center"/>
      <protection hidden="1"/>
    </xf>
    <xf numFmtId="37" fontId="64" fillId="0" borderId="17" xfId="1" applyNumberFormat="1" applyFont="1" applyFill="1" applyBorder="1" applyAlignment="1" applyProtection="1">
      <alignment horizontal="center"/>
      <protection hidden="1"/>
    </xf>
    <xf numFmtId="37" fontId="64" fillId="0" borderId="5" xfId="1" applyNumberFormat="1" applyFont="1" applyFill="1" applyBorder="1" applyAlignment="1" applyProtection="1">
      <alignment horizontal="center"/>
      <protection hidden="1"/>
    </xf>
    <xf numFmtId="37" fontId="64" fillId="0" borderId="19" xfId="1" applyNumberFormat="1" applyFont="1" applyFill="1" applyBorder="1" applyAlignment="1" applyProtection="1">
      <alignment horizontal="center"/>
      <protection hidden="1"/>
    </xf>
    <xf numFmtId="164" fontId="64" fillId="4" borderId="60" xfId="1" applyNumberFormat="1" applyFont="1" applyFill="1" applyBorder="1" applyAlignment="1" applyProtection="1">
      <alignment horizontal="center"/>
      <protection hidden="1"/>
    </xf>
    <xf numFmtId="164" fontId="64" fillId="4" borderId="50" xfId="1" applyNumberFormat="1" applyFont="1" applyFill="1" applyBorder="1" applyAlignment="1" applyProtection="1">
      <alignment horizontal="center"/>
      <protection hidden="1"/>
    </xf>
    <xf numFmtId="0" fontId="31" fillId="0" borderId="0" xfId="14" applyFont="1" applyAlignment="1">
      <alignment horizontal="center"/>
    </xf>
    <xf numFmtId="164" fontId="17" fillId="2" borderId="0" xfId="1" applyNumberFormat="1" applyFont="1" applyFill="1"/>
    <xf numFmtId="0" fontId="2" fillId="0" borderId="0" xfId="0" applyFont="1" applyAlignment="1">
      <alignment horizontal="left" wrapText="1"/>
    </xf>
    <xf numFmtId="3" fontId="19" fillId="0" borderId="0" xfId="14" applyNumberFormat="1" applyFont="1"/>
    <xf numFmtId="0" fontId="62" fillId="2" borderId="0" xfId="14" applyFont="1" applyFill="1" applyAlignment="1">
      <alignment horizontal="left" wrapText="1"/>
    </xf>
    <xf numFmtId="3" fontId="31" fillId="0" borderId="0" xfId="14" applyNumberFormat="1" applyFont="1"/>
    <xf numFmtId="3" fontId="17" fillId="0" borderId="0" xfId="14" applyNumberFormat="1" applyFont="1"/>
    <xf numFmtId="0" fontId="64" fillId="2" borderId="20" xfId="14" applyFont="1" applyFill="1" applyBorder="1" applyAlignment="1">
      <alignment horizontal="left" wrapText="1"/>
    </xf>
    <xf numFmtId="0" fontId="38" fillId="2" borderId="20" xfId="14" applyFont="1" applyFill="1" applyBorder="1" applyAlignment="1">
      <alignment horizontal="right" wrapText="1"/>
    </xf>
    <xf numFmtId="0" fontId="38" fillId="2" borderId="20" xfId="14" applyFont="1" applyFill="1" applyBorder="1" applyAlignment="1">
      <alignment horizontal="right" vertical="center" wrapText="1"/>
    </xf>
    <xf numFmtId="0" fontId="17" fillId="0" borderId="20" xfId="14" applyFont="1" applyBorder="1" applyAlignment="1">
      <alignment horizontal="right" vertical="center" wrapText="1"/>
    </xf>
    <xf numFmtId="175" fontId="8" fillId="3" borderId="50" xfId="14" applyNumberFormat="1" applyFont="1" applyFill="1" applyBorder="1" applyAlignment="1">
      <alignment horizontal="left"/>
    </xf>
    <xf numFmtId="175" fontId="8" fillId="3" borderId="50" xfId="14" quotePrefix="1" applyNumberFormat="1" applyFont="1" applyFill="1" applyBorder="1" applyAlignment="1">
      <alignment horizontal="center"/>
    </xf>
    <xf numFmtId="175" fontId="19" fillId="2" borderId="0" xfId="14" applyNumberFormat="1" applyFont="1" applyFill="1"/>
    <xf numFmtId="3" fontId="106" fillId="0" borderId="18" xfId="14" quotePrefix="1" applyNumberFormat="1" applyFont="1" applyBorder="1" applyAlignment="1">
      <alignment horizontal="center"/>
    </xf>
    <xf numFmtId="3" fontId="106" fillId="2" borderId="18" xfId="3" applyNumberFormat="1" applyFont="1" applyFill="1" applyBorder="1" applyAlignment="1">
      <alignment horizontal="center"/>
    </xf>
    <xf numFmtId="37" fontId="106" fillId="0" borderId="17" xfId="3" quotePrefix="1" applyNumberFormat="1" applyFont="1" applyBorder="1" applyAlignment="1">
      <alignment horizontal="center"/>
    </xf>
    <xf numFmtId="37" fontId="26" fillId="0" borderId="17" xfId="3" quotePrefix="1" applyNumberFormat="1" applyFont="1" applyBorder="1" applyAlignment="1">
      <alignment horizontal="center"/>
    </xf>
    <xf numFmtId="37" fontId="59" fillId="0" borderId="18" xfId="3" applyNumberFormat="1" applyFont="1" applyBorder="1" applyAlignment="1" applyProtection="1">
      <alignment horizontal="center"/>
      <protection hidden="1"/>
    </xf>
    <xf numFmtId="37" fontId="25" fillId="0" borderId="18" xfId="3" applyNumberFormat="1" applyFont="1" applyBorder="1" applyAlignment="1" applyProtection="1">
      <alignment horizontal="center"/>
      <protection hidden="1"/>
    </xf>
    <xf numFmtId="37" fontId="106" fillId="0" borderId="18" xfId="3" applyNumberFormat="1" applyFont="1" applyBorder="1" applyAlignment="1" applyProtection="1">
      <alignment horizontal="center"/>
      <protection hidden="1"/>
    </xf>
    <xf numFmtId="37" fontId="26" fillId="0" borderId="18" xfId="3" applyNumberFormat="1" applyFont="1" applyBorder="1" applyAlignment="1" applyProtection="1">
      <alignment horizontal="center"/>
      <protection hidden="1"/>
    </xf>
    <xf numFmtId="37" fontId="106" fillId="0" borderId="17" xfId="3" applyNumberFormat="1" applyFont="1" applyBorder="1" applyAlignment="1" applyProtection="1">
      <alignment horizontal="center"/>
      <protection hidden="1"/>
    </xf>
    <xf numFmtId="37" fontId="26" fillId="0" borderId="17" xfId="3" applyNumberFormat="1" applyFont="1" applyBorder="1" applyAlignment="1" applyProtection="1">
      <alignment horizontal="center"/>
      <protection hidden="1"/>
    </xf>
    <xf numFmtId="37" fontId="106" fillId="0" borderId="19" xfId="3" applyNumberFormat="1" applyFont="1" applyBorder="1" applyAlignment="1" applyProtection="1">
      <alignment horizontal="center"/>
      <protection hidden="1"/>
    </xf>
    <xf numFmtId="37" fontId="26" fillId="0" borderId="19" xfId="3" applyNumberFormat="1" applyFont="1" applyBorder="1" applyAlignment="1" applyProtection="1">
      <alignment horizontal="center"/>
      <protection hidden="1"/>
    </xf>
    <xf numFmtId="37" fontId="106" fillId="3" borderId="50" xfId="3" applyNumberFormat="1" applyFont="1" applyFill="1" applyBorder="1" applyAlignment="1" applyProtection="1">
      <alignment horizontal="center"/>
      <protection hidden="1"/>
    </xf>
    <xf numFmtId="37" fontId="26" fillId="3" borderId="50" xfId="3" applyNumberFormat="1" applyFont="1" applyFill="1" applyBorder="1" applyAlignment="1" applyProtection="1">
      <alignment horizontal="center"/>
      <protection hidden="1"/>
    </xf>
    <xf numFmtId="164" fontId="107" fillId="2" borderId="0" xfId="14" applyNumberFormat="1" applyFont="1" applyFill="1"/>
    <xf numFmtId="0" fontId="108" fillId="2" borderId="0" xfId="14" applyFont="1" applyFill="1"/>
    <xf numFmtId="164" fontId="56" fillId="2" borderId="0" xfId="3" applyNumberFormat="1" applyFont="1" applyFill="1"/>
    <xf numFmtId="0" fontId="4" fillId="0" borderId="0" xfId="74" applyFont="1" applyFill="1"/>
    <xf numFmtId="0" fontId="24" fillId="0" borderId="0" xfId="74" applyFont="1"/>
    <xf numFmtId="0" fontId="24" fillId="2" borderId="0" xfId="74" applyFont="1" applyFill="1"/>
    <xf numFmtId="0" fontId="42" fillId="0" borderId="0" xfId="74" applyFont="1"/>
    <xf numFmtId="0" fontId="55" fillId="0" borderId="0" xfId="74" applyFont="1"/>
    <xf numFmtId="0" fontId="33" fillId="0" borderId="0" xfId="74" applyFont="1"/>
    <xf numFmtId="0" fontId="33" fillId="0" borderId="12" xfId="74" applyFont="1" applyBorder="1"/>
    <xf numFmtId="0" fontId="8" fillId="6" borderId="157" xfId="74" applyFont="1" applyFill="1" applyBorder="1" applyAlignment="1">
      <alignment horizontal="center" vertical="center"/>
    </xf>
    <xf numFmtId="0" fontId="8" fillId="6" borderId="39" xfId="74" applyFont="1" applyFill="1" applyBorder="1" applyAlignment="1">
      <alignment horizontal="center" vertical="center"/>
    </xf>
    <xf numFmtId="0" fontId="8" fillId="6" borderId="29" xfId="74" applyFont="1" applyFill="1" applyBorder="1" applyAlignment="1">
      <alignment horizontal="center" vertical="center"/>
    </xf>
    <xf numFmtId="15" fontId="8" fillId="6" borderId="47" xfId="74" quotePrefix="1" applyNumberFormat="1" applyFont="1" applyFill="1" applyBorder="1" applyAlignment="1">
      <alignment horizontal="left" vertical="center"/>
    </xf>
    <xf numFmtId="38" fontId="97" fillId="0" borderId="162" xfId="74" applyNumberFormat="1" applyFont="1" applyBorder="1" applyAlignment="1">
      <alignment horizontal="center" vertical="center"/>
    </xf>
    <xf numFmtId="38" fontId="97" fillId="0" borderId="163" xfId="74" applyNumberFormat="1" applyFont="1" applyBorder="1" applyAlignment="1">
      <alignment horizontal="center" vertical="center"/>
    </xf>
    <xf numFmtId="38" fontId="97" fillId="0" borderId="164" xfId="74" applyNumberFormat="1" applyFont="1" applyBorder="1" applyAlignment="1">
      <alignment horizontal="center" vertical="center"/>
    </xf>
    <xf numFmtId="38" fontId="97" fillId="0" borderId="33" xfId="74" applyNumberFormat="1" applyFont="1" applyBorder="1" applyAlignment="1">
      <alignment horizontal="center" vertical="center"/>
    </xf>
    <xf numFmtId="2" fontId="26" fillId="0" borderId="163" xfId="22" applyNumberFormat="1" applyFont="1" applyBorder="1" applyAlignment="1">
      <alignment horizontal="center" vertical="center"/>
    </xf>
    <xf numFmtId="2" fontId="26" fillId="0" borderId="33" xfId="22" applyNumberFormat="1" applyFont="1" applyBorder="1" applyAlignment="1">
      <alignment horizontal="center" vertical="center"/>
    </xf>
    <xf numFmtId="0" fontId="33" fillId="0" borderId="0" xfId="14" applyFont="1"/>
    <xf numFmtId="38" fontId="11" fillId="0" borderId="162" xfId="74" applyNumberFormat="1" applyFont="1" applyBorder="1" applyAlignment="1">
      <alignment horizontal="center" vertical="center"/>
    </xf>
    <xf numFmtId="38" fontId="11" fillId="0" borderId="163" xfId="74" applyNumberFormat="1" applyFont="1" applyBorder="1" applyAlignment="1">
      <alignment horizontal="center" vertical="center"/>
    </xf>
    <xf numFmtId="38" fontId="11" fillId="0" borderId="164" xfId="74" applyNumberFormat="1" applyFont="1" applyBorder="1" applyAlignment="1">
      <alignment horizontal="center" vertical="center"/>
    </xf>
    <xf numFmtId="38" fontId="11" fillId="0" borderId="33" xfId="74" applyNumberFormat="1" applyFont="1" applyBorder="1" applyAlignment="1">
      <alignment horizontal="center" vertical="center"/>
    </xf>
    <xf numFmtId="2" fontId="26" fillId="0" borderId="165" xfId="22" applyNumberFormat="1" applyFont="1" applyBorder="1" applyAlignment="1">
      <alignment horizontal="center" vertical="center"/>
    </xf>
    <xf numFmtId="2" fontId="26" fillId="0" borderId="166" xfId="22" applyNumberFormat="1" applyFont="1" applyBorder="1" applyAlignment="1">
      <alignment horizontal="center" vertical="center"/>
    </xf>
    <xf numFmtId="38" fontId="11" fillId="0" borderId="48" xfId="74" applyNumberFormat="1" applyFont="1" applyBorder="1" applyAlignment="1">
      <alignment horizontal="center" vertical="center"/>
    </xf>
    <xf numFmtId="38" fontId="11" fillId="0" borderId="4" xfId="74" applyNumberFormat="1" applyFont="1" applyBorder="1" applyAlignment="1">
      <alignment horizontal="center" vertical="center"/>
    </xf>
    <xf numFmtId="2" fontId="26" fillId="0" borderId="4" xfId="22" applyNumberFormat="1" applyFont="1" applyBorder="1" applyAlignment="1">
      <alignment horizontal="center" vertical="center"/>
    </xf>
    <xf numFmtId="0" fontId="109" fillId="2" borderId="0" xfId="74" applyFont="1" applyFill="1" applyAlignment="1">
      <alignment vertical="center"/>
    </xf>
    <xf numFmtId="0" fontId="17" fillId="2" borderId="0" xfId="74" applyFont="1" applyFill="1"/>
    <xf numFmtId="38" fontId="11" fillId="0" borderId="48" xfId="74" applyNumberFormat="1" applyFont="1" applyFill="1" applyBorder="1" applyAlignment="1">
      <alignment horizontal="center" vertical="center"/>
    </xf>
    <xf numFmtId="38" fontId="11" fillId="0" borderId="4" xfId="74" applyNumberFormat="1" applyFont="1" applyFill="1" applyBorder="1" applyAlignment="1">
      <alignment horizontal="center" vertical="center"/>
    </xf>
    <xf numFmtId="2" fontId="26" fillId="0" borderId="4" xfId="22" applyNumberFormat="1" applyFont="1" applyFill="1" applyBorder="1" applyAlignment="1">
      <alignment horizontal="center" vertical="center"/>
    </xf>
    <xf numFmtId="15" fontId="8" fillId="6" borderId="167" xfId="74" quotePrefix="1" applyNumberFormat="1" applyFont="1" applyFill="1" applyBorder="1" applyAlignment="1">
      <alignment horizontal="left" vertical="center"/>
    </xf>
    <xf numFmtId="38" fontId="11" fillId="0" borderId="49" xfId="74" applyNumberFormat="1" applyFont="1" applyFill="1" applyBorder="1" applyAlignment="1">
      <alignment horizontal="center" vertical="center"/>
    </xf>
    <xf numFmtId="38" fontId="11" fillId="0" borderId="37" xfId="74" applyNumberFormat="1" applyFont="1" applyFill="1" applyBorder="1" applyAlignment="1">
      <alignment horizontal="center" vertical="center"/>
    </xf>
    <xf numFmtId="2" fontId="26" fillId="0" borderId="37" xfId="22" applyNumberFormat="1" applyFont="1" applyFill="1" applyBorder="1" applyAlignment="1">
      <alignment horizontal="center" vertical="center"/>
    </xf>
    <xf numFmtId="0" fontId="17" fillId="2" borderId="0" xfId="74" applyFont="1" applyFill="1" applyAlignment="1">
      <alignment horizontal="left" vertical="center" wrapText="1"/>
    </xf>
    <xf numFmtId="0" fontId="17" fillId="0" borderId="0" xfId="74" applyFont="1" applyAlignment="1">
      <alignment vertical="top" wrapText="1"/>
    </xf>
    <xf numFmtId="0" fontId="17" fillId="0" borderId="0" xfId="74" applyFont="1" applyAlignment="1">
      <alignment vertical="center" wrapText="1"/>
    </xf>
    <xf numFmtId="38" fontId="17" fillId="0" borderId="0" xfId="74" applyNumberFormat="1" applyFont="1" applyAlignment="1">
      <alignment vertical="center" wrapText="1"/>
    </xf>
    <xf numFmtId="0" fontId="4" fillId="2" borderId="0" xfId="31" applyFont="1" applyFill="1" applyAlignment="1">
      <alignment vertical="center"/>
    </xf>
    <xf numFmtId="0" fontId="24" fillId="2" borderId="0" xfId="31" applyFont="1" applyFill="1" applyAlignment="1">
      <alignment vertical="center"/>
    </xf>
    <xf numFmtId="0" fontId="19" fillId="2" borderId="0" xfId="31" applyFont="1" applyFill="1" applyAlignment="1">
      <alignment vertical="center"/>
    </xf>
    <xf numFmtId="0" fontId="17" fillId="2" borderId="0" xfId="31" applyFont="1" applyFill="1" applyAlignment="1">
      <alignment horizontal="right" vertical="center"/>
    </xf>
    <xf numFmtId="0" fontId="8" fillId="6" borderId="35" xfId="31" applyFont="1" applyFill="1" applyBorder="1" applyAlignment="1">
      <alignment horizontal="centerContinuous" vertical="center" wrapText="1"/>
    </xf>
    <xf numFmtId="0" fontId="5" fillId="6" borderId="35" xfId="31" applyFont="1" applyFill="1" applyBorder="1" applyAlignment="1">
      <alignment horizontal="centerContinuous" vertical="center" wrapText="1"/>
    </xf>
    <xf numFmtId="0" fontId="5" fillId="6" borderId="28" xfId="31" applyFont="1" applyFill="1" applyBorder="1" applyAlignment="1">
      <alignment horizontal="centerContinuous" vertical="center" wrapText="1"/>
    </xf>
    <xf numFmtId="0" fontId="5" fillId="2" borderId="0" xfId="31" applyFont="1" applyFill="1" applyAlignment="1">
      <alignment vertical="center"/>
    </xf>
    <xf numFmtId="0" fontId="8" fillId="6" borderId="31" xfId="31" applyFont="1" applyFill="1" applyBorder="1" applyAlignment="1">
      <alignment horizontal="center" vertical="center"/>
    </xf>
    <xf numFmtId="0" fontId="8" fillId="6" borderId="36" xfId="31" applyFont="1" applyFill="1" applyBorder="1" applyAlignment="1">
      <alignment horizontal="center" vertical="center"/>
    </xf>
    <xf numFmtId="0" fontId="8" fillId="6" borderId="34" xfId="31" applyFont="1" applyFill="1" applyBorder="1" applyAlignment="1">
      <alignment horizontal="center" vertical="center"/>
    </xf>
    <xf numFmtId="0" fontId="8" fillId="6" borderId="6" xfId="31" applyFont="1" applyFill="1" applyBorder="1" applyAlignment="1">
      <alignment horizontal="center" vertical="center"/>
    </xf>
    <xf numFmtId="0" fontId="5" fillId="6" borderId="18" xfId="31" applyFont="1" applyFill="1" applyBorder="1" applyAlignment="1">
      <alignment vertical="center"/>
    </xf>
    <xf numFmtId="0" fontId="11" fillId="2" borderId="22" xfId="31" applyFont="1" applyFill="1" applyBorder="1" applyAlignment="1">
      <alignment vertical="center"/>
    </xf>
    <xf numFmtId="0" fontId="11" fillId="2" borderId="4" xfId="31" applyFont="1" applyFill="1" applyBorder="1" applyAlignment="1">
      <alignment vertical="center"/>
    </xf>
    <xf numFmtId="0" fontId="11" fillId="2" borderId="41" xfId="31" applyFont="1" applyFill="1" applyBorder="1" applyAlignment="1">
      <alignment vertical="center"/>
    </xf>
    <xf numFmtId="0" fontId="8" fillId="6" borderId="18" xfId="31" applyFont="1" applyFill="1" applyBorder="1" applyAlignment="1">
      <alignment vertical="center"/>
    </xf>
    <xf numFmtId="3" fontId="26" fillId="2" borderId="24" xfId="31" applyNumberFormat="1" applyFont="1" applyFill="1" applyBorder="1" applyAlignment="1">
      <alignment vertical="center"/>
    </xf>
    <xf numFmtId="3" fontId="26" fillId="2" borderId="4" xfId="31" applyNumberFormat="1" applyFont="1" applyFill="1" applyBorder="1" applyAlignment="1">
      <alignment vertical="center"/>
    </xf>
    <xf numFmtId="3" fontId="26" fillId="2" borderId="41" xfId="31" applyNumberFormat="1" applyFont="1" applyFill="1" applyBorder="1" applyAlignment="1">
      <alignment vertical="center"/>
    </xf>
    <xf numFmtId="3" fontId="19" fillId="2" borderId="0" xfId="31" applyNumberFormat="1" applyFont="1" applyFill="1" applyAlignment="1">
      <alignment vertical="center"/>
    </xf>
    <xf numFmtId="3" fontId="11" fillId="2" borderId="24" xfId="31" applyNumberFormat="1" applyFont="1" applyFill="1" applyBorder="1" applyAlignment="1">
      <alignment vertical="center"/>
    </xf>
    <xf numFmtId="3" fontId="11" fillId="2" borderId="4" xfId="31" applyNumberFormat="1" applyFont="1" applyFill="1" applyBorder="1" applyAlignment="1">
      <alignment vertical="center"/>
    </xf>
    <xf numFmtId="3" fontId="11" fillId="2" borderId="41" xfId="31" applyNumberFormat="1" applyFont="1" applyFill="1" applyBorder="1" applyAlignment="1">
      <alignment vertical="center"/>
    </xf>
    <xf numFmtId="171" fontId="25" fillId="2" borderId="24" xfId="22" applyNumberFormat="1" applyFont="1" applyFill="1" applyBorder="1" applyAlignment="1">
      <alignment vertical="center"/>
    </xf>
    <xf numFmtId="171" fontId="25" fillId="2" borderId="4" xfId="22" applyNumberFormat="1" applyFont="1" applyFill="1" applyBorder="1" applyAlignment="1">
      <alignment vertical="center"/>
    </xf>
    <xf numFmtId="0" fontId="8" fillId="6" borderId="19" xfId="31" applyFont="1" applyFill="1" applyBorder="1" applyAlignment="1">
      <alignment vertical="center"/>
    </xf>
    <xf numFmtId="0" fontId="11" fillId="2" borderId="27" xfId="31" applyFont="1" applyFill="1" applyBorder="1" applyAlignment="1">
      <alignment vertical="center"/>
    </xf>
    <xf numFmtId="0" fontId="11" fillId="2" borderId="6" xfId="31" applyFont="1" applyFill="1" applyBorder="1" applyAlignment="1">
      <alignment vertical="center"/>
    </xf>
    <xf numFmtId="0" fontId="11" fillId="2" borderId="43" xfId="31" applyFont="1" applyFill="1" applyBorder="1" applyAlignment="1">
      <alignment vertical="center"/>
    </xf>
    <xf numFmtId="0" fontId="19" fillId="0" borderId="0" xfId="31" applyFont="1" applyAlignment="1">
      <alignment vertical="center"/>
    </xf>
    <xf numFmtId="171" fontId="19" fillId="0" borderId="0" xfId="22" applyNumberFormat="1" applyFont="1" applyAlignment="1">
      <alignment vertical="center"/>
    </xf>
    <xf numFmtId="0" fontId="17" fillId="2" borderId="0" xfId="31" applyFont="1" applyFill="1" applyAlignment="1">
      <alignment vertical="center"/>
    </xf>
    <xf numFmtId="3" fontId="17" fillId="2" borderId="0" xfId="31" applyNumberFormat="1" applyFont="1" applyFill="1" applyAlignment="1">
      <alignment vertical="center"/>
    </xf>
    <xf numFmtId="0" fontId="16" fillId="2" borderId="0" xfId="31" applyFont="1" applyFill="1" applyAlignment="1">
      <alignment vertical="center"/>
    </xf>
    <xf numFmtId="0" fontId="17" fillId="2" borderId="0" xfId="31" applyFont="1" applyFill="1"/>
    <xf numFmtId="0" fontId="3" fillId="2" borderId="0" xfId="32" applyFont="1" applyFill="1" applyAlignment="1">
      <alignment vertical="center"/>
    </xf>
    <xf numFmtId="0" fontId="8" fillId="0" borderId="0" xfId="32" applyFont="1" applyFill="1" applyBorder="1" applyAlignment="1">
      <alignment horizontal="left" vertical="center" wrapText="1"/>
    </xf>
    <xf numFmtId="0" fontId="112" fillId="2" borderId="0" xfId="32" applyFont="1" applyFill="1" applyAlignment="1">
      <alignment vertical="center"/>
    </xf>
    <xf numFmtId="0" fontId="30" fillId="2" borderId="0" xfId="32" applyFont="1" applyFill="1" applyAlignment="1">
      <alignment horizontal="right" vertical="center"/>
    </xf>
    <xf numFmtId="175" fontId="26" fillId="3" borderId="169" xfId="32" applyNumberFormat="1" applyFont="1" applyFill="1" applyBorder="1" applyAlignment="1">
      <alignment horizontal="center"/>
    </xf>
    <xf numFmtId="0" fontId="113" fillId="2" borderId="0" xfId="32" applyFont="1" applyFill="1"/>
    <xf numFmtId="10" fontId="11" fillId="3" borderId="173" xfId="32" applyNumberFormat="1" applyFont="1" applyFill="1" applyBorder="1"/>
    <xf numFmtId="0" fontId="3" fillId="2" borderId="0" xfId="32" applyFont="1" applyFill="1"/>
    <xf numFmtId="0" fontId="4" fillId="3" borderId="176" xfId="32" applyFont="1" applyFill="1" applyBorder="1"/>
    <xf numFmtId="10" fontId="11" fillId="0" borderId="177" xfId="32" applyNumberFormat="1" applyFont="1" applyFill="1" applyBorder="1"/>
    <xf numFmtId="10" fontId="11" fillId="4" borderId="178" xfId="32" applyNumberFormat="1" applyFont="1" applyFill="1" applyBorder="1"/>
    <xf numFmtId="10" fontId="5" fillId="2" borderId="36" xfId="32" applyNumberFormat="1" applyFont="1" applyFill="1" applyBorder="1"/>
    <xf numFmtId="171" fontId="30" fillId="2" borderId="36" xfId="32" applyNumberFormat="1" applyFont="1" applyFill="1" applyBorder="1" applyAlignment="1">
      <alignment horizontal="center"/>
    </xf>
    <xf numFmtId="0" fontId="114" fillId="2" borderId="0" xfId="32" applyFont="1" applyFill="1"/>
    <xf numFmtId="0" fontId="24" fillId="3" borderId="179" xfId="32" applyFont="1" applyFill="1" applyBorder="1"/>
    <xf numFmtId="171" fontId="11" fillId="0" borderId="180" xfId="33" applyNumberFormat="1" applyFont="1" applyFill="1" applyBorder="1"/>
    <xf numFmtId="171" fontId="11" fillId="4" borderId="181" xfId="33" applyNumberFormat="1" applyFont="1" applyFill="1" applyBorder="1"/>
    <xf numFmtId="177" fontId="5" fillId="2" borderId="4" xfId="75" applyNumberFormat="1" applyFont="1" applyFill="1" applyBorder="1"/>
    <xf numFmtId="177" fontId="5" fillId="2" borderId="4" xfId="75" applyNumberFormat="1" applyFont="1" applyFill="1" applyBorder="1" applyAlignment="1">
      <alignment horizontal="right"/>
    </xf>
    <xf numFmtId="167" fontId="3" fillId="2" borderId="0" xfId="32" applyNumberFormat="1" applyFont="1" applyFill="1"/>
    <xf numFmtId="177" fontId="5" fillId="2" borderId="4" xfId="33" applyNumberFormat="1" applyFont="1" applyFill="1" applyBorder="1"/>
    <xf numFmtId="177" fontId="5" fillId="2" borderId="4" xfId="32" applyNumberFormat="1" applyFont="1" applyFill="1" applyBorder="1"/>
    <xf numFmtId="0" fontId="4" fillId="3" borderId="179" xfId="32" applyFont="1" applyFill="1" applyBorder="1"/>
    <xf numFmtId="0" fontId="24" fillId="3" borderId="179" xfId="32" quotePrefix="1" applyFont="1" applyFill="1" applyBorder="1" applyAlignment="1">
      <alignment horizontal="left"/>
    </xf>
    <xf numFmtId="0" fontId="3" fillId="0" borderId="0" xfId="32" applyFont="1" applyFill="1"/>
    <xf numFmtId="0" fontId="38" fillId="3" borderId="179" xfId="32" applyFont="1" applyFill="1" applyBorder="1" applyAlignment="1">
      <alignment horizontal="left" indent="1"/>
    </xf>
    <xf numFmtId="0" fontId="24" fillId="3" borderId="179" xfId="34" applyFont="1" applyFill="1" applyBorder="1"/>
    <xf numFmtId="17" fontId="11" fillId="0" borderId="180" xfId="34" applyNumberFormat="1" applyFont="1" applyFill="1" applyBorder="1"/>
    <xf numFmtId="17" fontId="11" fillId="4" borderId="181" xfId="34" applyNumberFormat="1" applyFont="1" applyFill="1" applyBorder="1"/>
    <xf numFmtId="0" fontId="41" fillId="2" borderId="0" xfId="34" applyFont="1" applyFill="1"/>
    <xf numFmtId="0" fontId="5" fillId="2" borderId="4" xfId="75" quotePrefix="1" applyNumberFormat="1" applyFont="1" applyFill="1" applyBorder="1" applyAlignment="1">
      <alignment horizontal="right"/>
    </xf>
    <xf numFmtId="0" fontId="24" fillId="3" borderId="182" xfId="32" applyFont="1" applyFill="1" applyBorder="1"/>
    <xf numFmtId="171" fontId="11" fillId="0" borderId="183" xfId="33" applyNumberFormat="1" applyFont="1" applyFill="1" applyBorder="1"/>
    <xf numFmtId="171" fontId="11" fillId="4" borderId="184" xfId="33" applyNumberFormat="1" applyFont="1" applyFill="1" applyBorder="1"/>
    <xf numFmtId="171" fontId="5" fillId="2" borderId="37" xfId="33" applyNumberFormat="1" applyFont="1" applyFill="1" applyBorder="1"/>
    <xf numFmtId="171" fontId="5" fillId="2" borderId="37" xfId="32" applyNumberFormat="1" applyFont="1" applyFill="1" applyBorder="1"/>
    <xf numFmtId="171" fontId="5" fillId="2" borderId="4" xfId="33" applyNumberFormat="1" applyFont="1" applyFill="1" applyBorder="1"/>
    <xf numFmtId="171" fontId="5" fillId="2" borderId="4" xfId="32" applyNumberFormat="1" applyFont="1" applyFill="1" applyBorder="1"/>
    <xf numFmtId="0" fontId="4" fillId="3" borderId="185" xfId="32" applyFont="1" applyFill="1" applyBorder="1"/>
    <xf numFmtId="171" fontId="11" fillId="0" borderId="186" xfId="33" applyNumberFormat="1" applyFont="1" applyFill="1" applyBorder="1"/>
    <xf numFmtId="175" fontId="26" fillId="4" borderId="187" xfId="32" applyNumberFormat="1" applyFont="1" applyFill="1" applyBorder="1" applyAlignment="1">
      <alignment horizontal="center"/>
    </xf>
    <xf numFmtId="175" fontId="8" fillId="3" borderId="39" xfId="32" applyNumberFormat="1" applyFont="1" applyFill="1" applyBorder="1" applyAlignment="1">
      <alignment horizontal="center"/>
    </xf>
    <xf numFmtId="175" fontId="8" fillId="3" borderId="39" xfId="32" applyNumberFormat="1" applyFont="1" applyFill="1" applyBorder="1" applyAlignment="1">
      <alignment horizontal="center" vertical="center"/>
    </xf>
    <xf numFmtId="175" fontId="8" fillId="3" borderId="39" xfId="32" quotePrefix="1" applyNumberFormat="1" applyFont="1" applyFill="1" applyBorder="1" applyAlignment="1">
      <alignment horizontal="center" vertical="center"/>
    </xf>
    <xf numFmtId="175" fontId="8" fillId="3" borderId="39" xfId="32" quotePrefix="1" applyNumberFormat="1" applyFont="1" applyFill="1" applyBorder="1" applyAlignment="1">
      <alignment horizontal="right" vertical="center"/>
    </xf>
    <xf numFmtId="0" fontId="24" fillId="3" borderId="176" xfId="32" applyFont="1" applyFill="1" applyBorder="1"/>
    <xf numFmtId="171" fontId="11" fillId="0" borderId="177" xfId="33" applyNumberFormat="1" applyFont="1" applyFill="1" applyBorder="1"/>
    <xf numFmtId="171" fontId="11" fillId="4" borderId="178" xfId="33" applyNumberFormat="1" applyFont="1" applyFill="1" applyBorder="1"/>
    <xf numFmtId="177" fontId="5" fillId="2" borderId="36" xfId="75" applyNumberFormat="1" applyFont="1" applyFill="1" applyBorder="1"/>
    <xf numFmtId="0" fontId="24" fillId="3" borderId="37" xfId="32" applyFont="1" applyFill="1" applyBorder="1"/>
    <xf numFmtId="10" fontId="26" fillId="0" borderId="37" xfId="32" applyNumberFormat="1" applyFont="1" applyFill="1" applyBorder="1"/>
    <xf numFmtId="10" fontId="26" fillId="4" borderId="37" xfId="32" applyNumberFormat="1" applyFont="1" applyFill="1" applyBorder="1"/>
    <xf numFmtId="10" fontId="8" fillId="2" borderId="37" xfId="32" applyNumberFormat="1" applyFont="1" applyFill="1" applyBorder="1"/>
    <xf numFmtId="0" fontId="11" fillId="0" borderId="188" xfId="32" applyFont="1" applyFill="1" applyBorder="1"/>
    <xf numFmtId="10" fontId="26" fillId="0" borderId="0" xfId="32" applyNumberFormat="1" applyFont="1" applyFill="1" applyBorder="1"/>
    <xf numFmtId="10" fontId="26" fillId="4" borderId="0" xfId="32" applyNumberFormat="1" applyFont="1" applyFill="1" applyBorder="1"/>
    <xf numFmtId="10" fontId="8" fillId="4" borderId="0" xfId="32" applyNumberFormat="1" applyFont="1" applyFill="1" applyBorder="1"/>
    <xf numFmtId="0" fontId="5" fillId="4" borderId="0" xfId="32" applyFont="1" applyFill="1" applyBorder="1"/>
    <xf numFmtId="0" fontId="5" fillId="4" borderId="189" xfId="32" applyFont="1" applyFill="1" applyBorder="1"/>
    <xf numFmtId="0" fontId="5" fillId="4" borderId="190" xfId="32" applyFont="1" applyFill="1" applyBorder="1"/>
    <xf numFmtId="0" fontId="5" fillId="4" borderId="191" xfId="32" applyFont="1" applyFill="1" applyBorder="1"/>
    <xf numFmtId="0" fontId="19" fillId="0" borderId="0" xfId="32" applyFont="1" applyFill="1" applyBorder="1"/>
    <xf numFmtId="10" fontId="19" fillId="0" borderId="0" xfId="32" applyNumberFormat="1" applyFont="1" applyFill="1" applyBorder="1"/>
    <xf numFmtId="0" fontId="5" fillId="0" borderId="0" xfId="32" applyFont="1" applyFill="1" applyBorder="1"/>
    <xf numFmtId="186" fontId="19" fillId="0" borderId="0" xfId="32" applyNumberFormat="1" applyFont="1" applyFill="1" applyBorder="1" applyAlignment="1">
      <alignment horizontal="right" vertical="center"/>
    </xf>
    <xf numFmtId="0" fontId="19" fillId="0" borderId="0" xfId="76" applyFont="1" applyFill="1" applyBorder="1" applyAlignment="1">
      <alignment horizontal="right"/>
    </xf>
    <xf numFmtId="0" fontId="19" fillId="0" borderId="0" xfId="76" applyFont="1" applyFill="1" applyBorder="1" applyAlignment="1">
      <alignment wrapText="1"/>
    </xf>
    <xf numFmtId="0" fontId="19" fillId="0" borderId="0" xfId="76" applyFont="1" applyFill="1" applyBorder="1"/>
    <xf numFmtId="0" fontId="17" fillId="2" borderId="0" xfId="32" applyFont="1" applyFill="1" applyBorder="1" applyAlignment="1"/>
    <xf numFmtId="0" fontId="30" fillId="2" borderId="0" xfId="32" applyFont="1" applyFill="1" applyBorder="1" applyAlignment="1"/>
    <xf numFmtId="0" fontId="17" fillId="2" borderId="0" xfId="32" quotePrefix="1" applyFont="1" applyFill="1" applyBorder="1" applyAlignment="1">
      <alignment horizontal="left" vertical="justify"/>
    </xf>
    <xf numFmtId="0" fontId="17" fillId="2" borderId="0" xfId="32" applyFont="1" applyFill="1" applyBorder="1" applyAlignment="1">
      <alignment vertical="center"/>
    </xf>
    <xf numFmtId="10" fontId="47" fillId="2" borderId="0" xfId="32" applyNumberFormat="1" applyFont="1" applyFill="1" applyBorder="1" applyAlignment="1">
      <alignment vertical="center"/>
    </xf>
    <xf numFmtId="0" fontId="30" fillId="2" borderId="0" xfId="32" applyFont="1" applyFill="1" applyBorder="1" applyAlignment="1">
      <alignment vertical="center"/>
    </xf>
    <xf numFmtId="0" fontId="33" fillId="2" borderId="0" xfId="32" applyFont="1" applyFill="1" applyBorder="1"/>
    <xf numFmtId="10" fontId="55" fillId="2" borderId="0" xfId="32" applyNumberFormat="1" applyFont="1" applyFill="1" applyBorder="1"/>
    <xf numFmtId="0" fontId="33" fillId="2" borderId="0" xfId="77" applyFont="1" applyFill="1" applyBorder="1"/>
    <xf numFmtId="0" fontId="94" fillId="2" borderId="0" xfId="77" applyFont="1" applyFill="1" applyBorder="1"/>
    <xf numFmtId="0" fontId="94" fillId="2" borderId="0" xfId="32" applyFont="1" applyFill="1" applyBorder="1"/>
    <xf numFmtId="3" fontId="55" fillId="2" borderId="0" xfId="32" applyNumberFormat="1" applyFont="1" applyFill="1" applyBorder="1"/>
    <xf numFmtId="0" fontId="41" fillId="2" borderId="107" xfId="32" applyFont="1" applyFill="1" applyBorder="1"/>
    <xf numFmtId="10" fontId="115" fillId="2" borderId="0" xfId="32" applyNumberFormat="1" applyFont="1" applyFill="1"/>
    <xf numFmtId="0" fontId="3" fillId="2" borderId="0" xfId="77" applyFont="1" applyFill="1"/>
    <xf numFmtId="0" fontId="112" fillId="2" borderId="0" xfId="77" applyFont="1" applyFill="1"/>
    <xf numFmtId="0" fontId="112" fillId="2" borderId="0" xfId="32" applyFont="1" applyFill="1"/>
    <xf numFmtId="10" fontId="41" fillId="2" borderId="0" xfId="32" applyNumberFormat="1" applyFont="1" applyFill="1"/>
    <xf numFmtId="0" fontId="4" fillId="2" borderId="0" xfId="14" applyFont="1" applyFill="1" applyAlignment="1">
      <alignment horizontal="left" vertical="center"/>
    </xf>
    <xf numFmtId="0" fontId="5" fillId="2" borderId="0" xfId="14" applyFont="1" applyFill="1" applyAlignment="1">
      <alignment horizontal="center" vertical="center"/>
    </xf>
    <xf numFmtId="4" fontId="5" fillId="2" borderId="0" xfId="14" applyNumberFormat="1" applyFont="1" applyFill="1" applyAlignment="1">
      <alignment horizontal="center" vertical="center"/>
    </xf>
    <xf numFmtId="0" fontId="8" fillId="2" borderId="0" xfId="14" applyFont="1" applyFill="1" applyAlignment="1">
      <alignment horizontal="center" vertical="center"/>
    </xf>
    <xf numFmtId="0" fontId="30" fillId="2" borderId="0" xfId="14" applyFont="1" applyFill="1" applyAlignment="1">
      <alignment horizontal="center" vertical="center"/>
    </xf>
    <xf numFmtId="0" fontId="5" fillId="2" borderId="0" xfId="78" applyFont="1" applyFill="1" applyAlignment="1">
      <alignment vertical="center"/>
    </xf>
    <xf numFmtId="0" fontId="64" fillId="2" borderId="0" xfId="14" applyFont="1" applyFill="1" applyAlignment="1">
      <alignment horizontal="left" vertical="center"/>
    </xf>
    <xf numFmtId="0" fontId="17" fillId="2" borderId="0" xfId="14" applyFont="1" applyFill="1" applyAlignment="1">
      <alignment horizontal="center"/>
    </xf>
    <xf numFmtId="0" fontId="8" fillId="6" borderId="8" xfId="14" applyFont="1" applyFill="1" applyBorder="1" applyAlignment="1">
      <alignment horizontal="center" vertical="center"/>
    </xf>
    <xf numFmtId="0" fontId="8" fillId="6" borderId="26" xfId="14" applyFont="1" applyFill="1" applyBorder="1" applyAlignment="1">
      <alignment horizontal="center" vertical="center"/>
    </xf>
    <xf numFmtId="0" fontId="8" fillId="6" borderId="36" xfId="14" applyFont="1" applyFill="1" applyBorder="1" applyAlignment="1">
      <alignment horizontal="center" vertical="center"/>
    </xf>
    <xf numFmtId="4" fontId="8" fillId="6" borderId="36" xfId="14" applyNumberFormat="1" applyFont="1" applyFill="1" applyBorder="1" applyAlignment="1">
      <alignment horizontal="center" vertical="center"/>
    </xf>
    <xf numFmtId="0" fontId="8" fillId="6" borderId="38" xfId="14" applyFont="1" applyFill="1" applyBorder="1" applyAlignment="1">
      <alignment horizontal="center" vertical="center"/>
    </xf>
    <xf numFmtId="0" fontId="8" fillId="6" borderId="14" xfId="14" applyFont="1" applyFill="1" applyBorder="1" applyAlignment="1">
      <alignment horizontal="center" vertical="center"/>
    </xf>
    <xf numFmtId="0" fontId="8" fillId="6" borderId="24" xfId="14" applyFont="1" applyFill="1" applyBorder="1" applyAlignment="1">
      <alignment horizontal="center" vertical="center"/>
    </xf>
    <xf numFmtId="0" fontId="8" fillId="6" borderId="4" xfId="14" applyFont="1" applyFill="1" applyBorder="1" applyAlignment="1">
      <alignment horizontal="center" vertical="center"/>
    </xf>
    <xf numFmtId="4" fontId="8" fillId="6" borderId="4" xfId="14" applyNumberFormat="1" applyFont="1" applyFill="1" applyBorder="1" applyAlignment="1">
      <alignment horizontal="center" vertical="center"/>
    </xf>
    <xf numFmtId="0" fontId="8" fillId="6" borderId="41" xfId="14" applyFont="1" applyFill="1" applyBorder="1" applyAlignment="1">
      <alignment horizontal="center" vertical="center"/>
    </xf>
    <xf numFmtId="0" fontId="5" fillId="6" borderId="192" xfId="14" applyFont="1" applyFill="1" applyBorder="1" applyAlignment="1">
      <alignment vertical="center"/>
    </xf>
    <xf numFmtId="0" fontId="8" fillId="6" borderId="23" xfId="14" applyFont="1" applyFill="1" applyBorder="1" applyAlignment="1">
      <alignment horizontal="center" vertical="center"/>
    </xf>
    <xf numFmtId="0" fontId="8" fillId="6" borderId="37" xfId="14" applyFont="1" applyFill="1" applyBorder="1" applyAlignment="1">
      <alignment horizontal="center" vertical="center"/>
    </xf>
    <xf numFmtId="4" fontId="8" fillId="6" borderId="37" xfId="14" applyNumberFormat="1" applyFont="1" applyFill="1" applyBorder="1" applyAlignment="1">
      <alignment horizontal="center" vertical="center"/>
    </xf>
    <xf numFmtId="0" fontId="8" fillId="6" borderId="40" xfId="14" applyFont="1" applyFill="1" applyBorder="1" applyAlignment="1">
      <alignment horizontal="center" vertical="center"/>
    </xf>
    <xf numFmtId="0" fontId="8" fillId="6" borderId="15" xfId="14" applyFont="1" applyFill="1" applyBorder="1" applyAlignment="1">
      <alignment horizontal="center" vertical="center"/>
    </xf>
    <xf numFmtId="0" fontId="32" fillId="14" borderId="18" xfId="14" applyFont="1" applyFill="1" applyBorder="1" applyAlignment="1" applyProtection="1">
      <alignment horizontal="right" vertical="center"/>
      <protection hidden="1"/>
    </xf>
    <xf numFmtId="173" fontId="24" fillId="2" borderId="24" xfId="14" applyNumberFormat="1" applyFont="1" applyFill="1" applyBorder="1" applyAlignment="1" applyProtection="1">
      <alignment horizontal="center" vertical="center"/>
      <protection hidden="1"/>
    </xf>
    <xf numFmtId="0" fontId="24" fillId="2" borderId="4" xfId="14" applyFont="1" applyFill="1" applyBorder="1" applyAlignment="1" applyProtection="1">
      <alignment horizontal="center" vertical="center"/>
      <protection hidden="1"/>
    </xf>
    <xf numFmtId="4" fontId="24" fillId="2" borderId="4" xfId="14" applyNumberFormat="1" applyFont="1" applyFill="1" applyBorder="1" applyAlignment="1" applyProtection="1">
      <alignment horizontal="center" vertical="center"/>
      <protection hidden="1"/>
    </xf>
    <xf numFmtId="0" fontId="4" fillId="2" borderId="41" xfId="14" applyFont="1" applyFill="1" applyBorder="1" applyAlignment="1" applyProtection="1">
      <alignment horizontal="center" vertical="center"/>
      <protection hidden="1"/>
    </xf>
    <xf numFmtId="173" fontId="24" fillId="2" borderId="4" xfId="14" applyNumberFormat="1" applyFont="1" applyFill="1" applyBorder="1" applyAlignment="1" applyProtection="1">
      <alignment horizontal="center" vertical="center"/>
      <protection hidden="1"/>
    </xf>
    <xf numFmtId="0" fontId="4" fillId="2" borderId="14" xfId="14" applyFont="1" applyFill="1" applyBorder="1" applyAlignment="1" applyProtection="1">
      <alignment horizontal="right" vertical="center"/>
      <protection hidden="1"/>
    </xf>
    <xf numFmtId="17" fontId="32" fillId="14" borderId="18" xfId="14" applyNumberFormat="1" applyFont="1" applyFill="1" applyBorder="1" applyAlignment="1">
      <alignment horizontal="left" vertical="center"/>
    </xf>
    <xf numFmtId="173" fontId="24" fillId="2" borderId="24" xfId="14" applyNumberFormat="1" applyFont="1" applyFill="1" applyBorder="1" applyAlignment="1">
      <alignment horizontal="center" vertical="center"/>
    </xf>
    <xf numFmtId="173" fontId="24" fillId="2" borderId="4" xfId="14" applyNumberFormat="1" applyFont="1" applyFill="1" applyBorder="1" applyAlignment="1">
      <alignment horizontal="center" vertical="center"/>
    </xf>
    <xf numFmtId="173" fontId="4" fillId="2" borderId="41" xfId="14" applyNumberFormat="1" applyFont="1" applyFill="1" applyBorder="1" applyAlignment="1">
      <alignment horizontal="center" vertical="center"/>
    </xf>
    <xf numFmtId="173" fontId="4" fillId="2" borderId="14" xfId="14" applyNumberFormat="1" applyFont="1" applyFill="1" applyBorder="1" applyAlignment="1">
      <alignment horizontal="right" vertical="center"/>
    </xf>
    <xf numFmtId="173" fontId="5" fillId="2" borderId="0" xfId="14" applyNumberFormat="1" applyFont="1" applyFill="1" applyAlignment="1">
      <alignment vertical="center"/>
    </xf>
    <xf numFmtId="173" fontId="5" fillId="2" borderId="0" xfId="78" applyNumberFormat="1" applyFont="1" applyFill="1" applyAlignment="1">
      <alignment vertical="center"/>
    </xf>
    <xf numFmtId="167" fontId="24" fillId="2" borderId="4" xfId="78" applyNumberFormat="1" applyFont="1" applyFill="1" applyBorder="1" applyAlignment="1">
      <alignment horizontal="center" vertical="center"/>
    </xf>
    <xf numFmtId="173" fontId="24" fillId="2" borderId="4" xfId="78" applyNumberFormat="1" applyFont="1" applyFill="1" applyBorder="1" applyAlignment="1">
      <alignment horizontal="center" vertical="center"/>
    </xf>
    <xf numFmtId="39" fontId="5" fillId="2" borderId="0" xfId="78" applyNumberFormat="1" applyFont="1" applyFill="1" applyAlignment="1">
      <alignment vertical="center"/>
    </xf>
    <xf numFmtId="1" fontId="8" fillId="2" borderId="0" xfId="78" applyNumberFormat="1" applyFont="1" applyFill="1" applyAlignment="1">
      <alignment vertical="center"/>
    </xf>
    <xf numFmtId="167" fontId="5" fillId="2" borderId="0" xfId="78" applyNumberFormat="1" applyFont="1" applyFill="1" applyAlignment="1">
      <alignment horizontal="center" vertical="center"/>
    </xf>
    <xf numFmtId="17" fontId="32" fillId="15" borderId="18" xfId="14" applyNumberFormat="1" applyFont="1" applyFill="1" applyBorder="1" applyAlignment="1">
      <alignment horizontal="left" vertical="center"/>
    </xf>
    <xf numFmtId="17" fontId="32" fillId="16" borderId="18" xfId="14" applyNumberFormat="1" applyFont="1" applyFill="1" applyBorder="1" applyAlignment="1">
      <alignment horizontal="left" vertical="center"/>
    </xf>
    <xf numFmtId="17" fontId="32" fillId="17" borderId="18" xfId="14" applyNumberFormat="1" applyFont="1" applyFill="1" applyBorder="1" applyAlignment="1">
      <alignment horizontal="left" vertical="center"/>
    </xf>
    <xf numFmtId="17" fontId="64" fillId="17" borderId="18" xfId="14" applyNumberFormat="1" applyFont="1" applyFill="1" applyBorder="1" applyAlignment="1">
      <alignment horizontal="left" vertical="center"/>
    </xf>
    <xf numFmtId="17" fontId="8" fillId="17" borderId="18" xfId="14" applyNumberFormat="1" applyFont="1" applyFill="1" applyBorder="1" applyAlignment="1">
      <alignment horizontal="left" vertical="center"/>
    </xf>
    <xf numFmtId="173" fontId="11" fillId="2" borderId="24" xfId="14" applyNumberFormat="1" applyFont="1" applyFill="1" applyBorder="1" applyAlignment="1">
      <alignment horizontal="center" vertical="center"/>
    </xf>
    <xf numFmtId="173" fontId="11" fillId="2" borderId="4" xfId="14" applyNumberFormat="1" applyFont="1" applyFill="1" applyBorder="1" applyAlignment="1">
      <alignment horizontal="center" vertical="center"/>
    </xf>
    <xf numFmtId="173" fontId="26" fillId="2" borderId="41" xfId="14" applyNumberFormat="1" applyFont="1" applyFill="1" applyBorder="1" applyAlignment="1">
      <alignment horizontal="center" vertical="center"/>
    </xf>
    <xf numFmtId="173" fontId="26" fillId="2" borderId="14" xfId="14" applyNumberFormat="1" applyFont="1" applyFill="1" applyBorder="1" applyAlignment="1">
      <alignment horizontal="right" vertical="center"/>
    </xf>
    <xf numFmtId="17" fontId="8" fillId="17" borderId="19" xfId="14" applyNumberFormat="1" applyFont="1" applyFill="1" applyBorder="1" applyAlignment="1">
      <alignment horizontal="left" vertical="center"/>
    </xf>
    <xf numFmtId="173" fontId="11" fillId="0" borderId="27" xfId="14" applyNumberFormat="1" applyFont="1" applyBorder="1" applyAlignment="1">
      <alignment horizontal="center" vertical="center"/>
    </xf>
    <xf numFmtId="173" fontId="11" fillId="0" borderId="6" xfId="14" applyNumberFormat="1" applyFont="1" applyBorder="1" applyAlignment="1">
      <alignment horizontal="center" vertical="center"/>
    </xf>
    <xf numFmtId="173" fontId="11" fillId="2" borderId="6" xfId="14" applyNumberFormat="1" applyFont="1" applyFill="1" applyBorder="1" applyAlignment="1">
      <alignment horizontal="center" vertical="center"/>
    </xf>
    <xf numFmtId="173" fontId="26" fillId="2" borderId="43" xfId="14" applyNumberFormat="1" applyFont="1" applyFill="1" applyBorder="1" applyAlignment="1">
      <alignment horizontal="center" vertical="center"/>
    </xf>
    <xf numFmtId="173" fontId="26" fillId="2" borderId="19" xfId="14" applyNumberFormat="1" applyFont="1" applyFill="1" applyBorder="1" applyAlignment="1">
      <alignment horizontal="right" vertical="center"/>
    </xf>
    <xf numFmtId="173" fontId="24" fillId="2" borderId="0" xfId="14" applyNumberFormat="1" applyFont="1" applyFill="1" applyAlignment="1">
      <alignment horizontal="center" vertical="center"/>
    </xf>
    <xf numFmtId="173" fontId="4" fillId="2" borderId="0" xfId="14" applyNumberFormat="1" applyFont="1" applyFill="1" applyAlignment="1">
      <alignment horizontal="center" vertical="center"/>
    </xf>
    <xf numFmtId="173" fontId="4" fillId="2" borderId="0" xfId="14" applyNumberFormat="1" applyFont="1" applyFill="1" applyAlignment="1">
      <alignment horizontal="right" vertical="center"/>
    </xf>
    <xf numFmtId="0" fontId="24" fillId="2" borderId="0" xfId="14" applyFont="1" applyFill="1" applyAlignment="1">
      <alignment vertical="center"/>
    </xf>
    <xf numFmtId="39" fontId="24" fillId="2" borderId="0" xfId="78" applyNumberFormat="1" applyFont="1" applyFill="1" applyAlignment="1">
      <alignment vertical="center"/>
    </xf>
    <xf numFmtId="173" fontId="24" fillId="2" borderId="0" xfId="78" applyNumberFormat="1" applyFont="1" applyFill="1" applyAlignment="1">
      <alignment vertical="center"/>
    </xf>
    <xf numFmtId="0" fontId="24" fillId="2" borderId="0" xfId="78" applyFont="1" applyFill="1" applyAlignment="1">
      <alignment vertical="center"/>
    </xf>
    <xf numFmtId="0" fontId="24" fillId="2" borderId="0" xfId="78" applyFont="1" applyFill="1" applyAlignment="1">
      <alignment horizontal="center" vertical="center"/>
    </xf>
    <xf numFmtId="2" fontId="24" fillId="2" borderId="0" xfId="78" applyNumberFormat="1" applyFont="1" applyFill="1" applyAlignment="1">
      <alignment horizontal="center" vertical="center"/>
    </xf>
    <xf numFmtId="39" fontId="24" fillId="2" borderId="0" xfId="78" applyNumberFormat="1" applyFont="1" applyFill="1" applyAlignment="1">
      <alignment horizontal="center" vertical="center"/>
    </xf>
    <xf numFmtId="4" fontId="24" fillId="2" borderId="0" xfId="78" applyNumberFormat="1" applyFont="1" applyFill="1" applyAlignment="1">
      <alignment horizontal="center" vertical="center"/>
    </xf>
    <xf numFmtId="172" fontId="24" fillId="2" borderId="0" xfId="78" applyNumberFormat="1" applyFont="1" applyFill="1" applyAlignment="1">
      <alignment horizontal="center" vertical="center"/>
    </xf>
    <xf numFmtId="4" fontId="4" fillId="2" borderId="0" xfId="78" applyNumberFormat="1" applyFont="1" applyFill="1" applyAlignment="1">
      <alignment horizontal="center" vertical="center"/>
    </xf>
    <xf numFmtId="0" fontId="5" fillId="2" borderId="0" xfId="78" applyFont="1" applyFill="1" applyAlignment="1">
      <alignment horizontal="center" vertical="center"/>
    </xf>
    <xf numFmtId="39" fontId="5" fillId="2" borderId="0" xfId="78" applyNumberFormat="1" applyFont="1" applyFill="1" applyAlignment="1">
      <alignment horizontal="center" vertical="center"/>
    </xf>
    <xf numFmtId="166" fontId="5" fillId="2" borderId="0" xfId="78" applyNumberFormat="1" applyFont="1" applyFill="1" applyAlignment="1">
      <alignment horizontal="center" vertical="center"/>
    </xf>
    <xf numFmtId="173" fontId="5" fillId="2" borderId="0" xfId="78" applyNumberFormat="1" applyFont="1" applyFill="1" applyAlignment="1">
      <alignment horizontal="center" vertical="center"/>
    </xf>
    <xf numFmtId="4" fontId="6" fillId="2" borderId="0" xfId="78" applyNumberFormat="1" applyFont="1" applyFill="1" applyAlignment="1">
      <alignment horizontal="center" vertical="center"/>
    </xf>
    <xf numFmtId="4" fontId="5" fillId="2" borderId="0" xfId="78" applyNumberFormat="1" applyFont="1" applyFill="1" applyAlignment="1">
      <alignment horizontal="center" vertical="center"/>
    </xf>
    <xf numFmtId="2" fontId="5" fillId="2" borderId="0" xfId="78" applyNumberFormat="1" applyFont="1" applyFill="1" applyAlignment="1">
      <alignment horizontal="center" vertical="center"/>
    </xf>
    <xf numFmtId="1" fontId="8" fillId="2" borderId="0" xfId="78" applyNumberFormat="1" applyFont="1" applyFill="1" applyAlignment="1">
      <alignment horizontal="center" vertical="center"/>
    </xf>
    <xf numFmtId="167" fontId="116" fillId="2" borderId="0" xfId="78" applyNumberFormat="1" applyFont="1" applyFill="1" applyAlignment="1">
      <alignment horizontal="center" vertical="center"/>
    </xf>
    <xf numFmtId="0" fontId="8" fillId="2" borderId="0" xfId="78" applyFont="1" applyFill="1" applyAlignment="1">
      <alignment horizontal="center" vertical="center"/>
    </xf>
    <xf numFmtId="0" fontId="4" fillId="2" borderId="0" xfId="79" applyFont="1" applyFill="1" applyAlignment="1">
      <alignment horizontal="left" vertical="center"/>
    </xf>
    <xf numFmtId="0" fontId="24" fillId="2" borderId="0" xfId="79" applyFont="1" applyFill="1" applyAlignment="1">
      <alignment vertical="center"/>
    </xf>
    <xf numFmtId="4" fontId="24" fillId="2" borderId="0" xfId="79" applyNumberFormat="1" applyFont="1" applyFill="1" applyAlignment="1">
      <alignment vertical="center"/>
    </xf>
    <xf numFmtId="0" fontId="24" fillId="2" borderId="0" xfId="35" applyFont="1" applyFill="1"/>
    <xf numFmtId="0" fontId="19" fillId="2" borderId="0" xfId="79" applyFont="1" applyFill="1" applyAlignment="1">
      <alignment vertical="center"/>
    </xf>
    <xf numFmtId="4" fontId="19" fillId="2" borderId="0" xfId="79" applyNumberFormat="1" applyFont="1" applyFill="1" applyAlignment="1">
      <alignment vertical="center"/>
    </xf>
    <xf numFmtId="0" fontId="5" fillId="2" borderId="0" xfId="35" applyFont="1" applyFill="1"/>
    <xf numFmtId="0" fontId="5" fillId="6" borderId="148" xfId="79" applyFont="1" applyFill="1" applyBorder="1" applyAlignment="1">
      <alignment vertical="center"/>
    </xf>
    <xf numFmtId="0" fontId="8" fillId="6" borderId="149" xfId="79" applyFont="1" applyFill="1" applyBorder="1" applyAlignment="1">
      <alignment horizontal="center" vertical="center"/>
    </xf>
    <xf numFmtId="0" fontId="8" fillId="6" borderId="122" xfId="79" applyFont="1" applyFill="1" applyBorder="1" applyAlignment="1">
      <alignment horizontal="center" vertical="center"/>
    </xf>
    <xf numFmtId="4" fontId="8" fillId="6" borderId="193" xfId="79" applyNumberFormat="1" applyFont="1" applyFill="1" applyBorder="1" applyAlignment="1">
      <alignment horizontal="centerContinuous" vertical="center"/>
    </xf>
    <xf numFmtId="4" fontId="8" fillId="6" borderId="194" xfId="79" applyNumberFormat="1" applyFont="1" applyFill="1" applyBorder="1" applyAlignment="1">
      <alignment horizontal="centerContinuous" vertical="center"/>
    </xf>
    <xf numFmtId="0" fontId="8" fillId="6" borderId="57" xfId="79" applyFont="1" applyFill="1" applyBorder="1" applyAlignment="1">
      <alignment horizontal="centerContinuous" vertical="center"/>
    </xf>
    <xf numFmtId="0" fontId="8" fillId="6" borderId="48" xfId="79" applyFont="1" applyFill="1" applyBorder="1" applyAlignment="1">
      <alignment horizontal="center" vertical="center"/>
    </xf>
    <xf numFmtId="0" fontId="25" fillId="6" borderId="4" xfId="79" applyFont="1" applyFill="1" applyBorder="1" applyAlignment="1">
      <alignment horizontal="center" vertical="center"/>
    </xf>
    <xf numFmtId="0" fontId="8" fillId="6" borderId="4" xfId="79" applyFont="1" applyFill="1" applyBorder="1" applyAlignment="1">
      <alignment horizontal="center" vertical="center"/>
    </xf>
    <xf numFmtId="0" fontId="8" fillId="6" borderId="36" xfId="79" applyFont="1" applyFill="1" applyBorder="1" applyAlignment="1">
      <alignment horizontal="center" vertical="center"/>
    </xf>
    <xf numFmtId="0" fontId="8" fillId="6" borderId="38" xfId="79" applyFont="1" applyFill="1" applyBorder="1" applyAlignment="1">
      <alignment horizontal="center" vertical="center"/>
    </xf>
    <xf numFmtId="0" fontId="5" fillId="6" borderId="58" xfId="79" applyFont="1" applyFill="1" applyBorder="1" applyAlignment="1">
      <alignment vertical="center"/>
    </xf>
    <xf numFmtId="0" fontId="8" fillId="6" borderId="59" xfId="79" applyFont="1" applyFill="1" applyBorder="1" applyAlignment="1">
      <alignment horizontal="center" vertical="center"/>
    </xf>
    <xf numFmtId="0" fontId="8" fillId="6" borderId="6" xfId="79" applyFont="1" applyFill="1" applyBorder="1" applyAlignment="1">
      <alignment horizontal="center" vertical="center"/>
    </xf>
    <xf numFmtId="0" fontId="25" fillId="6" borderId="43" xfId="79" applyFont="1" applyFill="1" applyBorder="1" applyAlignment="1">
      <alignment horizontal="center" vertical="center"/>
    </xf>
    <xf numFmtId="17" fontId="8" fillId="18" borderId="57" xfId="79" applyNumberFormat="1" applyFont="1" applyFill="1" applyBorder="1" applyAlignment="1">
      <alignment horizontal="left" vertical="center"/>
    </xf>
    <xf numFmtId="37" fontId="11" fillId="2" borderId="48" xfId="79" applyNumberFormat="1" applyFont="1" applyFill="1" applyBorder="1" applyAlignment="1">
      <alignment horizontal="center"/>
    </xf>
    <xf numFmtId="37" fontId="11" fillId="2" borderId="4" xfId="79" applyNumberFormat="1" applyFont="1" applyFill="1" applyBorder="1" applyAlignment="1">
      <alignment horizontal="center"/>
    </xf>
    <xf numFmtId="37" fontId="26" fillId="2" borderId="4" xfId="79" applyNumberFormat="1" applyFont="1" applyFill="1" applyBorder="1" applyAlignment="1">
      <alignment horizontal="center"/>
    </xf>
    <xf numFmtId="37" fontId="26" fillId="2" borderId="41" xfId="79" applyNumberFormat="1" applyFont="1" applyFill="1" applyBorder="1" applyAlignment="1">
      <alignment horizontal="center"/>
    </xf>
    <xf numFmtId="0" fontId="11" fillId="2" borderId="0" xfId="35" applyFont="1" applyFill="1"/>
    <xf numFmtId="37" fontId="11" fillId="2" borderId="48" xfId="79" applyNumberFormat="1" applyFont="1" applyFill="1" applyBorder="1" applyAlignment="1">
      <alignment horizontal="center" vertical="center"/>
    </xf>
    <xf numFmtId="37" fontId="11" fillId="2" borderId="4" xfId="79" applyNumberFormat="1" applyFont="1" applyFill="1" applyBorder="1" applyAlignment="1">
      <alignment horizontal="center" vertical="center"/>
    </xf>
    <xf numFmtId="37" fontId="26" fillId="2" borderId="4" xfId="79" applyNumberFormat="1" applyFont="1" applyFill="1" applyBorder="1" applyAlignment="1">
      <alignment horizontal="center" vertical="center"/>
    </xf>
    <xf numFmtId="37" fontId="26" fillId="2" borderId="41" xfId="79" applyNumberFormat="1" applyFont="1" applyFill="1" applyBorder="1" applyAlignment="1">
      <alignment horizontal="center" vertical="center"/>
    </xf>
    <xf numFmtId="17" fontId="8" fillId="6" borderId="57" xfId="79" applyNumberFormat="1" applyFont="1" applyFill="1" applyBorder="1" applyAlignment="1">
      <alignment horizontal="left" vertical="center"/>
    </xf>
    <xf numFmtId="17" fontId="8" fillId="6" borderId="3" xfId="79" applyNumberFormat="1" applyFont="1" applyFill="1" applyBorder="1" applyAlignment="1">
      <alignment horizontal="left" vertical="center"/>
    </xf>
    <xf numFmtId="37" fontId="26" fillId="2" borderId="25" xfId="79" applyNumberFormat="1" applyFont="1" applyFill="1" applyBorder="1" applyAlignment="1">
      <alignment horizontal="center" vertical="center"/>
    </xf>
    <xf numFmtId="2" fontId="11" fillId="2" borderId="0" xfId="35" applyNumberFormat="1" applyFont="1" applyFill="1"/>
    <xf numFmtId="43" fontId="11" fillId="2" borderId="0" xfId="3" applyFont="1" applyFill="1"/>
    <xf numFmtId="37" fontId="11" fillId="2" borderId="25" xfId="79" applyNumberFormat="1" applyFont="1" applyFill="1" applyBorder="1" applyAlignment="1">
      <alignment horizontal="center" vertical="center"/>
    </xf>
    <xf numFmtId="17" fontId="8" fillId="6" borderId="195" xfId="79" applyNumberFormat="1" applyFont="1" applyFill="1" applyBorder="1" applyAlignment="1">
      <alignment horizontal="left" vertical="center"/>
    </xf>
    <xf numFmtId="37" fontId="11" fillId="2" borderId="59" xfId="79" applyNumberFormat="1" applyFont="1" applyFill="1" applyBorder="1" applyAlignment="1">
      <alignment horizontal="center" vertical="center"/>
    </xf>
    <xf numFmtId="37" fontId="11" fillId="2" borderId="196" xfId="79" applyNumberFormat="1" applyFont="1" applyFill="1" applyBorder="1" applyAlignment="1">
      <alignment horizontal="center" vertical="center"/>
    </xf>
    <xf numFmtId="37" fontId="11" fillId="2" borderId="6" xfId="79" applyNumberFormat="1" applyFont="1" applyFill="1" applyBorder="1" applyAlignment="1">
      <alignment horizontal="center" vertical="center"/>
    </xf>
    <xf numFmtId="37" fontId="26" fillId="2" borderId="196" xfId="79" applyNumberFormat="1" applyFont="1" applyFill="1" applyBorder="1" applyAlignment="1">
      <alignment horizontal="center" vertical="center"/>
    </xf>
    <xf numFmtId="37" fontId="26" fillId="2" borderId="43" xfId="79" applyNumberFormat="1" applyFont="1" applyFill="1" applyBorder="1" applyAlignment="1">
      <alignment horizontal="center" vertical="center"/>
    </xf>
    <xf numFmtId="0" fontId="17" fillId="2" borderId="0" xfId="74" applyFont="1" applyFill="1" applyAlignment="1">
      <alignment vertical="center"/>
    </xf>
    <xf numFmtId="0" fontId="47" fillId="2" borderId="0" xfId="74" applyFont="1" applyFill="1" applyAlignment="1">
      <alignment vertical="center"/>
    </xf>
    <xf numFmtId="0" fontId="8" fillId="2" borderId="0" xfId="80" applyFont="1" applyFill="1"/>
    <xf numFmtId="0" fontId="5" fillId="2" borderId="0" xfId="80" applyFont="1" applyFill="1"/>
    <xf numFmtId="37" fontId="24" fillId="2" borderId="0" xfId="79" applyNumberFormat="1" applyFont="1" applyFill="1" applyAlignment="1">
      <alignment horizontal="center" vertical="center"/>
    </xf>
    <xf numFmtId="37" fontId="4" fillId="2" borderId="0" xfId="79" applyNumberFormat="1" applyFont="1" applyFill="1" applyAlignment="1">
      <alignment horizontal="center" vertical="center"/>
    </xf>
    <xf numFmtId="0" fontId="119" fillId="2" borderId="0" xfId="14" applyFont="1" applyFill="1" applyAlignment="1">
      <alignment vertical="center"/>
    </xf>
    <xf numFmtId="0" fontId="120" fillId="2" borderId="0" xfId="35" applyFont="1" applyFill="1"/>
    <xf numFmtId="0" fontId="119" fillId="2" borderId="0" xfId="14" applyFont="1" applyFill="1" applyAlignment="1">
      <alignment vertical="center" textRotation="135"/>
    </xf>
    <xf numFmtId="0" fontId="121" fillId="3" borderId="148" xfId="14" applyFont="1" applyFill="1" applyBorder="1" applyAlignment="1">
      <alignment vertical="center"/>
    </xf>
    <xf numFmtId="0" fontId="8" fillId="3" borderId="77" xfId="14" applyFont="1" applyFill="1" applyBorder="1" applyAlignment="1">
      <alignment vertical="center"/>
    </xf>
    <xf numFmtId="0" fontId="8" fillId="3" borderId="122" xfId="14" applyFont="1" applyFill="1" applyBorder="1" applyAlignment="1">
      <alignment vertical="center"/>
    </xf>
    <xf numFmtId="0" fontId="122" fillId="2" borderId="0" xfId="35" applyFont="1" applyFill="1"/>
    <xf numFmtId="0" fontId="121" fillId="3" borderId="58" xfId="14" applyFont="1" applyFill="1" applyBorder="1" applyAlignment="1">
      <alignment horizontal="center" vertical="center" wrapText="1"/>
    </xf>
    <xf numFmtId="0" fontId="8" fillId="3" borderId="34" xfId="14" applyFont="1" applyFill="1" applyBorder="1" applyAlignment="1">
      <alignment horizontal="center" vertical="center" wrapText="1"/>
    </xf>
    <xf numFmtId="0" fontId="8" fillId="3" borderId="6" xfId="14" applyFont="1" applyFill="1" applyBorder="1" applyAlignment="1">
      <alignment horizontal="center" vertical="center" wrapText="1"/>
    </xf>
    <xf numFmtId="0" fontId="8" fillId="3" borderId="43" xfId="14" applyFont="1" applyFill="1" applyBorder="1" applyAlignment="1">
      <alignment horizontal="center" vertical="center" wrapText="1"/>
    </xf>
    <xf numFmtId="0" fontId="124" fillId="2" borderId="0" xfId="35" applyFont="1" applyFill="1"/>
    <xf numFmtId="37" fontId="11" fillId="2" borderId="41" xfId="79" applyNumberFormat="1" applyFont="1" applyFill="1" applyBorder="1" applyAlignment="1">
      <alignment horizontal="center" vertical="center"/>
    </xf>
    <xf numFmtId="1" fontId="124" fillId="2" borderId="0" xfId="35" applyNumberFormat="1" applyFont="1" applyFill="1"/>
    <xf numFmtId="43" fontId="124" fillId="2" borderId="0" xfId="3" applyFont="1" applyFill="1"/>
    <xf numFmtId="37" fontId="11" fillId="2" borderId="43" xfId="79" applyNumberFormat="1" applyFont="1" applyFill="1" applyBorder="1" applyAlignment="1">
      <alignment horizontal="center" vertical="center"/>
    </xf>
    <xf numFmtId="0" fontId="124" fillId="2" borderId="0" xfId="80" applyFont="1" applyFill="1"/>
    <xf numFmtId="0" fontId="125" fillId="2" borderId="0" xfId="35" applyFont="1" applyFill="1" applyAlignment="1"/>
    <xf numFmtId="0" fontId="125" fillId="2" borderId="0" xfId="35" applyFont="1" applyFill="1"/>
    <xf numFmtId="0" fontId="122" fillId="2" borderId="0" xfId="80" applyFont="1" applyFill="1"/>
    <xf numFmtId="0" fontId="120" fillId="2" borderId="0" xfId="81" applyFont="1" applyFill="1" applyAlignment="1">
      <alignment vertical="center"/>
    </xf>
    <xf numFmtId="0" fontId="120" fillId="2" borderId="0" xfId="81" applyFont="1" applyFill="1" applyAlignment="1">
      <alignment horizontal="left" vertical="top"/>
    </xf>
    <xf numFmtId="0" fontId="119" fillId="2" borderId="0" xfId="81" applyFont="1" applyFill="1" applyAlignment="1">
      <alignment vertical="center"/>
    </xf>
    <xf numFmtId="0" fontId="126" fillId="2" borderId="0" xfId="81" applyFont="1" applyFill="1" applyAlignment="1">
      <alignment vertical="center"/>
    </xf>
    <xf numFmtId="0" fontId="127" fillId="2" borderId="0" xfId="81" applyFont="1" applyFill="1" applyAlignment="1">
      <alignment vertical="center"/>
    </xf>
    <xf numFmtId="0" fontId="122" fillId="2" borderId="0" xfId="81" applyFont="1" applyFill="1" applyAlignment="1">
      <alignment vertical="center"/>
    </xf>
    <xf numFmtId="0" fontId="121" fillId="3" borderId="65" xfId="81" applyFont="1" applyFill="1" applyBorder="1" applyAlignment="1">
      <alignment horizontal="center" vertical="center" wrapText="1"/>
    </xf>
    <xf numFmtId="0" fontId="8" fillId="3" borderId="98" xfId="81" applyFont="1" applyFill="1" applyBorder="1" applyAlignment="1">
      <alignment horizontal="center" vertical="center" wrapText="1"/>
    </xf>
    <xf numFmtId="0" fontId="8" fillId="3" borderId="2" xfId="81" applyFont="1" applyFill="1" applyBorder="1" applyAlignment="1">
      <alignment horizontal="center" vertical="center" wrapText="1"/>
    </xf>
    <xf numFmtId="0" fontId="8" fillId="3" borderId="78" xfId="81" applyFont="1" applyFill="1" applyBorder="1" applyAlignment="1">
      <alignment horizontal="center" vertical="center" wrapText="1"/>
    </xf>
    <xf numFmtId="0" fontId="8" fillId="3" borderId="42" xfId="81" applyFont="1" applyFill="1" applyBorder="1" applyAlignment="1">
      <alignment horizontal="center" vertical="center" wrapText="1"/>
    </xf>
    <xf numFmtId="0" fontId="121" fillId="2" borderId="0" xfId="81" applyFont="1" applyFill="1" applyAlignment="1">
      <alignment horizontal="center" vertical="center"/>
    </xf>
    <xf numFmtId="0" fontId="128" fillId="2" borderId="0" xfId="81" applyFont="1" applyFill="1" applyAlignment="1">
      <alignment horizontal="center" vertical="center"/>
    </xf>
    <xf numFmtId="0" fontId="124" fillId="2" borderId="0" xfId="81" applyFont="1" applyFill="1" applyAlignment="1">
      <alignment vertical="center"/>
    </xf>
    <xf numFmtId="37" fontId="11" fillId="2" borderId="197" xfId="79" applyNumberFormat="1" applyFont="1" applyFill="1" applyBorder="1" applyAlignment="1">
      <alignment horizontal="center" vertical="center"/>
    </xf>
    <xf numFmtId="37" fontId="11" fillId="2" borderId="138" xfId="79" applyNumberFormat="1" applyFont="1" applyFill="1" applyBorder="1" applyAlignment="1">
      <alignment horizontal="center" vertical="center"/>
    </xf>
    <xf numFmtId="37" fontId="11" fillId="2" borderId="100" xfId="79" applyNumberFormat="1" applyFont="1" applyFill="1" applyBorder="1" applyAlignment="1">
      <alignment horizontal="center" vertical="center"/>
    </xf>
    <xf numFmtId="0" fontId="17" fillId="2" borderId="0" xfId="81" applyFont="1" applyFill="1" applyAlignment="1">
      <alignment vertical="center"/>
    </xf>
    <xf numFmtId="0" fontId="129" fillId="2" borderId="0" xfId="81" applyFont="1" applyFill="1" applyAlignment="1">
      <alignment vertical="center"/>
    </xf>
    <xf numFmtId="0" fontId="125" fillId="2" borderId="0" xfId="81" applyFont="1" applyFill="1" applyAlignment="1">
      <alignment vertical="center"/>
    </xf>
    <xf numFmtId="0" fontId="4" fillId="2" borderId="0" xfId="81" applyFont="1" applyFill="1" applyBorder="1" applyAlignment="1">
      <alignment vertical="center"/>
    </xf>
    <xf numFmtId="0" fontId="24" fillId="2" borderId="0" xfId="81" applyFont="1" applyFill="1" applyBorder="1"/>
    <xf numFmtId="0" fontId="51" fillId="2" borderId="0" xfId="81" applyFont="1" applyFill="1" applyBorder="1"/>
    <xf numFmtId="0" fontId="51" fillId="2" borderId="0" xfId="81" applyFont="1" applyFill="1"/>
    <xf numFmtId="164" fontId="51" fillId="2" borderId="0" xfId="81" applyNumberFormat="1" applyFont="1" applyFill="1"/>
    <xf numFmtId="0" fontId="24" fillId="2" borderId="0" xfId="81" applyFont="1" applyFill="1"/>
    <xf numFmtId="0" fontId="19" fillId="2" borderId="0" xfId="81" applyFont="1" applyFill="1" applyBorder="1" applyAlignment="1">
      <alignment horizontal="left" vertical="center" indent="1"/>
    </xf>
    <xf numFmtId="0" fontId="19" fillId="2" borderId="0" xfId="81" applyFont="1" applyFill="1" applyBorder="1" applyAlignment="1">
      <alignment vertical="center"/>
    </xf>
    <xf numFmtId="0" fontId="31" fillId="2" borderId="0" xfId="81" applyFont="1" applyFill="1" applyBorder="1" applyAlignment="1">
      <alignment horizontal="center" vertical="center"/>
    </xf>
    <xf numFmtId="0" fontId="31" fillId="2" borderId="0" xfId="81" applyFont="1" applyFill="1" applyBorder="1" applyAlignment="1">
      <alignment vertical="center"/>
    </xf>
    <xf numFmtId="0" fontId="32" fillId="2" borderId="0" xfId="81" applyFont="1" applyFill="1" applyBorder="1" applyAlignment="1">
      <alignment vertical="center"/>
    </xf>
    <xf numFmtId="0" fontId="56" fillId="3" borderId="67" xfId="81" applyFont="1" applyFill="1" applyBorder="1" applyAlignment="1">
      <alignment horizontal="center" vertical="center"/>
    </xf>
    <xf numFmtId="175" fontId="8" fillId="3" borderId="2" xfId="81" applyNumberFormat="1" applyFont="1" applyFill="1" applyBorder="1" applyAlignment="1">
      <alignment horizontal="center" vertical="center"/>
    </xf>
    <xf numFmtId="175" fontId="8" fillId="3" borderId="42" xfId="81" applyNumberFormat="1" applyFont="1" applyFill="1" applyBorder="1" applyAlignment="1">
      <alignment horizontal="center" vertical="center"/>
    </xf>
    <xf numFmtId="175" fontId="8" fillId="3" borderId="64" xfId="81" applyNumberFormat="1" applyFont="1" applyFill="1" applyBorder="1" applyAlignment="1">
      <alignment horizontal="center" vertical="center"/>
    </xf>
    <xf numFmtId="175" fontId="8" fillId="3" borderId="28" xfId="81" applyNumberFormat="1" applyFont="1" applyFill="1" applyBorder="1" applyAlignment="1">
      <alignment horizontal="center" vertical="center"/>
    </xf>
    <xf numFmtId="175" fontId="8" fillId="3" borderId="78" xfId="81" applyNumberFormat="1" applyFont="1" applyFill="1" applyBorder="1" applyAlignment="1">
      <alignment horizontal="center" vertical="center"/>
    </xf>
    <xf numFmtId="0" fontId="8" fillId="2" borderId="0" xfId="81" applyFont="1" applyFill="1" applyBorder="1" applyAlignment="1">
      <alignment horizontal="center" vertical="center"/>
    </xf>
    <xf numFmtId="0" fontId="5" fillId="3" borderId="24" xfId="81" applyFont="1" applyFill="1" applyBorder="1" applyAlignment="1">
      <alignment vertical="center"/>
    </xf>
    <xf numFmtId="187" fontId="11" fillId="2" borderId="4" xfId="82" applyNumberFormat="1" applyFont="1" applyFill="1" applyBorder="1" applyAlignment="1">
      <alignment vertical="center"/>
    </xf>
    <xf numFmtId="3" fontId="11" fillId="2" borderId="4" xfId="81" applyNumberFormat="1" applyFont="1" applyFill="1" applyBorder="1" applyAlignment="1">
      <alignment vertical="center"/>
    </xf>
    <xf numFmtId="3" fontId="11" fillId="0" borderId="4" xfId="81" applyNumberFormat="1" applyFont="1" applyFill="1" applyBorder="1" applyAlignment="1">
      <alignment vertical="center"/>
    </xf>
    <xf numFmtId="3" fontId="26" fillId="0" borderId="4" xfId="81" applyNumberFormat="1" applyFont="1" applyFill="1" applyBorder="1" applyAlignment="1">
      <alignment vertical="center"/>
    </xf>
    <xf numFmtId="3" fontId="11" fillId="2" borderId="4" xfId="81" applyNumberFormat="1" applyFont="1" applyFill="1" applyBorder="1" applyAlignment="1">
      <alignment horizontal="center" vertical="center"/>
    </xf>
    <xf numFmtId="3" fontId="51" fillId="2" borderId="4" xfId="81" applyNumberFormat="1" applyFont="1" applyFill="1" applyBorder="1" applyAlignment="1">
      <alignment horizontal="center" vertical="center"/>
    </xf>
    <xf numFmtId="3" fontId="51" fillId="2" borderId="41" xfId="81" applyNumberFormat="1" applyFont="1" applyFill="1" applyBorder="1" applyAlignment="1">
      <alignment horizontal="center" vertical="center"/>
    </xf>
    <xf numFmtId="3" fontId="51" fillId="2" borderId="3" xfId="81" applyNumberFormat="1" applyFont="1" applyFill="1" applyBorder="1" applyAlignment="1">
      <alignment horizontal="center" vertical="center"/>
    </xf>
    <xf numFmtId="3" fontId="11" fillId="2" borderId="36" xfId="81" applyNumberFormat="1" applyFont="1" applyFill="1" applyBorder="1" applyAlignment="1">
      <alignment horizontal="center" vertical="center"/>
    </xf>
    <xf numFmtId="3" fontId="11" fillId="2" borderId="32" xfId="81" applyNumberFormat="1" applyFont="1" applyFill="1" applyBorder="1" applyAlignment="1">
      <alignment horizontal="center" vertical="center"/>
    </xf>
    <xf numFmtId="164" fontId="11" fillId="2" borderId="36" xfId="81" applyNumberFormat="1" applyFont="1" applyFill="1" applyBorder="1" applyAlignment="1">
      <alignment horizontal="center" vertical="center"/>
    </xf>
    <xf numFmtId="164" fontId="11" fillId="2" borderId="16" xfId="81" applyNumberFormat="1" applyFont="1" applyFill="1" applyBorder="1" applyAlignment="1">
      <alignment horizontal="center" vertical="center"/>
    </xf>
    <xf numFmtId="187" fontId="11" fillId="2" borderId="0" xfId="82" applyNumberFormat="1" applyFont="1" applyFill="1" applyBorder="1" applyAlignment="1">
      <alignment vertical="center"/>
    </xf>
    <xf numFmtId="0" fontId="5" fillId="3" borderId="24" xfId="81" applyFont="1" applyFill="1" applyBorder="1" applyAlignment="1">
      <alignment horizontal="left" vertical="center" indent="1"/>
    </xf>
    <xf numFmtId="0" fontId="11" fillId="2" borderId="4" xfId="81" applyFont="1" applyFill="1" applyBorder="1" applyAlignment="1">
      <alignment vertical="center"/>
    </xf>
    <xf numFmtId="166" fontId="11" fillId="2" borderId="4" xfId="81" applyNumberFormat="1" applyFont="1" applyFill="1" applyBorder="1" applyAlignment="1">
      <alignment vertical="center"/>
    </xf>
    <xf numFmtId="166" fontId="11" fillId="0" borderId="4" xfId="81" applyNumberFormat="1" applyFont="1" applyFill="1" applyBorder="1" applyAlignment="1">
      <alignment vertical="center"/>
    </xf>
    <xf numFmtId="166" fontId="11" fillId="2" borderId="198" xfId="81" applyNumberFormat="1" applyFont="1" applyFill="1" applyBorder="1" applyAlignment="1">
      <alignment vertical="center"/>
    </xf>
    <xf numFmtId="166" fontId="11" fillId="2" borderId="4" xfId="81" applyNumberFormat="1" applyFont="1" applyFill="1" applyBorder="1" applyAlignment="1">
      <alignment horizontal="center" vertical="center"/>
    </xf>
    <xf numFmtId="166" fontId="51" fillId="2" borderId="4" xfId="81" applyNumberFormat="1" applyFont="1" applyFill="1" applyBorder="1" applyAlignment="1">
      <alignment horizontal="center" vertical="center"/>
    </xf>
    <xf numFmtId="166" fontId="51" fillId="0" borderId="4" xfId="81" applyNumberFormat="1" applyFont="1" applyFill="1" applyBorder="1" applyAlignment="1">
      <alignment horizontal="center" vertical="center"/>
    </xf>
    <xf numFmtId="166" fontId="51" fillId="2" borderId="41" xfId="81" applyNumberFormat="1" applyFont="1" applyFill="1" applyBorder="1" applyAlignment="1">
      <alignment horizontal="center" vertical="center"/>
    </xf>
    <xf numFmtId="166" fontId="51" fillId="2" borderId="3" xfId="81" applyNumberFormat="1" applyFont="1" applyFill="1" applyBorder="1" applyAlignment="1">
      <alignment horizontal="center" vertical="center"/>
    </xf>
    <xf numFmtId="166" fontId="11" fillId="2" borderId="25" xfId="81" applyNumberFormat="1" applyFont="1" applyFill="1" applyBorder="1" applyAlignment="1">
      <alignment horizontal="center" vertical="center"/>
    </xf>
    <xf numFmtId="166" fontId="11" fillId="2" borderId="14" xfId="81" applyNumberFormat="1" applyFont="1" applyFill="1" applyBorder="1" applyAlignment="1">
      <alignment horizontal="center" vertical="center"/>
    </xf>
    <xf numFmtId="0" fontId="11" fillId="2" borderId="0" xfId="81" applyFont="1" applyFill="1" applyBorder="1" applyAlignment="1">
      <alignment vertical="center"/>
    </xf>
    <xf numFmtId="3" fontId="11" fillId="2" borderId="199" xfId="81" applyNumberFormat="1" applyFont="1" applyFill="1" applyBorder="1" applyAlignment="1">
      <alignment vertical="center"/>
    </xf>
    <xf numFmtId="3" fontId="11" fillId="2" borderId="199" xfId="81" applyNumberFormat="1" applyFont="1" applyFill="1" applyBorder="1" applyAlignment="1">
      <alignment horizontal="center" vertical="center"/>
    </xf>
    <xf numFmtId="3" fontId="51" fillId="2" borderId="199" xfId="81" applyNumberFormat="1" applyFont="1" applyFill="1" applyBorder="1" applyAlignment="1">
      <alignment horizontal="center" vertical="center"/>
    </xf>
    <xf numFmtId="3" fontId="51" fillId="0" borderId="199" xfId="81" applyNumberFormat="1" applyFont="1" applyFill="1" applyBorder="1" applyAlignment="1">
      <alignment horizontal="center" vertical="center"/>
    </xf>
    <xf numFmtId="164" fontId="51" fillId="2" borderId="199" xfId="81" applyNumberFormat="1" applyFont="1" applyFill="1" applyBorder="1" applyAlignment="1">
      <alignment horizontal="center" vertical="center"/>
    </xf>
    <xf numFmtId="164" fontId="51" fillId="2" borderId="200" xfId="81" applyNumberFormat="1" applyFont="1" applyFill="1" applyBorder="1" applyAlignment="1">
      <alignment horizontal="center" vertical="center"/>
    </xf>
    <xf numFmtId="164" fontId="51" fillId="2" borderId="201" xfId="81" applyNumberFormat="1" applyFont="1" applyFill="1" applyBorder="1" applyAlignment="1">
      <alignment horizontal="center" vertical="center"/>
    </xf>
    <xf numFmtId="164" fontId="11" fillId="2" borderId="199" xfId="81" applyNumberFormat="1" applyFont="1" applyFill="1" applyBorder="1" applyAlignment="1">
      <alignment horizontal="center" vertical="center"/>
    </xf>
    <xf numFmtId="164" fontId="11" fillId="2" borderId="202" xfId="81" applyNumberFormat="1" applyFont="1" applyFill="1" applyBorder="1" applyAlignment="1">
      <alignment horizontal="center" vertical="center"/>
    </xf>
    <xf numFmtId="164" fontId="11" fillId="2" borderId="203" xfId="81" applyNumberFormat="1" applyFont="1" applyFill="1" applyBorder="1" applyAlignment="1">
      <alignment horizontal="center" vertical="center"/>
    </xf>
    <xf numFmtId="164" fontId="11" fillId="2" borderId="4" xfId="82" applyNumberFormat="1" applyFont="1" applyFill="1" applyBorder="1" applyAlignment="1">
      <alignment horizontal="center" vertical="center"/>
    </xf>
    <xf numFmtId="3" fontId="51" fillId="0" borderId="4" xfId="81" applyNumberFormat="1" applyFont="1" applyFill="1" applyBorder="1" applyAlignment="1">
      <alignment horizontal="center" vertical="center"/>
    </xf>
    <xf numFmtId="164" fontId="51" fillId="2" borderId="4" xfId="81" applyNumberFormat="1" applyFont="1" applyFill="1" applyBorder="1" applyAlignment="1">
      <alignment horizontal="center" vertical="center"/>
    </xf>
    <xf numFmtId="164" fontId="51" fillId="2" borderId="41" xfId="81" applyNumberFormat="1" applyFont="1" applyFill="1" applyBorder="1" applyAlignment="1">
      <alignment horizontal="center" vertical="center"/>
    </xf>
    <xf numFmtId="164" fontId="51" fillId="2" borderId="3" xfId="81" applyNumberFormat="1" applyFont="1" applyFill="1" applyBorder="1" applyAlignment="1">
      <alignment horizontal="center" vertical="center"/>
    </xf>
    <xf numFmtId="164" fontId="11" fillId="2" borderId="4" xfId="81" applyNumberFormat="1" applyFont="1" applyFill="1" applyBorder="1" applyAlignment="1">
      <alignment horizontal="center" vertical="center"/>
    </xf>
    <xf numFmtId="164" fontId="11" fillId="2" borderId="25" xfId="81" applyNumberFormat="1" applyFont="1" applyFill="1" applyBorder="1" applyAlignment="1">
      <alignment horizontal="center" vertical="center"/>
    </xf>
    <xf numFmtId="164" fontId="11" fillId="2" borderId="14" xfId="81" applyNumberFormat="1" applyFont="1" applyFill="1" applyBorder="1" applyAlignment="1">
      <alignment horizontal="center" vertical="center"/>
    </xf>
    <xf numFmtId="0" fontId="11" fillId="2" borderId="0" xfId="81" applyFont="1" applyFill="1" applyBorder="1" applyAlignment="1">
      <alignment horizontal="center" vertical="center"/>
    </xf>
    <xf numFmtId="3" fontId="11" fillId="2" borderId="198" xfId="81" applyNumberFormat="1" applyFont="1" applyFill="1" applyBorder="1" applyAlignment="1">
      <alignment vertical="center"/>
    </xf>
    <xf numFmtId="3" fontId="11" fillId="2" borderId="55" xfId="81" applyNumberFormat="1" applyFont="1" applyFill="1" applyBorder="1" applyAlignment="1">
      <alignment vertical="center"/>
    </xf>
    <xf numFmtId="3" fontId="11" fillId="2" borderId="55" xfId="81" applyNumberFormat="1" applyFont="1" applyFill="1" applyBorder="1" applyAlignment="1">
      <alignment horizontal="center" vertical="center"/>
    </xf>
    <xf numFmtId="3" fontId="51" fillId="2" borderId="55" xfId="81" applyNumberFormat="1" applyFont="1" applyFill="1" applyBorder="1" applyAlignment="1">
      <alignment horizontal="center" vertical="center"/>
    </xf>
    <xf numFmtId="3" fontId="51" fillId="0" borderId="55" xfId="81" applyNumberFormat="1" applyFont="1" applyFill="1" applyBorder="1" applyAlignment="1">
      <alignment horizontal="center" vertical="center"/>
    </xf>
    <xf numFmtId="3" fontId="51" fillId="2" borderId="204" xfId="81" applyNumberFormat="1" applyFont="1" applyFill="1" applyBorder="1" applyAlignment="1">
      <alignment horizontal="center" vertical="center"/>
    </xf>
    <xf numFmtId="3" fontId="51" fillId="2" borderId="205" xfId="81" applyNumberFormat="1" applyFont="1" applyFill="1" applyBorder="1" applyAlignment="1">
      <alignment horizontal="center" vertical="center"/>
    </xf>
    <xf numFmtId="3" fontId="11" fillId="2" borderId="206" xfId="81" applyNumberFormat="1" applyFont="1" applyFill="1" applyBorder="1" applyAlignment="1">
      <alignment horizontal="center" vertical="center"/>
    </xf>
    <xf numFmtId="3" fontId="11" fillId="2" borderId="207" xfId="81" applyNumberFormat="1" applyFont="1" applyFill="1" applyBorder="1" applyAlignment="1">
      <alignment horizontal="center" vertical="center"/>
    </xf>
    <xf numFmtId="3" fontId="11" fillId="2" borderId="25" xfId="81" applyNumberFormat="1" applyFont="1" applyFill="1" applyBorder="1" applyAlignment="1">
      <alignment horizontal="center" vertical="center"/>
    </xf>
    <xf numFmtId="3" fontId="11" fillId="2" borderId="14" xfId="81" applyNumberFormat="1" applyFont="1" applyFill="1" applyBorder="1" applyAlignment="1">
      <alignment horizontal="center" vertical="center"/>
    </xf>
    <xf numFmtId="164" fontId="11" fillId="2" borderId="4" xfId="81" applyNumberFormat="1" applyFont="1" applyFill="1" applyBorder="1" applyAlignment="1">
      <alignment vertical="center"/>
    </xf>
    <xf numFmtId="0" fontId="8" fillId="3" borderId="24" xfId="81" applyFont="1" applyFill="1" applyBorder="1" applyAlignment="1">
      <alignment vertical="center"/>
    </xf>
    <xf numFmtId="3" fontId="11" fillId="0" borderId="4" xfId="81" applyNumberFormat="1" applyFont="1" applyFill="1" applyBorder="1" applyAlignment="1">
      <alignment horizontal="center" vertical="center"/>
    </xf>
    <xf numFmtId="164" fontId="11" fillId="0" borderId="14" xfId="81" applyNumberFormat="1" applyFont="1" applyFill="1" applyBorder="1" applyAlignment="1">
      <alignment horizontal="center" vertical="center"/>
    </xf>
    <xf numFmtId="0" fontId="51" fillId="2" borderId="4" xfId="81" applyFont="1" applyFill="1" applyBorder="1" applyAlignment="1">
      <alignment horizontal="center" vertical="center"/>
    </xf>
    <xf numFmtId="3" fontId="51" fillId="0" borderId="41" xfId="81" applyNumberFormat="1" applyFont="1" applyFill="1" applyBorder="1" applyAlignment="1">
      <alignment horizontal="center" vertical="center"/>
    </xf>
    <xf numFmtId="164" fontId="51" fillId="0" borderId="3" xfId="81" applyNumberFormat="1" applyFont="1" applyFill="1" applyBorder="1" applyAlignment="1">
      <alignment horizontal="center" vertical="center"/>
    </xf>
    <xf numFmtId="164" fontId="11" fillId="0" borderId="25" xfId="81" applyNumberFormat="1" applyFont="1" applyFill="1" applyBorder="1" applyAlignment="1">
      <alignment horizontal="center" vertical="center"/>
    </xf>
    <xf numFmtId="0" fontId="5" fillId="3" borderId="27" xfId="81" applyFont="1" applyFill="1" applyBorder="1" applyAlignment="1">
      <alignment horizontal="left" vertical="center" indent="1"/>
    </xf>
    <xf numFmtId="0" fontId="11" fillId="2" borderId="6" xfId="81" applyFont="1" applyFill="1" applyBorder="1" applyAlignment="1">
      <alignment vertical="center"/>
    </xf>
    <xf numFmtId="0" fontId="11" fillId="2" borderId="6" xfId="81" applyFont="1" applyFill="1" applyBorder="1" applyAlignment="1">
      <alignment horizontal="center" vertical="center"/>
    </xf>
    <xf numFmtId="0" fontId="51" fillId="2" borderId="6" xfId="81" applyFont="1" applyFill="1" applyBorder="1" applyAlignment="1">
      <alignment horizontal="center" vertical="center"/>
    </xf>
    <xf numFmtId="0" fontId="51" fillId="2" borderId="43" xfId="81" applyFont="1" applyFill="1" applyBorder="1" applyAlignment="1">
      <alignment horizontal="center" vertical="center"/>
    </xf>
    <xf numFmtId="0" fontId="51" fillId="2" borderId="5" xfId="81" applyFont="1" applyFill="1" applyBorder="1" applyAlignment="1">
      <alignment horizontal="center" vertical="center"/>
    </xf>
    <xf numFmtId="0" fontId="11" fillId="2" borderId="196" xfId="81" applyFont="1" applyFill="1" applyBorder="1" applyAlignment="1">
      <alignment horizontal="center" vertical="center"/>
    </xf>
    <xf numFmtId="0" fontId="11" fillId="2" borderId="21" xfId="81" applyFont="1" applyFill="1" applyBorder="1" applyAlignment="1">
      <alignment horizontal="center" vertical="center"/>
    </xf>
    <xf numFmtId="0" fontId="17" fillId="2" borderId="0" xfId="81" applyFont="1" applyFill="1" applyBorder="1" applyAlignment="1">
      <alignment vertical="center"/>
    </xf>
    <xf numFmtId="0" fontId="30" fillId="2" borderId="0" xfId="81" applyFont="1" applyFill="1" applyBorder="1" applyAlignment="1">
      <alignment vertical="center"/>
    </xf>
    <xf numFmtId="0" fontId="25" fillId="2" borderId="0" xfId="81" applyFont="1" applyFill="1" applyBorder="1" applyAlignment="1">
      <alignment vertical="center"/>
    </xf>
    <xf numFmtId="0" fontId="130" fillId="2" borderId="0" xfId="81" applyFont="1" applyFill="1" applyBorder="1" applyAlignment="1">
      <alignment vertical="center"/>
    </xf>
    <xf numFmtId="164" fontId="130" fillId="2" borderId="0" xfId="81" applyNumberFormat="1" applyFont="1" applyFill="1" applyBorder="1" applyAlignment="1">
      <alignment vertical="center"/>
    </xf>
    <xf numFmtId="0" fontId="51" fillId="2" borderId="0" xfId="81" applyFont="1" applyFill="1" applyBorder="1" applyAlignment="1">
      <alignment vertical="center"/>
    </xf>
    <xf numFmtId="0" fontId="5" fillId="2" borderId="0" xfId="81" applyFont="1" applyFill="1"/>
    <xf numFmtId="0" fontId="5" fillId="2" borderId="0" xfId="81" applyFont="1" applyFill="1" applyBorder="1"/>
    <xf numFmtId="175" fontId="8" fillId="3" borderId="208" xfId="81" applyNumberFormat="1" applyFont="1" applyFill="1" applyBorder="1" applyAlignment="1">
      <alignment horizontal="center" vertical="center"/>
    </xf>
    <xf numFmtId="0" fontId="5" fillId="2" borderId="0" xfId="81" applyFont="1" applyFill="1" applyAlignment="1">
      <alignment horizontal="center" vertical="center"/>
    </xf>
    <xf numFmtId="0" fontId="5" fillId="3" borderId="24" xfId="81" applyFont="1" applyFill="1" applyBorder="1" applyAlignment="1">
      <alignment horizontal="center" vertical="center"/>
    </xf>
    <xf numFmtId="17" fontId="26" fillId="19" borderId="4" xfId="81" applyNumberFormat="1" applyFont="1" applyFill="1" applyBorder="1" applyAlignment="1">
      <alignment vertical="center"/>
    </xf>
    <xf numFmtId="17" fontId="26" fillId="0" borderId="4" xfId="81" applyNumberFormat="1" applyFont="1" applyFill="1" applyBorder="1" applyAlignment="1">
      <alignment vertical="center"/>
    </xf>
    <xf numFmtId="17" fontId="26" fillId="2" borderId="4" xfId="81" applyNumberFormat="1" applyFont="1" applyFill="1" applyBorder="1" applyAlignment="1">
      <alignment vertical="center"/>
    </xf>
    <xf numFmtId="17" fontId="32" fillId="2" borderId="4" xfId="81" applyNumberFormat="1" applyFont="1" applyFill="1" applyBorder="1" applyAlignment="1">
      <alignment vertical="center"/>
    </xf>
    <xf numFmtId="17" fontId="32" fillId="2" borderId="41" xfId="81" applyNumberFormat="1" applyFont="1" applyFill="1" applyBorder="1" applyAlignment="1">
      <alignment vertical="center"/>
    </xf>
    <xf numFmtId="17" fontId="32" fillId="2" borderId="26" xfId="81" applyNumberFormat="1" applyFont="1" applyFill="1" applyBorder="1" applyAlignment="1">
      <alignment vertical="center"/>
    </xf>
    <xf numFmtId="17" fontId="32" fillId="2" borderId="36" xfId="81" applyNumberFormat="1" applyFont="1" applyFill="1" applyBorder="1" applyAlignment="1">
      <alignment vertical="center"/>
    </xf>
    <xf numFmtId="17" fontId="32" fillId="2" borderId="38" xfId="81" applyNumberFormat="1" applyFont="1" applyFill="1" applyBorder="1" applyAlignment="1">
      <alignment vertical="center"/>
    </xf>
    <xf numFmtId="0" fontId="11" fillId="2" borderId="0" xfId="81" applyFont="1" applyFill="1" applyAlignment="1">
      <alignment horizontal="center" vertical="center"/>
    </xf>
    <xf numFmtId="164" fontId="11" fillId="2" borderId="24" xfId="81" applyNumberFormat="1" applyFont="1" applyFill="1" applyBorder="1" applyAlignment="1">
      <alignment horizontal="center" vertical="center"/>
    </xf>
    <xf numFmtId="164" fontId="11" fillId="0" borderId="4" xfId="81" applyNumberFormat="1" applyFont="1" applyFill="1" applyBorder="1" applyAlignment="1">
      <alignment horizontal="center" vertical="center"/>
    </xf>
    <xf numFmtId="164" fontId="11" fillId="0" borderId="41" xfId="81" applyNumberFormat="1" applyFont="1" applyFill="1" applyBorder="1" applyAlignment="1">
      <alignment horizontal="center" vertical="center"/>
    </xf>
    <xf numFmtId="0" fontId="5" fillId="3" borderId="24" xfId="81" applyFont="1" applyFill="1" applyBorder="1" applyAlignment="1">
      <alignment horizontal="left" vertical="center"/>
    </xf>
    <xf numFmtId="164" fontId="11" fillId="2" borderId="209" xfId="82" applyNumberFormat="1" applyFont="1" applyFill="1" applyBorder="1" applyAlignment="1">
      <alignment horizontal="center" vertical="center"/>
    </xf>
    <xf numFmtId="164" fontId="11" fillId="2" borderId="198" xfId="82" applyNumberFormat="1" applyFont="1" applyFill="1" applyBorder="1" applyAlignment="1">
      <alignment horizontal="center" vertical="center"/>
    </xf>
    <xf numFmtId="164" fontId="51" fillId="2" borderId="4" xfId="82" applyNumberFormat="1" applyFont="1" applyFill="1" applyBorder="1" applyAlignment="1">
      <alignment horizontal="center" vertical="center"/>
    </xf>
    <xf numFmtId="164" fontId="51" fillId="2" borderId="41" xfId="82" applyNumberFormat="1" applyFont="1" applyFill="1" applyBorder="1" applyAlignment="1">
      <alignment horizontal="center" vertical="center"/>
    </xf>
    <xf numFmtId="164" fontId="11" fillId="2" borderId="24" xfId="82" applyNumberFormat="1" applyFont="1" applyFill="1" applyBorder="1" applyAlignment="1">
      <alignment horizontal="center" vertical="center"/>
    </xf>
    <xf numFmtId="164" fontId="11" fillId="2" borderId="41" xfId="82" applyNumberFormat="1" applyFont="1" applyFill="1" applyBorder="1" applyAlignment="1">
      <alignment horizontal="center" vertical="center"/>
    </xf>
    <xf numFmtId="164" fontId="11" fillId="2" borderId="210" xfId="82" applyNumberFormat="1" applyFont="1" applyFill="1" applyBorder="1" applyAlignment="1">
      <alignment horizontal="center" vertical="center"/>
    </xf>
    <xf numFmtId="164" fontId="11" fillId="2" borderId="199" xfId="82" applyNumberFormat="1" applyFont="1" applyFill="1" applyBorder="1" applyAlignment="1">
      <alignment horizontal="center" vertical="center"/>
    </xf>
    <xf numFmtId="164" fontId="51" fillId="2" borderId="199" xfId="82" applyNumberFormat="1" applyFont="1" applyFill="1" applyBorder="1" applyAlignment="1">
      <alignment horizontal="center" vertical="center"/>
    </xf>
    <xf numFmtId="164" fontId="51" fillId="2" borderId="200" xfId="82" applyNumberFormat="1" applyFont="1" applyFill="1" applyBorder="1" applyAlignment="1">
      <alignment horizontal="center" vertical="center"/>
    </xf>
    <xf numFmtId="164" fontId="11" fillId="2" borderId="211" xfId="82" applyNumberFormat="1" applyFont="1" applyFill="1" applyBorder="1" applyAlignment="1">
      <alignment horizontal="center" vertical="center"/>
    </xf>
    <xf numFmtId="164" fontId="11" fillId="0" borderId="199" xfId="82" applyNumberFormat="1" applyFont="1" applyFill="1" applyBorder="1" applyAlignment="1">
      <alignment horizontal="center" vertical="center"/>
    </xf>
    <xf numFmtId="164" fontId="11" fillId="0" borderId="200" xfId="82" applyNumberFormat="1" applyFont="1" applyFill="1" applyBorder="1" applyAlignment="1">
      <alignment horizontal="center" vertical="center"/>
    </xf>
    <xf numFmtId="0" fontId="5" fillId="3" borderId="27" xfId="81" applyFont="1" applyFill="1" applyBorder="1" applyAlignment="1">
      <alignment horizontal="left" vertical="center"/>
    </xf>
    <xf numFmtId="41" fontId="11" fillId="2" borderId="6" xfId="81" applyNumberFormat="1" applyFont="1" applyFill="1" applyBorder="1" applyAlignment="1">
      <alignment horizontal="center" vertical="center"/>
    </xf>
    <xf numFmtId="41" fontId="11" fillId="0" borderId="6" xfId="81" applyNumberFormat="1" applyFont="1" applyFill="1" applyBorder="1" applyAlignment="1">
      <alignment horizontal="center" vertical="center"/>
    </xf>
    <xf numFmtId="41" fontId="51" fillId="0" borderId="6" xfId="81" applyNumberFormat="1" applyFont="1" applyFill="1" applyBorder="1" applyAlignment="1">
      <alignment horizontal="center" vertical="center"/>
    </xf>
    <xf numFmtId="164" fontId="51" fillId="0" borderId="6" xfId="81" applyNumberFormat="1" applyFont="1" applyFill="1" applyBorder="1" applyAlignment="1">
      <alignment horizontal="center" vertical="center"/>
    </xf>
    <xf numFmtId="41" fontId="51" fillId="0" borderId="43" xfId="81" applyNumberFormat="1" applyFont="1" applyFill="1" applyBorder="1" applyAlignment="1">
      <alignment horizontal="center" vertical="center"/>
    </xf>
    <xf numFmtId="41" fontId="11" fillId="0" borderId="27" xfId="81" applyNumberFormat="1" applyFont="1" applyFill="1" applyBorder="1" applyAlignment="1">
      <alignment horizontal="center" vertical="center"/>
    </xf>
    <xf numFmtId="164" fontId="11" fillId="0" borderId="6" xfId="81" applyNumberFormat="1" applyFont="1" applyFill="1" applyBorder="1" applyAlignment="1">
      <alignment horizontal="center" vertical="center"/>
    </xf>
    <xf numFmtId="164" fontId="11" fillId="0" borderId="43" xfId="81" applyNumberFormat="1" applyFont="1" applyFill="1" applyBorder="1" applyAlignment="1">
      <alignment horizontal="center" vertical="center"/>
    </xf>
    <xf numFmtId="43" fontId="19" fillId="2" borderId="0" xfId="81" applyNumberFormat="1" applyFont="1" applyFill="1" applyBorder="1" applyAlignment="1">
      <alignment vertical="center"/>
    </xf>
    <xf numFmtId="0" fontId="4" fillId="0" borderId="0" xfId="81" applyFont="1" applyFill="1" applyBorder="1" applyAlignment="1">
      <alignment vertical="center"/>
    </xf>
    <xf numFmtId="175" fontId="51" fillId="2" borderId="0" xfId="81" applyNumberFormat="1" applyFont="1" applyFill="1"/>
    <xf numFmtId="175" fontId="8" fillId="3" borderId="212" xfId="81" applyNumberFormat="1" applyFont="1" applyFill="1" applyBorder="1" applyAlignment="1">
      <alignment horizontal="center" vertical="center"/>
    </xf>
    <xf numFmtId="175" fontId="8" fillId="3" borderId="213" xfId="81" applyNumberFormat="1" applyFont="1" applyFill="1" applyBorder="1" applyAlignment="1">
      <alignment horizontal="center" vertical="center"/>
    </xf>
    <xf numFmtId="0" fontId="56" fillId="3" borderId="24" xfId="81" applyFont="1" applyFill="1" applyBorder="1" applyAlignment="1">
      <alignment horizontal="center" vertical="center"/>
    </xf>
    <xf numFmtId="17" fontId="26" fillId="19" borderId="163" xfId="81" applyNumberFormat="1" applyFont="1" applyFill="1" applyBorder="1" applyAlignment="1">
      <alignment vertical="center"/>
    </xf>
    <xf numFmtId="17" fontId="26" fillId="0" borderId="163" xfId="81" applyNumberFormat="1" applyFont="1" applyFill="1" applyBorder="1" applyAlignment="1">
      <alignment vertical="center"/>
    </xf>
    <xf numFmtId="17" fontId="26" fillId="0" borderId="0" xfId="81" applyNumberFormat="1" applyFont="1" applyFill="1" applyBorder="1" applyAlignment="1">
      <alignment vertical="center"/>
    </xf>
    <xf numFmtId="17" fontId="26" fillId="0" borderId="4" xfId="81" applyNumberFormat="1" applyFont="1" applyFill="1" applyBorder="1" applyAlignment="1">
      <alignment horizontal="center" vertical="center"/>
    </xf>
    <xf numFmtId="17" fontId="32" fillId="0" borderId="4" xfId="81" applyNumberFormat="1" applyFont="1" applyFill="1" applyBorder="1" applyAlignment="1">
      <alignment horizontal="center" vertical="center"/>
    </xf>
    <xf numFmtId="17" fontId="32" fillId="0" borderId="41" xfId="81" applyNumberFormat="1" applyFont="1" applyFill="1" applyBorder="1" applyAlignment="1">
      <alignment horizontal="center" vertical="center"/>
    </xf>
    <xf numFmtId="17" fontId="32" fillId="0" borderId="26" xfId="81" applyNumberFormat="1" applyFont="1" applyFill="1" applyBorder="1" applyAlignment="1">
      <alignment horizontal="center" vertical="center"/>
    </xf>
    <xf numFmtId="17" fontId="32" fillId="0" borderId="36" xfId="81" applyNumberFormat="1" applyFont="1" applyFill="1" applyBorder="1" applyAlignment="1">
      <alignment horizontal="center" vertical="center"/>
    </xf>
    <xf numFmtId="17" fontId="32" fillId="0" borderId="32" xfId="81" applyNumberFormat="1" applyFont="1" applyFill="1" applyBorder="1" applyAlignment="1">
      <alignment horizontal="center" vertical="center"/>
    </xf>
    <xf numFmtId="17" fontId="32" fillId="0" borderId="16" xfId="81" applyNumberFormat="1" applyFont="1" applyFill="1" applyBorder="1" applyAlignment="1">
      <alignment horizontal="center" vertical="center"/>
    </xf>
    <xf numFmtId="164" fontId="11" fillId="2" borderId="163" xfId="82" applyNumberFormat="1" applyFont="1" applyFill="1" applyBorder="1" applyAlignment="1">
      <alignment horizontal="center" vertical="center"/>
    </xf>
    <xf numFmtId="164" fontId="11" fillId="2" borderId="0" xfId="82" applyNumberFormat="1" applyFont="1" applyFill="1" applyBorder="1" applyAlignment="1">
      <alignment horizontal="center" vertical="center"/>
    </xf>
    <xf numFmtId="164" fontId="11" fillId="2" borderId="25" xfId="82" applyNumberFormat="1" applyFont="1" applyFill="1" applyBorder="1" applyAlignment="1">
      <alignment horizontal="center" vertical="center"/>
    </xf>
    <xf numFmtId="164" fontId="11" fillId="2" borderId="14" xfId="82" applyNumberFormat="1" applyFont="1" applyFill="1" applyBorder="1" applyAlignment="1">
      <alignment horizontal="center" vertical="center"/>
    </xf>
    <xf numFmtId="164" fontId="11" fillId="2" borderId="214" xfId="82" applyNumberFormat="1" applyFont="1" applyFill="1" applyBorder="1" applyAlignment="1">
      <alignment horizontal="center" vertical="center"/>
    </xf>
    <xf numFmtId="164" fontId="11" fillId="2" borderId="215" xfId="82" applyNumberFormat="1" applyFont="1" applyFill="1" applyBorder="1" applyAlignment="1">
      <alignment horizontal="center" vertical="center"/>
    </xf>
    <xf numFmtId="164" fontId="11" fillId="2" borderId="216" xfId="82" applyNumberFormat="1" applyFont="1" applyFill="1" applyBorder="1" applyAlignment="1">
      <alignment horizontal="center" vertical="center"/>
    </xf>
    <xf numFmtId="164" fontId="11" fillId="2" borderId="217" xfId="82" applyNumberFormat="1" applyFont="1" applyFill="1" applyBorder="1" applyAlignment="1">
      <alignment horizontal="center" vertical="center"/>
    </xf>
    <xf numFmtId="164" fontId="11" fillId="2" borderId="165" xfId="82" applyNumberFormat="1" applyFont="1" applyFill="1" applyBorder="1" applyAlignment="1">
      <alignment horizontal="center" vertical="center"/>
    </xf>
    <xf numFmtId="164" fontId="11" fillId="2" borderId="138" xfId="82" applyNumberFormat="1" applyFont="1" applyFill="1" applyBorder="1" applyAlignment="1">
      <alignment horizontal="center" vertical="center"/>
    </xf>
    <xf numFmtId="164" fontId="11" fillId="2" borderId="218" xfId="82" applyNumberFormat="1" applyFont="1" applyFill="1" applyBorder="1" applyAlignment="1">
      <alignment horizontal="center" vertical="center"/>
    </xf>
    <xf numFmtId="164" fontId="11" fillId="2" borderId="202" xfId="82" applyNumberFormat="1" applyFont="1" applyFill="1" applyBorder="1" applyAlignment="1">
      <alignment horizontal="center" vertical="center"/>
    </xf>
    <xf numFmtId="164" fontId="11" fillId="2" borderId="203" xfId="82" applyNumberFormat="1" applyFont="1" applyFill="1" applyBorder="1" applyAlignment="1">
      <alignment horizontal="center" vertical="center"/>
    </xf>
    <xf numFmtId="41" fontId="11" fillId="2" borderId="219" xfId="81" applyNumberFormat="1" applyFont="1" applyFill="1" applyBorder="1" applyAlignment="1">
      <alignment horizontal="center" vertical="center"/>
    </xf>
    <xf numFmtId="41" fontId="11" fillId="2" borderId="220" xfId="81" applyNumberFormat="1" applyFont="1" applyFill="1" applyBorder="1" applyAlignment="1">
      <alignment horizontal="center" vertical="center"/>
    </xf>
    <xf numFmtId="41" fontId="11" fillId="2" borderId="142" xfId="81" applyNumberFormat="1" applyFont="1" applyFill="1" applyBorder="1" applyAlignment="1">
      <alignment horizontal="center" vertical="center"/>
    </xf>
    <xf numFmtId="41" fontId="51" fillId="2" borderId="6" xfId="81" applyNumberFormat="1" applyFont="1" applyFill="1" applyBorder="1" applyAlignment="1">
      <alignment horizontal="center" vertical="center"/>
    </xf>
    <xf numFmtId="41" fontId="51" fillId="2" borderId="43" xfId="81" applyNumberFormat="1" applyFont="1" applyFill="1" applyBorder="1" applyAlignment="1">
      <alignment horizontal="center" vertical="center"/>
    </xf>
    <xf numFmtId="41" fontId="11" fillId="2" borderId="27" xfId="81" applyNumberFormat="1" applyFont="1" applyFill="1" applyBorder="1" applyAlignment="1">
      <alignment horizontal="center" vertical="center"/>
    </xf>
    <xf numFmtId="41" fontId="11" fillId="2" borderId="196" xfId="81" applyNumberFormat="1" applyFont="1" applyFill="1" applyBorder="1" applyAlignment="1">
      <alignment horizontal="center" vertical="center"/>
    </xf>
    <xf numFmtId="164" fontId="11" fillId="0" borderId="21" xfId="81" applyNumberFormat="1" applyFont="1" applyFill="1" applyBorder="1" applyAlignment="1">
      <alignment horizontal="center" vertical="center"/>
    </xf>
    <xf numFmtId="41" fontId="11" fillId="2" borderId="0" xfId="81" applyNumberFormat="1" applyFont="1" applyFill="1" applyBorder="1" applyAlignment="1">
      <alignment horizontal="center" vertical="center"/>
    </xf>
    <xf numFmtId="41" fontId="11" fillId="0" borderId="0" xfId="81" applyNumberFormat="1" applyFont="1" applyFill="1" applyBorder="1" applyAlignment="1">
      <alignment horizontal="center" vertical="center"/>
    </xf>
    <xf numFmtId="41" fontId="51" fillId="2" borderId="0" xfId="81" applyNumberFormat="1" applyFont="1" applyFill="1" applyBorder="1" applyAlignment="1">
      <alignment horizontal="center" vertical="center"/>
    </xf>
    <xf numFmtId="0" fontId="51" fillId="2" borderId="0" xfId="81" applyFont="1" applyFill="1" applyBorder="1" applyAlignment="1">
      <alignment horizontal="center" vertical="center"/>
    </xf>
    <xf numFmtId="164" fontId="51" fillId="2" borderId="0" xfId="81" applyNumberFormat="1" applyFont="1" applyFill="1" applyBorder="1" applyAlignment="1">
      <alignment vertical="center"/>
    </xf>
    <xf numFmtId="0" fontId="4" fillId="2" borderId="0" xfId="38" applyFont="1" applyFill="1" applyBorder="1"/>
    <xf numFmtId="0" fontId="131" fillId="2" borderId="0" xfId="38" applyFont="1" applyFill="1"/>
    <xf numFmtId="0" fontId="132" fillId="2" borderId="0" xfId="31" applyFont="1" applyFill="1"/>
    <xf numFmtId="0" fontId="131" fillId="2" borderId="0" xfId="31" applyFont="1" applyFill="1"/>
    <xf numFmtId="0" fontId="133" fillId="2" borderId="0" xfId="38" applyFont="1" applyFill="1"/>
    <xf numFmtId="0" fontId="132" fillId="2" borderId="0" xfId="38" applyFont="1" applyFill="1" applyAlignment="1">
      <alignment horizontal="right"/>
    </xf>
    <xf numFmtId="177" fontId="132" fillId="2" borderId="0" xfId="39" applyNumberFormat="1" applyFont="1" applyFill="1" applyAlignment="1">
      <alignment horizontal="right"/>
    </xf>
    <xf numFmtId="177" fontId="17" fillId="2" borderId="0" xfId="39" applyNumberFormat="1" applyFont="1" applyFill="1" applyAlignment="1">
      <alignment horizontal="right"/>
    </xf>
    <xf numFmtId="0" fontId="8" fillId="3" borderId="221" xfId="38" applyFont="1" applyFill="1" applyBorder="1" applyAlignment="1">
      <alignment horizontal="center"/>
    </xf>
    <xf numFmtId="17" fontId="8" fillId="20" borderId="222" xfId="38" applyNumberFormat="1" applyFont="1" applyFill="1" applyBorder="1" applyAlignment="1">
      <alignment horizontal="center"/>
    </xf>
    <xf numFmtId="17" fontId="8" fillId="20" borderId="223" xfId="38" applyNumberFormat="1" applyFont="1" applyFill="1" applyBorder="1" applyAlignment="1">
      <alignment horizontal="center"/>
    </xf>
    <xf numFmtId="17" fontId="8" fillId="4" borderId="223" xfId="38" applyNumberFormat="1" applyFont="1" applyFill="1" applyBorder="1" applyAlignment="1">
      <alignment horizontal="center"/>
    </xf>
    <xf numFmtId="17" fontId="8" fillId="3" borderId="224" xfId="38" applyNumberFormat="1" applyFont="1" applyFill="1" applyBorder="1" applyAlignment="1">
      <alignment horizontal="center"/>
    </xf>
    <xf numFmtId="17" fontId="8" fillId="3" borderId="225" xfId="38" applyNumberFormat="1" applyFont="1" applyFill="1" applyBorder="1" applyAlignment="1">
      <alignment horizontal="center"/>
    </xf>
    <xf numFmtId="0" fontId="5" fillId="3" borderId="24" xfId="38" applyFont="1" applyFill="1" applyBorder="1"/>
    <xf numFmtId="177" fontId="11" fillId="0" borderId="111" xfId="39" applyNumberFormat="1" applyFont="1" applyBorder="1" applyAlignment="1">
      <alignment horizontal="center"/>
    </xf>
    <xf numFmtId="177" fontId="11" fillId="0" borderId="112" xfId="39" applyNumberFormat="1" applyFont="1" applyBorder="1" applyAlignment="1">
      <alignment horizontal="center"/>
    </xf>
    <xf numFmtId="177" fontId="11" fillId="0" borderId="112" xfId="39" applyNumberFormat="1" applyFont="1" applyBorder="1" applyAlignment="1">
      <alignment horizontal="right" indent="1"/>
    </xf>
    <xf numFmtId="177" fontId="11" fillId="2" borderId="112" xfId="39" applyNumberFormat="1" applyFont="1" applyFill="1" applyBorder="1" applyAlignment="1">
      <alignment horizontal="right" indent="1"/>
    </xf>
    <xf numFmtId="177" fontId="11" fillId="2" borderId="226" xfId="39" applyNumberFormat="1" applyFont="1" applyFill="1" applyBorder="1" applyAlignment="1">
      <alignment horizontal="right" indent="1"/>
    </xf>
    <xf numFmtId="177" fontId="11" fillId="2" borderId="4" xfId="39" applyNumberFormat="1" applyFont="1" applyFill="1" applyBorder="1" applyAlignment="1">
      <alignment horizontal="right" indent="1"/>
    </xf>
    <xf numFmtId="166" fontId="11" fillId="2" borderId="4" xfId="39" applyNumberFormat="1" applyFont="1" applyFill="1" applyBorder="1" applyAlignment="1">
      <alignment horizontal="right" indent="1"/>
    </xf>
    <xf numFmtId="177" fontId="11" fillId="0" borderId="226" xfId="39" applyNumberFormat="1" applyFont="1" applyBorder="1" applyAlignment="1">
      <alignment horizontal="right" indent="1"/>
    </xf>
    <xf numFmtId="177" fontId="11" fillId="0" borderId="4" xfId="39" applyNumberFormat="1" applyFont="1" applyBorder="1" applyAlignment="1">
      <alignment horizontal="right" indent="1"/>
    </xf>
    <xf numFmtId="166" fontId="11" fillId="0" borderId="4" xfId="39" applyNumberFormat="1" applyFont="1" applyBorder="1" applyAlignment="1">
      <alignment horizontal="right" indent="1"/>
    </xf>
    <xf numFmtId="0" fontId="8" fillId="3" borderId="227" xfId="38" applyFont="1" applyFill="1" applyBorder="1" applyAlignment="1">
      <alignment horizontal="left"/>
    </xf>
    <xf numFmtId="177" fontId="26" fillId="0" borderId="228" xfId="39" applyNumberFormat="1" applyFont="1" applyBorder="1" applyAlignment="1">
      <alignment horizontal="center"/>
    </xf>
    <xf numFmtId="177" fontId="26" fillId="0" borderId="229" xfId="39" applyNumberFormat="1" applyFont="1" applyBorder="1" applyAlignment="1">
      <alignment horizontal="center"/>
    </xf>
    <xf numFmtId="177" fontId="26" fillId="0" borderId="229" xfId="39" applyNumberFormat="1" applyFont="1" applyBorder="1" applyAlignment="1">
      <alignment horizontal="right" indent="1"/>
    </xf>
    <xf numFmtId="177" fontId="26" fillId="0" borderId="230" xfId="39" applyNumberFormat="1" applyFont="1" applyBorder="1" applyAlignment="1">
      <alignment horizontal="right" indent="1"/>
    </xf>
    <xf numFmtId="177" fontId="26" fillId="0" borderId="231" xfId="39" applyNumberFormat="1" applyFont="1" applyBorder="1" applyAlignment="1">
      <alignment horizontal="right" indent="1"/>
    </xf>
    <xf numFmtId="166" fontId="26" fillId="0" borderId="231" xfId="39" applyNumberFormat="1" applyFont="1" applyBorder="1" applyAlignment="1">
      <alignment horizontal="right" indent="1"/>
    </xf>
    <xf numFmtId="0" fontId="26" fillId="2" borderId="0" xfId="38" applyFont="1" applyFill="1" applyAlignment="1">
      <alignment horizontal="left"/>
    </xf>
    <xf numFmtId="177" fontId="26" fillId="2" borderId="0" xfId="39" applyNumberFormat="1" applyFont="1" applyFill="1" applyAlignment="1">
      <alignment horizontal="center"/>
    </xf>
    <xf numFmtId="0" fontId="11" fillId="2" borderId="0" xfId="38" applyFont="1" applyFill="1"/>
    <xf numFmtId="0" fontId="11" fillId="2" borderId="0" xfId="38" applyFont="1" applyFill="1" applyAlignment="1">
      <alignment horizontal="center"/>
    </xf>
    <xf numFmtId="177" fontId="25" fillId="2" borderId="0" xfId="39" applyNumberFormat="1" applyFont="1" applyFill="1" applyAlignment="1">
      <alignment horizontal="right"/>
    </xf>
    <xf numFmtId="177" fontId="11" fillId="0" borderId="111" xfId="39" applyNumberFormat="1" applyFont="1" applyBorder="1"/>
    <xf numFmtId="177" fontId="11" fillId="0" borderId="112" xfId="39" applyNumberFormat="1" applyFont="1" applyBorder="1"/>
    <xf numFmtId="177" fontId="11" fillId="2" borderId="4" xfId="39" quotePrefix="1" applyNumberFormat="1" applyFont="1" applyFill="1" applyBorder="1" applyAlignment="1">
      <alignment horizontal="right"/>
    </xf>
    <xf numFmtId="177" fontId="11" fillId="2" borderId="4" xfId="39" applyNumberFormat="1" applyFont="1" applyFill="1" applyBorder="1" applyAlignment="1">
      <alignment horizontal="right"/>
    </xf>
    <xf numFmtId="0" fontId="30" fillId="3" borderId="24" xfId="38" applyFont="1" applyFill="1" applyBorder="1"/>
    <xf numFmtId="177" fontId="25" fillId="0" borderId="111" xfId="39" applyNumberFormat="1" applyFont="1" applyBorder="1"/>
    <xf numFmtId="177" fontId="25" fillId="0" borderId="112" xfId="39" applyNumberFormat="1" applyFont="1" applyBorder="1"/>
    <xf numFmtId="177" fontId="25" fillId="0" borderId="112" xfId="39" applyNumberFormat="1" applyFont="1" applyBorder="1" applyAlignment="1">
      <alignment horizontal="right" indent="1"/>
    </xf>
    <xf numFmtId="177" fontId="25" fillId="2" borderId="112" xfId="39" applyNumberFormat="1" applyFont="1" applyFill="1" applyBorder="1" applyAlignment="1">
      <alignment horizontal="right" indent="1"/>
    </xf>
    <xf numFmtId="177" fontId="25" fillId="2" borderId="226" xfId="39" applyNumberFormat="1" applyFont="1" applyFill="1" applyBorder="1" applyAlignment="1">
      <alignment horizontal="right" indent="1"/>
    </xf>
    <xf numFmtId="177" fontId="25" fillId="2" borderId="4" xfId="39" applyNumberFormat="1" applyFont="1" applyFill="1" applyBorder="1" applyAlignment="1">
      <alignment horizontal="right" indent="1"/>
    </xf>
    <xf numFmtId="166" fontId="25" fillId="2" borderId="4" xfId="39" applyNumberFormat="1" applyFont="1" applyFill="1" applyBorder="1" applyAlignment="1">
      <alignment horizontal="right" indent="1"/>
    </xf>
    <xf numFmtId="0" fontId="8" fillId="3" borderId="227" xfId="38" applyFont="1" applyFill="1" applyBorder="1"/>
    <xf numFmtId="177" fontId="26" fillId="0" borderId="228" xfId="39" applyNumberFormat="1" applyFont="1" applyBorder="1"/>
    <xf numFmtId="177" fontId="26" fillId="0" borderId="229" xfId="39" applyNumberFormat="1" applyFont="1" applyBorder="1"/>
    <xf numFmtId="177" fontId="26" fillId="2" borderId="229" xfId="39" applyNumberFormat="1" applyFont="1" applyFill="1" applyBorder="1" applyAlignment="1">
      <alignment horizontal="right" indent="1"/>
    </xf>
    <xf numFmtId="177" fontId="26" fillId="2" borderId="230" xfId="39" applyNumberFormat="1" applyFont="1" applyFill="1" applyBorder="1" applyAlignment="1">
      <alignment horizontal="right" indent="1"/>
    </xf>
    <xf numFmtId="177" fontId="26" fillId="2" borderId="231" xfId="39" applyNumberFormat="1" applyFont="1" applyFill="1" applyBorder="1" applyAlignment="1">
      <alignment horizontal="right" indent="1"/>
    </xf>
    <xf numFmtId="166" fontId="26" fillId="2" borderId="231" xfId="39" applyNumberFormat="1" applyFont="1" applyFill="1" applyBorder="1" applyAlignment="1">
      <alignment horizontal="right" indent="1"/>
    </xf>
    <xf numFmtId="0" fontId="134" fillId="2" borderId="0" xfId="14" applyFont="1" applyFill="1" applyAlignment="1">
      <alignment horizontal="left" vertical="top"/>
    </xf>
    <xf numFmtId="0" fontId="134" fillId="2" borderId="0" xfId="38" applyFont="1" applyFill="1" applyAlignment="1">
      <alignment vertical="top"/>
    </xf>
    <xf numFmtId="0" fontId="134" fillId="2" borderId="0" xfId="38" applyFont="1" applyFill="1"/>
    <xf numFmtId="0" fontId="135" fillId="2" borderId="0" xfId="38" applyFont="1" applyFill="1"/>
    <xf numFmtId="0" fontId="135" fillId="2" borderId="0" xfId="31" applyFont="1" applyFill="1"/>
    <xf numFmtId="177" fontId="135" fillId="2" borderId="0" xfId="38" applyNumberFormat="1" applyFont="1" applyFill="1"/>
    <xf numFmtId="43" fontId="135" fillId="2" borderId="0" xfId="38" applyNumberFormat="1" applyFont="1" applyFill="1"/>
    <xf numFmtId="0" fontId="5" fillId="3" borderId="68" xfId="14" applyFont="1" applyFill="1" applyBorder="1"/>
    <xf numFmtId="17" fontId="26" fillId="3" borderId="69" xfId="14" applyNumberFormat="1" applyFont="1" applyFill="1" applyBorder="1" applyAlignment="1">
      <alignment horizontal="center"/>
    </xf>
    <xf numFmtId="17" fontId="26" fillId="3" borderId="70" xfId="14" applyNumberFormat="1" applyFont="1" applyFill="1" applyBorder="1" applyAlignment="1">
      <alignment horizontal="center"/>
    </xf>
    <xf numFmtId="17" fontId="8" fillId="3" borderId="70" xfId="14" applyNumberFormat="1" applyFont="1" applyFill="1" applyBorder="1" applyAlignment="1">
      <alignment horizontal="center"/>
    </xf>
    <xf numFmtId="0" fontId="11" fillId="2" borderId="0" xfId="14" applyFont="1" applyFill="1"/>
    <xf numFmtId="0" fontId="5" fillId="3" borderId="57" xfId="14" applyFont="1" applyFill="1" applyBorder="1"/>
    <xf numFmtId="164" fontId="11" fillId="2" borderId="14" xfId="14" applyNumberFormat="1" applyFont="1" applyFill="1" applyBorder="1"/>
    <xf numFmtId="164" fontId="11" fillId="2" borderId="18" xfId="14" applyNumberFormat="1" applyFont="1" applyFill="1" applyBorder="1"/>
    <xf numFmtId="0" fontId="8" fillId="3" borderId="57" xfId="14" applyFont="1" applyFill="1" applyBorder="1"/>
    <xf numFmtId="164" fontId="26" fillId="2" borderId="14" xfId="14" applyNumberFormat="1" applyFont="1" applyFill="1" applyBorder="1"/>
    <xf numFmtId="164" fontId="26" fillId="2" borderId="18" xfId="14" applyNumberFormat="1" applyFont="1" applyFill="1" applyBorder="1"/>
    <xf numFmtId="177" fontId="11" fillId="2" borderId="18" xfId="14" applyNumberFormat="1" applyFont="1" applyFill="1" applyBorder="1"/>
    <xf numFmtId="0" fontId="8" fillId="3" borderId="58" xfId="14" applyFont="1" applyFill="1" applyBorder="1"/>
    <xf numFmtId="164" fontId="26" fillId="2" borderId="21" xfId="14" applyNumberFormat="1" applyFont="1" applyFill="1" applyBorder="1"/>
    <xf numFmtId="164" fontId="26" fillId="2" borderId="19" xfId="14" applyNumberFormat="1" applyFont="1" applyFill="1" applyBorder="1"/>
    <xf numFmtId="0" fontId="17" fillId="2" borderId="7" xfId="14" applyFont="1" applyFill="1" applyBorder="1" applyAlignment="1">
      <alignment horizontal="left" vertical="top"/>
    </xf>
    <xf numFmtId="0" fontId="30" fillId="2" borderId="0" xfId="14" applyFont="1" applyFill="1" applyAlignment="1">
      <alignment horizontal="left"/>
    </xf>
    <xf numFmtId="0" fontId="17" fillId="2" borderId="0" xfId="14" applyFont="1" applyFill="1" applyBorder="1" applyAlignment="1">
      <alignment horizontal="left" vertical="top"/>
    </xf>
    <xf numFmtId="0" fontId="17" fillId="2" borderId="0" xfId="14" applyFont="1" applyFill="1" applyAlignment="1">
      <alignment horizontal="left" vertical="top"/>
    </xf>
    <xf numFmtId="0" fontId="4" fillId="2" borderId="0" xfId="0" applyFont="1" applyFill="1" applyAlignment="1" applyProtection="1">
      <alignment horizontal="left"/>
      <protection locked="0"/>
    </xf>
    <xf numFmtId="0" fontId="19" fillId="2" borderId="0" xfId="0" applyFont="1" applyFill="1"/>
    <xf numFmtId="0" fontId="31" fillId="2" borderId="0" xfId="0" applyFont="1" applyFill="1" applyAlignment="1">
      <alignment horizontal="center"/>
    </xf>
    <xf numFmtId="0" fontId="17" fillId="2" borderId="0" xfId="0" applyFont="1" applyFill="1" applyAlignment="1">
      <alignment horizontal="right"/>
    </xf>
    <xf numFmtId="0" fontId="19" fillId="2" borderId="0" xfId="0" applyFont="1" applyFill="1" applyAlignment="1">
      <alignment vertical="top"/>
    </xf>
    <xf numFmtId="0" fontId="8" fillId="2" borderId="0" xfId="2" applyFont="1" applyFill="1" applyAlignment="1">
      <alignment horizontal="center" vertical="center"/>
    </xf>
    <xf numFmtId="3" fontId="8" fillId="3" borderId="24" xfId="0" applyNumberFormat="1" applyFont="1" applyFill="1" applyBorder="1"/>
    <xf numFmtId="177" fontId="11" fillId="2" borderId="4" xfId="3" applyNumberFormat="1" applyFont="1" applyFill="1" applyBorder="1"/>
    <xf numFmtId="166" fontId="26" fillId="2" borderId="41" xfId="3" applyNumberFormat="1" applyFont="1" applyFill="1" applyBorder="1"/>
    <xf numFmtId="4" fontId="19" fillId="2" borderId="0" xfId="0" applyNumberFormat="1" applyFont="1" applyFill="1"/>
    <xf numFmtId="3" fontId="8" fillId="3" borderId="24" xfId="0" applyNumberFormat="1" applyFont="1" applyFill="1" applyBorder="1" applyAlignment="1">
      <alignment wrapText="1"/>
    </xf>
    <xf numFmtId="3" fontId="8" fillId="3" borderId="232" xfId="0" applyNumberFormat="1" applyFont="1" applyFill="1" applyBorder="1" applyAlignment="1">
      <alignment horizontal="left"/>
    </xf>
    <xf numFmtId="166" fontId="26" fillId="2" borderId="233" xfId="3" applyNumberFormat="1" applyFont="1" applyFill="1" applyBorder="1"/>
    <xf numFmtId="166" fontId="26" fillId="2" borderId="234" xfId="3" applyNumberFormat="1" applyFont="1" applyFill="1" applyBorder="1"/>
    <xf numFmtId="3" fontId="19" fillId="0" borderId="0" xfId="0" applyNumberFormat="1" applyFont="1"/>
    <xf numFmtId="0" fontId="19" fillId="0" borderId="0" xfId="0" applyFont="1"/>
    <xf numFmtId="3" fontId="17" fillId="2" borderId="0" xfId="0" applyNumberFormat="1" applyFont="1" applyFill="1"/>
    <xf numFmtId="43" fontId="17" fillId="2" borderId="0" xfId="0" applyNumberFormat="1" applyFont="1" applyFill="1"/>
    <xf numFmtId="177" fontId="17" fillId="2" borderId="0" xfId="3" applyNumberFormat="1" applyFont="1" applyFill="1"/>
    <xf numFmtId="164" fontId="20" fillId="2" borderId="0" xfId="3" applyNumberFormat="1" applyFont="1" applyFill="1"/>
    <xf numFmtId="171" fontId="24" fillId="2" borderId="0" xfId="73" applyNumberFormat="1" applyFont="1" applyFill="1"/>
    <xf numFmtId="0" fontId="4" fillId="2" borderId="0" xfId="40" applyFont="1" applyFill="1" applyAlignment="1">
      <alignment horizontal="left" vertical="center"/>
    </xf>
    <xf numFmtId="0" fontId="4" fillId="2" borderId="0" xfId="40" applyFont="1" applyFill="1" applyAlignment="1">
      <alignment horizontal="center" vertical="center"/>
    </xf>
    <xf numFmtId="0" fontId="24" fillId="2" borderId="0" xfId="40" applyFont="1" applyFill="1" applyAlignment="1">
      <alignment horizontal="center" vertical="center"/>
    </xf>
    <xf numFmtId="0" fontId="24" fillId="2" borderId="0" xfId="81" applyFont="1" applyFill="1" applyAlignment="1">
      <alignment horizontal="center" vertical="center"/>
    </xf>
    <xf numFmtId="0" fontId="4" fillId="2" borderId="12" xfId="40" applyFont="1" applyFill="1" applyBorder="1" applyAlignment="1">
      <alignment horizontal="center" vertical="center"/>
    </xf>
    <xf numFmtId="0" fontId="38" fillId="2" borderId="0" xfId="40" applyFont="1" applyFill="1" applyBorder="1" applyAlignment="1">
      <alignment horizontal="center" vertical="center"/>
    </xf>
    <xf numFmtId="0" fontId="38" fillId="2" borderId="0" xfId="40" applyFont="1" applyFill="1" applyAlignment="1">
      <alignment horizontal="center" vertical="center"/>
    </xf>
    <xf numFmtId="0" fontId="38" fillId="2" borderId="0" xfId="40" applyFont="1" applyFill="1" applyAlignment="1">
      <alignment horizontal="right" vertical="center"/>
    </xf>
    <xf numFmtId="0" fontId="24" fillId="2" borderId="0" xfId="41" applyFont="1" applyFill="1" applyAlignment="1">
      <alignment horizontal="center" vertical="center"/>
    </xf>
    <xf numFmtId="0" fontId="8" fillId="6" borderId="39" xfId="40" applyFont="1" applyFill="1" applyBorder="1" applyAlignment="1">
      <alignment horizontal="center" vertical="center"/>
    </xf>
    <xf numFmtId="0" fontId="5" fillId="6" borderId="45" xfId="40" applyFont="1" applyFill="1" applyBorder="1" applyAlignment="1">
      <alignment horizontal="center" vertical="center"/>
    </xf>
    <xf numFmtId="0" fontId="8" fillId="6" borderId="44" xfId="40" applyFont="1" applyFill="1" applyBorder="1" applyAlignment="1">
      <alignment horizontal="center" vertical="center"/>
    </xf>
    <xf numFmtId="15" fontId="8" fillId="6" borderId="45" xfId="40" applyNumberFormat="1" applyFont="1" applyFill="1" applyBorder="1" applyAlignment="1">
      <alignment horizontal="center" vertical="center"/>
    </xf>
    <xf numFmtId="15" fontId="8" fillId="6" borderId="37" xfId="42" quotePrefix="1" applyNumberFormat="1" applyFont="1" applyFill="1" applyBorder="1" applyAlignment="1">
      <alignment horizontal="center" vertical="center" wrapText="1"/>
    </xf>
    <xf numFmtId="17" fontId="8" fillId="6" borderId="39" xfId="40" applyNumberFormat="1" applyFont="1" applyFill="1" applyBorder="1" applyAlignment="1">
      <alignment horizontal="center" vertical="center"/>
    </xf>
    <xf numFmtId="0" fontId="5" fillId="6" borderId="235" xfId="40" applyFont="1" applyFill="1" applyBorder="1" applyAlignment="1">
      <alignment horizontal="center" vertical="center"/>
    </xf>
    <xf numFmtId="0" fontId="8" fillId="6" borderId="0" xfId="40" applyFont="1" applyFill="1" applyAlignment="1">
      <alignment horizontal="center" vertical="center"/>
    </xf>
    <xf numFmtId="15" fontId="4" fillId="2" borderId="36" xfId="40" applyNumberFormat="1" applyFont="1" applyFill="1" applyBorder="1" applyAlignment="1">
      <alignment horizontal="center" vertical="center"/>
    </xf>
    <xf numFmtId="3" fontId="24" fillId="2" borderId="33" xfId="40" applyNumberFormat="1" applyFont="1" applyFill="1" applyBorder="1" applyAlignment="1">
      <alignment horizontal="center" vertical="center"/>
    </xf>
    <xf numFmtId="3" fontId="24" fillId="2" borderId="36" xfId="40" applyNumberFormat="1" applyFont="1" applyFill="1" applyBorder="1" applyAlignment="1">
      <alignment horizontal="center" vertical="center"/>
    </xf>
    <xf numFmtId="188" fontId="8" fillId="6" borderId="218" xfId="40" applyNumberFormat="1" applyFont="1" applyFill="1" applyBorder="1" applyAlignment="1">
      <alignment horizontal="center" vertical="center"/>
    </xf>
    <xf numFmtId="1" fontId="8" fillId="6" borderId="0" xfId="40" applyNumberFormat="1" applyFont="1" applyFill="1" applyAlignment="1">
      <alignment horizontal="left" vertical="center"/>
    </xf>
    <xf numFmtId="177" fontId="11" fillId="2" borderId="4" xfId="40" applyNumberFormat="1" applyFont="1" applyFill="1" applyBorder="1" applyAlignment="1">
      <alignment horizontal="center" vertical="center"/>
    </xf>
    <xf numFmtId="177" fontId="11" fillId="2" borderId="33" xfId="40" applyNumberFormat="1" applyFont="1" applyFill="1" applyBorder="1" applyAlignment="1">
      <alignment horizontal="center" vertical="center"/>
    </xf>
    <xf numFmtId="189" fontId="8" fillId="6" borderId="0" xfId="40" applyNumberFormat="1" applyFont="1" applyFill="1" applyAlignment="1">
      <alignment horizontal="left" vertical="center"/>
    </xf>
    <xf numFmtId="177" fontId="11" fillId="2" borderId="33" xfId="75" applyNumberFormat="1" applyFont="1" applyFill="1" applyBorder="1" applyAlignment="1">
      <alignment horizontal="center" vertical="center"/>
    </xf>
    <xf numFmtId="188" fontId="8" fillId="6" borderId="236" xfId="40" applyNumberFormat="1" applyFont="1" applyFill="1" applyBorder="1" applyAlignment="1">
      <alignment horizontal="center" vertical="center"/>
    </xf>
    <xf numFmtId="1" fontId="5" fillId="6" borderId="12" xfId="40" applyNumberFormat="1" applyFont="1" applyFill="1" applyBorder="1" applyAlignment="1">
      <alignment horizontal="center" vertical="center"/>
    </xf>
    <xf numFmtId="3" fontId="24" fillId="2" borderId="37" xfId="40" applyNumberFormat="1" applyFont="1" applyFill="1" applyBorder="1" applyAlignment="1">
      <alignment horizontal="center" vertical="center"/>
    </xf>
    <xf numFmtId="3" fontId="24" fillId="2" borderId="44" xfId="40" applyNumberFormat="1" applyFont="1" applyFill="1" applyBorder="1" applyAlignment="1">
      <alignment horizontal="center" vertical="center"/>
    </xf>
    <xf numFmtId="0" fontId="17" fillId="2" borderId="0" xfId="40" applyFont="1" applyFill="1" applyBorder="1" applyAlignment="1">
      <alignment horizontal="left" vertical="center"/>
    </xf>
    <xf numFmtId="0" fontId="17" fillId="2" borderId="0" xfId="40" applyFont="1" applyFill="1" applyAlignment="1">
      <alignment horizontal="center" vertical="center"/>
    </xf>
    <xf numFmtId="0" fontId="19" fillId="2" borderId="0" xfId="81" applyFont="1" applyFill="1" applyAlignment="1">
      <alignment horizontal="center" vertical="center"/>
    </xf>
    <xf numFmtId="0" fontId="17" fillId="2" borderId="0" xfId="40" applyFont="1" applyFill="1" applyAlignment="1">
      <alignment horizontal="left" vertical="center"/>
    </xf>
    <xf numFmtId="0" fontId="19" fillId="2" borderId="0" xfId="40" applyFont="1" applyFill="1" applyAlignment="1">
      <alignment horizontal="center" vertical="center"/>
    </xf>
    <xf numFmtId="0" fontId="24" fillId="2" borderId="12" xfId="40" applyFont="1" applyFill="1" applyBorder="1" applyAlignment="1">
      <alignment horizontal="center" vertical="center"/>
    </xf>
    <xf numFmtId="0" fontId="38" fillId="2" borderId="12" xfId="40" applyFont="1" applyFill="1" applyBorder="1" applyAlignment="1">
      <alignment horizontal="right" vertical="center"/>
    </xf>
    <xf numFmtId="0" fontId="5" fillId="6" borderId="32" xfId="40" applyFont="1" applyFill="1" applyBorder="1" applyAlignment="1">
      <alignment horizontal="center" vertical="center" wrapText="1"/>
    </xf>
    <xf numFmtId="0" fontId="5" fillId="6" borderId="31" xfId="40" applyFont="1" applyFill="1" applyBorder="1" applyAlignment="1">
      <alignment horizontal="center" vertical="center" wrapText="1"/>
    </xf>
    <xf numFmtId="0" fontId="24" fillId="2" borderId="31" xfId="40" applyFont="1" applyFill="1" applyBorder="1" applyAlignment="1">
      <alignment horizontal="center" vertical="center"/>
    </xf>
    <xf numFmtId="0" fontId="24" fillId="2" borderId="36" xfId="40" applyFont="1" applyFill="1" applyBorder="1" applyAlignment="1">
      <alignment horizontal="center" vertical="center"/>
    </xf>
    <xf numFmtId="188" fontId="8" fillId="6" borderId="25" xfId="40" applyNumberFormat="1" applyFont="1" applyFill="1" applyBorder="1" applyAlignment="1">
      <alignment horizontal="center" vertical="center"/>
    </xf>
    <xf numFmtId="0" fontId="8" fillId="6" borderId="33" xfId="40" applyFont="1" applyFill="1" applyBorder="1" applyAlignment="1">
      <alignment horizontal="left" vertical="center"/>
    </xf>
    <xf numFmtId="177" fontId="26" fillId="2" borderId="33" xfId="75" applyNumberFormat="1" applyFont="1" applyFill="1" applyBorder="1" applyAlignment="1">
      <alignment horizontal="center" vertical="center"/>
    </xf>
    <xf numFmtId="177" fontId="26" fillId="2" borderId="4" xfId="75" applyNumberFormat="1" applyFont="1" applyFill="1" applyBorder="1" applyAlignment="1">
      <alignment horizontal="center" vertical="center"/>
    </xf>
    <xf numFmtId="0" fontId="5" fillId="6" borderId="25" xfId="40" applyFont="1" applyFill="1" applyBorder="1" applyAlignment="1">
      <alignment horizontal="center" vertical="center"/>
    </xf>
    <xf numFmtId="177" fontId="11" fillId="2" borderId="4" xfId="75" applyNumberFormat="1" applyFont="1" applyFill="1" applyBorder="1" applyAlignment="1">
      <alignment horizontal="center" vertical="center"/>
    </xf>
    <xf numFmtId="0" fontId="8" fillId="6" borderId="33" xfId="40" quotePrefix="1" applyFont="1" applyFill="1" applyBorder="1" applyAlignment="1">
      <alignment horizontal="left" vertical="center"/>
    </xf>
    <xf numFmtId="0" fontId="24" fillId="2" borderId="44" xfId="40" applyFont="1" applyFill="1" applyBorder="1" applyAlignment="1">
      <alignment horizontal="center" vertical="center"/>
    </xf>
    <xf numFmtId="0" fontId="24" fillId="2" borderId="37" xfId="40" applyFont="1" applyFill="1" applyBorder="1" applyAlignment="1">
      <alignment horizontal="center" vertical="center"/>
    </xf>
    <xf numFmtId="0" fontId="38" fillId="2" borderId="12" xfId="40" applyFont="1" applyFill="1" applyBorder="1" applyAlignment="1">
      <alignment horizontal="center" vertical="center"/>
    </xf>
    <xf numFmtId="0" fontId="5" fillId="6" borderId="30" xfId="40" applyFont="1" applyFill="1" applyBorder="1" applyAlignment="1">
      <alignment horizontal="center" vertical="center"/>
    </xf>
    <xf numFmtId="0" fontId="5" fillId="6" borderId="29" xfId="40" applyFont="1" applyFill="1" applyBorder="1" applyAlignment="1">
      <alignment horizontal="center" vertical="center"/>
    </xf>
    <xf numFmtId="0" fontId="8" fillId="6" borderId="0" xfId="40" applyFont="1" applyFill="1" applyAlignment="1">
      <alignment horizontal="left" vertical="center"/>
    </xf>
    <xf numFmtId="0" fontId="24" fillId="2" borderId="4" xfId="40" applyFont="1" applyFill="1" applyBorder="1" applyAlignment="1">
      <alignment horizontal="center" vertical="center"/>
    </xf>
    <xf numFmtId="0" fontId="8" fillId="6" borderId="0" xfId="40" quotePrefix="1" applyFont="1" applyFill="1" applyAlignment="1">
      <alignment horizontal="left" vertical="center"/>
    </xf>
    <xf numFmtId="2" fontId="11" fillId="2" borderId="4" xfId="40" applyNumberFormat="1" applyFont="1" applyFill="1" applyBorder="1" applyAlignment="1">
      <alignment horizontal="center" vertical="center"/>
    </xf>
    <xf numFmtId="3" fontId="24" fillId="2" borderId="0" xfId="81" applyNumberFormat="1" applyFont="1" applyFill="1" applyAlignment="1">
      <alignment horizontal="center" vertical="center"/>
    </xf>
    <xf numFmtId="0" fontId="5" fillId="6" borderId="44" xfId="40" applyFont="1" applyFill="1" applyBorder="1" applyAlignment="1">
      <alignment horizontal="center" vertical="center"/>
    </xf>
    <xf numFmtId="0" fontId="77" fillId="2" borderId="0" xfId="81" applyFont="1" applyFill="1" applyAlignment="1">
      <alignment horizontal="center" vertical="center"/>
    </xf>
    <xf numFmtId="0" fontId="38" fillId="2" borderId="0" xfId="40" applyFont="1" applyFill="1" applyBorder="1" applyAlignment="1">
      <alignment horizontal="right" vertical="center"/>
    </xf>
    <xf numFmtId="0" fontId="24" fillId="6" borderId="25" xfId="40" applyFont="1" applyFill="1" applyBorder="1" applyAlignment="1">
      <alignment horizontal="center" vertical="center"/>
    </xf>
    <xf numFmtId="0" fontId="4" fillId="6" borderId="0" xfId="40" applyFont="1" applyFill="1" applyBorder="1" applyAlignment="1">
      <alignment horizontal="center" vertical="center"/>
    </xf>
    <xf numFmtId="15" fontId="8" fillId="6" borderId="39" xfId="40" applyNumberFormat="1" applyFont="1" applyFill="1" applyBorder="1" applyAlignment="1">
      <alignment horizontal="center" vertical="center"/>
    </xf>
    <xf numFmtId="175" fontId="8" fillId="6" borderId="39" xfId="40" applyNumberFormat="1" applyFont="1" applyFill="1" applyBorder="1" applyAlignment="1">
      <alignment horizontal="center" vertical="center"/>
    </xf>
    <xf numFmtId="175" fontId="4" fillId="13" borderId="0" xfId="40" applyNumberFormat="1" applyFont="1" applyFill="1" applyBorder="1" applyAlignment="1">
      <alignment horizontal="center" vertical="center"/>
    </xf>
    <xf numFmtId="0" fontId="24" fillId="6" borderId="32" xfId="40" applyFont="1" applyFill="1" applyBorder="1" applyAlignment="1">
      <alignment horizontal="center" vertical="center"/>
    </xf>
    <xf numFmtId="0" fontId="4" fillId="6" borderId="31" xfId="40" applyFont="1" applyFill="1" applyBorder="1" applyAlignment="1">
      <alignment horizontal="center" vertical="center"/>
    </xf>
    <xf numFmtId="3" fontId="11" fillId="2" borderId="33" xfId="40" applyNumberFormat="1" applyFont="1" applyFill="1" applyBorder="1" applyAlignment="1">
      <alignment horizontal="center" vertical="center"/>
    </xf>
    <xf numFmtId="3" fontId="24" fillId="2" borderId="0" xfId="40" applyNumberFormat="1" applyFont="1" applyFill="1" applyBorder="1" applyAlignment="1">
      <alignment horizontal="center" vertical="center"/>
    </xf>
    <xf numFmtId="1" fontId="8" fillId="6" borderId="33" xfId="40" applyNumberFormat="1" applyFont="1" applyFill="1" applyBorder="1" applyAlignment="1">
      <alignment horizontal="left" vertical="center"/>
    </xf>
    <xf numFmtId="177" fontId="24" fillId="2" borderId="0" xfId="40" applyNumberFormat="1" applyFont="1" applyFill="1" applyBorder="1" applyAlignment="1">
      <alignment horizontal="center" vertical="center"/>
    </xf>
    <xf numFmtId="189" fontId="8" fillId="6" borderId="33" xfId="40" applyNumberFormat="1" applyFont="1" applyFill="1" applyBorder="1" applyAlignment="1">
      <alignment horizontal="left" vertical="center"/>
    </xf>
    <xf numFmtId="188" fontId="4" fillId="6" borderId="45" xfId="40" applyNumberFormat="1" applyFont="1" applyFill="1" applyBorder="1" applyAlignment="1">
      <alignment horizontal="center" vertical="center"/>
    </xf>
    <xf numFmtId="1" fontId="24" fillId="6" borderId="44" xfId="40" applyNumberFormat="1" applyFont="1" applyFill="1" applyBorder="1" applyAlignment="1">
      <alignment horizontal="center" vertical="center"/>
    </xf>
    <xf numFmtId="0" fontId="5" fillId="6" borderId="0" xfId="40" applyFont="1" applyFill="1" applyBorder="1" applyAlignment="1">
      <alignment horizontal="center" vertical="center"/>
    </xf>
    <xf numFmtId="0" fontId="11" fillId="2" borderId="36" xfId="40" applyFont="1" applyFill="1" applyBorder="1" applyAlignment="1">
      <alignment horizontal="center" vertical="center"/>
    </xf>
    <xf numFmtId="0" fontId="11" fillId="2" borderId="33" xfId="40" applyFont="1" applyFill="1" applyBorder="1" applyAlignment="1">
      <alignment horizontal="center" vertical="center"/>
    </xf>
    <xf numFmtId="166" fontId="11" fillId="2" borderId="36" xfId="40" applyNumberFormat="1" applyFont="1" applyFill="1" applyBorder="1" applyAlignment="1">
      <alignment horizontal="center" vertical="center"/>
    </xf>
    <xf numFmtId="166" fontId="11" fillId="2" borderId="33" xfId="40" applyNumberFormat="1" applyFont="1" applyFill="1" applyBorder="1" applyAlignment="1">
      <alignment horizontal="center" vertical="center"/>
    </xf>
    <xf numFmtId="0" fontId="8" fillId="6" borderId="0" xfId="40" applyFont="1" applyFill="1" applyBorder="1" applyAlignment="1">
      <alignment horizontal="left" vertical="center"/>
    </xf>
    <xf numFmtId="3" fontId="26" fillId="2" borderId="4" xfId="40" applyNumberFormat="1" applyFont="1" applyFill="1" applyBorder="1" applyAlignment="1">
      <alignment horizontal="center" vertical="center"/>
    </xf>
    <xf numFmtId="3" fontId="26" fillId="2" borderId="33" xfId="40" applyNumberFormat="1" applyFont="1" applyFill="1" applyBorder="1" applyAlignment="1">
      <alignment horizontal="center" vertical="center"/>
    </xf>
    <xf numFmtId="166" fontId="26" fillId="2" borderId="33" xfId="40" applyNumberFormat="1" applyFont="1" applyFill="1" applyBorder="1" applyAlignment="1">
      <alignment horizontal="center" vertical="center"/>
    </xf>
    <xf numFmtId="0" fontId="11" fillId="2" borderId="4" xfId="40" applyFont="1" applyFill="1" applyBorder="1" applyAlignment="1">
      <alignment horizontal="center" vertical="center"/>
    </xf>
    <xf numFmtId="38" fontId="26" fillId="2" borderId="33" xfId="40" applyNumberFormat="1" applyFont="1" applyFill="1" applyBorder="1" applyAlignment="1">
      <alignment horizontal="center" vertical="center"/>
    </xf>
    <xf numFmtId="166" fontId="11" fillId="2" borderId="4" xfId="40" applyNumberFormat="1" applyFont="1" applyFill="1" applyBorder="1" applyAlignment="1">
      <alignment horizontal="center" vertical="center"/>
    </xf>
    <xf numFmtId="38" fontId="26" fillId="2" borderId="4" xfId="40" applyNumberFormat="1" applyFont="1" applyFill="1" applyBorder="1" applyAlignment="1">
      <alignment horizontal="center" vertical="center"/>
    </xf>
    <xf numFmtId="0" fontId="8" fillId="6" borderId="12" xfId="40" applyFont="1" applyFill="1" applyBorder="1" applyAlignment="1">
      <alignment horizontal="center" vertical="center"/>
    </xf>
    <xf numFmtId="0" fontId="137" fillId="2" borderId="0" xfId="81" applyFont="1" applyFill="1" applyAlignment="1">
      <alignment horizontal="center" vertical="center"/>
    </xf>
    <xf numFmtId="0" fontId="4" fillId="2" borderId="0" xfId="42" applyFont="1" applyFill="1" applyAlignment="1">
      <alignment horizontal="left" vertical="center"/>
    </xf>
    <xf numFmtId="0" fontId="4" fillId="2" borderId="0" xfId="42" applyFont="1" applyFill="1" applyAlignment="1">
      <alignment horizontal="center" vertical="center"/>
    </xf>
    <xf numFmtId="0" fontId="24" fillId="2" borderId="0" xfId="42" applyFont="1" applyFill="1" applyAlignment="1">
      <alignment horizontal="center" vertical="center"/>
    </xf>
    <xf numFmtId="0" fontId="24" fillId="2" borderId="12" xfId="42" applyFont="1" applyFill="1" applyBorder="1" applyAlignment="1">
      <alignment horizontal="center" vertical="center"/>
    </xf>
    <xf numFmtId="0" fontId="4" fillId="2" borderId="12" xfId="42" applyFont="1" applyFill="1" applyBorder="1" applyAlignment="1">
      <alignment horizontal="center" vertical="center"/>
    </xf>
    <xf numFmtId="0" fontId="38" fillId="2" borderId="0" xfId="42" applyFont="1" applyFill="1" applyAlignment="1">
      <alignment horizontal="center" vertical="center"/>
    </xf>
    <xf numFmtId="0" fontId="8" fillId="6" borderId="32" xfId="42" applyFont="1" applyFill="1" applyBorder="1" applyAlignment="1">
      <alignment horizontal="center" vertical="center"/>
    </xf>
    <xf numFmtId="0" fontId="8" fillId="6" borderId="79" xfId="42" applyFont="1" applyFill="1" applyBorder="1" applyAlignment="1">
      <alignment horizontal="center" vertical="center"/>
    </xf>
    <xf numFmtId="0" fontId="24" fillId="2" borderId="25" xfId="42" applyFont="1" applyFill="1" applyBorder="1" applyAlignment="1">
      <alignment horizontal="center" vertical="center"/>
    </xf>
    <xf numFmtId="0" fontId="8" fillId="6" borderId="45" xfId="42" applyFont="1" applyFill="1" applyBorder="1" applyAlignment="1">
      <alignment horizontal="center" vertical="center"/>
    </xf>
    <xf numFmtId="0" fontId="8" fillId="6" borderId="44" xfId="42" applyFont="1" applyFill="1" applyBorder="1" applyAlignment="1">
      <alignment horizontal="center" vertical="center"/>
    </xf>
    <xf numFmtId="15" fontId="8" fillId="6" borderId="37" xfId="40" applyNumberFormat="1" applyFont="1" applyFill="1" applyBorder="1" applyAlignment="1">
      <alignment horizontal="center" vertical="center"/>
    </xf>
    <xf numFmtId="15" fontId="8" fillId="6" borderId="44" xfId="40" applyNumberFormat="1" applyFont="1" applyFill="1" applyBorder="1" applyAlignment="1">
      <alignment horizontal="center" vertical="center"/>
    </xf>
    <xf numFmtId="188" fontId="8" fillId="6" borderId="32" xfId="42" applyNumberFormat="1" applyFont="1" applyFill="1" applyBorder="1" applyAlignment="1">
      <alignment horizontal="center" vertical="center"/>
    </xf>
    <xf numFmtId="0" fontId="8" fillId="6" borderId="79" xfId="42" applyFont="1" applyFill="1" applyBorder="1" applyAlignment="1">
      <alignment horizontal="left" vertical="center"/>
    </xf>
    <xf numFmtId="15" fontId="26" fillId="2" borderId="36" xfId="42" applyNumberFormat="1" applyFont="1" applyFill="1" applyBorder="1" applyAlignment="1">
      <alignment horizontal="center" vertical="center"/>
    </xf>
    <xf numFmtId="15" fontId="26" fillId="2" borderId="31" xfId="42" applyNumberFormat="1" applyFont="1" applyFill="1" applyBorder="1" applyAlignment="1">
      <alignment horizontal="center" vertical="center"/>
    </xf>
    <xf numFmtId="188" fontId="8" fillId="21" borderId="25" xfId="42" applyNumberFormat="1" applyFont="1" applyFill="1" applyBorder="1" applyAlignment="1">
      <alignment horizontal="center" vertical="center"/>
    </xf>
    <xf numFmtId="0" fontId="8" fillId="6" borderId="0" xfId="42" applyFont="1" applyFill="1" applyAlignment="1">
      <alignment horizontal="left" vertical="center"/>
    </xf>
    <xf numFmtId="2" fontId="11" fillId="2" borderId="4" xfId="42" applyNumberFormat="1" applyFont="1" applyFill="1" applyBorder="1" applyAlignment="1">
      <alignment horizontal="center" vertical="center"/>
    </xf>
    <xf numFmtId="2" fontId="11" fillId="2" borderId="33" xfId="42" applyNumberFormat="1" applyFont="1" applyFill="1" applyBorder="1" applyAlignment="1">
      <alignment horizontal="center" vertical="center"/>
    </xf>
    <xf numFmtId="0" fontId="8" fillId="6" borderId="33" xfId="42" applyFont="1" applyFill="1" applyBorder="1" applyAlignment="1">
      <alignment horizontal="left" vertical="center"/>
    </xf>
    <xf numFmtId="0" fontId="8" fillId="6" borderId="12" xfId="42" applyFont="1" applyFill="1" applyBorder="1" applyAlignment="1">
      <alignment horizontal="center" vertical="center"/>
    </xf>
    <xf numFmtId="3" fontId="24" fillId="2" borderId="37" xfId="42" applyNumberFormat="1" applyFont="1" applyFill="1" applyBorder="1" applyAlignment="1">
      <alignment horizontal="center" vertical="center"/>
    </xf>
    <xf numFmtId="3" fontId="24" fillId="2" borderId="44" xfId="42" applyNumberFormat="1" applyFont="1" applyFill="1" applyBorder="1" applyAlignment="1">
      <alignment horizontal="center" vertical="center"/>
    </xf>
    <xf numFmtId="0" fontId="17" fillId="2" borderId="0" xfId="42" applyFont="1" applyFill="1" applyAlignment="1">
      <alignment horizontal="left" vertical="center"/>
    </xf>
    <xf numFmtId="0" fontId="4" fillId="2" borderId="0" xfId="42" applyFont="1" applyFill="1" applyBorder="1" applyAlignment="1">
      <alignment horizontal="left" vertical="center"/>
    </xf>
    <xf numFmtId="0" fontId="4" fillId="2" borderId="0" xfId="42" applyFont="1" applyFill="1" applyBorder="1" applyAlignment="1">
      <alignment horizontal="center" vertical="center"/>
    </xf>
    <xf numFmtId="0" fontId="4" fillId="2" borderId="0" xfId="42" applyFont="1" applyFill="1" applyBorder="1" applyAlignment="1">
      <alignment horizontal="center" vertical="center" wrapText="1"/>
    </xf>
    <xf numFmtId="0" fontId="77" fillId="0" borderId="0" xfId="81" applyFont="1" applyBorder="1" applyAlignment="1">
      <alignment horizontal="center" vertical="center"/>
    </xf>
    <xf numFmtId="0" fontId="4" fillId="2" borderId="0" xfId="42" applyFont="1" applyFill="1" applyAlignment="1">
      <alignment horizontal="center" vertical="center" wrapText="1"/>
    </xf>
    <xf numFmtId="190" fontId="4" fillId="2" borderId="0" xfId="42" applyNumberFormat="1" applyFont="1" applyFill="1" applyAlignment="1">
      <alignment horizontal="center" vertical="center" wrapText="1"/>
    </xf>
    <xf numFmtId="0" fontId="77" fillId="0" borderId="0" xfId="81" applyFont="1" applyAlignment="1">
      <alignment horizontal="center" vertical="center"/>
    </xf>
    <xf numFmtId="0" fontId="8" fillId="3" borderId="32" xfId="42" applyFont="1" applyFill="1" applyBorder="1" applyAlignment="1">
      <alignment horizontal="center" vertical="center"/>
    </xf>
    <xf numFmtId="0" fontId="8" fillId="3" borderId="31" xfId="42" applyFont="1" applyFill="1" applyBorder="1" applyAlignment="1">
      <alignment horizontal="center" vertical="center"/>
    </xf>
    <xf numFmtId="15" fontId="8" fillId="6" borderId="37" xfId="42" applyNumberFormat="1" applyFont="1" applyFill="1" applyBorder="1" applyAlignment="1">
      <alignment horizontal="center" vertical="center" wrapText="1"/>
    </xf>
    <xf numFmtId="191" fontId="8" fillId="6" borderId="37" xfId="42" quotePrefix="1" applyNumberFormat="1" applyFont="1" applyFill="1" applyBorder="1" applyAlignment="1">
      <alignment horizontal="center" vertical="center" wrapText="1"/>
    </xf>
    <xf numFmtId="15" fontId="8" fillId="6" borderId="44" xfId="42" applyNumberFormat="1" applyFont="1" applyFill="1" applyBorder="1" applyAlignment="1">
      <alignment horizontal="center" vertical="center" wrapText="1"/>
    </xf>
    <xf numFmtId="192" fontId="8" fillId="6" borderId="37" xfId="42" quotePrefix="1" applyNumberFormat="1" applyFont="1" applyFill="1" applyBorder="1" applyAlignment="1">
      <alignment horizontal="center" vertical="center" wrapText="1"/>
    </xf>
    <xf numFmtId="0" fontId="8" fillId="6" borderId="31" xfId="42" applyFont="1" applyFill="1" applyBorder="1" applyAlignment="1">
      <alignment horizontal="left" vertical="center"/>
    </xf>
    <xf numFmtId="166" fontId="11" fillId="2" borderId="4" xfId="43" applyNumberFormat="1" applyFont="1" applyFill="1" applyBorder="1" applyAlignment="1">
      <alignment horizontal="center" vertical="center" wrapText="1"/>
    </xf>
    <xf numFmtId="166" fontId="11" fillId="2" borderId="33" xfId="43" applyNumberFormat="1" applyFont="1" applyFill="1" applyBorder="1" applyAlignment="1">
      <alignment horizontal="center" vertical="center" wrapText="1"/>
    </xf>
    <xf numFmtId="2" fontId="11" fillId="2" borderId="4" xfId="43" applyNumberFormat="1" applyFont="1" applyFill="1" applyBorder="1" applyAlignment="1">
      <alignment horizontal="center" vertical="center" wrapText="1"/>
    </xf>
    <xf numFmtId="2" fontId="11" fillId="2" borderId="33" xfId="43" applyNumberFormat="1" applyFont="1" applyFill="1" applyBorder="1" applyAlignment="1">
      <alignment horizontal="center" vertical="center" wrapText="1"/>
    </xf>
    <xf numFmtId="172" fontId="11" fillId="2" borderId="4" xfId="43" applyNumberFormat="1" applyFont="1" applyFill="1" applyBorder="1" applyAlignment="1">
      <alignment horizontal="center" vertical="center" wrapText="1"/>
    </xf>
    <xf numFmtId="172" fontId="11" fillId="2" borderId="33" xfId="43" applyNumberFormat="1" applyFont="1" applyFill="1" applyBorder="1" applyAlignment="1">
      <alignment horizontal="center" vertical="center" wrapText="1"/>
    </xf>
    <xf numFmtId="0" fontId="5" fillId="6" borderId="237" xfId="42" applyFont="1" applyFill="1" applyBorder="1" applyAlignment="1">
      <alignment horizontal="center" vertical="center"/>
    </xf>
    <xf numFmtId="38" fontId="24" fillId="2" borderId="37" xfId="42" applyNumberFormat="1" applyFont="1" applyFill="1" applyBorder="1" applyAlignment="1">
      <alignment horizontal="center" vertical="center" wrapText="1"/>
    </xf>
    <xf numFmtId="38" fontId="24" fillId="2" borderId="44" xfId="42" applyNumberFormat="1" applyFont="1" applyFill="1" applyBorder="1" applyAlignment="1">
      <alignment horizontal="center" vertical="center" wrapText="1"/>
    </xf>
    <xf numFmtId="0" fontId="17" fillId="0" borderId="0" xfId="81" applyFont="1" applyAlignment="1">
      <alignment horizontal="left" vertical="center"/>
    </xf>
    <xf numFmtId="38" fontId="24" fillId="2" borderId="0" xfId="42" applyNumberFormat="1" applyFont="1" applyFill="1" applyBorder="1" applyAlignment="1">
      <alignment horizontal="center" vertical="center" wrapText="1"/>
    </xf>
    <xf numFmtId="0" fontId="17" fillId="2" borderId="0" xfId="80" applyFont="1" applyFill="1" applyAlignment="1">
      <alignment horizontal="left" vertical="center"/>
    </xf>
    <xf numFmtId="0" fontId="77" fillId="0" borderId="0" xfId="81" applyFont="1" applyAlignment="1">
      <alignment horizontal="center" vertical="center" wrapText="1"/>
    </xf>
    <xf numFmtId="0" fontId="4" fillId="2" borderId="0" xfId="40" applyFont="1" applyFill="1" applyAlignment="1">
      <alignment horizontal="center" vertical="center" wrapText="1"/>
    </xf>
    <xf numFmtId="0" fontId="24" fillId="21" borderId="1" xfId="40" applyFont="1" applyFill="1" applyBorder="1" applyAlignment="1">
      <alignment horizontal="center" vertical="center"/>
    </xf>
    <xf numFmtId="0" fontId="24" fillId="21" borderId="35" xfId="40" applyFont="1" applyFill="1" applyBorder="1" applyAlignment="1">
      <alignment horizontal="center" vertical="center"/>
    </xf>
    <xf numFmtId="15" fontId="8" fillId="6" borderId="2" xfId="40" applyNumberFormat="1" applyFont="1" applyFill="1" applyBorder="1" applyAlignment="1">
      <alignment horizontal="center" vertical="center" wrapText="1"/>
    </xf>
    <xf numFmtId="15" fontId="8" fillId="6" borderId="28" xfId="40" applyNumberFormat="1" applyFont="1" applyFill="1" applyBorder="1" applyAlignment="1">
      <alignment horizontal="center" vertical="center" wrapText="1"/>
    </xf>
    <xf numFmtId="193" fontId="24" fillId="2" borderId="0" xfId="44" applyNumberFormat="1" applyFont="1" applyFill="1" applyBorder="1" applyAlignment="1">
      <alignment horizontal="center" vertical="center" wrapText="1"/>
    </xf>
    <xf numFmtId="188" fontId="8" fillId="21" borderId="3" xfId="40" applyNumberFormat="1" applyFont="1" applyFill="1" applyBorder="1" applyAlignment="1">
      <alignment horizontal="center" vertical="center"/>
    </xf>
    <xf numFmtId="0" fontId="8" fillId="21" borderId="79" xfId="40" applyFont="1" applyFill="1" applyBorder="1" applyAlignment="1">
      <alignment horizontal="left" vertical="center"/>
    </xf>
    <xf numFmtId="193" fontId="11" fillId="2" borderId="36" xfId="44" applyNumberFormat="1" applyFont="1" applyFill="1" applyBorder="1" applyAlignment="1">
      <alignment horizontal="center" vertical="center" wrapText="1"/>
    </xf>
    <xf numFmtId="193" fontId="11" fillId="2" borderId="16" xfId="44" applyNumberFormat="1" applyFont="1" applyFill="1" applyBorder="1" applyAlignment="1">
      <alignment horizontal="center" vertical="center" wrapText="1"/>
    </xf>
    <xf numFmtId="0" fontId="8" fillId="21" borderId="0" xfId="40" applyFont="1" applyFill="1" applyAlignment="1">
      <alignment horizontal="left" vertical="center"/>
    </xf>
    <xf numFmtId="193" fontId="11" fillId="2" borderId="4" xfId="44" applyNumberFormat="1" applyFont="1" applyFill="1" applyBorder="1" applyAlignment="1">
      <alignment horizontal="center" vertical="center" wrapText="1"/>
    </xf>
    <xf numFmtId="193" fontId="11" fillId="2" borderId="14" xfId="44" applyNumberFormat="1" applyFont="1" applyFill="1" applyBorder="1" applyAlignment="1">
      <alignment horizontal="center" vertical="center" wrapText="1"/>
    </xf>
    <xf numFmtId="40" fontId="11" fillId="2" borderId="4" xfId="44" applyNumberFormat="1" applyFont="1" applyFill="1" applyBorder="1" applyAlignment="1">
      <alignment horizontal="center" vertical="center" wrapText="1"/>
    </xf>
    <xf numFmtId="40" fontId="11" fillId="2" borderId="14" xfId="44" applyNumberFormat="1" applyFont="1" applyFill="1" applyBorder="1" applyAlignment="1">
      <alignment horizontal="center" vertical="center" wrapText="1"/>
    </xf>
    <xf numFmtId="40" fontId="24" fillId="2" borderId="0" xfId="44" applyNumberFormat="1" applyFont="1" applyFill="1" applyBorder="1" applyAlignment="1">
      <alignment horizontal="center" vertical="center" wrapText="1"/>
    </xf>
    <xf numFmtId="0" fontId="24" fillId="21" borderId="5" xfId="40" applyFont="1" applyFill="1" applyBorder="1" applyAlignment="1">
      <alignment horizontal="center" vertical="center"/>
    </xf>
    <xf numFmtId="0" fontId="4" fillId="21" borderId="20" xfId="40" applyFont="1" applyFill="1" applyBorder="1" applyAlignment="1">
      <alignment horizontal="center" vertical="center"/>
    </xf>
    <xf numFmtId="0" fontId="24" fillId="2" borderId="6" xfId="40" applyFont="1" applyFill="1" applyBorder="1" applyAlignment="1">
      <alignment horizontal="center" vertical="center" wrapText="1"/>
    </xf>
    <xf numFmtId="0" fontId="24" fillId="2" borderId="21" xfId="40" applyFont="1" applyFill="1" applyBorder="1" applyAlignment="1">
      <alignment horizontal="center" vertical="center" wrapText="1"/>
    </xf>
    <xf numFmtId="0" fontId="24" fillId="2" borderId="0" xfId="40" applyFont="1" applyFill="1" applyBorder="1" applyAlignment="1">
      <alignment horizontal="center" vertical="center" wrapText="1"/>
    </xf>
    <xf numFmtId="0" fontId="17" fillId="2" borderId="0" xfId="41" applyFont="1" applyFill="1" applyAlignment="1">
      <alignment horizontal="left" vertical="center"/>
    </xf>
    <xf numFmtId="0" fontId="4" fillId="2" borderId="0" xfId="80" applyFont="1" applyFill="1" applyAlignment="1">
      <alignment horizontal="left" vertical="center"/>
    </xf>
    <xf numFmtId="0" fontId="4" fillId="2" borderId="0" xfId="80" applyFont="1" applyFill="1" applyAlignment="1">
      <alignment horizontal="center" vertical="center"/>
    </xf>
    <xf numFmtId="0" fontId="24" fillId="2" borderId="0" xfId="80" applyFont="1" applyFill="1" applyAlignment="1">
      <alignment horizontal="center" vertical="center"/>
    </xf>
    <xf numFmtId="0" fontId="4" fillId="2" borderId="12" xfId="80" applyFont="1" applyFill="1" applyBorder="1" applyAlignment="1">
      <alignment horizontal="center" vertical="center"/>
    </xf>
    <xf numFmtId="0" fontId="24" fillId="2" borderId="12" xfId="80" applyFont="1" applyFill="1" applyBorder="1" applyAlignment="1">
      <alignment horizontal="center" vertical="center"/>
    </xf>
    <xf numFmtId="15" fontId="8" fillId="6" borderId="39" xfId="80" applyNumberFormat="1" applyFont="1" applyFill="1" applyBorder="1" applyAlignment="1">
      <alignment horizontal="center" vertical="center"/>
    </xf>
    <xf numFmtId="194" fontId="8" fillId="6" borderId="29" xfId="42" quotePrefix="1" applyNumberFormat="1" applyFont="1" applyFill="1" applyBorder="1" applyAlignment="1">
      <alignment horizontal="center" vertical="center"/>
    </xf>
    <xf numFmtId="194" fontId="8" fillId="6" borderId="39" xfId="42" quotePrefix="1" applyNumberFormat="1" applyFont="1" applyFill="1" applyBorder="1" applyAlignment="1">
      <alignment horizontal="center" vertical="center"/>
    </xf>
    <xf numFmtId="191" fontId="8" fillId="6" borderId="39" xfId="42" quotePrefix="1" applyNumberFormat="1" applyFont="1" applyFill="1" applyBorder="1" applyAlignment="1">
      <alignment horizontal="center" vertical="center" wrapText="1"/>
    </xf>
    <xf numFmtId="188" fontId="8" fillId="21" borderId="32" xfId="42" applyNumberFormat="1" applyFont="1" applyFill="1" applyBorder="1" applyAlignment="1">
      <alignment horizontal="center" vertical="center"/>
    </xf>
    <xf numFmtId="188" fontId="8" fillId="21" borderId="45" xfId="42" applyNumberFormat="1" applyFont="1" applyFill="1" applyBorder="1" applyAlignment="1">
      <alignment horizontal="center" vertical="center"/>
    </xf>
    <xf numFmtId="0" fontId="17" fillId="2" borderId="0" xfId="81" applyFont="1" applyFill="1" applyAlignment="1">
      <alignment horizontal="left" vertical="center"/>
    </xf>
    <xf numFmtId="0" fontId="24" fillId="13" borderId="0" xfId="42" applyFont="1" applyFill="1" applyAlignment="1">
      <alignment horizontal="center" vertical="center"/>
    </xf>
    <xf numFmtId="38" fontId="24" fillId="2" borderId="0" xfId="42" applyNumberFormat="1" applyFont="1" applyFill="1" applyAlignment="1">
      <alignment horizontal="center" vertical="center"/>
    </xf>
    <xf numFmtId="38" fontId="4" fillId="2" borderId="0" xfId="42" applyNumberFormat="1" applyFont="1" applyFill="1" applyAlignment="1">
      <alignment horizontal="center" vertical="center"/>
    </xf>
    <xf numFmtId="0" fontId="4" fillId="13" borderId="0" xfId="42" applyFont="1" applyFill="1" applyAlignment="1">
      <alignment horizontal="center" vertical="center"/>
    </xf>
    <xf numFmtId="0" fontId="38" fillId="2" borderId="0" xfId="80" applyFont="1" applyFill="1" applyAlignment="1">
      <alignment horizontal="center" vertical="center"/>
    </xf>
    <xf numFmtId="0" fontId="5" fillId="6" borderId="237" xfId="40" applyFont="1" applyFill="1" applyBorder="1" applyAlignment="1">
      <alignment horizontal="center" vertical="center"/>
    </xf>
    <xf numFmtId="195" fontId="8" fillId="6" borderId="39" xfId="40" applyNumberFormat="1" applyFont="1" applyFill="1" applyBorder="1" applyAlignment="1">
      <alignment horizontal="center" vertical="center"/>
    </xf>
    <xf numFmtId="1" fontId="8" fillId="6" borderId="0" xfId="40" applyNumberFormat="1" applyFont="1" applyFill="1" applyBorder="1" applyAlignment="1">
      <alignment horizontal="left" vertical="center"/>
    </xf>
    <xf numFmtId="189" fontId="8" fillId="6" borderId="0" xfId="40" applyNumberFormat="1" applyFont="1" applyFill="1" applyBorder="1" applyAlignment="1">
      <alignment horizontal="left" vertical="center"/>
    </xf>
    <xf numFmtId="43" fontId="11" fillId="2" borderId="4" xfId="40" applyNumberFormat="1" applyFont="1" applyFill="1" applyBorder="1" applyAlignment="1">
      <alignment horizontal="center" vertical="center"/>
    </xf>
    <xf numFmtId="43" fontId="11" fillId="2" borderId="4" xfId="40" applyNumberFormat="1" applyFont="1" applyFill="1" applyBorder="1" applyAlignment="1">
      <alignment horizontal="right" vertical="center"/>
    </xf>
    <xf numFmtId="196" fontId="11" fillId="2" borderId="4" xfId="40" applyNumberFormat="1" applyFont="1" applyFill="1" applyBorder="1" applyAlignment="1">
      <alignment horizontal="center" vertical="center"/>
    </xf>
    <xf numFmtId="188" fontId="8" fillId="6" borderId="45" xfId="40" applyNumberFormat="1" applyFont="1" applyFill="1" applyBorder="1" applyAlignment="1">
      <alignment horizontal="center" vertical="center"/>
    </xf>
    <xf numFmtId="0" fontId="2" fillId="2" borderId="0" xfId="81" applyFont="1" applyFill="1" applyAlignment="1">
      <alignment horizontal="left" vertical="center"/>
    </xf>
    <xf numFmtId="0" fontId="8" fillId="6" borderId="36" xfId="42" applyFont="1" applyFill="1" applyBorder="1" applyAlignment="1">
      <alignment horizontal="center" vertical="center"/>
    </xf>
    <xf numFmtId="166" fontId="8" fillId="6" borderId="39" xfId="42" applyNumberFormat="1" applyFont="1" applyFill="1" applyBorder="1" applyAlignment="1">
      <alignment horizontal="center" vertical="center" wrapText="1"/>
    </xf>
    <xf numFmtId="0" fontId="8" fillId="6" borderId="37" xfId="42" applyFont="1" applyFill="1" applyBorder="1" applyAlignment="1">
      <alignment horizontal="center" vertical="center"/>
    </xf>
    <xf numFmtId="166" fontId="8" fillId="6" borderId="39" xfId="42" applyNumberFormat="1" applyFont="1" applyFill="1" applyBorder="1" applyAlignment="1">
      <alignment horizontal="center" vertical="center"/>
    </xf>
    <xf numFmtId="188" fontId="8" fillId="6" borderId="4" xfId="42" applyNumberFormat="1" applyFont="1" applyFill="1" applyBorder="1" applyAlignment="1">
      <alignment horizontal="center" vertical="center"/>
    </xf>
    <xf numFmtId="0" fontId="8" fillId="6" borderId="4" xfId="42" applyFont="1" applyFill="1" applyBorder="1" applyAlignment="1">
      <alignment horizontal="left" vertical="center"/>
    </xf>
    <xf numFmtId="167" fontId="11" fillId="2" borderId="4" xfId="81" applyNumberFormat="1" applyFont="1" applyFill="1" applyBorder="1" applyAlignment="1">
      <alignment horizontal="center" vertical="center"/>
    </xf>
    <xf numFmtId="2" fontId="26" fillId="2" borderId="4" xfId="43" applyNumberFormat="1" applyFont="1" applyFill="1" applyBorder="1" applyAlignment="1">
      <alignment horizontal="center" vertical="center" wrapText="1"/>
    </xf>
    <xf numFmtId="0" fontId="5" fillId="6" borderId="37" xfId="42" applyFont="1" applyFill="1" applyBorder="1" applyAlignment="1">
      <alignment horizontal="center" vertical="center"/>
    </xf>
    <xf numFmtId="0" fontId="24" fillId="2" borderId="37" xfId="81" applyFont="1" applyFill="1" applyBorder="1" applyAlignment="1">
      <alignment horizontal="center" vertical="center"/>
    </xf>
    <xf numFmtId="0" fontId="51" fillId="2" borderId="0" xfId="14" applyFont="1" applyFill="1" applyAlignment="1">
      <alignment vertical="center"/>
    </xf>
    <xf numFmtId="0" fontId="8" fillId="3" borderId="65" xfId="14" applyFont="1" applyFill="1" applyBorder="1" applyAlignment="1">
      <alignment horizontal="center" vertical="center" wrapText="1"/>
    </xf>
    <xf numFmtId="0" fontId="8" fillId="3" borderId="98" xfId="14" applyFont="1" applyFill="1" applyBorder="1" applyAlignment="1">
      <alignment horizontal="center" vertical="center" wrapText="1"/>
    </xf>
    <xf numFmtId="0" fontId="8" fillId="3" borderId="2" xfId="14" applyFont="1" applyFill="1" applyBorder="1" applyAlignment="1">
      <alignment horizontal="center" vertical="center" wrapText="1"/>
    </xf>
    <xf numFmtId="0" fontId="8" fillId="3" borderId="78" xfId="14" applyFont="1" applyFill="1" applyBorder="1" applyAlignment="1">
      <alignment horizontal="center" vertical="center" wrapText="1"/>
    </xf>
    <xf numFmtId="0" fontId="8" fillId="3" borderId="42" xfId="14" applyFont="1" applyFill="1" applyBorder="1" applyAlignment="1">
      <alignment horizontal="center" vertical="center" wrapText="1"/>
    </xf>
    <xf numFmtId="0" fontId="19" fillId="2" borderId="0" xfId="14" applyFont="1" applyFill="1" applyAlignment="1">
      <alignment horizontal="center" vertical="center" wrapText="1"/>
    </xf>
    <xf numFmtId="175" fontId="8" fillId="3" borderId="57" xfId="14" applyNumberFormat="1" applyFont="1" applyFill="1" applyBorder="1" applyAlignment="1">
      <alignment horizontal="center" vertical="center"/>
    </xf>
    <xf numFmtId="3" fontId="11" fillId="2" borderId="33" xfId="14" applyNumberFormat="1" applyFont="1" applyFill="1" applyBorder="1" applyAlignment="1">
      <alignment horizontal="center" vertical="center"/>
    </xf>
    <xf numFmtId="3" fontId="11" fillId="2" borderId="4" xfId="14" applyNumberFormat="1" applyFont="1" applyFill="1" applyBorder="1" applyAlignment="1">
      <alignment horizontal="center" vertical="center"/>
    </xf>
    <xf numFmtId="197" fontId="26" fillId="2" borderId="41" xfId="14" applyNumberFormat="1" applyFont="1" applyFill="1" applyBorder="1" applyAlignment="1">
      <alignment horizontal="center" vertical="center"/>
    </xf>
    <xf numFmtId="4" fontId="19" fillId="2" borderId="0" xfId="14" applyNumberFormat="1" applyFont="1" applyFill="1" applyAlignment="1">
      <alignment vertical="center"/>
    </xf>
    <xf numFmtId="175" fontId="8" fillId="3" borderId="58" xfId="14" applyNumberFormat="1" applyFont="1" applyFill="1" applyBorder="1" applyAlignment="1">
      <alignment horizontal="center" vertical="center"/>
    </xf>
    <xf numFmtId="3" fontId="11" fillId="2" borderId="34" xfId="14" applyNumberFormat="1" applyFont="1" applyFill="1" applyBorder="1" applyAlignment="1">
      <alignment horizontal="center" vertical="center"/>
    </xf>
    <xf numFmtId="3" fontId="11" fillId="2" borderId="6" xfId="14" applyNumberFormat="1" applyFont="1" applyFill="1" applyBorder="1" applyAlignment="1">
      <alignment horizontal="center" vertical="center"/>
    </xf>
    <xf numFmtId="197" fontId="26" fillId="2" borderId="43" xfId="14" applyNumberFormat="1" applyFont="1" applyFill="1" applyBorder="1" applyAlignment="1">
      <alignment horizontal="center" vertical="center"/>
    </xf>
    <xf numFmtId="0" fontId="47" fillId="2" borderId="0" xfId="14" applyFont="1" applyFill="1" applyAlignment="1">
      <alignment vertical="center"/>
    </xf>
    <xf numFmtId="0" fontId="8" fillId="3" borderId="65" xfId="14" applyFont="1" applyFill="1" applyBorder="1" applyAlignment="1">
      <alignment vertical="center"/>
    </xf>
    <xf numFmtId="0" fontId="8" fillId="3" borderId="57" xfId="14" applyFont="1" applyFill="1" applyBorder="1" applyAlignment="1">
      <alignment horizontal="center" vertical="center"/>
    </xf>
    <xf numFmtId="3" fontId="11" fillId="2" borderId="41" xfId="14" applyNumberFormat="1" applyFont="1" applyFill="1" applyBorder="1" applyAlignment="1">
      <alignment horizontal="center" vertical="center"/>
    </xf>
    <xf numFmtId="43" fontId="19" fillId="2" borderId="0" xfId="27" applyFont="1" applyFill="1" applyAlignment="1">
      <alignment vertical="center"/>
    </xf>
    <xf numFmtId="3" fontId="19" fillId="2" borderId="0" xfId="14" applyNumberFormat="1" applyFont="1" applyFill="1" applyAlignment="1">
      <alignment vertical="center"/>
    </xf>
    <xf numFmtId="0" fontId="11" fillId="2" borderId="4" xfId="14" applyFont="1" applyFill="1" applyBorder="1" applyAlignment="1">
      <alignment horizontal="center" vertical="center"/>
    </xf>
    <xf numFmtId="3" fontId="11" fillId="2" borderId="0" xfId="14" applyNumberFormat="1" applyFont="1" applyFill="1" applyBorder="1" applyAlignment="1">
      <alignment horizontal="center" vertical="center"/>
    </xf>
    <xf numFmtId="3" fontId="11" fillId="2" borderId="25" xfId="14" applyNumberFormat="1" applyFont="1" applyFill="1" applyBorder="1" applyAlignment="1">
      <alignment horizontal="center" vertical="center"/>
    </xf>
    <xf numFmtId="0" fontId="8" fillId="3" borderId="238" xfId="14" applyFont="1" applyFill="1" applyBorder="1" applyAlignment="1">
      <alignment horizontal="center" vertical="center"/>
    </xf>
    <xf numFmtId="3" fontId="26" fillId="3" borderId="239" xfId="14" applyNumberFormat="1" applyFont="1" applyFill="1" applyBorder="1" applyAlignment="1">
      <alignment horizontal="center" vertical="center"/>
    </xf>
    <xf numFmtId="3" fontId="26" fillId="3" borderId="233" xfId="14" applyNumberFormat="1" applyFont="1" applyFill="1" applyBorder="1" applyAlignment="1">
      <alignment horizontal="center" vertical="center"/>
    </xf>
    <xf numFmtId="3" fontId="26" fillId="3" borderId="240" xfId="14" applyNumberFormat="1" applyFont="1" applyFill="1" applyBorder="1" applyAlignment="1">
      <alignment horizontal="center" vertical="center"/>
    </xf>
    <xf numFmtId="3" fontId="26" fillId="3" borderId="234" xfId="14" applyNumberFormat="1" applyFont="1" applyFill="1" applyBorder="1" applyAlignment="1">
      <alignment horizontal="center" vertical="center"/>
    </xf>
    <xf numFmtId="3" fontId="31" fillId="2" borderId="0" xfId="14" applyNumberFormat="1" applyFont="1" applyFill="1" applyAlignment="1">
      <alignment vertical="center"/>
    </xf>
    <xf numFmtId="0" fontId="4" fillId="2" borderId="0" xfId="40" applyFont="1" applyFill="1" applyBorder="1" applyAlignment="1">
      <alignment horizontal="left" vertical="center"/>
    </xf>
    <xf numFmtId="0" fontId="77" fillId="2" borderId="0" xfId="45" applyFont="1" applyFill="1" applyBorder="1" applyAlignment="1">
      <alignment horizontal="center" vertical="center"/>
    </xf>
    <xf numFmtId="0" fontId="8" fillId="3" borderId="61" xfId="40" applyFont="1" applyFill="1" applyBorder="1" applyAlignment="1">
      <alignment horizontal="center" vertical="center"/>
    </xf>
    <xf numFmtId="0" fontId="8" fillId="3" borderId="8" xfId="40" applyFont="1" applyFill="1" applyBorder="1" applyAlignment="1">
      <alignment horizontal="center" vertical="center"/>
    </xf>
    <xf numFmtId="0" fontId="77" fillId="2" borderId="0" xfId="45" applyFont="1" applyFill="1" applyAlignment="1">
      <alignment horizontal="center" vertical="center"/>
    </xf>
    <xf numFmtId="0" fontId="8" fillId="3" borderId="19" xfId="40" applyFont="1" applyFill="1" applyBorder="1" applyAlignment="1">
      <alignment horizontal="center" vertical="center"/>
    </xf>
    <xf numFmtId="0" fontId="30" fillId="3" borderId="21" xfId="40" applyFont="1" applyFill="1" applyBorder="1" applyAlignment="1">
      <alignment horizontal="center" vertical="center"/>
    </xf>
    <xf numFmtId="0" fontId="8" fillId="6" borderId="61" xfId="42" applyFont="1" applyFill="1" applyBorder="1" applyAlignment="1">
      <alignment horizontal="left" vertical="center"/>
    </xf>
    <xf numFmtId="3" fontId="26" fillId="2" borderId="61" xfId="40" applyNumberFormat="1" applyFont="1" applyFill="1" applyBorder="1" applyAlignment="1">
      <alignment horizontal="center" vertical="center"/>
    </xf>
    <xf numFmtId="4" fontId="26" fillId="2" borderId="14" xfId="40" applyNumberFormat="1" applyFont="1" applyFill="1" applyBorder="1" applyAlignment="1">
      <alignment horizontal="center" vertical="center"/>
    </xf>
    <xf numFmtId="0" fontId="30" fillId="6" borderId="18" xfId="42" applyFont="1" applyFill="1" applyBorder="1" applyAlignment="1">
      <alignment horizontal="left" vertical="center"/>
    </xf>
    <xf numFmtId="0" fontId="25" fillId="2" borderId="18" xfId="40" applyFont="1" applyFill="1" applyBorder="1" applyAlignment="1">
      <alignment horizontal="center" vertical="center"/>
    </xf>
    <xf numFmtId="4" fontId="25" fillId="2" borderId="14" xfId="40" applyNumberFormat="1" applyFont="1" applyFill="1" applyBorder="1" applyAlignment="1">
      <alignment horizontal="center" vertical="center"/>
    </xf>
    <xf numFmtId="0" fontId="137" fillId="2" borderId="0" xfId="45" applyFont="1" applyFill="1" applyAlignment="1">
      <alignment horizontal="center" vertical="center"/>
    </xf>
    <xf numFmtId="0" fontId="5" fillId="6" borderId="18" xfId="42" applyFont="1" applyFill="1" applyBorder="1" applyAlignment="1">
      <alignment horizontal="left" vertical="center"/>
    </xf>
    <xf numFmtId="3" fontId="11" fillId="2" borderId="18" xfId="40" applyNumberFormat="1" applyFont="1" applyFill="1" applyBorder="1" applyAlignment="1">
      <alignment horizontal="center" vertical="center"/>
    </xf>
    <xf numFmtId="4" fontId="11" fillId="2" borderId="14" xfId="40" applyNumberFormat="1" applyFont="1" applyFill="1" applyBorder="1" applyAlignment="1">
      <alignment horizontal="center" vertical="center"/>
    </xf>
    <xf numFmtId="0" fontId="8" fillId="6" borderId="18" xfId="42" applyFont="1" applyFill="1" applyBorder="1" applyAlignment="1">
      <alignment horizontal="left" vertical="center"/>
    </xf>
    <xf numFmtId="3" fontId="26" fillId="2" borderId="14" xfId="40" applyNumberFormat="1" applyFont="1" applyFill="1" applyBorder="1" applyAlignment="1">
      <alignment horizontal="center" vertical="center"/>
    </xf>
    <xf numFmtId="0" fontId="25" fillId="2" borderId="14" xfId="40" applyFont="1" applyFill="1" applyBorder="1" applyAlignment="1">
      <alignment horizontal="center" vertical="center"/>
    </xf>
    <xf numFmtId="3" fontId="11" fillId="2" borderId="14" xfId="40" applyNumberFormat="1" applyFont="1" applyFill="1" applyBorder="1" applyAlignment="1">
      <alignment horizontal="center" vertical="center"/>
    </xf>
    <xf numFmtId="4" fontId="77" fillId="2" borderId="0" xfId="45" applyNumberFormat="1" applyFont="1" applyFill="1" applyAlignment="1">
      <alignment horizontal="center" vertical="center"/>
    </xf>
    <xf numFmtId="3" fontId="26" fillId="2" borderId="19" xfId="40" applyNumberFormat="1" applyFont="1" applyFill="1" applyBorder="1" applyAlignment="1">
      <alignment horizontal="center" vertical="center"/>
    </xf>
    <xf numFmtId="0" fontId="8" fillId="3" borderId="50" xfId="46" applyFont="1" applyFill="1" applyBorder="1" applyAlignment="1">
      <alignment horizontal="center" vertical="center"/>
    </xf>
    <xf numFmtId="3" fontId="26" fillId="2" borderId="21" xfId="40" applyNumberFormat="1" applyFont="1" applyFill="1" applyBorder="1" applyAlignment="1">
      <alignment horizontal="center" vertical="center"/>
    </xf>
    <xf numFmtId="4" fontId="26" fillId="2" borderId="50" xfId="40" applyNumberFormat="1" applyFont="1" applyFill="1" applyBorder="1" applyAlignment="1">
      <alignment horizontal="center" vertical="center"/>
    </xf>
    <xf numFmtId="0" fontId="24" fillId="2" borderId="0" xfId="45" applyFont="1" applyFill="1" applyBorder="1" applyAlignment="1">
      <alignment horizontal="center" vertical="center"/>
    </xf>
    <xf numFmtId="0" fontId="8" fillId="6" borderId="61" xfId="40" applyFont="1" applyFill="1" applyBorder="1" applyAlignment="1">
      <alignment horizontal="center" vertical="center"/>
    </xf>
    <xf numFmtId="0" fontId="8" fillId="6" borderId="19" xfId="40" applyFont="1" applyFill="1" applyBorder="1" applyAlignment="1">
      <alignment horizontal="center" vertical="center"/>
    </xf>
    <xf numFmtId="198" fontId="8" fillId="6" borderId="61" xfId="40" quotePrefix="1" applyNumberFormat="1" applyFont="1" applyFill="1" applyBorder="1" applyAlignment="1">
      <alignment horizontal="left" vertical="center"/>
    </xf>
    <xf numFmtId="166" fontId="11" fillId="2" borderId="14" xfId="40" applyNumberFormat="1" applyFont="1" applyFill="1" applyBorder="1" applyAlignment="1">
      <alignment horizontal="center" vertical="center"/>
    </xf>
    <xf numFmtId="199" fontId="5" fillId="6" borderId="18" xfId="40" applyNumberFormat="1" applyFont="1" applyFill="1" applyBorder="1" applyAlignment="1">
      <alignment horizontal="left" vertical="center"/>
    </xf>
    <xf numFmtId="3" fontId="26" fillId="2" borderId="50" xfId="40" applyNumberFormat="1" applyFont="1" applyFill="1" applyBorder="1" applyAlignment="1">
      <alignment horizontal="center" vertical="center"/>
    </xf>
    <xf numFmtId="4" fontId="26" fillId="2" borderId="51" xfId="40" applyNumberFormat="1" applyFont="1" applyFill="1" applyBorder="1" applyAlignment="1">
      <alignment horizontal="center" vertical="center"/>
    </xf>
    <xf numFmtId="0" fontId="138" fillId="2" borderId="0" xfId="45" applyFont="1" applyFill="1" applyAlignment="1">
      <alignment horizontal="center" vertical="center"/>
    </xf>
    <xf numFmtId="17" fontId="8" fillId="6" borderId="39" xfId="40" applyNumberFormat="1" applyFont="1" applyFill="1" applyBorder="1" applyAlignment="1">
      <alignment horizontal="center" vertical="center" wrapText="1"/>
    </xf>
    <xf numFmtId="17" fontId="30" fillId="6" borderId="39" xfId="40" applyNumberFormat="1" applyFont="1" applyFill="1" applyBorder="1" applyAlignment="1">
      <alignment horizontal="center" vertical="center" wrapText="1"/>
    </xf>
    <xf numFmtId="43" fontId="77" fillId="0" borderId="0" xfId="75" applyFont="1" applyAlignment="1">
      <alignment horizontal="center" vertical="center"/>
    </xf>
    <xf numFmtId="0" fontId="8" fillId="6" borderId="36" xfId="40" applyFont="1" applyFill="1" applyBorder="1" applyAlignment="1">
      <alignment horizontal="left" vertical="center"/>
    </xf>
    <xf numFmtId="43" fontId="26" fillId="0" borderId="36" xfId="75" applyFont="1" applyBorder="1" applyAlignment="1">
      <alignment horizontal="center" vertical="center"/>
    </xf>
    <xf numFmtId="0" fontId="26" fillId="0" borderId="36" xfId="81" applyFont="1" applyBorder="1" applyAlignment="1">
      <alignment horizontal="center" vertical="center"/>
    </xf>
    <xf numFmtId="0" fontId="8" fillId="6" borderId="4" xfId="40" applyFont="1" applyFill="1" applyBorder="1" applyAlignment="1">
      <alignment horizontal="left" vertical="center"/>
    </xf>
    <xf numFmtId="43" fontId="26" fillId="0" borderId="4" xfId="75" applyFont="1" applyBorder="1" applyAlignment="1">
      <alignment horizontal="center" vertical="center"/>
    </xf>
    <xf numFmtId="0" fontId="26" fillId="0" borderId="4" xfId="81" applyFont="1" applyBorder="1" applyAlignment="1">
      <alignment horizontal="center" vertical="center"/>
    </xf>
    <xf numFmtId="0" fontId="8" fillId="6" borderId="39" xfId="40" applyFont="1" applyFill="1" applyBorder="1" applyAlignment="1">
      <alignment horizontal="left" vertical="center"/>
    </xf>
    <xf numFmtId="43" fontId="26" fillId="2" borderId="39" xfId="75" applyNumberFormat="1" applyFont="1" applyFill="1" applyBorder="1" applyAlignment="1">
      <alignment horizontal="center" vertical="center"/>
    </xf>
    <xf numFmtId="0" fontId="2" fillId="0" borderId="0" xfId="81" applyFont="1" applyAlignment="1">
      <alignment horizontal="left" vertical="center"/>
    </xf>
    <xf numFmtId="167" fontId="2" fillId="0" borderId="0" xfId="81" applyNumberFormat="1" applyFont="1" applyAlignment="1">
      <alignment horizontal="left" vertical="center"/>
    </xf>
    <xf numFmtId="0" fontId="32" fillId="2" borderId="0" xfId="47" applyFont="1" applyFill="1" applyBorder="1" applyAlignment="1">
      <alignment vertical="center"/>
    </xf>
    <xf numFmtId="0" fontId="4" fillId="2" borderId="0" xfId="47" applyFont="1" applyFill="1" applyBorder="1" applyAlignment="1">
      <alignment vertical="center"/>
    </xf>
    <xf numFmtId="0" fontId="24" fillId="2" borderId="0" xfId="47" applyFont="1" applyFill="1" applyBorder="1" applyAlignment="1">
      <alignment vertical="center"/>
    </xf>
    <xf numFmtId="0" fontId="24" fillId="22" borderId="0" xfId="47" applyFont="1" applyFill="1" applyBorder="1" applyAlignment="1">
      <alignment horizontal="right" vertical="center"/>
    </xf>
    <xf numFmtId="0" fontId="43" fillId="22" borderId="0" xfId="47" applyFont="1" applyFill="1" applyBorder="1" applyAlignment="1">
      <alignment horizontal="centerContinuous" vertical="center"/>
    </xf>
    <xf numFmtId="0" fontId="43" fillId="2" borderId="0" xfId="47" applyFont="1" applyFill="1" applyBorder="1" applyAlignment="1">
      <alignment vertical="center"/>
    </xf>
    <xf numFmtId="166" fontId="43" fillId="2" borderId="0" xfId="47" applyNumberFormat="1" applyFont="1" applyFill="1" applyBorder="1" applyAlignment="1">
      <alignment horizontal="center" vertical="center"/>
    </xf>
    <xf numFmtId="0" fontId="8" fillId="23" borderId="148" xfId="47" applyFont="1" applyFill="1" applyBorder="1" applyAlignment="1">
      <alignment horizontal="center" vertical="center"/>
    </xf>
    <xf numFmtId="0" fontId="43" fillId="2" borderId="0" xfId="47" applyFont="1" applyFill="1" applyAlignment="1">
      <alignment vertical="center"/>
    </xf>
    <xf numFmtId="0" fontId="8" fillId="23" borderId="57" xfId="47" applyFont="1" applyFill="1" applyBorder="1" applyAlignment="1">
      <alignment horizontal="center" vertical="center"/>
    </xf>
    <xf numFmtId="0" fontId="43" fillId="2" borderId="0" xfId="47" applyFont="1" applyFill="1" applyBorder="1" applyAlignment="1">
      <alignment horizontal="right" vertical="center"/>
    </xf>
    <xf numFmtId="0" fontId="8" fillId="23" borderId="241" xfId="47" applyFont="1" applyFill="1" applyBorder="1" applyAlignment="1">
      <alignment horizontal="center" vertical="center"/>
    </xf>
    <xf numFmtId="0" fontId="5" fillId="23" borderId="154" xfId="47" applyFont="1" applyFill="1" applyBorder="1" applyAlignment="1">
      <alignment horizontal="centerContinuous" vertical="center"/>
    </xf>
    <xf numFmtId="0" fontId="30" fillId="23" borderId="79" xfId="47" applyFont="1" applyFill="1" applyBorder="1" applyAlignment="1">
      <alignment horizontal="center" vertical="center"/>
    </xf>
    <xf numFmtId="0" fontId="30" fillId="23" borderId="242" xfId="47" applyFont="1" applyFill="1" applyBorder="1" applyAlignment="1">
      <alignment horizontal="right" vertical="center"/>
    </xf>
    <xf numFmtId="17" fontId="8" fillId="6" borderId="57" xfId="47" quotePrefix="1" applyNumberFormat="1" applyFont="1" applyFill="1" applyBorder="1" applyAlignment="1">
      <alignment horizontal="right" vertical="center"/>
    </xf>
    <xf numFmtId="0" fontId="102" fillId="2" borderId="243" xfId="47" applyFont="1" applyFill="1" applyBorder="1" applyAlignment="1">
      <alignment horizontal="center" vertical="center"/>
    </xf>
    <xf numFmtId="166" fontId="102" fillId="2" borderId="85" xfId="47" applyNumberFormat="1" applyFont="1" applyFill="1" applyBorder="1" applyAlignment="1">
      <alignment horizontal="center" vertical="center"/>
    </xf>
    <xf numFmtId="3" fontId="11" fillId="2" borderId="41" xfId="47" applyNumberFormat="1" applyFont="1" applyFill="1" applyBorder="1" applyAlignment="1">
      <alignment horizontal="center" vertical="center"/>
    </xf>
    <xf numFmtId="200" fontId="5" fillId="6" borderId="57" xfId="47" applyNumberFormat="1" applyFont="1" applyFill="1" applyBorder="1" applyAlignment="1">
      <alignment horizontal="right"/>
    </xf>
    <xf numFmtId="4" fontId="11" fillId="2" borderId="48" xfId="47" applyNumberFormat="1" applyFont="1" applyFill="1" applyBorder="1" applyAlignment="1">
      <alignment horizontal="center" vertical="center"/>
    </xf>
    <xf numFmtId="4" fontId="11" fillId="2" borderId="4" xfId="47" applyNumberFormat="1" applyFont="1" applyFill="1" applyBorder="1" applyAlignment="1">
      <alignment horizontal="center" vertical="center"/>
    </xf>
    <xf numFmtId="4" fontId="11" fillId="2" borderId="41" xfId="47" applyNumberFormat="1" applyFont="1" applyFill="1" applyBorder="1" applyAlignment="1">
      <alignment horizontal="center" vertical="center"/>
    </xf>
    <xf numFmtId="4" fontId="43" fillId="2" borderId="0" xfId="47" applyNumberFormat="1" applyFont="1" applyFill="1" applyBorder="1" applyAlignment="1">
      <alignment horizontal="center" vertical="center"/>
    </xf>
    <xf numFmtId="2" fontId="43" fillId="2" borderId="0" xfId="47" applyNumberFormat="1" applyFont="1" applyFill="1" applyBorder="1" applyAlignment="1">
      <alignment vertical="center"/>
    </xf>
    <xf numFmtId="0" fontId="139" fillId="2" borderId="0" xfId="47" applyFont="1" applyFill="1" applyBorder="1" applyAlignment="1">
      <alignment horizontal="left" vertical="center"/>
    </xf>
    <xf numFmtId="4" fontId="43" fillId="2" borderId="0" xfId="47" applyNumberFormat="1" applyFont="1" applyFill="1" applyBorder="1" applyAlignment="1">
      <alignment vertical="center"/>
    </xf>
    <xf numFmtId="0" fontId="139" fillId="2" borderId="0" xfId="47" applyFont="1" applyFill="1" applyBorder="1" applyAlignment="1">
      <alignment vertical="center"/>
    </xf>
    <xf numFmtId="4" fontId="139" fillId="2" borderId="0" xfId="47" applyNumberFormat="1" applyFont="1" applyFill="1" applyBorder="1" applyAlignment="1">
      <alignment horizontal="left" vertical="center"/>
    </xf>
    <xf numFmtId="200" fontId="5" fillId="6" borderId="244" xfId="47" applyNumberFormat="1" applyFont="1" applyFill="1" applyBorder="1" applyAlignment="1">
      <alignment horizontal="right"/>
    </xf>
    <xf numFmtId="4" fontId="11" fillId="2" borderId="245" xfId="47" applyNumberFormat="1" applyFont="1" applyFill="1" applyBorder="1" applyAlignment="1">
      <alignment horizontal="center" vertical="center"/>
    </xf>
    <xf numFmtId="4" fontId="11" fillId="2" borderId="246" xfId="47" applyNumberFormat="1" applyFont="1" applyFill="1" applyBorder="1" applyAlignment="1">
      <alignment horizontal="center" vertical="center"/>
    </xf>
    <xf numFmtId="4" fontId="11" fillId="2" borderId="247" xfId="47" applyNumberFormat="1" applyFont="1" applyFill="1" applyBorder="1" applyAlignment="1">
      <alignment horizontal="center" vertical="center"/>
    </xf>
    <xf numFmtId="17" fontId="8" fillId="6" borderId="57" xfId="47" applyNumberFormat="1" applyFont="1" applyFill="1" applyBorder="1" applyAlignment="1">
      <alignment horizontal="right" vertical="center"/>
    </xf>
    <xf numFmtId="3" fontId="11" fillId="2" borderId="4" xfId="47" applyNumberFormat="1" applyFont="1" applyFill="1" applyBorder="1" applyAlignment="1">
      <alignment horizontal="center" vertical="center"/>
    </xf>
    <xf numFmtId="0" fontId="139" fillId="2" borderId="0" xfId="47" applyFont="1" applyFill="1" applyAlignment="1">
      <alignment vertical="center"/>
    </xf>
    <xf numFmtId="17" fontId="8" fillId="6" borderId="58" xfId="47" applyNumberFormat="1" applyFont="1" applyFill="1" applyBorder="1" applyAlignment="1">
      <alignment horizontal="right" vertical="center"/>
    </xf>
    <xf numFmtId="3" fontId="11" fillId="2" borderId="6" xfId="47" applyNumberFormat="1" applyFont="1" applyFill="1" applyBorder="1" applyAlignment="1">
      <alignment horizontal="center" vertical="center"/>
    </xf>
    <xf numFmtId="3" fontId="11" fillId="2" borderId="43" xfId="47" applyNumberFormat="1" applyFont="1" applyFill="1" applyBorder="1" applyAlignment="1">
      <alignment horizontal="center" vertical="center"/>
    </xf>
    <xf numFmtId="4" fontId="139" fillId="2" borderId="0" xfId="47" applyNumberFormat="1" applyFont="1" applyFill="1" applyBorder="1" applyAlignment="1">
      <alignment vertical="center"/>
    </xf>
    <xf numFmtId="0" fontId="17" fillId="2" borderId="0" xfId="47" applyFont="1" applyFill="1" applyAlignment="1">
      <alignment horizontal="left" vertical="center"/>
    </xf>
    <xf numFmtId="3" fontId="19" fillId="2" borderId="0" xfId="47" applyNumberFormat="1" applyFont="1" applyFill="1" applyBorder="1" applyAlignment="1">
      <alignment horizontal="center" vertical="center"/>
    </xf>
    <xf numFmtId="0" fontId="42" fillId="2" borderId="0" xfId="47" applyFont="1" applyFill="1" applyAlignment="1">
      <alignment vertical="center"/>
    </xf>
    <xf numFmtId="4" fontId="42" fillId="2" borderId="0" xfId="47" applyNumberFormat="1" applyFont="1" applyFill="1" applyBorder="1" applyAlignment="1">
      <alignment vertical="center"/>
    </xf>
    <xf numFmtId="0" fontId="42" fillId="2" borderId="0" xfId="47" applyFont="1" applyFill="1" applyBorder="1" applyAlignment="1">
      <alignment vertical="center"/>
    </xf>
    <xf numFmtId="0" fontId="17" fillId="2" borderId="0" xfId="47" applyFont="1" applyFill="1" applyAlignment="1">
      <alignment vertical="center"/>
    </xf>
    <xf numFmtId="0" fontId="17" fillId="2" borderId="0" xfId="47" applyFont="1" applyFill="1" applyBorder="1" applyAlignment="1">
      <alignment horizontal="left" vertical="center"/>
    </xf>
    <xf numFmtId="3" fontId="42" fillId="2" borderId="0" xfId="47" applyNumberFormat="1" applyFont="1" applyFill="1" applyBorder="1" applyAlignment="1">
      <alignment vertical="center"/>
    </xf>
    <xf numFmtId="3" fontId="139" fillId="2" borderId="0" xfId="47" applyNumberFormat="1" applyFont="1" applyFill="1" applyAlignment="1">
      <alignment vertical="center"/>
    </xf>
    <xf numFmtId="0" fontId="4" fillId="2" borderId="0" xfId="14" applyFont="1" applyFill="1" applyAlignment="1">
      <alignment horizontal="center" vertical="center"/>
    </xf>
    <xf numFmtId="0" fontId="24" fillId="2" borderId="0" xfId="14" applyFont="1" applyFill="1" applyAlignment="1">
      <alignment horizontal="center" vertical="center"/>
    </xf>
    <xf numFmtId="0" fontId="8" fillId="6" borderId="122" xfId="14" applyFont="1" applyFill="1" applyBorder="1" applyAlignment="1">
      <alignment horizontal="center" vertical="center"/>
    </xf>
    <xf numFmtId="0" fontId="8" fillId="6" borderId="123" xfId="14" applyFont="1" applyFill="1" applyBorder="1" applyAlignment="1">
      <alignment horizontal="center" vertical="center"/>
    </xf>
    <xf numFmtId="0" fontId="4" fillId="24" borderId="249" xfId="14" applyFont="1" applyFill="1" applyBorder="1" applyAlignment="1">
      <alignment horizontal="center" vertical="center"/>
    </xf>
    <xf numFmtId="0" fontId="4" fillId="24" borderId="139" xfId="14" applyFont="1" applyFill="1" applyBorder="1" applyAlignment="1">
      <alignment horizontal="center" vertical="center"/>
    </xf>
    <xf numFmtId="0" fontId="8" fillId="6" borderId="250" xfId="14" applyFont="1" applyFill="1" applyBorder="1" applyAlignment="1">
      <alignment horizontal="center" vertical="center"/>
    </xf>
    <xf numFmtId="0" fontId="8" fillId="6" borderId="186" xfId="14" applyFont="1" applyFill="1" applyBorder="1" applyAlignment="1">
      <alignment horizontal="center" vertical="center"/>
    </xf>
    <xf numFmtId="0" fontId="8" fillId="6" borderId="251" xfId="14" applyFont="1" applyFill="1" applyBorder="1" applyAlignment="1">
      <alignment horizontal="center" vertical="center"/>
    </xf>
    <xf numFmtId="0" fontId="4" fillId="24" borderId="252" xfId="14" applyFont="1" applyFill="1" applyBorder="1" applyAlignment="1">
      <alignment horizontal="center" vertical="center"/>
    </xf>
    <xf numFmtId="0" fontId="140" fillId="25" borderId="256" xfId="14" applyFont="1" applyFill="1" applyBorder="1" applyAlignment="1">
      <alignment horizontal="center" vertical="center"/>
    </xf>
    <xf numFmtId="201" fontId="8" fillId="6" borderId="57" xfId="14" quotePrefix="1" applyNumberFormat="1" applyFont="1" applyFill="1" applyBorder="1" applyAlignment="1">
      <alignment horizontal="center" vertical="center"/>
    </xf>
    <xf numFmtId="3" fontId="24" fillId="2" borderId="149" xfId="14" applyNumberFormat="1" applyFont="1" applyFill="1" applyBorder="1" applyAlignment="1">
      <alignment horizontal="center" vertical="center"/>
    </xf>
    <xf numFmtId="3" fontId="24" fillId="2" borderId="122" xfId="14" applyNumberFormat="1" applyFont="1" applyFill="1" applyBorder="1" applyAlignment="1">
      <alignment horizontal="center" vertical="center"/>
    </xf>
    <xf numFmtId="2" fontId="24" fillId="2" borderId="122" xfId="14" applyNumberFormat="1" applyFont="1" applyFill="1" applyBorder="1" applyAlignment="1">
      <alignment horizontal="center" vertical="center"/>
    </xf>
    <xf numFmtId="2" fontId="24" fillId="2" borderId="123" xfId="14" applyNumberFormat="1" applyFont="1" applyFill="1" applyBorder="1" applyAlignment="1">
      <alignment horizontal="center" vertical="center"/>
    </xf>
    <xf numFmtId="2" fontId="24" fillId="2" borderId="249" xfId="14" applyNumberFormat="1" applyFont="1" applyFill="1" applyBorder="1" applyAlignment="1">
      <alignment horizontal="center" vertical="center"/>
    </xf>
    <xf numFmtId="202" fontId="5" fillId="6" borderId="57" xfId="14" quotePrefix="1" applyNumberFormat="1" applyFont="1" applyFill="1" applyBorder="1" applyAlignment="1">
      <alignment horizontal="center" vertical="center"/>
    </xf>
    <xf numFmtId="3" fontId="24" fillId="2" borderId="48" xfId="14" applyNumberFormat="1" applyFont="1" applyFill="1" applyBorder="1" applyAlignment="1">
      <alignment horizontal="center" vertical="center"/>
    </xf>
    <xf numFmtId="3" fontId="24" fillId="2" borderId="4" xfId="14" applyNumberFormat="1" applyFont="1" applyFill="1" applyBorder="1" applyAlignment="1">
      <alignment horizontal="center" vertical="center"/>
    </xf>
    <xf numFmtId="4" fontId="24" fillId="2" borderId="4" xfId="14" applyNumberFormat="1" applyFont="1" applyFill="1" applyBorder="1" applyAlignment="1">
      <alignment horizontal="center" vertical="center"/>
    </xf>
    <xf numFmtId="4" fontId="24" fillId="2" borderId="41" xfId="14" applyNumberFormat="1" applyFont="1" applyFill="1" applyBorder="1" applyAlignment="1">
      <alignment horizontal="center" vertical="center"/>
    </xf>
    <xf numFmtId="2" fontId="24" fillId="2" borderId="139" xfId="14" applyNumberFormat="1" applyFont="1" applyFill="1" applyBorder="1" applyAlignment="1">
      <alignment horizontal="center" vertical="center"/>
    </xf>
    <xf numFmtId="2" fontId="24" fillId="2" borderId="0" xfId="14" applyNumberFormat="1" applyFont="1" applyFill="1" applyAlignment="1">
      <alignment horizontal="center" vertical="center"/>
    </xf>
    <xf numFmtId="4" fontId="24" fillId="2" borderId="0" xfId="14" applyNumberFormat="1" applyFont="1" applyFill="1" applyAlignment="1">
      <alignment horizontal="center" vertical="center"/>
    </xf>
    <xf numFmtId="2" fontId="4" fillId="2" borderId="0" xfId="14" applyNumberFormat="1" applyFont="1" applyFill="1" applyAlignment="1">
      <alignment horizontal="center" vertical="center"/>
    </xf>
    <xf numFmtId="202" fontId="5" fillId="6" borderId="57" xfId="14" applyNumberFormat="1" applyFont="1" applyFill="1" applyBorder="1" applyAlignment="1">
      <alignment horizontal="center" vertical="center"/>
    </xf>
    <xf numFmtId="2" fontId="24" fillId="2" borderId="4" xfId="14" applyNumberFormat="1" applyFont="1" applyFill="1" applyBorder="1" applyAlignment="1">
      <alignment horizontal="center" vertical="center"/>
    </xf>
    <xf numFmtId="2" fontId="24" fillId="2" borderId="41" xfId="14" applyNumberFormat="1" applyFont="1" applyFill="1" applyBorder="1" applyAlignment="1">
      <alignment horizontal="center" vertical="center"/>
    </xf>
    <xf numFmtId="202" fontId="5" fillId="6" borderId="257" xfId="14" applyNumberFormat="1" applyFont="1" applyFill="1" applyBorder="1" applyAlignment="1">
      <alignment horizontal="center" vertical="center"/>
    </xf>
    <xf numFmtId="3" fontId="24" fillId="2" borderId="258" xfId="14" applyNumberFormat="1" applyFont="1" applyFill="1" applyBorder="1" applyAlignment="1">
      <alignment horizontal="center" vertical="center"/>
    </xf>
    <xf numFmtId="3" fontId="24" fillId="2" borderId="55" xfId="14" applyNumberFormat="1" applyFont="1" applyFill="1" applyBorder="1" applyAlignment="1">
      <alignment horizontal="center" vertical="center"/>
    </xf>
    <xf numFmtId="4" fontId="24" fillId="2" borderId="55" xfId="14" applyNumberFormat="1" applyFont="1" applyFill="1" applyBorder="1" applyAlignment="1">
      <alignment horizontal="center" vertical="center"/>
    </xf>
    <xf numFmtId="4" fontId="24" fillId="2" borderId="204" xfId="14" applyNumberFormat="1" applyFont="1" applyFill="1" applyBorder="1" applyAlignment="1">
      <alignment horizontal="center" vertical="center"/>
    </xf>
    <xf numFmtId="17" fontId="8" fillId="6" borderId="57" xfId="14" applyNumberFormat="1" applyFont="1" applyFill="1" applyBorder="1" applyAlignment="1">
      <alignment horizontal="center" vertical="center"/>
    </xf>
    <xf numFmtId="172" fontId="24" fillId="2" borderId="0" xfId="14" applyNumberFormat="1" applyFont="1" applyFill="1" applyAlignment="1">
      <alignment horizontal="center" vertical="center"/>
    </xf>
    <xf numFmtId="17" fontId="8" fillId="6" borderId="57" xfId="14" quotePrefix="1" applyNumberFormat="1" applyFont="1" applyFill="1" applyBorder="1" applyAlignment="1">
      <alignment horizontal="center" vertical="center"/>
    </xf>
    <xf numFmtId="17" fontId="8" fillId="6" borderId="259" xfId="14" quotePrefix="1" applyNumberFormat="1" applyFont="1" applyFill="1" applyBorder="1" applyAlignment="1">
      <alignment horizontal="center" vertical="center"/>
    </xf>
    <xf numFmtId="2" fontId="24" fillId="2" borderId="260" xfId="14" applyNumberFormat="1" applyFont="1" applyFill="1" applyBorder="1" applyAlignment="1">
      <alignment horizontal="center" vertical="center"/>
    </xf>
    <xf numFmtId="17" fontId="4" fillId="2" borderId="0" xfId="14" applyNumberFormat="1" applyFont="1" applyFill="1" applyAlignment="1">
      <alignment horizontal="center" vertical="center"/>
    </xf>
    <xf numFmtId="0" fontId="24" fillId="2" borderId="48" xfId="14" applyFont="1" applyFill="1" applyBorder="1" applyAlignment="1">
      <alignment horizontal="center" vertical="center"/>
    </xf>
    <xf numFmtId="0" fontId="24" fillId="2" borderId="4" xfId="14" applyFont="1" applyFill="1" applyBorder="1" applyAlignment="1">
      <alignment horizontal="center" vertical="center"/>
    </xf>
    <xf numFmtId="0" fontId="24" fillId="2" borderId="41" xfId="14" applyFont="1" applyFill="1" applyBorder="1" applyAlignment="1">
      <alignment horizontal="center" vertical="center"/>
    </xf>
    <xf numFmtId="0" fontId="24" fillId="2" borderId="139" xfId="14" applyFont="1" applyFill="1" applyBorder="1" applyAlignment="1">
      <alignment horizontal="center" vertical="center"/>
    </xf>
    <xf numFmtId="15" fontId="24" fillId="2" borderId="0" xfId="14" applyNumberFormat="1" applyFont="1" applyFill="1" applyAlignment="1">
      <alignment horizontal="center" vertical="center"/>
    </xf>
    <xf numFmtId="17" fontId="8" fillId="6" borderId="244" xfId="14" quotePrefix="1" applyNumberFormat="1" applyFont="1" applyFill="1" applyBorder="1" applyAlignment="1">
      <alignment horizontal="center" vertical="center"/>
    </xf>
    <xf numFmtId="3" fontId="24" fillId="2" borderId="245" xfId="14" applyNumberFormat="1" applyFont="1" applyFill="1" applyBorder="1" applyAlignment="1">
      <alignment horizontal="center" vertical="center"/>
    </xf>
    <xf numFmtId="3" fontId="24" fillId="2" borderId="246" xfId="14" applyNumberFormat="1" applyFont="1" applyFill="1" applyBorder="1" applyAlignment="1">
      <alignment horizontal="center" vertical="center"/>
    </xf>
    <xf numFmtId="2" fontId="24" fillId="2" borderId="246" xfId="14" applyNumberFormat="1" applyFont="1" applyFill="1" applyBorder="1" applyAlignment="1">
      <alignment horizontal="center" vertical="center"/>
    </xf>
    <xf numFmtId="2" fontId="24" fillId="2" borderId="247" xfId="14" applyNumberFormat="1" applyFont="1" applyFill="1" applyBorder="1" applyAlignment="1">
      <alignment horizontal="center" vertical="center"/>
    </xf>
    <xf numFmtId="17" fontId="8" fillId="6" borderId="261" xfId="14" quotePrefix="1" applyNumberFormat="1" applyFont="1" applyFill="1" applyBorder="1" applyAlignment="1">
      <alignment horizontal="center" vertical="center"/>
    </xf>
    <xf numFmtId="3" fontId="24" fillId="2" borderId="262" xfId="14" applyNumberFormat="1" applyFont="1" applyFill="1" applyBorder="1" applyAlignment="1">
      <alignment horizontal="center" vertical="center"/>
    </xf>
    <xf numFmtId="3" fontId="24" fillId="2" borderId="260" xfId="14" applyNumberFormat="1" applyFont="1" applyFill="1" applyBorder="1" applyAlignment="1">
      <alignment horizontal="center" vertical="center"/>
    </xf>
    <xf numFmtId="2" fontId="24" fillId="2" borderId="263" xfId="14" applyNumberFormat="1" applyFont="1" applyFill="1" applyBorder="1" applyAlignment="1">
      <alignment horizontal="center" vertical="center"/>
    </xf>
    <xf numFmtId="167" fontId="24" fillId="2" borderId="4" xfId="14" applyNumberFormat="1" applyFont="1" applyFill="1" applyBorder="1" applyAlignment="1">
      <alignment horizontal="center" vertical="center"/>
    </xf>
    <xf numFmtId="3" fontId="11" fillId="2" borderId="48" xfId="14" applyNumberFormat="1" applyFont="1" applyFill="1" applyBorder="1" applyAlignment="1">
      <alignment horizontal="center" vertical="center"/>
    </xf>
    <xf numFmtId="167" fontId="11" fillId="2" borderId="4" xfId="14" applyNumberFormat="1" applyFont="1" applyFill="1" applyBorder="1" applyAlignment="1">
      <alignment horizontal="center" vertical="center"/>
    </xf>
    <xf numFmtId="2" fontId="11" fillId="2" borderId="41" xfId="14" applyNumberFormat="1" applyFont="1" applyFill="1" applyBorder="1" applyAlignment="1">
      <alignment horizontal="center" vertical="center"/>
    </xf>
    <xf numFmtId="2" fontId="11" fillId="2" borderId="4" xfId="14" applyNumberFormat="1" applyFont="1" applyFill="1" applyBorder="1" applyAlignment="1">
      <alignment horizontal="center" vertical="center"/>
    </xf>
    <xf numFmtId="2" fontId="24" fillId="2" borderId="264" xfId="14" applyNumberFormat="1" applyFont="1" applyFill="1" applyBorder="1" applyAlignment="1">
      <alignment horizontal="center" vertical="center"/>
    </xf>
    <xf numFmtId="0" fontId="24" fillId="2" borderId="0" xfId="14" applyFont="1" applyFill="1" applyBorder="1" applyAlignment="1">
      <alignment horizontal="center" vertical="center"/>
    </xf>
    <xf numFmtId="17" fontId="8" fillId="6" borderId="58" xfId="14" applyNumberFormat="1" applyFont="1" applyFill="1" applyBorder="1" applyAlignment="1">
      <alignment horizontal="center" vertical="center"/>
    </xf>
    <xf numFmtId="3" fontId="24" fillId="2" borderId="59" xfId="14" applyNumberFormat="1" applyFont="1" applyFill="1" applyBorder="1" applyAlignment="1">
      <alignment horizontal="center" vertical="center"/>
    </xf>
    <xf numFmtId="3" fontId="24" fillId="2" borderId="6" xfId="14" applyNumberFormat="1" applyFont="1" applyFill="1" applyBorder="1" applyAlignment="1">
      <alignment horizontal="center" vertical="center"/>
    </xf>
    <xf numFmtId="0" fontId="24" fillId="2" borderId="6" xfId="14" applyFont="1" applyFill="1" applyBorder="1" applyAlignment="1">
      <alignment horizontal="center" vertical="center"/>
    </xf>
    <xf numFmtId="2" fontId="24" fillId="2" borderId="43" xfId="14" applyNumberFormat="1" applyFont="1" applyFill="1" applyBorder="1" applyAlignment="1">
      <alignment horizontal="center" vertical="center"/>
    </xf>
    <xf numFmtId="3" fontId="17" fillId="2" borderId="0" xfId="14" applyNumberFormat="1" applyFont="1" applyFill="1" applyAlignment="1">
      <alignment horizontal="left" vertical="center"/>
    </xf>
    <xf numFmtId="2" fontId="17" fillId="2" borderId="0" xfId="14" applyNumberFormat="1" applyFont="1" applyFill="1" applyAlignment="1">
      <alignment horizontal="left" vertical="center"/>
    </xf>
    <xf numFmtId="2" fontId="38" fillId="2" borderId="0" xfId="14" applyNumberFormat="1" applyFont="1" applyFill="1" applyAlignment="1">
      <alignment horizontal="center" vertical="center"/>
    </xf>
    <xf numFmtId="0" fontId="38" fillId="2" borderId="0" xfId="14" applyFont="1" applyFill="1" applyAlignment="1">
      <alignment horizontal="center" vertical="center"/>
    </xf>
    <xf numFmtId="0" fontId="4" fillId="2" borderId="0" xfId="81" applyFont="1" applyFill="1" applyAlignment="1">
      <alignment horizontal="left" vertical="center"/>
    </xf>
    <xf numFmtId="0" fontId="4" fillId="2" borderId="0" xfId="81" applyFont="1" applyFill="1" applyAlignment="1">
      <alignment horizontal="center" vertical="center"/>
    </xf>
    <xf numFmtId="17" fontId="8" fillId="6" borderId="64" xfId="14" quotePrefix="1" applyNumberFormat="1" applyFont="1" applyFill="1" applyBorder="1" applyAlignment="1">
      <alignment horizontal="center" vertical="center"/>
    </xf>
    <xf numFmtId="0" fontId="8" fillId="6" borderId="28" xfId="14" applyFont="1" applyFill="1" applyBorder="1" applyAlignment="1">
      <alignment horizontal="center" vertical="center"/>
    </xf>
    <xf numFmtId="0" fontId="8" fillId="6" borderId="64" xfId="14" applyFont="1" applyFill="1" applyBorder="1" applyAlignment="1">
      <alignment horizontal="center" vertical="center" wrapText="1"/>
    </xf>
    <xf numFmtId="0" fontId="8" fillId="6" borderId="64" xfId="14" applyFont="1" applyFill="1" applyBorder="1" applyAlignment="1">
      <alignment horizontal="center" vertical="center"/>
    </xf>
    <xf numFmtId="17" fontId="8" fillId="6" borderId="18" xfId="14" quotePrefix="1" applyNumberFormat="1" applyFont="1" applyFill="1" applyBorder="1" applyAlignment="1">
      <alignment horizontal="center" vertical="center"/>
    </xf>
    <xf numFmtId="2" fontId="4" fillId="2" borderId="14" xfId="14" applyNumberFormat="1" applyFont="1" applyFill="1" applyBorder="1" applyAlignment="1">
      <alignment horizontal="center" vertical="center"/>
    </xf>
    <xf numFmtId="166" fontId="24" fillId="2" borderId="18" xfId="14" applyNumberFormat="1" applyFont="1" applyFill="1" applyBorder="1" applyAlignment="1">
      <alignment horizontal="center" vertical="center"/>
    </xf>
    <xf numFmtId="3" fontId="24" fillId="2" borderId="18" xfId="14" applyNumberFormat="1" applyFont="1" applyFill="1" applyBorder="1" applyAlignment="1">
      <alignment horizontal="center" vertical="center"/>
    </xf>
    <xf numFmtId="203" fontId="24" fillId="2" borderId="18" xfId="14" applyNumberFormat="1" applyFont="1" applyFill="1" applyBorder="1" applyAlignment="1">
      <alignment horizontal="center" vertical="center"/>
    </xf>
    <xf numFmtId="0" fontId="38" fillId="2" borderId="0" xfId="14" applyFont="1" applyFill="1" applyAlignment="1">
      <alignment horizontal="left" vertical="center"/>
    </xf>
    <xf numFmtId="14" fontId="77" fillId="2" borderId="0" xfId="81" applyNumberFormat="1" applyFont="1" applyFill="1" applyAlignment="1">
      <alignment horizontal="center" vertical="center"/>
    </xf>
    <xf numFmtId="2" fontId="26" fillId="2" borderId="14" xfId="14" applyNumberFormat="1" applyFont="1" applyFill="1" applyBorder="1" applyAlignment="1">
      <alignment horizontal="center" vertical="center"/>
    </xf>
    <xf numFmtId="166" fontId="11" fillId="2" borderId="18" xfId="14" applyNumberFormat="1" applyFont="1" applyFill="1" applyBorder="1" applyAlignment="1">
      <alignment horizontal="center" vertical="center"/>
    </xf>
    <xf numFmtId="3" fontId="11" fillId="2" borderId="18" xfId="14" applyNumberFormat="1" applyFont="1" applyFill="1" applyBorder="1" applyAlignment="1">
      <alignment horizontal="center" vertical="center"/>
    </xf>
    <xf numFmtId="203" fontId="11" fillId="2" borderId="18" xfId="14" applyNumberFormat="1" applyFont="1" applyFill="1" applyBorder="1" applyAlignment="1">
      <alignment horizontal="center" vertical="center"/>
    </xf>
    <xf numFmtId="17" fontId="8" fillId="6" borderId="19" xfId="14" quotePrefix="1" applyNumberFormat="1" applyFont="1" applyFill="1" applyBorder="1" applyAlignment="1">
      <alignment horizontal="center" vertical="center"/>
    </xf>
    <xf numFmtId="2" fontId="4" fillId="2" borderId="21" xfId="14" applyNumberFormat="1" applyFont="1" applyFill="1" applyBorder="1" applyAlignment="1">
      <alignment horizontal="center" vertical="center"/>
    </xf>
    <xf numFmtId="166" fontId="24" fillId="2" borderId="19" xfId="14" applyNumberFormat="1" applyFont="1" applyFill="1" applyBorder="1" applyAlignment="1">
      <alignment horizontal="center" vertical="center"/>
    </xf>
    <xf numFmtId="3" fontId="24" fillId="2" borderId="19" xfId="14" applyNumberFormat="1" applyFont="1" applyFill="1" applyBorder="1" applyAlignment="1">
      <alignment horizontal="center" vertical="center"/>
    </xf>
    <xf numFmtId="203" fontId="24" fillId="2" borderId="19" xfId="14" applyNumberFormat="1" applyFont="1" applyFill="1" applyBorder="1" applyAlignment="1">
      <alignment horizontal="center" vertical="center"/>
    </xf>
    <xf numFmtId="0" fontId="38" fillId="2" borderId="0" xfId="81" applyFont="1" applyFill="1" applyAlignment="1">
      <alignment horizontal="center" vertical="center"/>
    </xf>
    <xf numFmtId="0" fontId="19" fillId="2" borderId="0" xfId="14" applyFont="1" applyFill="1" applyAlignment="1">
      <alignment horizontal="center" vertical="center"/>
    </xf>
    <xf numFmtId="0" fontId="20" fillId="2" borderId="0" xfId="14" applyFont="1" applyFill="1" applyAlignment="1">
      <alignment vertical="center"/>
    </xf>
    <xf numFmtId="0" fontId="8" fillId="3" borderId="22" xfId="14" applyFont="1" applyFill="1" applyBorder="1" applyAlignment="1">
      <alignment horizontal="center" vertical="center"/>
    </xf>
    <xf numFmtId="0" fontId="8" fillId="3" borderId="77" xfId="14" applyFont="1" applyFill="1" applyBorder="1" applyAlignment="1">
      <alignment horizontal="center" vertical="center"/>
    </xf>
    <xf numFmtId="0" fontId="8" fillId="3" borderId="122" xfId="14" applyFont="1" applyFill="1" applyBorder="1" applyAlignment="1">
      <alignment horizontal="center" vertical="center"/>
    </xf>
    <xf numFmtId="0" fontId="8" fillId="3" borderId="24" xfId="14" applyFont="1" applyFill="1" applyBorder="1" applyAlignment="1">
      <alignment horizontal="center" vertical="center"/>
    </xf>
    <xf numFmtId="0" fontId="8" fillId="3" borderId="33" xfId="14" applyFont="1" applyFill="1" applyBorder="1" applyAlignment="1">
      <alignment horizontal="center" vertical="center"/>
    </xf>
    <xf numFmtId="0" fontId="8" fillId="3" borderId="4" xfId="14" applyFont="1" applyFill="1" applyBorder="1" applyAlignment="1">
      <alignment horizontal="center" vertical="center"/>
    </xf>
    <xf numFmtId="0" fontId="8" fillId="3" borderId="36" xfId="14" applyFont="1" applyFill="1" applyBorder="1" applyAlignment="1">
      <alignment horizontal="center" vertical="center"/>
    </xf>
    <xf numFmtId="0" fontId="8" fillId="3" borderId="33" xfId="14" applyFont="1" applyFill="1" applyBorder="1" applyAlignment="1">
      <alignment vertical="center"/>
    </xf>
    <xf numFmtId="0" fontId="25" fillId="3" borderId="23" xfId="14" applyFont="1" applyFill="1" applyBorder="1" applyAlignment="1">
      <alignment horizontal="center" vertical="center"/>
    </xf>
    <xf numFmtId="0" fontId="25" fillId="3" borderId="44" xfId="14" applyFont="1" applyFill="1" applyBorder="1" applyAlignment="1">
      <alignment horizontal="center" vertical="center"/>
    </xf>
    <xf numFmtId="0" fontId="25" fillId="3" borderId="37" xfId="14" applyFont="1" applyFill="1" applyBorder="1" applyAlignment="1">
      <alignment horizontal="center" vertical="center"/>
    </xf>
    <xf numFmtId="0" fontId="109" fillId="2" borderId="0" xfId="14" applyFont="1" applyFill="1" applyAlignment="1">
      <alignment horizontal="center" vertical="center"/>
    </xf>
    <xf numFmtId="201" fontId="8" fillId="3" borderId="24" xfId="14" applyNumberFormat="1" applyFont="1" applyFill="1" applyBorder="1" applyAlignment="1">
      <alignment horizontal="center" vertical="center"/>
    </xf>
    <xf numFmtId="0" fontId="26" fillId="2" borderId="33" xfId="14" applyFont="1" applyFill="1" applyBorder="1" applyAlignment="1">
      <alignment horizontal="center" vertical="center"/>
    </xf>
    <xf numFmtId="0" fontId="26" fillId="2" borderId="32" xfId="14" applyFont="1" applyFill="1" applyBorder="1" applyAlignment="1">
      <alignment horizontal="center" vertical="center"/>
    </xf>
    <xf numFmtId="0" fontId="26" fillId="2" borderId="16" xfId="14" applyFont="1" applyFill="1" applyBorder="1" applyAlignment="1">
      <alignment horizontal="center" vertical="center"/>
    </xf>
    <xf numFmtId="202" fontId="5" fillId="3" borderId="24" xfId="14" applyNumberFormat="1" applyFont="1" applyFill="1" applyBorder="1" applyAlignment="1">
      <alignment horizontal="center" vertical="center"/>
    </xf>
    <xf numFmtId="2" fontId="11" fillId="2" borderId="33" xfId="14" applyNumberFormat="1" applyFont="1" applyFill="1" applyBorder="1" applyAlignment="1">
      <alignment horizontal="center" vertical="center"/>
    </xf>
    <xf numFmtId="2" fontId="19" fillId="2" borderId="0" xfId="14" applyNumberFormat="1" applyFont="1" applyFill="1" applyAlignment="1">
      <alignment vertical="center"/>
    </xf>
    <xf numFmtId="205" fontId="19" fillId="2" borderId="0" xfId="14" applyNumberFormat="1" applyFont="1" applyFill="1" applyAlignment="1">
      <alignment vertical="center"/>
    </xf>
    <xf numFmtId="204" fontId="19" fillId="2" borderId="0" xfId="14" applyNumberFormat="1" applyFont="1" applyFill="1" applyAlignment="1">
      <alignment vertical="center"/>
    </xf>
    <xf numFmtId="43" fontId="19" fillId="2" borderId="0" xfId="14" applyNumberFormat="1" applyFont="1" applyFill="1" applyAlignment="1">
      <alignment vertical="center"/>
    </xf>
    <xf numFmtId="4" fontId="11" fillId="2" borderId="4" xfId="14" applyNumberFormat="1" applyFont="1" applyFill="1" applyBorder="1" applyAlignment="1">
      <alignment horizontal="center" vertical="center"/>
    </xf>
    <xf numFmtId="202" fontId="5" fillId="3" borderId="266" xfId="14" applyNumberFormat="1" applyFont="1" applyFill="1" applyBorder="1" applyAlignment="1">
      <alignment horizontal="center" vertical="center"/>
    </xf>
    <xf numFmtId="2" fontId="11" fillId="2" borderId="161" xfId="14" applyNumberFormat="1" applyFont="1" applyFill="1" applyBorder="1" applyAlignment="1">
      <alignment horizontal="center" vertical="center"/>
    </xf>
    <xf numFmtId="2" fontId="11" fillId="2" borderId="55" xfId="14" applyNumberFormat="1" applyFont="1" applyFill="1" applyBorder="1" applyAlignment="1">
      <alignment horizontal="center" vertical="center"/>
    </xf>
    <xf numFmtId="17" fontId="8" fillId="3" borderId="24" xfId="14" quotePrefix="1" applyNumberFormat="1" applyFont="1" applyFill="1" applyBorder="1" applyAlignment="1">
      <alignment horizontal="center" vertical="center"/>
    </xf>
    <xf numFmtId="17" fontId="8" fillId="3" borderId="267" xfId="14" quotePrefix="1" applyNumberFormat="1" applyFont="1" applyFill="1" applyBorder="1" applyAlignment="1">
      <alignment horizontal="center" vertical="center"/>
    </xf>
    <xf numFmtId="2" fontId="11" fillId="2" borderId="25" xfId="14" applyNumberFormat="1" applyFont="1" applyFill="1" applyBorder="1" applyAlignment="1">
      <alignment horizontal="center" vertical="center"/>
    </xf>
    <xf numFmtId="2" fontId="11" fillId="2" borderId="14" xfId="14" applyNumberFormat="1" applyFont="1" applyFill="1" applyBorder="1" applyAlignment="1">
      <alignment horizontal="center" vertical="center"/>
    </xf>
    <xf numFmtId="17" fontId="8" fillId="3" borderId="27" xfId="14" applyNumberFormat="1" applyFont="1" applyFill="1" applyBorder="1" applyAlignment="1">
      <alignment horizontal="center" vertical="center"/>
    </xf>
    <xf numFmtId="2" fontId="11" fillId="2" borderId="34" xfId="14" applyNumberFormat="1" applyFont="1" applyFill="1" applyBorder="1" applyAlignment="1">
      <alignment horizontal="center" vertical="center"/>
    </xf>
    <xf numFmtId="2" fontId="11" fillId="2" borderId="6" xfId="14" applyNumberFormat="1" applyFont="1" applyFill="1" applyBorder="1" applyAlignment="1">
      <alignment horizontal="center" vertical="center"/>
    </xf>
    <xf numFmtId="4" fontId="11" fillId="2" borderId="6" xfId="14" applyNumberFormat="1" applyFont="1" applyFill="1" applyBorder="1" applyAlignment="1">
      <alignment horizontal="center" vertical="center"/>
    </xf>
    <xf numFmtId="2" fontId="17" fillId="2" borderId="0" xfId="14" applyNumberFormat="1" applyFont="1" applyFill="1"/>
    <xf numFmtId="15" fontId="17" fillId="2" borderId="0" xfId="14" applyNumberFormat="1" applyFont="1" applyFill="1" applyAlignment="1">
      <alignment horizontal="left"/>
    </xf>
    <xf numFmtId="0" fontId="19" fillId="2" borderId="0" xfId="14" applyFont="1" applyFill="1" applyAlignment="1">
      <alignment horizontal="right" vertical="center"/>
    </xf>
    <xf numFmtId="15" fontId="19" fillId="2" borderId="0" xfId="14" applyNumberFormat="1" applyFont="1" applyFill="1" applyAlignment="1">
      <alignment horizontal="right" vertical="center"/>
    </xf>
    <xf numFmtId="2" fontId="17" fillId="2" borderId="0" xfId="14" applyNumberFormat="1" applyFont="1" applyFill="1" applyAlignment="1">
      <alignment vertical="center"/>
    </xf>
    <xf numFmtId="0" fontId="8" fillId="2" borderId="0" xfId="14" applyFont="1" applyFill="1" applyAlignment="1">
      <alignment horizontal="left" vertical="center"/>
    </xf>
    <xf numFmtId="15" fontId="36" fillId="2" borderId="0" xfId="14" applyNumberFormat="1" applyFont="1" applyFill="1" applyAlignment="1">
      <alignment horizontal="left" vertical="center"/>
    </xf>
    <xf numFmtId="15" fontId="17" fillId="2" borderId="0" xfId="14" applyNumberFormat="1" applyFont="1" applyFill="1" applyAlignment="1">
      <alignment horizontal="right" vertical="center"/>
    </xf>
    <xf numFmtId="0" fontId="19" fillId="2" borderId="0" xfId="14" applyFont="1" applyFill="1" applyAlignment="1">
      <alignment horizontal="left" vertical="center"/>
    </xf>
    <xf numFmtId="164" fontId="19" fillId="2" borderId="0" xfId="26" applyNumberFormat="1" applyFont="1" applyFill="1" applyAlignment="1">
      <alignment vertical="center"/>
    </xf>
    <xf numFmtId="0" fontId="4" fillId="2" borderId="0" xfId="42" applyFont="1" applyFill="1" applyAlignment="1">
      <alignment vertical="center"/>
    </xf>
    <xf numFmtId="0" fontId="24" fillId="2" borderId="0" xfId="42" applyFont="1" applyFill="1" applyAlignment="1">
      <alignment vertical="center"/>
    </xf>
    <xf numFmtId="0" fontId="19" fillId="2" borderId="0" xfId="42" applyFont="1" applyFill="1" applyAlignment="1">
      <alignment horizontal="center" vertical="center"/>
    </xf>
    <xf numFmtId="0" fontId="19" fillId="2" borderId="0" xfId="42" applyFont="1" applyFill="1" applyAlignment="1">
      <alignment vertical="center"/>
    </xf>
    <xf numFmtId="0" fontId="20" fillId="2" borderId="0" xfId="42" applyFont="1" applyFill="1" applyAlignment="1">
      <alignment vertical="center"/>
    </xf>
    <xf numFmtId="0" fontId="8" fillId="3" borderId="36" xfId="42" applyFont="1" applyFill="1" applyBorder="1" applyAlignment="1">
      <alignment horizontal="center" vertical="center"/>
    </xf>
    <xf numFmtId="0" fontId="8" fillId="2" borderId="0" xfId="42" applyFont="1" applyFill="1" applyAlignment="1">
      <alignment horizontal="center" vertical="center"/>
    </xf>
    <xf numFmtId="0" fontId="5" fillId="2" borderId="0" xfId="42" applyFont="1" applyFill="1" applyAlignment="1">
      <alignment vertical="center"/>
    </xf>
    <xf numFmtId="0" fontId="8" fillId="3" borderId="4" xfId="42" applyFont="1" applyFill="1" applyBorder="1" applyAlignment="1">
      <alignment horizontal="center" vertical="center"/>
    </xf>
    <xf numFmtId="0" fontId="25" fillId="3" borderId="37" xfId="42" applyFont="1" applyFill="1" applyBorder="1" applyAlignment="1">
      <alignment horizontal="center" vertical="center" wrapText="1"/>
    </xf>
    <xf numFmtId="0" fontId="25" fillId="2" borderId="0" xfId="42" applyFont="1" applyFill="1" applyAlignment="1">
      <alignment horizontal="center" vertical="center" wrapText="1"/>
    </xf>
    <xf numFmtId="0" fontId="25" fillId="2" borderId="0" xfId="42" applyFont="1" applyFill="1" applyAlignment="1">
      <alignment vertical="center"/>
    </xf>
    <xf numFmtId="17" fontId="26" fillId="3" borderId="4" xfId="42" applyNumberFormat="1" applyFont="1" applyFill="1" applyBorder="1" applyAlignment="1">
      <alignment horizontal="center" vertical="center"/>
    </xf>
    <xf numFmtId="172" fontId="11" fillId="2" borderId="4" xfId="42" applyNumberFormat="1" applyFont="1" applyFill="1" applyBorder="1" applyAlignment="1">
      <alignment horizontal="center" vertical="center"/>
    </xf>
    <xf numFmtId="196" fontId="11" fillId="2" borderId="4" xfId="48" applyNumberFormat="1" applyFont="1" applyFill="1" applyBorder="1" applyAlignment="1">
      <alignment horizontal="center" vertical="center"/>
    </xf>
    <xf numFmtId="167" fontId="11" fillId="2" borderId="4" xfId="42" applyNumberFormat="1" applyFont="1" applyFill="1" applyBorder="1" applyAlignment="1">
      <alignment horizontal="center" vertical="center"/>
    </xf>
    <xf numFmtId="0" fontId="78" fillId="2" borderId="0" xfId="81" applyFont="1" applyFill="1"/>
    <xf numFmtId="173" fontId="11" fillId="2" borderId="4" xfId="48" applyNumberFormat="1" applyFont="1" applyFill="1" applyBorder="1" applyAlignment="1">
      <alignment horizontal="center" vertical="center"/>
    </xf>
    <xf numFmtId="17" fontId="8" fillId="3" borderId="4" xfId="42" applyNumberFormat="1" applyFont="1" applyFill="1" applyBorder="1" applyAlignment="1">
      <alignment horizontal="center" vertical="center"/>
    </xf>
    <xf numFmtId="206" fontId="11" fillId="2" borderId="4" xfId="48" applyNumberFormat="1" applyFont="1" applyFill="1" applyBorder="1" applyAlignment="1">
      <alignment horizontal="center" vertical="center"/>
    </xf>
    <xf numFmtId="2" fontId="11" fillId="0" borderId="4" xfId="42" applyNumberFormat="1" applyFont="1" applyBorder="1" applyAlignment="1">
      <alignment horizontal="center" vertical="center"/>
    </xf>
    <xf numFmtId="17" fontId="8" fillId="3" borderId="37" xfId="42" applyNumberFormat="1" applyFont="1" applyFill="1" applyBorder="1" applyAlignment="1">
      <alignment horizontal="center" vertical="center"/>
    </xf>
    <xf numFmtId="2" fontId="11" fillId="2" borderId="37" xfId="42" applyNumberFormat="1" applyFont="1" applyFill="1" applyBorder="1" applyAlignment="1">
      <alignment horizontal="center" vertical="center"/>
    </xf>
    <xf numFmtId="204" fontId="11" fillId="2" borderId="37" xfId="42" applyNumberFormat="1" applyFont="1" applyFill="1" applyBorder="1" applyAlignment="1">
      <alignment horizontal="center" vertical="center"/>
    </xf>
    <xf numFmtId="15" fontId="17" fillId="2" borderId="0" xfId="42" applyNumberFormat="1" applyFont="1" applyFill="1" applyAlignment="1">
      <alignment horizontal="left" vertical="center"/>
    </xf>
    <xf numFmtId="0" fontId="17" fillId="2" borderId="0" xfId="42" applyFont="1" applyFill="1" applyAlignment="1">
      <alignment vertical="center"/>
    </xf>
    <xf numFmtId="0" fontId="17" fillId="2" borderId="0" xfId="42" applyFont="1" applyFill="1" applyAlignment="1">
      <alignment horizontal="right" vertical="center"/>
    </xf>
    <xf numFmtId="15" fontId="17" fillId="2" borderId="0" xfId="42" applyNumberFormat="1" applyFont="1" applyFill="1" applyAlignment="1">
      <alignment horizontal="right" vertical="center"/>
    </xf>
    <xf numFmtId="40" fontId="17" fillId="2" borderId="0" xfId="18" applyFont="1" applyFill="1" applyAlignment="1">
      <alignment vertical="center"/>
    </xf>
    <xf numFmtId="0" fontId="8" fillId="3" borderId="25" xfId="42" applyFont="1" applyFill="1" applyBorder="1" applyAlignment="1">
      <alignment horizontal="center" vertical="center"/>
    </xf>
    <xf numFmtId="0" fontId="8" fillId="3" borderId="272" xfId="42" applyFont="1" applyFill="1" applyBorder="1" applyAlignment="1">
      <alignment horizontal="center" vertical="center"/>
    </xf>
    <xf numFmtId="0" fontId="8" fillId="3" borderId="0" xfId="42" applyFont="1" applyFill="1" applyAlignment="1">
      <alignment horizontal="center" vertical="center"/>
    </xf>
    <xf numFmtId="0" fontId="8" fillId="3" borderId="273" xfId="42" applyFont="1" applyFill="1" applyBorder="1" applyAlignment="1">
      <alignment horizontal="center" vertical="center"/>
    </xf>
    <xf numFmtId="0" fontId="8" fillId="3" borderId="14" xfId="42" applyFont="1" applyFill="1" applyBorder="1" applyAlignment="1">
      <alignment horizontal="center" vertical="center"/>
    </xf>
    <xf numFmtId="0" fontId="25" fillId="3" borderId="0" xfId="42" applyFont="1" applyFill="1" applyAlignment="1">
      <alignment horizontal="center" vertical="center"/>
    </xf>
    <xf numFmtId="0" fontId="25" fillId="3" borderId="14" xfId="42" applyFont="1" applyFill="1" applyBorder="1" applyAlignment="1">
      <alignment horizontal="center" vertical="center"/>
    </xf>
    <xf numFmtId="0" fontId="30" fillId="2" borderId="0" xfId="42" applyFont="1" applyFill="1" applyAlignment="1">
      <alignment vertical="center"/>
    </xf>
    <xf numFmtId="0" fontId="25" fillId="3" borderId="12" xfId="42" applyFont="1" applyFill="1" applyBorder="1" applyAlignment="1">
      <alignment horizontal="center" vertical="center" wrapText="1"/>
    </xf>
    <xf numFmtId="0" fontId="25" fillId="3" borderId="15" xfId="42" applyFont="1" applyFill="1" applyBorder="1" applyAlignment="1">
      <alignment horizontal="center" vertical="center" wrapText="1"/>
    </xf>
    <xf numFmtId="17" fontId="4" fillId="3" borderId="24" xfId="42" applyNumberFormat="1" applyFont="1" applyFill="1" applyBorder="1" applyAlignment="1">
      <alignment horizontal="center" vertical="center"/>
    </xf>
    <xf numFmtId="172" fontId="5" fillId="2" borderId="4" xfId="42" applyNumberFormat="1" applyFont="1" applyFill="1" applyBorder="1" applyAlignment="1">
      <alignment horizontal="center" vertical="center"/>
    </xf>
    <xf numFmtId="2" fontId="5" fillId="2" borderId="4" xfId="42" applyNumberFormat="1" applyFont="1" applyFill="1" applyBorder="1" applyAlignment="1">
      <alignment horizontal="center" vertical="center"/>
    </xf>
    <xf numFmtId="2" fontId="5" fillId="2" borderId="25" xfId="42" applyNumberFormat="1" applyFont="1" applyFill="1" applyBorder="1" applyAlignment="1">
      <alignment horizontal="center" vertical="center"/>
    </xf>
    <xf numFmtId="2" fontId="5" fillId="2" borderId="274" xfId="42" applyNumberFormat="1" applyFont="1" applyFill="1" applyBorder="1" applyAlignment="1">
      <alignment horizontal="center" vertical="center"/>
    </xf>
    <xf numFmtId="2" fontId="5" fillId="2" borderId="0" xfId="42" applyNumberFormat="1" applyFont="1" applyFill="1" applyAlignment="1">
      <alignment horizontal="center" vertical="center"/>
    </xf>
    <xf numFmtId="172" fontId="5" fillId="2" borderId="277" xfId="42" applyNumberFormat="1" applyFont="1" applyFill="1" applyBorder="1" applyAlignment="1">
      <alignment horizontal="center" vertical="center"/>
    </xf>
    <xf numFmtId="172" fontId="5" fillId="2" borderId="274" xfId="42" applyNumberFormat="1" applyFont="1" applyFill="1" applyBorder="1" applyAlignment="1">
      <alignment horizontal="center" vertical="center"/>
    </xf>
    <xf numFmtId="2" fontId="5" fillId="2" borderId="278" xfId="42" applyNumberFormat="1" applyFont="1" applyFill="1" applyBorder="1" applyAlignment="1">
      <alignment horizontal="center" vertical="center"/>
    </xf>
    <xf numFmtId="166" fontId="5" fillId="2" borderId="4" xfId="42" applyNumberFormat="1" applyFont="1" applyFill="1" applyBorder="1" applyAlignment="1">
      <alignment horizontal="center" vertical="center"/>
    </xf>
    <xf numFmtId="17" fontId="8" fillId="3" borderId="24" xfId="42" applyNumberFormat="1" applyFont="1" applyFill="1" applyBorder="1" applyAlignment="1">
      <alignment horizontal="center" vertical="center"/>
    </xf>
    <xf numFmtId="2" fontId="11" fillId="2" borderId="25" xfId="42" applyNumberFormat="1" applyFont="1" applyFill="1" applyBorder="1" applyAlignment="1">
      <alignment horizontal="center" vertical="center"/>
    </xf>
    <xf numFmtId="2" fontId="11" fillId="2" borderId="274" xfId="42" applyNumberFormat="1" applyFont="1" applyFill="1" applyBorder="1" applyAlignment="1">
      <alignment horizontal="center" vertical="center"/>
    </xf>
    <xf numFmtId="2" fontId="11" fillId="2" borderId="0" xfId="42" applyNumberFormat="1" applyFont="1" applyFill="1" applyAlignment="1">
      <alignment horizontal="center" vertical="center"/>
    </xf>
    <xf numFmtId="172" fontId="11" fillId="2" borderId="277" xfId="42" applyNumberFormat="1" applyFont="1" applyFill="1" applyBorder="1" applyAlignment="1">
      <alignment horizontal="center" vertical="center"/>
    </xf>
    <xf numFmtId="172" fontId="11" fillId="2" borderId="274" xfId="42" applyNumberFormat="1" applyFont="1" applyFill="1" applyBorder="1" applyAlignment="1">
      <alignment horizontal="center" vertical="center"/>
    </xf>
    <xf numFmtId="2" fontId="11" fillId="2" borderId="278" xfId="42" applyNumberFormat="1" applyFont="1" applyFill="1" applyBorder="1" applyAlignment="1">
      <alignment horizontal="center" vertical="center"/>
    </xf>
    <xf numFmtId="172" fontId="11" fillId="2" borderId="278" xfId="42" applyNumberFormat="1" applyFont="1" applyFill="1" applyBorder="1" applyAlignment="1">
      <alignment horizontal="center" vertical="center"/>
    </xf>
    <xf numFmtId="172" fontId="11" fillId="2" borderId="0" xfId="42" applyNumberFormat="1" applyFont="1" applyFill="1" applyAlignment="1">
      <alignment horizontal="center" vertical="center"/>
    </xf>
    <xf numFmtId="17" fontId="8" fillId="3" borderId="27" xfId="42" applyNumberFormat="1" applyFont="1" applyFill="1" applyBorder="1" applyAlignment="1">
      <alignment horizontal="center" vertical="center"/>
    </xf>
    <xf numFmtId="2" fontId="11" fillId="2" borderId="6" xfId="42" applyNumberFormat="1" applyFont="1" applyFill="1" applyBorder="1" applyAlignment="1">
      <alignment horizontal="center" vertical="center"/>
    </xf>
    <xf numFmtId="2" fontId="11" fillId="2" borderId="196" xfId="42" applyNumberFormat="1" applyFont="1" applyFill="1" applyBorder="1" applyAlignment="1">
      <alignment horizontal="center" vertical="center"/>
    </xf>
    <xf numFmtId="2" fontId="11" fillId="2" borderId="279" xfId="42" applyNumberFormat="1" applyFont="1" applyFill="1" applyBorder="1" applyAlignment="1">
      <alignment horizontal="center" vertical="center"/>
    </xf>
    <xf numFmtId="2" fontId="11" fillId="2" borderId="20" xfId="42" applyNumberFormat="1" applyFont="1" applyFill="1" applyBorder="1" applyAlignment="1">
      <alignment horizontal="center" vertical="center"/>
    </xf>
    <xf numFmtId="2" fontId="11" fillId="2" borderId="280" xfId="42" applyNumberFormat="1" applyFont="1" applyFill="1" applyBorder="1" applyAlignment="1">
      <alignment horizontal="center" vertical="center"/>
    </xf>
    <xf numFmtId="204" fontId="11" fillId="2" borderId="279" xfId="42" applyNumberFormat="1" applyFont="1" applyFill="1" applyBorder="1" applyAlignment="1">
      <alignment horizontal="center" vertical="center"/>
    </xf>
    <xf numFmtId="167" fontId="11" fillId="2" borderId="279" xfId="42" applyNumberFormat="1" applyFont="1" applyFill="1" applyBorder="1" applyAlignment="1">
      <alignment horizontal="center" vertical="center"/>
    </xf>
    <xf numFmtId="0" fontId="11" fillId="2" borderId="279" xfId="42" applyFont="1" applyFill="1" applyBorder="1" applyAlignment="1">
      <alignment vertical="center"/>
    </xf>
    <xf numFmtId="2" fontId="11" fillId="2" borderId="281" xfId="42" applyNumberFormat="1" applyFont="1" applyFill="1" applyBorder="1" applyAlignment="1">
      <alignment horizontal="center" vertical="center"/>
    </xf>
    <xf numFmtId="0" fontId="0" fillId="2" borderId="0" xfId="0" applyFill="1"/>
    <xf numFmtId="0" fontId="105" fillId="2" borderId="0" xfId="0" applyFont="1" applyFill="1"/>
    <xf numFmtId="4" fontId="0" fillId="2" borderId="0" xfId="0" applyNumberFormat="1" applyFill="1"/>
    <xf numFmtId="4" fontId="105" fillId="2" borderId="0" xfId="0" applyNumberFormat="1" applyFont="1" applyFill="1"/>
    <xf numFmtId="4" fontId="105" fillId="2" borderId="153" xfId="0" applyNumberFormat="1" applyFont="1" applyFill="1" applyBorder="1"/>
    <xf numFmtId="0" fontId="0" fillId="2" borderId="153" xfId="0" applyFill="1" applyBorder="1"/>
    <xf numFmtId="2" fontId="0" fillId="2" borderId="0" xfId="0" applyNumberFormat="1" applyFill="1"/>
    <xf numFmtId="14" fontId="0" fillId="2" borderId="0" xfId="0" applyNumberFormat="1" applyFill="1"/>
    <xf numFmtId="4" fontId="141" fillId="2" borderId="0" xfId="0" applyNumberFormat="1" applyFont="1" applyFill="1"/>
    <xf numFmtId="43" fontId="0" fillId="2" borderId="0" xfId="3" applyFont="1" applyFill="1"/>
    <xf numFmtId="43" fontId="0" fillId="2" borderId="0" xfId="0" applyNumberFormat="1" applyFill="1"/>
    <xf numFmtId="172" fontId="142" fillId="2" borderId="0" xfId="0" applyNumberFormat="1" applyFont="1" applyFill="1"/>
    <xf numFmtId="0" fontId="142" fillId="2" borderId="0" xfId="0" applyFont="1" applyFill="1"/>
    <xf numFmtId="0" fontId="4" fillId="0" borderId="0" xfId="81" applyFont="1" applyAlignment="1">
      <alignment horizontal="left" vertical="center"/>
    </xf>
    <xf numFmtId="0" fontId="4" fillId="0" borderId="0" xfId="81" applyFont="1" applyAlignment="1">
      <alignment horizontal="center" vertical="center"/>
    </xf>
    <xf numFmtId="0" fontId="64" fillId="0" borderId="0" xfId="81" applyFont="1" applyAlignment="1">
      <alignment horizontal="center" vertical="center"/>
    </xf>
    <xf numFmtId="0" fontId="56" fillId="0" borderId="0" xfId="81" applyFont="1" applyAlignment="1">
      <alignment vertical="center"/>
    </xf>
    <xf numFmtId="0" fontId="5" fillId="0" borderId="0" xfId="81" applyFont="1" applyAlignment="1">
      <alignment vertical="center"/>
    </xf>
    <xf numFmtId="0" fontId="5" fillId="3" borderId="22" xfId="81" applyFont="1" applyFill="1" applyBorder="1" applyAlignment="1">
      <alignment vertical="center"/>
    </xf>
    <xf numFmtId="172" fontId="5" fillId="0" borderId="0" xfId="81" applyNumberFormat="1" applyFont="1" applyAlignment="1">
      <alignment horizontal="center" vertical="center"/>
    </xf>
    <xf numFmtId="0" fontId="5" fillId="3" borderId="23" xfId="81" applyFont="1" applyFill="1" applyBorder="1" applyAlignment="1">
      <alignment vertical="center"/>
    </xf>
    <xf numFmtId="17" fontId="8" fillId="9" borderId="24" xfId="81" applyNumberFormat="1" applyFont="1" applyFill="1" applyBorder="1" applyAlignment="1">
      <alignment horizontal="left" vertical="center"/>
    </xf>
    <xf numFmtId="172" fontId="11" fillId="0" borderId="4" xfId="81" applyNumberFormat="1" applyFont="1" applyBorder="1" applyAlignment="1">
      <alignment horizontal="center" vertical="center"/>
    </xf>
    <xf numFmtId="172" fontId="11" fillId="0" borderId="41" xfId="81" applyNumberFormat="1" applyFont="1" applyBorder="1" applyAlignment="1">
      <alignment horizontal="center" vertical="center"/>
    </xf>
    <xf numFmtId="17" fontId="8" fillId="4" borderId="24" xfId="81" applyNumberFormat="1" applyFont="1" applyFill="1" applyBorder="1" applyAlignment="1">
      <alignment horizontal="left" vertical="center"/>
    </xf>
    <xf numFmtId="17" fontId="8" fillId="3" borderId="24" xfId="81" applyNumberFormat="1" applyFont="1" applyFill="1" applyBorder="1" applyAlignment="1">
      <alignment horizontal="left" vertical="center"/>
    </xf>
    <xf numFmtId="172" fontId="19" fillId="2" borderId="0" xfId="42" applyNumberFormat="1" applyFont="1" applyFill="1" applyAlignment="1">
      <alignment vertical="center"/>
    </xf>
    <xf numFmtId="0" fontId="30" fillId="0" borderId="0" xfId="81" applyFont="1" applyAlignment="1">
      <alignment vertical="center"/>
    </xf>
    <xf numFmtId="17" fontId="8" fillId="3" borderId="27" xfId="81" applyNumberFormat="1" applyFont="1" applyFill="1" applyBorder="1" applyAlignment="1">
      <alignment horizontal="left" vertical="center"/>
    </xf>
    <xf numFmtId="172" fontId="11" fillId="0" borderId="6" xfId="81" applyNumberFormat="1" applyFont="1" applyBorder="1" applyAlignment="1">
      <alignment horizontal="center" vertical="center"/>
    </xf>
    <xf numFmtId="172" fontId="11" fillId="0" borderId="43" xfId="81" applyNumberFormat="1" applyFont="1" applyBorder="1" applyAlignment="1">
      <alignment horizontal="center" vertical="center"/>
    </xf>
    <xf numFmtId="0" fontId="16" fillId="0" borderId="0" xfId="81" applyFont="1" applyAlignment="1">
      <alignment horizontal="left" vertical="center"/>
    </xf>
    <xf numFmtId="0" fontId="17" fillId="0" borderId="0" xfId="81" applyFont="1" applyAlignment="1">
      <alignment vertical="center"/>
    </xf>
    <xf numFmtId="0" fontId="19" fillId="0" borderId="0" xfId="42" applyFont="1" applyAlignment="1">
      <alignment vertical="center"/>
    </xf>
    <xf numFmtId="0" fontId="4" fillId="2" borderId="0" xfId="49" applyFont="1" applyFill="1" applyAlignment="1">
      <alignment horizontal="left"/>
    </xf>
    <xf numFmtId="0" fontId="56" fillId="2" borderId="0" xfId="49" applyFont="1" applyFill="1"/>
    <xf numFmtId="0" fontId="5" fillId="2" borderId="0" xfId="49" applyFont="1" applyFill="1"/>
    <xf numFmtId="0" fontId="8" fillId="3" borderId="22" xfId="49" applyFont="1" applyFill="1" applyBorder="1" applyAlignment="1">
      <alignment horizontal="center"/>
    </xf>
    <xf numFmtId="17" fontId="8" fillId="3" borderId="122" xfId="49" applyNumberFormat="1" applyFont="1" applyFill="1" applyBorder="1" applyAlignment="1">
      <alignment horizontal="center"/>
    </xf>
    <xf numFmtId="0" fontId="8" fillId="3" borderId="23" xfId="49" applyFont="1" applyFill="1" applyBorder="1" applyAlignment="1">
      <alignment horizontal="center"/>
    </xf>
    <xf numFmtId="0" fontId="8" fillId="3" borderId="37" xfId="49" applyFont="1" applyFill="1" applyBorder="1" applyAlignment="1">
      <alignment horizontal="center"/>
    </xf>
    <xf numFmtId="0" fontId="8" fillId="3" borderId="24" xfId="49" applyFont="1" applyFill="1" applyBorder="1" applyAlignment="1">
      <alignment horizontal="left"/>
    </xf>
    <xf numFmtId="172" fontId="11" fillId="2" borderId="4" xfId="49" applyNumberFormat="1" applyFont="1" applyFill="1" applyBorder="1"/>
    <xf numFmtId="172" fontId="11" fillId="2" borderId="0" xfId="49" applyNumberFormat="1" applyFont="1" applyFill="1" applyBorder="1"/>
    <xf numFmtId="172" fontId="11" fillId="2" borderId="4" xfId="49" applyNumberFormat="1" applyFont="1" applyFill="1" applyBorder="1" applyAlignment="1">
      <alignment horizontal="right"/>
    </xf>
    <xf numFmtId="0" fontId="11" fillId="2" borderId="4" xfId="49" applyFont="1" applyFill="1" applyBorder="1"/>
    <xf numFmtId="0" fontId="5" fillId="3" borderId="27" xfId="49" applyFont="1" applyFill="1" applyBorder="1" applyAlignment="1">
      <alignment horizontal="left"/>
    </xf>
    <xf numFmtId="172" fontId="11" fillId="2" borderId="6" xfId="49" applyNumberFormat="1" applyFont="1" applyFill="1" applyBorder="1"/>
    <xf numFmtId="0" fontId="11" fillId="2" borderId="6" xfId="49" applyFont="1" applyFill="1" applyBorder="1"/>
    <xf numFmtId="0" fontId="11" fillId="2" borderId="20" xfId="49" applyFont="1" applyFill="1" applyBorder="1"/>
    <xf numFmtId="0" fontId="17" fillId="2" borderId="0" xfId="49" applyFont="1" applyFill="1" applyAlignment="1">
      <alignment horizontal="left"/>
    </xf>
    <xf numFmtId="0" fontId="17" fillId="2" borderId="0" xfId="49" applyFont="1" applyFill="1"/>
    <xf numFmtId="0" fontId="17" fillId="2" borderId="0" xfId="49" applyFont="1" applyFill="1" applyAlignment="1">
      <alignment horizontal="right"/>
    </xf>
    <xf numFmtId="204" fontId="17" fillId="2" borderId="0" xfId="49" applyNumberFormat="1" applyFont="1" applyFill="1"/>
    <xf numFmtId="0" fontId="30" fillId="2" borderId="0" xfId="49" applyFont="1" applyFill="1"/>
    <xf numFmtId="0" fontId="17" fillId="2" borderId="0" xfId="49" applyFont="1" applyFill="1" applyAlignment="1">
      <alignment vertical="center"/>
    </xf>
    <xf numFmtId="172" fontId="5" fillId="2" borderId="4" xfId="49" applyNumberFormat="1" applyFont="1" applyFill="1" applyBorder="1"/>
    <xf numFmtId="0" fontId="26" fillId="2" borderId="6" xfId="49" applyFont="1" applyFill="1" applyBorder="1"/>
    <xf numFmtId="0" fontId="5" fillId="2" borderId="6" xfId="49" applyFont="1" applyFill="1" applyBorder="1"/>
    <xf numFmtId="14" fontId="5" fillId="2" borderId="0" xfId="49" applyNumberFormat="1" applyFont="1" applyFill="1"/>
    <xf numFmtId="0" fontId="5" fillId="2" borderId="138" xfId="49" applyFont="1" applyFill="1" applyBorder="1"/>
    <xf numFmtId="0" fontId="4" fillId="2" borderId="0" xfId="42" applyFont="1" applyFill="1" applyAlignment="1">
      <alignment horizontal="left"/>
    </xf>
    <xf numFmtId="204" fontId="64" fillId="2" borderId="163" xfId="42" applyNumberFormat="1" applyFont="1" applyFill="1" applyBorder="1"/>
    <xf numFmtId="204" fontId="64" fillId="2" borderId="0" xfId="42" applyNumberFormat="1" applyFont="1" applyFill="1"/>
    <xf numFmtId="0" fontId="64" fillId="2" borderId="0" xfId="42" applyFont="1" applyFill="1" applyAlignment="1">
      <alignment vertical="center"/>
    </xf>
    <xf numFmtId="0" fontId="56" fillId="2" borderId="0" xfId="42" applyFont="1" applyFill="1"/>
    <xf numFmtId="0" fontId="19" fillId="2" borderId="0" xfId="42" applyFont="1" applyFill="1"/>
    <xf numFmtId="204" fontId="19" fillId="2" borderId="0" xfId="42" applyNumberFormat="1" applyFont="1" applyFill="1"/>
    <xf numFmtId="0" fontId="8" fillId="3" borderId="122" xfId="42" applyFont="1" applyFill="1" applyBorder="1" applyAlignment="1">
      <alignment horizontal="center"/>
    </xf>
    <xf numFmtId="0" fontId="8" fillId="3" borderId="123" xfId="42" applyFont="1" applyFill="1" applyBorder="1" applyAlignment="1">
      <alignment horizontal="center"/>
    </xf>
    <xf numFmtId="0" fontId="8" fillId="3" borderId="4" xfId="42" applyFont="1" applyFill="1" applyBorder="1" applyAlignment="1">
      <alignment horizontal="center"/>
    </xf>
    <xf numFmtId="0" fontId="8" fillId="3" borderId="41" xfId="42" applyFont="1" applyFill="1" applyBorder="1" applyAlignment="1">
      <alignment horizontal="center"/>
    </xf>
    <xf numFmtId="4" fontId="31" fillId="2" borderId="0" xfId="42" applyNumberFormat="1" applyFont="1" applyFill="1" applyAlignment="1">
      <alignment horizontal="center"/>
    </xf>
    <xf numFmtId="204" fontId="8" fillId="3" borderId="4" xfId="42" applyNumberFormat="1" applyFont="1" applyFill="1" applyBorder="1" applyAlignment="1">
      <alignment horizontal="center"/>
    </xf>
    <xf numFmtId="0" fontId="31" fillId="2" borderId="0" xfId="42" applyFont="1" applyFill="1"/>
    <xf numFmtId="204" fontId="8" fillId="3" borderId="37" xfId="42" applyNumberFormat="1" applyFont="1" applyFill="1" applyBorder="1" applyAlignment="1">
      <alignment horizontal="center"/>
    </xf>
    <xf numFmtId="0" fontId="8" fillId="3" borderId="40" xfId="42" applyFont="1" applyFill="1" applyBorder="1" applyAlignment="1">
      <alignment horizontal="center"/>
    </xf>
    <xf numFmtId="207" fontId="19" fillId="2" borderId="0" xfId="42" applyNumberFormat="1" applyFont="1" applyFill="1"/>
    <xf numFmtId="0" fontId="8" fillId="3" borderId="24" xfId="42" applyFont="1" applyFill="1" applyBorder="1" applyAlignment="1">
      <alignment horizontal="left"/>
    </xf>
    <xf numFmtId="203" fontId="11" fillId="2" borderId="4" xfId="42" applyNumberFormat="1" applyFont="1" applyFill="1" applyBorder="1" applyAlignment="1">
      <alignment horizontal="center"/>
    </xf>
    <xf numFmtId="173" fontId="11" fillId="2" borderId="41" xfId="51" applyNumberFormat="1" applyFont="1" applyFill="1" applyBorder="1" applyAlignment="1">
      <alignment horizontal="center"/>
    </xf>
    <xf numFmtId="203" fontId="19" fillId="2" borderId="0" xfId="42" applyNumberFormat="1" applyFont="1" applyFill="1"/>
    <xf numFmtId="203" fontId="19" fillId="0" borderId="0" xfId="42" applyNumberFormat="1" applyFont="1"/>
    <xf numFmtId="207" fontId="19" fillId="0" borderId="0" xfId="42" applyNumberFormat="1" applyFont="1"/>
    <xf numFmtId="0" fontId="5" fillId="3" borderId="27" xfId="42" applyFont="1" applyFill="1" applyBorder="1" applyAlignment="1">
      <alignment horizontal="left"/>
    </xf>
    <xf numFmtId="0" fontId="11" fillId="2" borderId="6" xfId="42" applyFont="1" applyFill="1" applyBorder="1" applyAlignment="1">
      <alignment horizontal="left"/>
    </xf>
    <xf numFmtId="204" fontId="11" fillId="2" borderId="6" xfId="42" applyNumberFormat="1" applyFont="1" applyFill="1" applyBorder="1"/>
    <xf numFmtId="173" fontId="11" fillId="2" borderId="43" xfId="42" applyNumberFormat="1" applyFont="1" applyFill="1" applyBorder="1" applyAlignment="1">
      <alignment horizontal="right"/>
    </xf>
    <xf numFmtId="203" fontId="31" fillId="2" borderId="0" xfId="42" applyNumberFormat="1" applyFont="1" applyFill="1" applyAlignment="1">
      <alignment horizontal="center"/>
    </xf>
    <xf numFmtId="0" fontId="17" fillId="2" borderId="0" xfId="42" applyFont="1" applyFill="1"/>
    <xf numFmtId="204" fontId="17" fillId="2" borderId="0" xfId="42" applyNumberFormat="1" applyFont="1" applyFill="1"/>
    <xf numFmtId="173" fontId="17" fillId="2" borderId="0" xfId="42" applyNumberFormat="1" applyFont="1" applyFill="1" applyAlignment="1">
      <alignment horizontal="right"/>
    </xf>
    <xf numFmtId="204" fontId="17" fillId="2" borderId="0" xfId="42" applyNumberFormat="1" applyFont="1" applyFill="1" applyBorder="1"/>
    <xf numFmtId="0" fontId="19" fillId="2" borderId="0" xfId="42" applyFont="1" applyFill="1" applyAlignment="1">
      <alignment horizontal="center"/>
    </xf>
    <xf numFmtId="14" fontId="19" fillId="2" borderId="0" xfId="42" applyNumberFormat="1" applyFont="1" applyFill="1"/>
    <xf numFmtId="0" fontId="19" fillId="2" borderId="0" xfId="51" applyFont="1" applyFill="1"/>
    <xf numFmtId="0" fontId="8" fillId="3" borderId="78" xfId="51" applyFont="1" applyFill="1" applyBorder="1" applyAlignment="1"/>
    <xf numFmtId="0" fontId="8" fillId="3" borderId="35" xfId="51" applyFont="1" applyFill="1" applyBorder="1" applyAlignment="1"/>
    <xf numFmtId="0" fontId="4" fillId="0" borderId="0" xfId="51" applyFont="1"/>
    <xf numFmtId="0" fontId="8" fillId="3" borderId="233" xfId="51" applyFont="1" applyFill="1" applyBorder="1" applyAlignment="1">
      <alignment horizontal="center"/>
    </xf>
    <xf numFmtId="0" fontId="8" fillId="3" borderId="239" xfId="51" applyFont="1" applyFill="1" applyBorder="1" applyAlignment="1">
      <alignment horizontal="center"/>
    </xf>
    <xf numFmtId="0" fontId="8" fillId="3" borderId="234" xfId="51" applyFont="1" applyFill="1" applyBorder="1" applyAlignment="1">
      <alignment horizontal="center"/>
    </xf>
    <xf numFmtId="0" fontId="8" fillId="3" borderId="24" xfId="51" applyFont="1" applyFill="1" applyBorder="1"/>
    <xf numFmtId="0" fontId="11" fillId="2" borderId="25" xfId="51" applyFont="1" applyFill="1" applyBorder="1" applyAlignment="1">
      <alignment horizontal="right"/>
    </xf>
    <xf numFmtId="0" fontId="11" fillId="2" borderId="0" xfId="51" applyFont="1" applyFill="1" applyBorder="1" applyAlignment="1">
      <alignment horizontal="right"/>
    </xf>
    <xf numFmtId="0" fontId="11" fillId="2" borderId="0" xfId="51" applyFont="1" applyFill="1" applyAlignment="1">
      <alignment horizontal="center"/>
    </xf>
    <xf numFmtId="0" fontId="11" fillId="2" borderId="0" xfId="51" applyFont="1" applyFill="1" applyBorder="1" applyAlignment="1">
      <alignment horizontal="center"/>
    </xf>
    <xf numFmtId="0" fontId="11" fillId="2" borderId="33" xfId="51" applyFont="1" applyFill="1" applyBorder="1" applyAlignment="1">
      <alignment horizontal="center"/>
    </xf>
    <xf numFmtId="0" fontId="11" fillId="2" borderId="0" xfId="51" applyFont="1" applyFill="1" applyBorder="1"/>
    <xf numFmtId="0" fontId="11" fillId="2" borderId="14" xfId="51" applyFont="1" applyFill="1" applyBorder="1"/>
    <xf numFmtId="2" fontId="19" fillId="2" borderId="0" xfId="51" applyNumberFormat="1" applyFont="1" applyFill="1"/>
    <xf numFmtId="204" fontId="19" fillId="2" borderId="0" xfId="51" applyNumberFormat="1" applyFont="1" applyFill="1"/>
    <xf numFmtId="0" fontId="11" fillId="2" borderId="0" xfId="51" applyFont="1" applyFill="1" applyAlignment="1">
      <alignment horizontal="right"/>
    </xf>
    <xf numFmtId="172" fontId="19" fillId="2" borderId="0" xfId="51" applyNumberFormat="1" applyFont="1" applyFill="1"/>
    <xf numFmtId="0" fontId="8" fillId="3" borderId="27" xfId="51" applyFont="1" applyFill="1" applyBorder="1"/>
    <xf numFmtId="0" fontId="11" fillId="2" borderId="196" xfId="51" applyFont="1" applyFill="1" applyBorder="1" applyAlignment="1">
      <alignment horizontal="right"/>
    </xf>
    <xf numFmtId="0" fontId="11" fillId="2" borderId="20" xfId="51" applyFont="1" applyFill="1" applyBorder="1" applyAlignment="1">
      <alignment horizontal="right"/>
    </xf>
    <xf numFmtId="0" fontId="11" fillId="2" borderId="20" xfId="51" applyFont="1" applyFill="1" applyBorder="1" applyAlignment="1">
      <alignment horizontal="center"/>
    </xf>
    <xf numFmtId="0" fontId="11" fillId="2" borderId="34" xfId="51" applyFont="1" applyFill="1" applyBorder="1" applyAlignment="1">
      <alignment horizontal="center"/>
    </xf>
    <xf numFmtId="0" fontId="11" fillId="2" borderId="20" xfId="51" applyFont="1" applyFill="1" applyBorder="1"/>
    <xf numFmtId="0" fontId="11" fillId="2" borderId="21" xfId="51" applyFont="1" applyFill="1" applyBorder="1"/>
    <xf numFmtId="0" fontId="17" fillId="2" borderId="0" xfId="51" applyFont="1" applyFill="1"/>
    <xf numFmtId="0" fontId="17" fillId="2" borderId="0" xfId="51" applyFont="1" applyFill="1" applyBorder="1"/>
    <xf numFmtId="0" fontId="17" fillId="2" borderId="0" xfId="51" applyFont="1" applyFill="1" applyAlignment="1">
      <alignment vertical="center"/>
    </xf>
    <xf numFmtId="0" fontId="4" fillId="2" borderId="0" xfId="51" applyFont="1" applyFill="1"/>
    <xf numFmtId="0" fontId="24" fillId="2" borderId="0" xfId="51" applyFont="1" applyFill="1"/>
    <xf numFmtId="0" fontId="24" fillId="2" borderId="20" xfId="51" applyFont="1" applyFill="1" applyBorder="1"/>
    <xf numFmtId="0" fontId="8" fillId="3" borderId="124" xfId="51" applyFont="1" applyFill="1" applyBorder="1" applyAlignment="1"/>
    <xf numFmtId="0" fontId="31" fillId="2" borderId="0" xfId="51" applyFont="1" applyFill="1" applyAlignment="1">
      <alignment horizontal="center"/>
    </xf>
    <xf numFmtId="0" fontId="8" fillId="3" borderId="240" xfId="51" applyFont="1" applyFill="1" applyBorder="1" applyAlignment="1">
      <alignment horizontal="center"/>
    </xf>
    <xf numFmtId="0" fontId="8" fillId="3" borderId="52" xfId="51" applyFont="1" applyFill="1" applyBorder="1" applyAlignment="1">
      <alignment horizontal="center"/>
    </xf>
    <xf numFmtId="0" fontId="30" fillId="2" borderId="20" xfId="51" applyFont="1" applyFill="1" applyBorder="1" applyAlignment="1">
      <alignment horizontal="left" wrapText="1" readingOrder="1"/>
    </xf>
    <xf numFmtId="0" fontId="31" fillId="2" borderId="20" xfId="51" applyFont="1" applyFill="1" applyBorder="1" applyAlignment="1">
      <alignment horizontal="center"/>
    </xf>
    <xf numFmtId="208" fontId="8" fillId="3" borderId="24" xfId="51" applyNumberFormat="1" applyFont="1" applyFill="1" applyBorder="1" applyAlignment="1">
      <alignment horizontal="left"/>
    </xf>
    <xf numFmtId="180" fontId="5" fillId="2" borderId="218" xfId="51" applyNumberFormat="1" applyFont="1" applyFill="1" applyBorder="1"/>
    <xf numFmtId="180" fontId="11" fillId="2" borderId="0" xfId="51" applyNumberFormat="1" applyFont="1" applyFill="1" applyBorder="1"/>
    <xf numFmtId="180" fontId="11" fillId="2" borderId="0" xfId="51" applyNumberFormat="1" applyFont="1" applyFill="1" applyBorder="1" applyAlignment="1">
      <alignment horizontal="center"/>
    </xf>
    <xf numFmtId="180" fontId="11" fillId="2" borderId="3" xfId="51" applyNumberFormat="1" applyFont="1" applyFill="1" applyBorder="1" applyAlignment="1">
      <alignment horizontal="center"/>
    </xf>
    <xf numFmtId="180" fontId="11" fillId="2" borderId="0" xfId="51" applyNumberFormat="1" applyFont="1" applyFill="1" applyAlignment="1">
      <alignment horizontal="center"/>
    </xf>
    <xf numFmtId="180" fontId="11" fillId="2" borderId="33" xfId="51" applyNumberFormat="1" applyFont="1" applyFill="1" applyBorder="1"/>
    <xf numFmtId="0" fontId="30" fillId="2" borderId="0" xfId="51" applyFont="1" applyFill="1" applyAlignment="1">
      <alignment horizontal="left" wrapText="1" readingOrder="1"/>
    </xf>
    <xf numFmtId="180" fontId="11" fillId="2" borderId="14" xfId="51" applyNumberFormat="1" applyFont="1" applyFill="1" applyBorder="1"/>
    <xf numFmtId="180" fontId="11" fillId="2" borderId="0" xfId="51" applyNumberFormat="1" applyFont="1" applyFill="1"/>
    <xf numFmtId="209" fontId="19" fillId="2" borderId="0" xfId="51" applyNumberFormat="1" applyFont="1" applyFill="1"/>
    <xf numFmtId="0" fontId="56" fillId="2" borderId="0" xfId="51" applyFont="1" applyFill="1"/>
    <xf numFmtId="208" fontId="8" fillId="3" borderId="27" xfId="51" applyNumberFormat="1" applyFont="1" applyFill="1" applyBorder="1" applyAlignment="1">
      <alignment horizontal="left"/>
    </xf>
    <xf numFmtId="180" fontId="5" fillId="2" borderId="220" xfId="51" applyNumberFormat="1" applyFont="1" applyFill="1" applyBorder="1"/>
    <xf numFmtId="180" fontId="11" fillId="2" borderId="20" xfId="51" applyNumberFormat="1" applyFont="1" applyFill="1" applyBorder="1"/>
    <xf numFmtId="180" fontId="11" fillId="2" borderId="20" xfId="51" applyNumberFormat="1" applyFont="1" applyFill="1" applyBorder="1" applyAlignment="1">
      <alignment horizontal="center"/>
    </xf>
    <xf numFmtId="180" fontId="11" fillId="2" borderId="5" xfId="51" applyNumberFormat="1" applyFont="1" applyFill="1" applyBorder="1" applyAlignment="1">
      <alignment horizontal="center"/>
    </xf>
    <xf numFmtId="180" fontId="11" fillId="2" borderId="34" xfId="51" applyNumberFormat="1" applyFont="1" applyFill="1" applyBorder="1"/>
    <xf numFmtId="0" fontId="19" fillId="2" borderId="20" xfId="51" applyFont="1" applyFill="1" applyBorder="1"/>
    <xf numFmtId="180" fontId="11" fillId="2" borderId="21" xfId="51" applyNumberFormat="1" applyFont="1" applyFill="1" applyBorder="1"/>
    <xf numFmtId="208" fontId="17" fillId="2" borderId="0" xfId="51" applyNumberFormat="1" applyFont="1" applyFill="1" applyAlignment="1">
      <alignment horizontal="left"/>
    </xf>
    <xf numFmtId="210" fontId="19" fillId="2" borderId="0" xfId="51" applyNumberFormat="1" applyFont="1" applyFill="1"/>
    <xf numFmtId="0" fontId="17" fillId="2" borderId="0" xfId="51" applyFont="1" applyFill="1" applyAlignment="1">
      <alignment horizontal="left" readingOrder="1"/>
    </xf>
    <xf numFmtId="0" fontId="17" fillId="2" borderId="0" xfId="51" applyFont="1" applyFill="1" applyAlignment="1">
      <alignment horizontal="left" wrapText="1" readingOrder="1"/>
    </xf>
    <xf numFmtId="0" fontId="17" fillId="2" borderId="0" xfId="51" applyFont="1" applyFill="1" applyAlignment="1">
      <alignment horizontal="left"/>
    </xf>
    <xf numFmtId="207" fontId="145" fillId="2" borderId="0" xfId="51" applyNumberFormat="1" applyFont="1" applyFill="1"/>
    <xf numFmtId="0" fontId="145" fillId="2" borderId="0" xfId="51" applyFont="1" applyFill="1"/>
    <xf numFmtId="14" fontId="19" fillId="2" borderId="0" xfId="51" applyNumberFormat="1" applyFont="1" applyFill="1"/>
    <xf numFmtId="0" fontId="4" fillId="0" borderId="0" xfId="0" applyFont="1"/>
    <xf numFmtId="0" fontId="5" fillId="0" borderId="0" xfId="0" applyFont="1" applyAlignment="1">
      <alignment wrapText="1"/>
    </xf>
    <xf numFmtId="0" fontId="5" fillId="0" borderId="0" xfId="0" applyFont="1"/>
    <xf numFmtId="0" fontId="19" fillId="0" borderId="0" xfId="0" applyFont="1" applyAlignment="1">
      <alignment wrapText="1"/>
    </xf>
    <xf numFmtId="0" fontId="17" fillId="0" borderId="0" xfId="0" applyFont="1" applyAlignment="1">
      <alignment horizontal="right"/>
    </xf>
    <xf numFmtId="0" fontId="26" fillId="0" borderId="0" xfId="0" applyFont="1" applyAlignment="1">
      <alignment horizontal="center"/>
    </xf>
    <xf numFmtId="0" fontId="8" fillId="3" borderId="39"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7" xfId="0" applyFont="1" applyFill="1" applyBorder="1" applyAlignment="1">
      <alignment horizontal="center" vertical="center" wrapText="1"/>
    </xf>
    <xf numFmtId="0" fontId="8" fillId="3" borderId="157" xfId="0" applyFont="1" applyFill="1" applyBorder="1" applyAlignment="1">
      <alignment horizontal="center" vertical="center" wrapText="1"/>
    </xf>
    <xf numFmtId="0" fontId="8" fillId="3" borderId="30" xfId="0" applyFont="1" applyFill="1" applyBorder="1" applyAlignment="1">
      <alignment horizontal="center" vertical="center" wrapText="1"/>
    </xf>
    <xf numFmtId="17" fontId="8" fillId="3" borderId="24" xfId="0" applyNumberFormat="1" applyFont="1" applyFill="1" applyBorder="1" applyAlignment="1">
      <alignment horizontal="left" vertical="center"/>
    </xf>
    <xf numFmtId="166" fontId="11" fillId="0" borderId="4" xfId="0" applyNumberFormat="1" applyFont="1" applyBorder="1" applyAlignment="1">
      <alignment horizontal="center" vertical="center" wrapText="1"/>
    </xf>
    <xf numFmtId="166" fontId="26" fillId="0" borderId="47" xfId="0" applyNumberFormat="1" applyFont="1" applyBorder="1" applyAlignment="1">
      <alignment horizontal="center" vertical="center" wrapText="1"/>
    </xf>
    <xf numFmtId="166" fontId="11" fillId="0" borderId="48" xfId="0" applyNumberFormat="1" applyFont="1" applyBorder="1" applyAlignment="1">
      <alignment horizontal="center" vertical="center" wrapText="1"/>
    </xf>
    <xf numFmtId="166" fontId="11" fillId="0" borderId="25" xfId="0" applyNumberFormat="1" applyFont="1" applyBorder="1" applyAlignment="1">
      <alignment horizontal="center" vertical="center" wrapText="1"/>
    </xf>
    <xf numFmtId="166" fontId="26" fillId="0" borderId="14" xfId="0" applyNumberFormat="1" applyFont="1" applyBorder="1" applyAlignment="1">
      <alignment horizontal="center" vertical="center" wrapText="1"/>
    </xf>
    <xf numFmtId="166" fontId="11" fillId="0" borderId="0" xfId="0" applyNumberFormat="1" applyFont="1" applyAlignment="1">
      <alignment horizontal="center"/>
    </xf>
    <xf numFmtId="0" fontId="11" fillId="0" borderId="0" xfId="0" applyFont="1"/>
    <xf numFmtId="17" fontId="8" fillId="3" borderId="26" xfId="0" applyNumberFormat="1" applyFont="1" applyFill="1" applyBorder="1" applyAlignment="1">
      <alignment horizontal="left" vertical="center"/>
    </xf>
    <xf numFmtId="166" fontId="11" fillId="0" borderId="36" xfId="0" applyNumberFormat="1" applyFont="1" applyBorder="1" applyAlignment="1">
      <alignment horizontal="center" vertical="center" wrapText="1"/>
    </xf>
    <xf numFmtId="166" fontId="26" fillId="0" borderId="46" xfId="0" applyNumberFormat="1" applyFont="1" applyBorder="1" applyAlignment="1">
      <alignment horizontal="center" vertical="center" wrapText="1"/>
    </xf>
    <xf numFmtId="166" fontId="11" fillId="0" borderId="128" xfId="0" applyNumberFormat="1" applyFont="1" applyBorder="1" applyAlignment="1">
      <alignment horizontal="center" vertical="center" wrapText="1"/>
    </xf>
    <xf numFmtId="166" fontId="11" fillId="0" borderId="32" xfId="0" applyNumberFormat="1" applyFont="1" applyBorder="1" applyAlignment="1">
      <alignment horizontal="center" vertical="center" wrapText="1"/>
    </xf>
    <xf numFmtId="166" fontId="26" fillId="0" borderId="16" xfId="0" applyNumberFormat="1" applyFont="1" applyBorder="1" applyAlignment="1">
      <alignment horizontal="center" vertical="center" wrapText="1"/>
    </xf>
    <xf numFmtId="17" fontId="8" fillId="3" borderId="27" xfId="0" applyNumberFormat="1" applyFont="1" applyFill="1" applyBorder="1" applyAlignment="1">
      <alignment horizontal="left" vertical="center"/>
    </xf>
    <xf numFmtId="166" fontId="11" fillId="0" borderId="6" xfId="0" applyNumberFormat="1" applyFont="1" applyBorder="1" applyAlignment="1">
      <alignment horizontal="center" vertical="center" wrapText="1"/>
    </xf>
    <xf numFmtId="166" fontId="26" fillId="0" borderId="129" xfId="0" applyNumberFormat="1" applyFont="1" applyBorder="1" applyAlignment="1">
      <alignment horizontal="center" vertical="center" wrapText="1"/>
    </xf>
    <xf numFmtId="166" fontId="11" fillId="0" borderId="59" xfId="0" applyNumberFormat="1" applyFont="1" applyBorder="1" applyAlignment="1">
      <alignment horizontal="center" vertical="center" wrapText="1"/>
    </xf>
    <xf numFmtId="166" fontId="11" fillId="0" borderId="196" xfId="0" applyNumberFormat="1" applyFont="1" applyBorder="1" applyAlignment="1">
      <alignment horizontal="center" vertical="center" wrapText="1"/>
    </xf>
    <xf numFmtId="166" fontId="26" fillId="0" borderId="21" xfId="0" applyNumberFormat="1" applyFont="1" applyBorder="1" applyAlignment="1">
      <alignment horizontal="center" vertical="center" wrapText="1"/>
    </xf>
    <xf numFmtId="0" fontId="17" fillId="0" borderId="0" xfId="0" applyFont="1" applyAlignment="1">
      <alignment horizontal="left" vertical="center"/>
    </xf>
    <xf numFmtId="0" fontId="17" fillId="0" borderId="0" xfId="0" applyFont="1" applyAlignment="1">
      <alignment horizontal="left" vertical="center" wrapText="1"/>
    </xf>
    <xf numFmtId="0" fontId="78" fillId="2" borderId="0" xfId="0" applyFont="1" applyFill="1"/>
    <xf numFmtId="166" fontId="19" fillId="0" borderId="0" xfId="0" applyNumberFormat="1" applyFont="1" applyAlignment="1">
      <alignment wrapText="1"/>
    </xf>
    <xf numFmtId="0" fontId="8" fillId="0" borderId="0" xfId="0" applyFont="1"/>
    <xf numFmtId="0" fontId="31" fillId="0" borderId="0" xfId="0" applyFont="1" applyAlignment="1">
      <alignment horizontal="center"/>
    </xf>
    <xf numFmtId="0" fontId="31" fillId="0" borderId="0" xfId="0" applyFont="1"/>
    <xf numFmtId="0" fontId="17" fillId="0" borderId="0" xfId="0" applyFont="1"/>
    <xf numFmtId="0" fontId="30" fillId="0" borderId="20" xfId="0" applyFont="1" applyBorder="1"/>
    <xf numFmtId="0" fontId="25" fillId="0" borderId="20" xfId="0" applyFont="1" applyBorder="1" applyAlignment="1">
      <alignment vertical="center"/>
    </xf>
    <xf numFmtId="0" fontId="8" fillId="3" borderId="124" xfId="0" applyFont="1" applyFill="1" applyBorder="1" applyAlignment="1">
      <alignment horizontal="center" vertical="center" wrapText="1"/>
    </xf>
    <xf numFmtId="0" fontId="8" fillId="3" borderId="61" xfId="0" applyFont="1" applyFill="1" applyBorder="1" applyAlignment="1">
      <alignment horizontal="center" vertical="center" wrapText="1"/>
    </xf>
    <xf numFmtId="175" fontId="26" fillId="3" borderId="284" xfId="0" applyNumberFormat="1" applyFont="1" applyFill="1" applyBorder="1" applyAlignment="1">
      <alignment horizontal="center" vertical="center"/>
    </xf>
    <xf numFmtId="175" fontId="26" fillId="3" borderId="285" xfId="0" applyNumberFormat="1" applyFont="1" applyFill="1" applyBorder="1" applyAlignment="1">
      <alignment horizontal="center" vertical="center"/>
    </xf>
    <xf numFmtId="175" fontId="26" fillId="3" borderId="286" xfId="0" applyNumberFormat="1" applyFont="1" applyFill="1" applyBorder="1" applyAlignment="1">
      <alignment horizontal="center" vertical="center"/>
    </xf>
    <xf numFmtId="175" fontId="26" fillId="3" borderId="122" xfId="0" applyNumberFormat="1" applyFont="1" applyFill="1" applyBorder="1" applyAlignment="1">
      <alignment horizontal="center" vertical="center"/>
    </xf>
    <xf numFmtId="175" fontId="4" fillId="3" borderId="122" xfId="0" applyNumberFormat="1" applyFont="1" applyFill="1" applyBorder="1" applyAlignment="1">
      <alignment horizontal="center" vertical="center"/>
    </xf>
    <xf numFmtId="175" fontId="4" fillId="3" borderId="123" xfId="0" applyNumberFormat="1" applyFont="1" applyFill="1" applyBorder="1" applyAlignment="1">
      <alignment horizontal="center" vertical="center"/>
    </xf>
    <xf numFmtId="175" fontId="4" fillId="3" borderId="61" xfId="0" applyNumberFormat="1" applyFont="1" applyFill="1" applyBorder="1" applyAlignment="1">
      <alignment horizontal="center" vertical="center"/>
    </xf>
    <xf numFmtId="175" fontId="4" fillId="3" borderId="64" xfId="0" applyNumberFormat="1" applyFont="1" applyFill="1" applyBorder="1" applyAlignment="1">
      <alignment horizontal="center" vertical="center"/>
    </xf>
    <xf numFmtId="175" fontId="8" fillId="3" borderId="64" xfId="0" applyNumberFormat="1" applyFont="1" applyFill="1" applyBorder="1" applyAlignment="1">
      <alignment horizontal="center" vertical="center"/>
    </xf>
    <xf numFmtId="0" fontId="19" fillId="0" borderId="0" xfId="0" applyFont="1" applyAlignment="1">
      <alignment vertical="center"/>
    </xf>
    <xf numFmtId="0" fontId="8" fillId="3" borderId="13" xfId="0" applyFont="1" applyFill="1" applyBorder="1" applyAlignment="1">
      <alignment horizontal="center" wrapText="1"/>
    </xf>
    <xf numFmtId="0" fontId="8" fillId="3" borderId="17" xfId="0" applyFont="1" applyFill="1" applyBorder="1" applyAlignment="1">
      <alignment horizontal="left" wrapText="1"/>
    </xf>
    <xf numFmtId="173" fontId="11" fillId="0" borderId="287" xfId="0" applyNumberFormat="1" applyFont="1" applyBorder="1" applyAlignment="1">
      <alignment horizontal="center" vertical="center" wrapText="1"/>
    </xf>
    <xf numFmtId="173" fontId="11" fillId="0" borderId="288" xfId="0" applyNumberFormat="1" applyFont="1" applyBorder="1" applyAlignment="1">
      <alignment horizontal="center" vertical="center" wrapText="1"/>
    </xf>
    <xf numFmtId="173" fontId="11" fillId="0" borderId="235" xfId="0" applyNumberFormat="1" applyFont="1" applyBorder="1" applyAlignment="1">
      <alignment horizontal="center" vertical="center" wrapText="1"/>
    </xf>
    <xf numFmtId="173" fontId="11" fillId="0" borderId="36" xfId="0" applyNumberFormat="1" applyFont="1" applyBorder="1" applyAlignment="1">
      <alignment horizontal="center" vertical="center" wrapText="1"/>
    </xf>
    <xf numFmtId="173" fontId="24" fillId="0" borderId="36" xfId="0" applyNumberFormat="1" applyFont="1" applyBorder="1" applyAlignment="1">
      <alignment horizontal="center" vertical="center" wrapText="1"/>
    </xf>
    <xf numFmtId="173" fontId="24" fillId="0" borderId="38" xfId="0" applyNumberFormat="1" applyFont="1" applyBorder="1" applyAlignment="1">
      <alignment horizontal="center" vertical="center" wrapText="1"/>
    </xf>
    <xf numFmtId="173" fontId="24" fillId="0" borderId="17" xfId="0" applyNumberFormat="1" applyFont="1" applyBorder="1" applyAlignment="1">
      <alignment horizontal="center" vertical="center" wrapText="1"/>
    </xf>
    <xf numFmtId="173" fontId="24" fillId="0" borderId="18" xfId="0" applyNumberFormat="1" applyFont="1" applyBorder="1" applyAlignment="1">
      <alignment horizontal="center" vertical="center" wrapText="1"/>
    </xf>
    <xf numFmtId="173" fontId="11" fillId="0" borderId="18" xfId="0" applyNumberFormat="1" applyFont="1" applyBorder="1" applyAlignment="1">
      <alignment horizontal="center" vertical="center" wrapText="1"/>
    </xf>
    <xf numFmtId="173" fontId="11" fillId="0" borderId="18" xfId="0" applyNumberFormat="1" applyFont="1" applyFill="1" applyBorder="1" applyAlignment="1">
      <alignment horizontal="center" vertical="center" wrapText="1"/>
    </xf>
    <xf numFmtId="173" fontId="19" fillId="0" borderId="0" xfId="0" applyNumberFormat="1" applyFont="1"/>
    <xf numFmtId="0" fontId="8" fillId="3" borderId="3" xfId="0" applyFont="1" applyFill="1" applyBorder="1" applyAlignment="1">
      <alignment horizontal="center" wrapText="1"/>
    </xf>
    <xf numFmtId="0" fontId="8" fillId="3" borderId="18" xfId="0" applyFont="1" applyFill="1" applyBorder="1" applyAlignment="1">
      <alignment horizontal="left" wrapText="1"/>
    </xf>
    <xf numFmtId="173" fontId="11" fillId="0" borderId="163" xfId="0" applyNumberFormat="1" applyFont="1" applyBorder="1" applyAlignment="1">
      <alignment horizontal="center" vertical="center" wrapText="1"/>
    </xf>
    <xf numFmtId="173" fontId="11" fillId="0" borderId="138" xfId="0" applyNumberFormat="1" applyFont="1" applyBorder="1" applyAlignment="1">
      <alignment horizontal="center" vertical="center" wrapText="1"/>
    </xf>
    <xf numFmtId="173" fontId="11" fillId="0" borderId="218" xfId="0" applyNumberFormat="1" applyFont="1" applyBorder="1" applyAlignment="1">
      <alignment horizontal="center" vertical="center" wrapText="1"/>
    </xf>
    <xf numFmtId="173" fontId="11" fillId="0" borderId="4" xfId="0" applyNumberFormat="1" applyFont="1" applyBorder="1" applyAlignment="1">
      <alignment horizontal="center" vertical="center" wrapText="1"/>
    </xf>
    <xf numFmtId="173" fontId="24" fillId="0" borderId="4" xfId="0" applyNumberFormat="1" applyFont="1" applyBorder="1" applyAlignment="1">
      <alignment horizontal="center" vertical="center" wrapText="1"/>
    </xf>
    <xf numFmtId="173" fontId="24" fillId="0" borderId="41" xfId="0" applyNumberFormat="1" applyFont="1" applyBorder="1" applyAlignment="1">
      <alignment horizontal="center" vertical="center" wrapText="1"/>
    </xf>
    <xf numFmtId="0" fontId="8" fillId="3" borderId="3" xfId="0" applyFont="1" applyFill="1" applyBorder="1" applyAlignment="1">
      <alignment horizontal="center" vertical="top" wrapText="1"/>
    </xf>
    <xf numFmtId="173" fontId="11" fillId="0" borderId="289" xfId="0" applyNumberFormat="1" applyFont="1" applyBorder="1" applyAlignment="1">
      <alignment horizontal="center" vertical="center" wrapText="1"/>
    </xf>
    <xf numFmtId="173" fontId="11" fillId="0" borderId="14" xfId="0" applyNumberFormat="1" applyFont="1" applyBorder="1" applyAlignment="1">
      <alignment horizontal="center" vertical="center" wrapText="1"/>
    </xf>
    <xf numFmtId="0" fontId="8" fillId="3" borderId="99" xfId="0" applyFont="1" applyFill="1" applyBorder="1" applyAlignment="1">
      <alignment horizontal="center" wrapText="1"/>
    </xf>
    <xf numFmtId="0" fontId="8" fillId="3" borderId="192" xfId="0" applyFont="1" applyFill="1" applyBorder="1" applyAlignment="1">
      <alignment horizontal="left" wrapText="1"/>
    </xf>
    <xf numFmtId="173" fontId="11" fillId="0" borderId="290" xfId="0" applyNumberFormat="1" applyFont="1" applyBorder="1" applyAlignment="1">
      <alignment horizontal="center" vertical="center" wrapText="1"/>
    </xf>
    <xf numFmtId="173" fontId="11" fillId="0" borderId="291" xfId="0" applyNumberFormat="1" applyFont="1" applyBorder="1" applyAlignment="1">
      <alignment horizontal="center" vertical="center" wrapText="1"/>
    </xf>
    <xf numFmtId="173" fontId="11" fillId="0" borderId="236" xfId="0" applyNumberFormat="1" applyFont="1" applyBorder="1" applyAlignment="1">
      <alignment horizontal="center" vertical="center" wrapText="1"/>
    </xf>
    <xf numFmtId="173" fontId="11" fillId="0" borderId="37" xfId="0" applyNumberFormat="1" applyFont="1" applyBorder="1" applyAlignment="1">
      <alignment horizontal="center" vertical="center" wrapText="1"/>
    </xf>
    <xf numFmtId="173" fontId="24" fillId="0" borderId="37" xfId="0" applyNumberFormat="1" applyFont="1" applyBorder="1" applyAlignment="1">
      <alignment horizontal="center" vertical="center" wrapText="1"/>
    </xf>
    <xf numFmtId="173" fontId="24" fillId="0" borderId="40" xfId="0" applyNumberFormat="1" applyFont="1" applyBorder="1" applyAlignment="1">
      <alignment horizontal="center" vertical="center" wrapText="1"/>
    </xf>
    <xf numFmtId="173" fontId="24" fillId="0" borderId="192" xfId="0" applyNumberFormat="1" applyFont="1" applyBorder="1" applyAlignment="1">
      <alignment horizontal="center" vertical="center" wrapText="1"/>
    </xf>
    <xf numFmtId="173" fontId="11" fillId="0" borderId="192" xfId="0" applyNumberFormat="1" applyFont="1" applyBorder="1" applyAlignment="1">
      <alignment horizontal="center" vertical="center" wrapText="1"/>
    </xf>
    <xf numFmtId="173" fontId="11" fillId="0" borderId="192" xfId="0" applyNumberFormat="1" applyFont="1" applyFill="1" applyBorder="1" applyAlignment="1">
      <alignment horizontal="center" vertical="center" wrapText="1"/>
    </xf>
    <xf numFmtId="0" fontId="8" fillId="3" borderId="5" xfId="0" applyFont="1" applyFill="1" applyBorder="1" applyAlignment="1">
      <alignment horizontal="center" wrapText="1"/>
    </xf>
    <xf numFmtId="0" fontId="8" fillId="3" borderId="19" xfId="0" applyFont="1" applyFill="1" applyBorder="1" applyAlignment="1">
      <alignment wrapText="1"/>
    </xf>
    <xf numFmtId="173" fontId="26" fillId="0" borderId="219" xfId="0" applyNumberFormat="1" applyFont="1" applyBorder="1" applyAlignment="1">
      <alignment horizontal="center" vertical="center" wrapText="1"/>
    </xf>
    <xf numFmtId="173" fontId="26" fillId="0" borderId="142" xfId="0" applyNumberFormat="1" applyFont="1" applyBorder="1" applyAlignment="1">
      <alignment horizontal="center" vertical="center" wrapText="1"/>
    </xf>
    <xf numFmtId="173" fontId="26" fillId="0" borderId="220" xfId="0" applyNumberFormat="1" applyFont="1" applyBorder="1" applyAlignment="1">
      <alignment horizontal="center" vertical="center" wrapText="1"/>
    </xf>
    <xf numFmtId="173" fontId="26" fillId="0" borderId="233" xfId="0" applyNumberFormat="1" applyFont="1" applyBorder="1" applyAlignment="1">
      <alignment horizontal="center" vertical="center" wrapText="1"/>
    </xf>
    <xf numFmtId="173" fontId="4" fillId="0" borderId="233" xfId="0" applyNumberFormat="1" applyFont="1" applyBorder="1" applyAlignment="1">
      <alignment horizontal="center" vertical="center" wrapText="1"/>
    </xf>
    <xf numFmtId="173" fontId="4" fillId="0" borderId="234" xfId="0" applyNumberFormat="1" applyFont="1" applyBorder="1" applyAlignment="1">
      <alignment horizontal="center" vertical="center" wrapText="1"/>
    </xf>
    <xf numFmtId="173" fontId="4" fillId="0" borderId="292" xfId="0" applyNumberFormat="1" applyFont="1" applyBorder="1" applyAlignment="1">
      <alignment horizontal="center" vertical="center" wrapText="1"/>
    </xf>
    <xf numFmtId="173" fontId="4" fillId="0" borderId="19" xfId="0" applyNumberFormat="1" applyFont="1" applyBorder="1" applyAlignment="1">
      <alignment horizontal="center" vertical="center" wrapText="1"/>
    </xf>
    <xf numFmtId="173" fontId="26" fillId="0" borderId="19" xfId="0" applyNumberFormat="1" applyFont="1" applyBorder="1" applyAlignment="1">
      <alignment horizontal="center" vertical="center" wrapText="1"/>
    </xf>
    <xf numFmtId="173" fontId="26" fillId="0" borderId="19" xfId="0" applyNumberFormat="1" applyFont="1" applyFill="1" applyBorder="1" applyAlignment="1">
      <alignment horizontal="center" vertical="center" wrapText="1"/>
    </xf>
    <xf numFmtId="0" fontId="17" fillId="0" borderId="0" xfId="0" applyFont="1" applyAlignment="1">
      <alignment horizontal="left"/>
    </xf>
    <xf numFmtId="0" fontId="17" fillId="0" borderId="0" xfId="0" applyFont="1" applyAlignment="1">
      <alignment wrapText="1"/>
    </xf>
    <xf numFmtId="0" fontId="17" fillId="2" borderId="0" xfId="52" applyFont="1" applyFill="1" applyAlignment="1">
      <alignment horizontal="left"/>
    </xf>
    <xf numFmtId="0" fontId="17" fillId="2" borderId="0" xfId="52" applyFont="1" applyFill="1" applyAlignment="1">
      <alignment horizontal="left" wrapText="1"/>
    </xf>
    <xf numFmtId="173" fontId="17" fillId="0" borderId="0" xfId="0" applyNumberFormat="1" applyFont="1" applyAlignment="1">
      <alignment horizontal="left"/>
    </xf>
    <xf numFmtId="0" fontId="17" fillId="2" borderId="0" xfId="52" applyFont="1" applyFill="1" applyAlignment="1"/>
    <xf numFmtId="0" fontId="146" fillId="2" borderId="0" xfId="24" applyFont="1" applyFill="1" applyAlignment="1"/>
    <xf numFmtId="0" fontId="146" fillId="2" borderId="0" xfId="24" applyFont="1" applyFill="1" applyAlignment="1">
      <alignment horizontal="left"/>
    </xf>
    <xf numFmtId="0" fontId="19" fillId="0" borderId="0" xfId="0" applyFont="1" applyAlignment="1">
      <alignment horizontal="center"/>
    </xf>
    <xf numFmtId="173" fontId="11" fillId="0" borderId="293" xfId="0" applyNumberFormat="1" applyFont="1" applyBorder="1" applyAlignment="1">
      <alignment horizontal="center" vertical="center" wrapText="1"/>
    </xf>
    <xf numFmtId="0" fontId="4" fillId="2" borderId="0" xfId="0" applyFont="1" applyFill="1"/>
    <xf numFmtId="0" fontId="8" fillId="3" borderId="64" xfId="0" applyFont="1" applyFill="1" applyBorder="1" applyAlignment="1">
      <alignment vertical="center"/>
    </xf>
    <xf numFmtId="0" fontId="8" fillId="3" borderId="64" xfId="0" applyFont="1" applyFill="1" applyBorder="1" applyAlignment="1">
      <alignment horizontal="center" vertical="center"/>
    </xf>
    <xf numFmtId="17" fontId="8" fillId="3" borderId="18" xfId="0" applyNumberFormat="1" applyFont="1" applyFill="1" applyBorder="1" applyAlignment="1">
      <alignment vertical="center"/>
    </xf>
    <xf numFmtId="173" fontId="11" fillId="2" borderId="18" xfId="0" applyNumberFormat="1" applyFont="1" applyFill="1" applyBorder="1" applyAlignment="1">
      <alignment horizontal="center" wrapText="1"/>
    </xf>
    <xf numFmtId="173" fontId="26" fillId="2" borderId="18" xfId="0" applyNumberFormat="1" applyFont="1" applyFill="1" applyBorder="1" applyAlignment="1">
      <alignment horizontal="center" wrapText="1"/>
    </xf>
    <xf numFmtId="17" fontId="8" fillId="3" borderId="17" xfId="0" applyNumberFormat="1" applyFont="1" applyFill="1" applyBorder="1" applyAlignment="1">
      <alignment vertical="center"/>
    </xf>
    <xf numFmtId="173" fontId="11" fillId="2" borderId="17" xfId="0" applyNumberFormat="1" applyFont="1" applyFill="1" applyBorder="1" applyAlignment="1">
      <alignment horizontal="center" wrapText="1"/>
    </xf>
    <xf numFmtId="173" fontId="26" fillId="2" borderId="17" xfId="0" applyNumberFormat="1" applyFont="1" applyFill="1" applyBorder="1" applyAlignment="1">
      <alignment horizontal="center" wrapText="1"/>
    </xf>
    <xf numFmtId="173" fontId="78" fillId="2" borderId="0" xfId="0" applyNumberFormat="1" applyFont="1" applyFill="1"/>
    <xf numFmtId="17" fontId="8" fillId="3" borderId="19" xfId="0" applyNumberFormat="1" applyFont="1" applyFill="1" applyBorder="1" applyAlignment="1">
      <alignment vertical="center"/>
    </xf>
    <xf numFmtId="173" fontId="11" fillId="2" borderId="19" xfId="0" applyNumberFormat="1" applyFont="1" applyFill="1" applyBorder="1" applyAlignment="1">
      <alignment horizontal="center" wrapText="1"/>
    </xf>
    <xf numFmtId="173" fontId="26" fillId="2" borderId="19" xfId="0" applyNumberFormat="1" applyFont="1" applyFill="1" applyBorder="1" applyAlignment="1">
      <alignment horizontal="center" wrapText="1"/>
    </xf>
    <xf numFmtId="0" fontId="17" fillId="2" borderId="0" xfId="52" applyFont="1" applyFill="1" applyBorder="1" applyAlignment="1"/>
    <xf numFmtId="173" fontId="17" fillId="0" borderId="0" xfId="0" applyNumberFormat="1" applyFont="1"/>
    <xf numFmtId="0" fontId="83" fillId="2" borderId="0" xfId="0" applyFont="1" applyFill="1" applyAlignment="1">
      <alignment vertical="center"/>
    </xf>
    <xf numFmtId="0" fontId="17" fillId="2" borderId="0" xfId="0" applyFont="1" applyFill="1" applyAlignment="1">
      <alignment horizontal="left" vertical="center"/>
    </xf>
    <xf numFmtId="0" fontId="83" fillId="2" borderId="0" xfId="0" applyFont="1" applyFill="1" applyAlignment="1">
      <alignment horizontal="left" vertical="center"/>
    </xf>
    <xf numFmtId="0" fontId="4" fillId="2" borderId="0" xfId="0" applyFont="1" applyFill="1" applyAlignment="1">
      <alignment horizontal="left"/>
    </xf>
    <xf numFmtId="166" fontId="8" fillId="2" borderId="0" xfId="0" applyNumberFormat="1" applyFont="1" applyFill="1" applyAlignment="1">
      <alignment horizontal="center"/>
    </xf>
    <xf numFmtId="166" fontId="5" fillId="2" borderId="0" xfId="0" applyNumberFormat="1" applyFont="1" applyFill="1" applyAlignment="1">
      <alignment horizontal="center"/>
    </xf>
    <xf numFmtId="0" fontId="19" fillId="2" borderId="0" xfId="0" applyFont="1" applyFill="1" applyAlignment="1">
      <alignment horizontal="center"/>
    </xf>
    <xf numFmtId="166" fontId="19" fillId="2" borderId="0" xfId="0" applyNumberFormat="1" applyFont="1" applyFill="1" applyAlignment="1">
      <alignment horizontal="center"/>
    </xf>
    <xf numFmtId="166" fontId="17" fillId="2" borderId="0" xfId="0" applyNumberFormat="1" applyFont="1" applyFill="1" applyAlignment="1">
      <alignment horizontal="center"/>
    </xf>
    <xf numFmtId="166" fontId="17" fillId="2" borderId="20" xfId="0" applyNumberFormat="1" applyFont="1" applyFill="1" applyBorder="1" applyAlignment="1"/>
    <xf numFmtId="166" fontId="8" fillId="3" borderId="297" xfId="0" applyNumberFormat="1" applyFont="1" applyFill="1" applyBorder="1" applyAlignment="1">
      <alignment horizontal="center"/>
    </xf>
    <xf numFmtId="166" fontId="8" fillId="3" borderId="298" xfId="0" applyNumberFormat="1" applyFont="1" applyFill="1" applyBorder="1" applyAlignment="1">
      <alignment horizontal="center"/>
    </xf>
    <xf numFmtId="166" fontId="8" fillId="3" borderId="132" xfId="0" applyNumberFormat="1" applyFont="1" applyFill="1" applyBorder="1" applyAlignment="1">
      <alignment horizontal="center"/>
    </xf>
    <xf numFmtId="166" fontId="8" fillId="3" borderId="299" xfId="0" applyNumberFormat="1" applyFont="1" applyFill="1" applyBorder="1" applyAlignment="1">
      <alignment horizontal="center"/>
    </xf>
    <xf numFmtId="166" fontId="8" fillId="3" borderId="39" xfId="0" applyNumberFormat="1" applyFont="1" applyFill="1" applyBorder="1" applyAlignment="1">
      <alignment horizontal="center"/>
    </xf>
    <xf numFmtId="166" fontId="8" fillId="3" borderId="282" xfId="0" applyNumberFormat="1" applyFont="1" applyFill="1" applyBorder="1" applyAlignment="1">
      <alignment horizontal="center"/>
    </xf>
    <xf numFmtId="166" fontId="8" fillId="3" borderId="300" xfId="0" applyNumberFormat="1" applyFont="1" applyFill="1" applyBorder="1" applyAlignment="1">
      <alignment horizontal="center"/>
    </xf>
    <xf numFmtId="166" fontId="8" fillId="3" borderId="300" xfId="0" applyNumberFormat="1" applyFont="1" applyFill="1" applyBorder="1" applyAlignment="1">
      <alignment horizontal="center" vertical="center"/>
    </xf>
    <xf numFmtId="0" fontId="5" fillId="3" borderId="3" xfId="0" applyFont="1" applyFill="1" applyBorder="1" applyAlignment="1">
      <alignment horizontal="center"/>
    </xf>
    <xf numFmtId="0" fontId="5" fillId="3" borderId="17" xfId="0" applyFont="1" applyFill="1" applyBorder="1"/>
    <xf numFmtId="166" fontId="11" fillId="2" borderId="163" xfId="0" applyNumberFormat="1" applyFont="1" applyFill="1" applyBorder="1" applyAlignment="1">
      <alignment horizontal="center"/>
    </xf>
    <xf numFmtId="166" fontId="11" fillId="2" borderId="138" xfId="0" applyNumberFormat="1" applyFont="1" applyFill="1" applyBorder="1" applyAlignment="1">
      <alignment horizontal="center"/>
    </xf>
    <xf numFmtId="166" fontId="11" fillId="2" borderId="0" xfId="0" applyNumberFormat="1" applyFont="1" applyFill="1" applyAlignment="1">
      <alignment horizontal="center"/>
    </xf>
    <xf numFmtId="166" fontId="11" fillId="2" borderId="36" xfId="0" applyNumberFormat="1" applyFont="1" applyFill="1" applyBorder="1" applyAlignment="1">
      <alignment horizontal="center"/>
    </xf>
    <xf numFmtId="166" fontId="24" fillId="2" borderId="36" xfId="0" applyNumberFormat="1" applyFont="1" applyFill="1" applyBorder="1" applyAlignment="1">
      <alignment horizontal="center"/>
    </xf>
    <xf numFmtId="166" fontId="24" fillId="2" borderId="38" xfId="0" applyNumberFormat="1" applyFont="1" applyFill="1" applyBorder="1" applyAlignment="1">
      <alignment horizontal="center"/>
    </xf>
    <xf numFmtId="166" fontId="24" fillId="2" borderId="17" xfId="0" applyNumberFormat="1" applyFont="1" applyFill="1" applyBorder="1" applyAlignment="1">
      <alignment horizontal="center"/>
    </xf>
    <xf numFmtId="166" fontId="11" fillId="2" borderId="17" xfId="0" applyNumberFormat="1" applyFont="1" applyFill="1" applyBorder="1" applyAlignment="1">
      <alignment horizontal="center"/>
    </xf>
    <xf numFmtId="166" fontId="0" fillId="2" borderId="0" xfId="0" applyNumberFormat="1" applyFill="1"/>
    <xf numFmtId="0" fontId="5" fillId="3" borderId="18" xfId="0" applyFont="1" applyFill="1" applyBorder="1"/>
    <xf numFmtId="166" fontId="11" fillId="2" borderId="4" xfId="0" applyNumberFormat="1" applyFont="1" applyFill="1" applyBorder="1" applyAlignment="1">
      <alignment horizontal="center"/>
    </xf>
    <xf numFmtId="166" fontId="24" fillId="2" borderId="4" xfId="0" applyNumberFormat="1" applyFont="1" applyFill="1" applyBorder="1" applyAlignment="1">
      <alignment horizontal="center"/>
    </xf>
    <xf numFmtId="166" fontId="24" fillId="2" borderId="41" xfId="0" applyNumberFormat="1" applyFont="1" applyFill="1" applyBorder="1" applyAlignment="1">
      <alignment horizontal="center"/>
    </xf>
    <xf numFmtId="166" fontId="24" fillId="2" borderId="18" xfId="0" applyNumberFormat="1" applyFont="1" applyFill="1" applyBorder="1" applyAlignment="1">
      <alignment horizontal="center"/>
    </xf>
    <xf numFmtId="166" fontId="11" fillId="2" borderId="18" xfId="0" applyNumberFormat="1" applyFont="1" applyFill="1" applyBorder="1" applyAlignment="1">
      <alignment horizontal="center"/>
    </xf>
    <xf numFmtId="166" fontId="11" fillId="2" borderId="218" xfId="0" applyNumberFormat="1" applyFont="1" applyFill="1" applyBorder="1" applyAlignment="1">
      <alignment horizontal="center"/>
    </xf>
    <xf numFmtId="0" fontId="5" fillId="3" borderId="192" xfId="0" applyFont="1" applyFill="1" applyBorder="1"/>
    <xf numFmtId="166" fontId="11" fillId="2" borderId="37" xfId="0" applyNumberFormat="1" applyFont="1" applyFill="1" applyBorder="1" applyAlignment="1">
      <alignment horizontal="center"/>
    </xf>
    <xf numFmtId="166" fontId="24" fillId="2" borderId="37" xfId="0" applyNumberFormat="1" applyFont="1" applyFill="1" applyBorder="1" applyAlignment="1">
      <alignment horizontal="center"/>
    </xf>
    <xf numFmtId="166" fontId="24" fillId="2" borderId="40" xfId="0" applyNumberFormat="1" applyFont="1" applyFill="1" applyBorder="1" applyAlignment="1">
      <alignment horizontal="center"/>
    </xf>
    <xf numFmtId="166" fontId="24" fillId="2" borderId="192" xfId="0" applyNumberFormat="1" applyFont="1" applyFill="1" applyBorder="1" applyAlignment="1">
      <alignment horizontal="center"/>
    </xf>
    <xf numFmtId="166" fontId="11" fillId="2" borderId="192" xfId="0" applyNumberFormat="1" applyFont="1" applyFill="1" applyBorder="1" applyAlignment="1">
      <alignment horizontal="center"/>
    </xf>
    <xf numFmtId="0" fontId="26" fillId="3" borderId="9" xfId="0" applyFont="1" applyFill="1" applyBorder="1" applyAlignment="1">
      <alignment horizontal="center" wrapText="1"/>
    </xf>
    <xf numFmtId="0" fontId="8" fillId="3" borderId="192" xfId="0" applyFont="1" applyFill="1" applyBorder="1" applyAlignment="1">
      <alignment vertical="center" wrapText="1"/>
    </xf>
    <xf numFmtId="166" fontId="8" fillId="2" borderId="297" xfId="0" applyNumberFormat="1" applyFont="1" applyFill="1" applyBorder="1" applyAlignment="1">
      <alignment horizontal="center" vertical="center" wrapText="1"/>
    </xf>
    <xf numFmtId="166" fontId="8" fillId="2" borderId="132" xfId="0" applyNumberFormat="1" applyFont="1" applyFill="1" applyBorder="1" applyAlignment="1">
      <alignment horizontal="center" vertical="center" wrapText="1"/>
    </xf>
    <xf numFmtId="166" fontId="8" fillId="2" borderId="131" xfId="0" applyNumberFormat="1" applyFont="1" applyFill="1" applyBorder="1" applyAlignment="1">
      <alignment horizontal="center" vertical="center" wrapText="1"/>
    </xf>
    <xf numFmtId="166" fontId="8" fillId="2" borderId="37" xfId="0" applyNumberFormat="1" applyFont="1" applyFill="1" applyBorder="1" applyAlignment="1">
      <alignment horizontal="center" vertical="center" wrapText="1"/>
    </xf>
    <xf numFmtId="166" fontId="8" fillId="2" borderId="40" xfId="0" applyNumberFormat="1" applyFont="1" applyFill="1" applyBorder="1" applyAlignment="1">
      <alignment horizontal="center" vertical="center" wrapText="1"/>
    </xf>
    <xf numFmtId="166" fontId="8" fillId="2" borderId="192" xfId="0" applyNumberFormat="1" applyFont="1" applyFill="1" applyBorder="1" applyAlignment="1">
      <alignment horizontal="center" vertical="center" wrapText="1"/>
    </xf>
    <xf numFmtId="166" fontId="26" fillId="2" borderId="192" xfId="0" applyNumberFormat="1" applyFont="1" applyFill="1" applyBorder="1" applyAlignment="1">
      <alignment horizontal="center" vertical="center" wrapText="1"/>
    </xf>
    <xf numFmtId="166" fontId="26" fillId="0" borderId="192" xfId="0" applyNumberFormat="1" applyFont="1" applyFill="1" applyBorder="1" applyAlignment="1">
      <alignment horizontal="center" vertical="center" wrapText="1"/>
    </xf>
    <xf numFmtId="0" fontId="5" fillId="3" borderId="13" xfId="0" applyFont="1" applyFill="1" applyBorder="1" applyAlignment="1">
      <alignment horizontal="center"/>
    </xf>
    <xf numFmtId="166" fontId="5" fillId="2" borderId="163" xfId="0" applyNumberFormat="1" applyFont="1" applyFill="1" applyBorder="1" applyAlignment="1">
      <alignment horizontal="center"/>
    </xf>
    <xf numFmtId="166" fontId="5" fillId="2" borderId="36" xfId="0" applyNumberFormat="1" applyFont="1" applyFill="1" applyBorder="1" applyAlignment="1">
      <alignment horizontal="center"/>
    </xf>
    <xf numFmtId="166" fontId="5" fillId="2" borderId="32" xfId="0" applyNumberFormat="1" applyFont="1" applyFill="1" applyBorder="1" applyAlignment="1">
      <alignment horizontal="center"/>
    </xf>
    <xf numFmtId="166" fontId="5" fillId="2" borderId="17" xfId="0" applyNumberFormat="1" applyFont="1" applyFill="1" applyBorder="1" applyAlignment="1">
      <alignment horizontal="center"/>
    </xf>
    <xf numFmtId="166" fontId="5" fillId="2" borderId="4" xfId="0" applyNumberFormat="1" applyFont="1" applyFill="1" applyBorder="1" applyAlignment="1">
      <alignment horizontal="center"/>
    </xf>
    <xf numFmtId="166" fontId="5" fillId="2" borderId="25" xfId="0" applyNumberFormat="1" applyFont="1" applyFill="1" applyBorder="1" applyAlignment="1">
      <alignment horizontal="center"/>
    </xf>
    <xf numFmtId="166" fontId="5" fillId="2" borderId="18" xfId="0" applyNumberFormat="1" applyFont="1" applyFill="1" applyBorder="1" applyAlignment="1">
      <alignment horizontal="center"/>
    </xf>
    <xf numFmtId="166" fontId="5" fillId="2" borderId="138" xfId="0" applyNumberFormat="1" applyFont="1" applyFill="1" applyBorder="1" applyAlignment="1">
      <alignment horizontal="center"/>
    </xf>
    <xf numFmtId="166" fontId="5" fillId="2" borderId="41" xfId="0" applyNumberFormat="1" applyFont="1" applyFill="1" applyBorder="1" applyAlignment="1">
      <alignment horizontal="center"/>
    </xf>
    <xf numFmtId="0" fontId="5" fillId="3" borderId="99" xfId="0" applyFont="1" applyFill="1" applyBorder="1" applyAlignment="1">
      <alignment horizontal="center"/>
    </xf>
    <xf numFmtId="166" fontId="5" fillId="2" borderId="37" xfId="0" applyNumberFormat="1" applyFont="1" applyFill="1" applyBorder="1" applyAlignment="1">
      <alignment horizontal="center"/>
    </xf>
    <xf numFmtId="166" fontId="5" fillId="2" borderId="45" xfId="0" applyNumberFormat="1" applyFont="1" applyFill="1" applyBorder="1" applyAlignment="1">
      <alignment horizontal="center"/>
    </xf>
    <xf numFmtId="166" fontId="5" fillId="2" borderId="192" xfId="0" applyNumberFormat="1" applyFont="1" applyFill="1" applyBorder="1" applyAlignment="1">
      <alignment horizontal="center"/>
    </xf>
    <xf numFmtId="166" fontId="8" fillId="2" borderId="301" xfId="0" applyNumberFormat="1" applyFont="1" applyFill="1" applyBorder="1" applyAlignment="1">
      <alignment horizontal="center" vertical="center" wrapText="1"/>
    </xf>
    <xf numFmtId="166" fontId="8" fillId="2" borderId="45" xfId="0" applyNumberFormat="1" applyFont="1" applyFill="1" applyBorder="1" applyAlignment="1">
      <alignment horizontal="center" vertical="center" wrapText="1"/>
    </xf>
    <xf numFmtId="0" fontId="8" fillId="3" borderId="97" xfId="0" applyFont="1" applyFill="1" applyBorder="1" applyAlignment="1">
      <alignment horizontal="center" wrapText="1"/>
    </xf>
    <xf numFmtId="166" fontId="8" fillId="2" borderId="302" xfId="0" applyNumberFormat="1" applyFont="1" applyFill="1" applyBorder="1" applyAlignment="1">
      <alignment horizontal="center" vertical="center" wrapText="1"/>
    </xf>
    <xf numFmtId="0" fontId="5" fillId="3" borderId="38" xfId="0" applyFont="1" applyFill="1" applyBorder="1"/>
    <xf numFmtId="0" fontId="5" fillId="3" borderId="41" xfId="0" applyFont="1" applyFill="1" applyBorder="1"/>
    <xf numFmtId="0" fontId="5" fillId="3" borderId="40" xfId="0" applyFont="1" applyFill="1" applyBorder="1"/>
    <xf numFmtId="0" fontId="8" fillId="3" borderId="40" xfId="0" applyFont="1" applyFill="1" applyBorder="1" applyAlignment="1">
      <alignment vertical="center" wrapText="1"/>
    </xf>
    <xf numFmtId="166" fontId="8" fillId="2" borderId="136" xfId="0" applyNumberFormat="1" applyFont="1" applyFill="1" applyBorder="1" applyAlignment="1">
      <alignment horizontal="center" vertical="center" wrapText="1"/>
    </xf>
    <xf numFmtId="0" fontId="8" fillId="3" borderId="292" xfId="0" applyFont="1" applyFill="1" applyBorder="1" applyAlignment="1">
      <alignment vertical="center" wrapText="1"/>
    </xf>
    <xf numFmtId="166" fontId="8" fillId="2" borderId="303" xfId="0" applyNumberFormat="1" applyFont="1" applyFill="1" applyBorder="1" applyAlignment="1">
      <alignment horizontal="center" vertical="center" wrapText="1"/>
    </xf>
    <xf numFmtId="166" fontId="8" fillId="2" borderId="19" xfId="0" applyNumberFormat="1" applyFont="1" applyFill="1" applyBorder="1" applyAlignment="1">
      <alignment horizontal="center" vertical="center" wrapText="1"/>
    </xf>
    <xf numFmtId="166" fontId="26" fillId="2" borderId="19" xfId="0" applyNumberFormat="1" applyFont="1" applyFill="1" applyBorder="1" applyAlignment="1">
      <alignment horizontal="center" vertical="center" wrapText="1"/>
    </xf>
    <xf numFmtId="166" fontId="26" fillId="2" borderId="292" xfId="0" applyNumberFormat="1" applyFont="1" applyFill="1" applyBorder="1" applyAlignment="1">
      <alignment horizontal="center" vertical="center" wrapText="1"/>
    </xf>
    <xf numFmtId="0" fontId="17" fillId="2" borderId="0" xfId="52" applyFont="1" applyFill="1" applyAlignment="1">
      <alignment vertical="center"/>
    </xf>
    <xf numFmtId="0" fontId="36" fillId="2" borderId="0" xfId="52" applyFont="1" applyFill="1" applyAlignment="1">
      <alignment vertical="center"/>
    </xf>
    <xf numFmtId="0" fontId="36" fillId="2" borderId="0" xfId="24" applyFont="1" applyFill="1" applyAlignment="1">
      <alignment vertical="center"/>
    </xf>
    <xf numFmtId="0" fontId="49" fillId="2" borderId="0" xfId="24" applyFont="1" applyFill="1" applyAlignment="1">
      <alignment vertical="center"/>
    </xf>
    <xf numFmtId="166" fontId="49" fillId="2" borderId="0" xfId="24" applyNumberFormat="1" applyFont="1" applyFill="1" applyAlignment="1">
      <alignment vertical="center"/>
    </xf>
    <xf numFmtId="0" fontId="36" fillId="2" borderId="0" xfId="52" applyFont="1" applyFill="1" applyAlignment="1">
      <alignment horizontal="left" vertical="top"/>
    </xf>
    <xf numFmtId="166" fontId="36" fillId="2" borderId="0" xfId="0" applyNumberFormat="1" applyFont="1" applyFill="1" applyAlignment="1">
      <alignment horizontal="center"/>
    </xf>
    <xf numFmtId="0" fontId="0" fillId="2" borderId="0" xfId="0" applyFill="1" applyBorder="1"/>
    <xf numFmtId="0" fontId="78" fillId="2" borderId="0" xfId="0" applyFont="1" applyFill="1" applyBorder="1"/>
    <xf numFmtId="166" fontId="19" fillId="2" borderId="0" xfId="0" applyNumberFormat="1" applyFont="1" applyFill="1" applyBorder="1" applyAlignment="1">
      <alignment horizontal="center"/>
    </xf>
    <xf numFmtId="0" fontId="4" fillId="0" borderId="0" xfId="53" applyFont="1" applyFill="1" applyAlignment="1">
      <alignment vertical="center"/>
    </xf>
    <xf numFmtId="0" fontId="24" fillId="2" borderId="0" xfId="53" applyFont="1" applyFill="1" applyAlignment="1">
      <alignment vertical="center"/>
    </xf>
    <xf numFmtId="0" fontId="24" fillId="2" borderId="0" xfId="53" applyFont="1" applyFill="1" applyAlignment="1">
      <alignment horizontal="center" vertical="center"/>
    </xf>
    <xf numFmtId="0" fontId="19" fillId="2" borderId="0" xfId="53" applyFont="1" applyFill="1" applyAlignment="1">
      <alignment vertical="center"/>
    </xf>
    <xf numFmtId="0" fontId="19" fillId="2" borderId="0" xfId="53" applyFont="1" applyFill="1" applyAlignment="1">
      <alignment horizontal="center" vertical="center"/>
    </xf>
    <xf numFmtId="0" fontId="31" fillId="2" borderId="0" xfId="53" applyFont="1" applyFill="1" applyAlignment="1">
      <alignment vertical="center"/>
    </xf>
    <xf numFmtId="0" fontId="5" fillId="2" borderId="0" xfId="53" applyFont="1" applyFill="1" applyAlignment="1">
      <alignment vertical="center"/>
    </xf>
    <xf numFmtId="0" fontId="8" fillId="3" borderId="36" xfId="53" applyFont="1" applyFill="1" applyBorder="1" applyAlignment="1">
      <alignment horizontal="center" vertical="center"/>
    </xf>
    <xf numFmtId="0" fontId="8" fillId="3" borderId="39" xfId="53" applyFont="1" applyFill="1" applyBorder="1" applyAlignment="1">
      <alignment horizontal="center" vertical="center"/>
    </xf>
    <xf numFmtId="0" fontId="8" fillId="3" borderId="4" xfId="53" applyFont="1" applyFill="1" applyBorder="1" applyAlignment="1">
      <alignment horizontal="center" vertical="center"/>
    </xf>
    <xf numFmtId="2" fontId="8" fillId="3" borderId="36" xfId="53" applyNumberFormat="1" applyFont="1" applyFill="1" applyBorder="1" applyAlignment="1">
      <alignment horizontal="center" vertical="center"/>
    </xf>
    <xf numFmtId="0" fontId="8" fillId="3" borderId="41" xfId="53" applyFont="1" applyFill="1" applyBorder="1" applyAlignment="1">
      <alignment horizontal="center" vertical="center"/>
    </xf>
    <xf numFmtId="0" fontId="25" fillId="3" borderId="4" xfId="53" applyFont="1" applyFill="1" applyBorder="1" applyAlignment="1">
      <alignment horizontal="center" vertical="center"/>
    </xf>
    <xf numFmtId="2" fontId="8" fillId="3" borderId="4" xfId="53" applyNumberFormat="1" applyFont="1" applyFill="1" applyBorder="1" applyAlignment="1">
      <alignment horizontal="center" vertical="center"/>
    </xf>
    <xf numFmtId="0" fontId="8" fillId="3" borderId="37" xfId="53" applyFont="1" applyFill="1" applyBorder="1" applyAlignment="1">
      <alignment horizontal="center" vertical="center"/>
    </xf>
    <xf numFmtId="2" fontId="8" fillId="3" borderId="37" xfId="53" applyNumberFormat="1" applyFont="1" applyFill="1" applyBorder="1" applyAlignment="1">
      <alignment horizontal="center" vertical="center"/>
    </xf>
    <xf numFmtId="0" fontId="25" fillId="3" borderId="37" xfId="53" applyFont="1" applyFill="1" applyBorder="1" applyAlignment="1">
      <alignment horizontal="center" vertical="center"/>
    </xf>
    <xf numFmtId="0" fontId="25" fillId="3" borderId="40" xfId="53" applyFont="1" applyFill="1" applyBorder="1" applyAlignment="1">
      <alignment horizontal="center" vertical="center"/>
    </xf>
    <xf numFmtId="17" fontId="31" fillId="8" borderId="24" xfId="53" applyNumberFormat="1" applyFont="1" applyFill="1" applyBorder="1" applyAlignment="1">
      <alignment horizontal="left" vertical="center"/>
    </xf>
    <xf numFmtId="1" fontId="19" fillId="2" borderId="4" xfId="53" applyNumberFormat="1" applyFont="1" applyFill="1" applyBorder="1" applyAlignment="1">
      <alignment vertical="center"/>
    </xf>
    <xf numFmtId="2" fontId="19" fillId="2" borderId="4" xfId="53" applyNumberFormat="1" applyFont="1" applyFill="1" applyBorder="1" applyAlignment="1">
      <alignment horizontal="center" vertical="center"/>
    </xf>
    <xf numFmtId="2" fontId="19" fillId="2" borderId="4" xfId="53" applyNumberFormat="1" applyFont="1" applyFill="1" applyBorder="1" applyAlignment="1">
      <alignment vertical="center"/>
    </xf>
    <xf numFmtId="43" fontId="19" fillId="2" borderId="4" xfId="54" applyFont="1" applyFill="1" applyBorder="1" applyAlignment="1">
      <alignment horizontal="right" vertical="center"/>
    </xf>
    <xf numFmtId="164" fontId="19" fillId="2" borderId="4" xfId="54" applyNumberFormat="1" applyFont="1" applyFill="1" applyBorder="1" applyAlignment="1">
      <alignment vertical="center"/>
    </xf>
    <xf numFmtId="164" fontId="19" fillId="2" borderId="41" xfId="54" applyNumberFormat="1" applyFont="1" applyFill="1" applyBorder="1" applyAlignment="1">
      <alignment vertical="center"/>
    </xf>
    <xf numFmtId="43" fontId="19" fillId="2" borderId="4" xfId="54" applyFont="1" applyFill="1" applyBorder="1" applyAlignment="1">
      <alignment horizontal="center" vertical="center"/>
    </xf>
    <xf numFmtId="43" fontId="19" fillId="2" borderId="4" xfId="54" applyFont="1" applyFill="1" applyBorder="1" applyAlignment="1">
      <alignment vertical="center"/>
    </xf>
    <xf numFmtId="0" fontId="19" fillId="2" borderId="4" xfId="53" applyFont="1" applyFill="1" applyBorder="1" applyAlignment="1">
      <alignment vertical="center"/>
    </xf>
    <xf numFmtId="1" fontId="19" fillId="2" borderId="4" xfId="53" applyNumberFormat="1" applyFont="1" applyFill="1" applyBorder="1" applyAlignment="1">
      <alignment horizontal="center" vertical="center"/>
    </xf>
    <xf numFmtId="164" fontId="19" fillId="2" borderId="4" xfId="54" applyNumberFormat="1" applyFont="1" applyFill="1" applyBorder="1" applyAlignment="1">
      <alignment horizontal="center" vertical="center"/>
    </xf>
    <xf numFmtId="164" fontId="19" fillId="2" borderId="41" xfId="54" applyNumberFormat="1" applyFont="1" applyFill="1" applyBorder="1" applyAlignment="1">
      <alignment horizontal="center" vertical="center"/>
    </xf>
    <xf numFmtId="17" fontId="31" fillId="26" borderId="24" xfId="53" applyNumberFormat="1" applyFont="1" applyFill="1" applyBorder="1" applyAlignment="1">
      <alignment horizontal="left" vertical="center"/>
    </xf>
    <xf numFmtId="17" fontId="31" fillId="9" borderId="24" xfId="53" applyNumberFormat="1" applyFont="1" applyFill="1" applyBorder="1" applyAlignment="1">
      <alignment horizontal="left" vertical="center"/>
    </xf>
    <xf numFmtId="17" fontId="31" fillId="9" borderId="24" xfId="14" applyNumberFormat="1" applyFont="1" applyFill="1" applyBorder="1" applyAlignment="1">
      <alignment horizontal="left" vertical="center"/>
    </xf>
    <xf numFmtId="1" fontId="19" fillId="2" borderId="4" xfId="14" applyNumberFormat="1" applyFont="1" applyFill="1" applyBorder="1" applyAlignment="1">
      <alignment horizontal="center" vertical="center"/>
    </xf>
    <xf numFmtId="43" fontId="19" fillId="2" borderId="4" xfId="43" applyFont="1" applyFill="1" applyBorder="1" applyAlignment="1">
      <alignment horizontal="center" vertical="center"/>
    </xf>
    <xf numFmtId="43" fontId="19" fillId="2" borderId="4" xfId="43" applyFont="1" applyFill="1" applyBorder="1" applyAlignment="1">
      <alignment vertical="center"/>
    </xf>
    <xf numFmtId="43" fontId="19" fillId="2" borderId="4" xfId="43" applyFont="1" applyFill="1" applyBorder="1" applyAlignment="1">
      <alignment horizontal="right" vertical="center"/>
    </xf>
    <xf numFmtId="164" fontId="19" fillId="2" borderId="4" xfId="43" applyNumberFormat="1" applyFont="1" applyFill="1" applyBorder="1" applyAlignment="1">
      <alignment vertical="center"/>
    </xf>
    <xf numFmtId="164" fontId="19" fillId="2" borderId="41" xfId="43" applyNumberFormat="1" applyFont="1" applyFill="1" applyBorder="1" applyAlignment="1">
      <alignment vertical="center"/>
    </xf>
    <xf numFmtId="17" fontId="4" fillId="4" borderId="24" xfId="53" applyNumberFormat="1" applyFont="1" applyFill="1" applyBorder="1" applyAlignment="1">
      <alignment horizontal="left" vertical="center"/>
    </xf>
    <xf numFmtId="1" fontId="5" fillId="2" borderId="4" xfId="53" applyNumberFormat="1" applyFont="1" applyFill="1" applyBorder="1" applyAlignment="1">
      <alignment horizontal="center" vertical="center"/>
    </xf>
    <xf numFmtId="43" fontId="5" fillId="2" borderId="4" xfId="54" applyFont="1" applyFill="1" applyBorder="1" applyAlignment="1">
      <alignment horizontal="center" vertical="center"/>
    </xf>
    <xf numFmtId="43" fontId="5" fillId="2" borderId="4" xfId="54" applyFont="1" applyFill="1" applyBorder="1" applyAlignment="1">
      <alignment vertical="center"/>
    </xf>
    <xf numFmtId="43" fontId="5" fillId="2" borderId="4" xfId="54" applyFont="1" applyFill="1" applyBorder="1" applyAlignment="1">
      <alignment horizontal="right" vertical="center"/>
    </xf>
    <xf numFmtId="164" fontId="5" fillId="2" borderId="4" xfId="43" applyNumberFormat="1" applyFont="1" applyFill="1" applyBorder="1" applyAlignment="1">
      <alignment vertical="center"/>
    </xf>
    <xf numFmtId="164" fontId="5" fillId="2" borderId="41" xfId="43" applyNumberFormat="1" applyFont="1" applyFill="1" applyBorder="1" applyAlignment="1">
      <alignment vertical="center"/>
    </xf>
    <xf numFmtId="17" fontId="8" fillId="3" borderId="24" xfId="53" applyNumberFormat="1" applyFont="1" applyFill="1" applyBorder="1" applyAlignment="1">
      <alignment horizontal="left" vertical="center"/>
    </xf>
    <xf numFmtId="1" fontId="11" fillId="2" borderId="4" xfId="53" applyNumberFormat="1" applyFont="1" applyFill="1" applyBorder="1" applyAlignment="1">
      <alignment horizontal="center" vertical="center"/>
    </xf>
    <xf numFmtId="43" fontId="11" fillId="2" borderId="4" xfId="54" applyFont="1" applyFill="1" applyBorder="1" applyAlignment="1">
      <alignment horizontal="center" vertical="center"/>
    </xf>
    <xf numFmtId="43" fontId="11" fillId="2" borderId="4" xfId="54" applyFont="1" applyFill="1" applyBorder="1" applyAlignment="1">
      <alignment vertical="center"/>
    </xf>
    <xf numFmtId="43" fontId="11" fillId="2" borderId="4" xfId="54" applyFont="1" applyFill="1" applyBorder="1" applyAlignment="1">
      <alignment horizontal="right" vertical="center"/>
    </xf>
    <xf numFmtId="164" fontId="11" fillId="2" borderId="4" xfId="43" applyNumberFormat="1" applyFont="1" applyFill="1" applyBorder="1" applyAlignment="1">
      <alignment vertical="center"/>
    </xf>
    <xf numFmtId="164" fontId="11" fillId="2" borderId="41" xfId="43" applyNumberFormat="1" applyFont="1" applyFill="1" applyBorder="1" applyAlignment="1">
      <alignment vertical="center"/>
    </xf>
    <xf numFmtId="17" fontId="8" fillId="3" borderId="24" xfId="53" quotePrefix="1" applyNumberFormat="1" applyFont="1" applyFill="1" applyBorder="1" applyAlignment="1">
      <alignment horizontal="left" vertical="center"/>
    </xf>
    <xf numFmtId="49" fontId="8" fillId="3" borderId="24" xfId="53" quotePrefix="1" applyNumberFormat="1" applyFont="1" applyFill="1" applyBorder="1" applyAlignment="1">
      <alignment horizontal="left" vertical="center"/>
    </xf>
    <xf numFmtId="1" fontId="11" fillId="0" borderId="4" xfId="14" applyNumberFormat="1" applyFont="1" applyFill="1" applyBorder="1" applyAlignment="1">
      <alignment horizontal="center" vertical="center"/>
    </xf>
    <xf numFmtId="43" fontId="11" fillId="0" borderId="4" xfId="43" applyFont="1" applyFill="1" applyBorder="1" applyAlignment="1">
      <alignment horizontal="center" vertical="center"/>
    </xf>
    <xf numFmtId="43" fontId="11" fillId="0" borderId="4" xfId="43" applyFont="1" applyFill="1" applyBorder="1" applyAlignment="1">
      <alignment vertical="center"/>
    </xf>
    <xf numFmtId="43" fontId="11" fillId="0" borderId="4" xfId="43" applyFont="1" applyFill="1" applyBorder="1" applyAlignment="1">
      <alignment horizontal="right" vertical="center"/>
    </xf>
    <xf numFmtId="164" fontId="11" fillId="0" borderId="4" xfId="43" applyNumberFormat="1" applyFont="1" applyFill="1" applyBorder="1" applyAlignment="1">
      <alignment horizontal="right" vertical="center"/>
    </xf>
    <xf numFmtId="164" fontId="11" fillId="0" borderId="41" xfId="43" applyNumberFormat="1" applyFont="1" applyFill="1" applyBorder="1" applyAlignment="1">
      <alignment horizontal="right" vertical="center"/>
    </xf>
    <xf numFmtId="49" fontId="8" fillId="3" borderId="27" xfId="53" quotePrefix="1" applyNumberFormat="1" applyFont="1" applyFill="1" applyBorder="1" applyAlignment="1">
      <alignment horizontal="left" vertical="center"/>
    </xf>
    <xf numFmtId="1" fontId="11" fillId="2" borderId="6" xfId="14" applyNumberFormat="1" applyFont="1" applyFill="1" applyBorder="1" applyAlignment="1">
      <alignment horizontal="center" vertical="center"/>
    </xf>
    <xf numFmtId="43" fontId="11" fillId="2" borderId="6" xfId="43" applyFont="1" applyFill="1" applyBorder="1" applyAlignment="1">
      <alignment horizontal="center" vertical="center"/>
    </xf>
    <xf numFmtId="43" fontId="11" fillId="2" borderId="6" xfId="43" applyFont="1" applyFill="1" applyBorder="1" applyAlignment="1">
      <alignment vertical="center"/>
    </xf>
    <xf numFmtId="43" fontId="11" fillId="2" borderId="6" xfId="43" applyFont="1" applyFill="1" applyBorder="1" applyAlignment="1">
      <alignment horizontal="right" vertical="center"/>
    </xf>
    <xf numFmtId="164" fontId="11" fillId="2" borderId="6" xfId="43" applyNumberFormat="1" applyFont="1" applyFill="1" applyBorder="1" applyAlignment="1">
      <alignment horizontal="right" vertical="center"/>
    </xf>
    <xf numFmtId="164" fontId="11" fillId="2" borderId="43" xfId="43" applyNumberFormat="1" applyFont="1" applyFill="1" applyBorder="1" applyAlignment="1">
      <alignment horizontal="right" vertical="center"/>
    </xf>
    <xf numFmtId="0" fontId="17" fillId="2" borderId="0" xfId="53" applyFont="1" applyFill="1" applyAlignment="1">
      <alignment vertical="center"/>
    </xf>
    <xf numFmtId="0" fontId="17" fillId="2" borderId="0" xfId="53" applyFont="1" applyFill="1"/>
    <xf numFmtId="0" fontId="17" fillId="2" borderId="0" xfId="53" applyFont="1" applyFill="1" applyAlignment="1">
      <alignment horizontal="center" vertical="center"/>
    </xf>
    <xf numFmtId="4" fontId="17" fillId="2" borderId="0" xfId="53" applyNumberFormat="1" applyFont="1" applyFill="1" applyAlignment="1">
      <alignment horizontal="center" vertical="center"/>
    </xf>
    <xf numFmtId="4" fontId="17" fillId="2" borderId="0" xfId="53" applyNumberFormat="1" applyFont="1" applyFill="1" applyAlignment="1">
      <alignment vertical="center"/>
    </xf>
    <xf numFmtId="3" fontId="17" fillId="2" borderId="0" xfId="53" applyNumberFormat="1" applyFont="1" applyFill="1" applyAlignment="1">
      <alignment vertical="center"/>
    </xf>
    <xf numFmtId="0" fontId="36" fillId="2" borderId="0" xfId="53" applyFont="1" applyFill="1" applyAlignment="1">
      <alignment vertical="center"/>
    </xf>
    <xf numFmtId="3" fontId="36" fillId="2" borderId="0" xfId="53" applyNumberFormat="1" applyFont="1" applyFill="1" applyAlignment="1">
      <alignment vertical="center"/>
    </xf>
    <xf numFmtId="0" fontId="4" fillId="2" borderId="0" xfId="53" applyFont="1" applyFill="1" applyAlignment="1">
      <alignment vertical="center"/>
    </xf>
    <xf numFmtId="3" fontId="31" fillId="2" borderId="0" xfId="53" applyNumberFormat="1" applyFont="1" applyFill="1" applyAlignment="1">
      <alignment vertical="center"/>
    </xf>
    <xf numFmtId="3" fontId="31" fillId="2" borderId="0" xfId="53" applyNumberFormat="1" applyFont="1" applyFill="1" applyAlignment="1">
      <alignment horizontal="center" vertical="center"/>
    </xf>
    <xf numFmtId="0" fontId="17" fillId="2" borderId="0" xfId="53" applyFont="1" applyFill="1" applyAlignment="1">
      <alignment horizontal="right" vertical="center"/>
    </xf>
    <xf numFmtId="3" fontId="8" fillId="3" borderId="67" xfId="53" applyNumberFormat="1" applyFont="1" applyFill="1" applyBorder="1" applyAlignment="1">
      <alignment horizontal="center" vertical="center"/>
    </xf>
    <xf numFmtId="3" fontId="8" fillId="3" borderId="2" xfId="53" applyNumberFormat="1" applyFont="1" applyFill="1" applyBorder="1" applyAlignment="1">
      <alignment horizontal="center" vertical="center"/>
    </xf>
    <xf numFmtId="3" fontId="8" fillId="3" borderId="42" xfId="53" applyNumberFormat="1" applyFont="1" applyFill="1" applyBorder="1" applyAlignment="1">
      <alignment horizontal="center" vertical="center" wrapText="1"/>
    </xf>
    <xf numFmtId="17" fontId="8" fillId="18" borderId="24" xfId="53" applyNumberFormat="1" applyFont="1" applyFill="1" applyBorder="1" applyAlignment="1">
      <alignment horizontal="left" vertical="center"/>
    </xf>
    <xf numFmtId="166" fontId="11" fillId="2" borderId="4" xfId="53" applyNumberFormat="1" applyFont="1" applyFill="1" applyBorder="1" applyAlignment="1">
      <alignment horizontal="right" vertical="center"/>
    </xf>
    <xf numFmtId="166" fontId="11" fillId="2" borderId="4" xfId="53" applyNumberFormat="1" applyFont="1" applyFill="1" applyBorder="1" applyAlignment="1">
      <alignment horizontal="center" vertical="center"/>
    </xf>
    <xf numFmtId="3" fontId="11" fillId="2" borderId="41" xfId="53" quotePrefix="1" applyNumberFormat="1" applyFont="1" applyFill="1" applyBorder="1" applyAlignment="1">
      <alignment horizontal="center" vertical="center"/>
    </xf>
    <xf numFmtId="3" fontId="19" fillId="2" borderId="0" xfId="53" quotePrefix="1" applyNumberFormat="1" applyFont="1" applyFill="1" applyAlignment="1">
      <alignment horizontal="center" vertical="center"/>
    </xf>
    <xf numFmtId="3" fontId="19" fillId="2" borderId="0" xfId="53" applyNumberFormat="1" applyFont="1" applyFill="1" applyAlignment="1">
      <alignment vertical="center"/>
    </xf>
    <xf numFmtId="4" fontId="19" fillId="2" borderId="0" xfId="53" applyNumberFormat="1" applyFont="1" applyFill="1" applyAlignment="1">
      <alignment vertical="center"/>
    </xf>
    <xf numFmtId="166" fontId="19" fillId="2" borderId="0" xfId="53" applyNumberFormat="1" applyFont="1" applyFill="1" applyAlignment="1">
      <alignment vertical="center"/>
    </xf>
    <xf numFmtId="2" fontId="19" fillId="2" borderId="0" xfId="53" applyNumberFormat="1" applyFont="1" applyFill="1" applyAlignment="1">
      <alignment vertical="center"/>
    </xf>
    <xf numFmtId="166" fontId="11" fillId="2" borderId="41" xfId="53" quotePrefix="1" applyNumberFormat="1" applyFont="1" applyFill="1" applyBorder="1" applyAlignment="1">
      <alignment horizontal="center" vertical="center"/>
    </xf>
    <xf numFmtId="166" fontId="11" fillId="0" borderId="4" xfId="53" applyNumberFormat="1" applyFont="1" applyBorder="1" applyAlignment="1">
      <alignment horizontal="center" vertical="center"/>
    </xf>
    <xf numFmtId="167" fontId="19" fillId="2" borderId="0" xfId="53" applyNumberFormat="1" applyFont="1" applyFill="1" applyAlignment="1">
      <alignment vertical="center"/>
    </xf>
    <xf numFmtId="166" fontId="11" fillId="0" borderId="41" xfId="53" quotePrefix="1" applyNumberFormat="1" applyFont="1" applyBorder="1" applyAlignment="1">
      <alignment horizontal="center" vertical="center"/>
    </xf>
    <xf numFmtId="166" fontId="6" fillId="2" borderId="0" xfId="53" applyNumberFormat="1" applyFont="1" applyFill="1" applyAlignment="1">
      <alignment vertical="center"/>
    </xf>
    <xf numFmtId="43" fontId="148" fillId="2" borderId="0" xfId="3" applyFont="1" applyFill="1"/>
    <xf numFmtId="43" fontId="19" fillId="2" borderId="0" xfId="53" applyNumberFormat="1" applyFont="1" applyFill="1" applyAlignment="1">
      <alignment vertical="center"/>
    </xf>
    <xf numFmtId="187" fontId="148" fillId="2" borderId="0" xfId="55" applyNumberFormat="1" applyFont="1" applyFill="1"/>
    <xf numFmtId="3" fontId="8" fillId="3" borderId="232" xfId="53" applyNumberFormat="1" applyFont="1" applyFill="1" applyBorder="1" applyAlignment="1">
      <alignment horizontal="left" vertical="center"/>
    </xf>
    <xf numFmtId="166" fontId="26" fillId="3" borderId="233" xfId="53" quotePrefix="1" applyNumberFormat="1" applyFont="1" applyFill="1" applyBorder="1" applyAlignment="1">
      <alignment horizontal="center" vertical="center"/>
    </xf>
    <xf numFmtId="166" fontId="26" fillId="3" borderId="234" xfId="53" quotePrefix="1" applyNumberFormat="1" applyFont="1" applyFill="1" applyBorder="1" applyAlignment="1">
      <alignment horizontal="center" vertical="center"/>
    </xf>
    <xf numFmtId="166" fontId="19" fillId="0" borderId="0" xfId="53" applyNumberFormat="1" applyFont="1" applyFill="1" applyAlignment="1">
      <alignment vertical="center"/>
    </xf>
    <xf numFmtId="166" fontId="19" fillId="2" borderId="0" xfId="53" applyNumberFormat="1" applyFont="1" applyFill="1" applyBorder="1" applyAlignment="1">
      <alignment vertical="center"/>
    </xf>
    <xf numFmtId="3" fontId="17" fillId="2" borderId="0" xfId="53" applyNumberFormat="1" applyFont="1" applyFill="1" applyAlignment="1">
      <alignment horizontal="center" vertical="center"/>
    </xf>
    <xf numFmtId="166" fontId="17" fillId="2" borderId="0" xfId="53" applyNumberFormat="1" applyFont="1" applyFill="1" applyAlignment="1">
      <alignment vertical="center"/>
    </xf>
    <xf numFmtId="4" fontId="19" fillId="2" borderId="0" xfId="53" applyNumberFormat="1" applyFont="1" applyFill="1" applyAlignment="1">
      <alignment horizontal="center" vertical="center"/>
    </xf>
    <xf numFmtId="3" fontId="20" fillId="2" borderId="0" xfId="53" applyNumberFormat="1" applyFont="1" applyFill="1" applyAlignment="1">
      <alignment vertical="center"/>
    </xf>
    <xf numFmtId="43" fontId="19" fillId="2" borderId="0" xfId="3" applyFont="1" applyFill="1" applyAlignment="1">
      <alignment vertical="center"/>
    </xf>
    <xf numFmtId="1" fontId="19" fillId="2" borderId="0" xfId="53" applyNumberFormat="1" applyFont="1" applyFill="1" applyAlignment="1">
      <alignment vertical="center"/>
    </xf>
    <xf numFmtId="2" fontId="19" fillId="2" borderId="0" xfId="53" applyNumberFormat="1" applyFont="1" applyFill="1" applyAlignment="1">
      <alignment horizontal="center" vertical="center"/>
    </xf>
    <xf numFmtId="167" fontId="19" fillId="2" borderId="0" xfId="53" applyNumberFormat="1" applyFont="1" applyFill="1" applyAlignment="1">
      <alignment horizontal="center" vertical="center"/>
    </xf>
    <xf numFmtId="43" fontId="19" fillId="2" borderId="0" xfId="54" applyFont="1" applyFill="1" applyAlignment="1">
      <alignment horizontal="right" vertical="center"/>
    </xf>
    <xf numFmtId="164" fontId="19" fillId="2" borderId="0" xfId="54" applyNumberFormat="1" applyFont="1" applyFill="1" applyAlignment="1">
      <alignment vertical="center"/>
    </xf>
    <xf numFmtId="17" fontId="19" fillId="2" borderId="0" xfId="53" applyNumberFormat="1" applyFont="1" applyFill="1" applyAlignment="1">
      <alignment vertical="center"/>
    </xf>
    <xf numFmtId="3" fontId="19" fillId="2" borderId="0" xfId="53" applyNumberFormat="1" applyFont="1" applyFill="1" applyAlignment="1">
      <alignment horizontal="center" vertical="center"/>
    </xf>
    <xf numFmtId="43" fontId="19" fillId="2" borderId="0" xfId="3" applyFont="1" applyFill="1" applyAlignment="1">
      <alignment horizontal="center" vertical="center"/>
    </xf>
    <xf numFmtId="196" fontId="19" fillId="2" borderId="0" xfId="3" applyNumberFormat="1" applyFont="1" applyFill="1" applyAlignment="1">
      <alignment horizontal="center" vertical="center"/>
    </xf>
    <xf numFmtId="0" fontId="24" fillId="0" borderId="0" xfId="53" applyFont="1" applyFill="1" applyAlignment="1">
      <alignment horizontal="center" vertical="center"/>
    </xf>
    <xf numFmtId="0" fontId="24" fillId="0" borderId="0" xfId="53" applyFont="1" applyFill="1" applyAlignment="1">
      <alignment vertical="center"/>
    </xf>
    <xf numFmtId="0" fontId="19" fillId="2" borderId="0" xfId="4" applyFont="1" applyFill="1"/>
    <xf numFmtId="0" fontId="19" fillId="2" borderId="0" xfId="52" applyFont="1" applyFill="1" applyAlignment="1">
      <alignment vertical="center"/>
    </xf>
    <xf numFmtId="0" fontId="8" fillId="3" borderId="22" xfId="4" applyFont="1" applyFill="1" applyBorder="1" applyAlignment="1">
      <alignment horizontal="center"/>
    </xf>
    <xf numFmtId="0" fontId="5" fillId="2" borderId="0" xfId="52" applyFont="1" applyFill="1" applyAlignment="1">
      <alignment vertical="center"/>
    </xf>
    <xf numFmtId="0" fontId="8" fillId="3" borderId="24" xfId="4" applyFont="1" applyFill="1" applyBorder="1" applyAlignment="1">
      <alignment horizontal="center"/>
    </xf>
    <xf numFmtId="0" fontId="25" fillId="3" borderId="27" xfId="4" applyFont="1" applyFill="1" applyBorder="1" applyAlignment="1">
      <alignment horizontal="center"/>
    </xf>
    <xf numFmtId="0" fontId="25" fillId="3" borderId="129" xfId="4" applyFont="1" applyFill="1" applyBorder="1" applyAlignment="1">
      <alignment horizontal="center" vertical="top"/>
    </xf>
    <xf numFmtId="0" fontId="25" fillId="3" borderId="43" xfId="4" applyFont="1" applyFill="1" applyBorder="1" applyAlignment="1">
      <alignment horizontal="center" vertical="top"/>
    </xf>
    <xf numFmtId="0" fontId="25" fillId="2" borderId="0" xfId="52" applyFont="1" applyFill="1" applyAlignment="1">
      <alignment vertical="center"/>
    </xf>
    <xf numFmtId="0" fontId="8" fillId="3" borderId="24" xfId="4" applyFont="1" applyFill="1" applyBorder="1" applyAlignment="1">
      <alignment vertical="center"/>
    </xf>
    <xf numFmtId="3" fontId="11" fillId="2" borderId="48" xfId="4" applyNumberFormat="1" applyFont="1" applyFill="1" applyBorder="1" applyAlignment="1">
      <alignment horizontal="center" vertical="center"/>
    </xf>
    <xf numFmtId="3" fontId="11" fillId="2" borderId="47" xfId="4" applyNumberFormat="1" applyFont="1" applyFill="1" applyBorder="1" applyAlignment="1">
      <alignment horizontal="center" vertical="center"/>
    </xf>
    <xf numFmtId="3" fontId="11" fillId="2" borderId="33" xfId="4" applyNumberFormat="1" applyFont="1" applyFill="1" applyBorder="1" applyAlignment="1">
      <alignment horizontal="center" vertical="center"/>
    </xf>
    <xf numFmtId="3" fontId="11" fillId="2" borderId="41" xfId="4" applyNumberFormat="1" applyFont="1" applyFill="1" applyBorder="1" applyAlignment="1">
      <alignment horizontal="center" vertical="center"/>
    </xf>
    <xf numFmtId="1" fontId="19" fillId="2" borderId="0" xfId="52" applyNumberFormat="1" applyFont="1" applyFill="1" applyAlignment="1">
      <alignment vertical="center"/>
    </xf>
    <xf numFmtId="3" fontId="11" fillId="0" borderId="47" xfId="4" applyNumberFormat="1" applyFont="1" applyBorder="1" applyAlignment="1">
      <alignment horizontal="center" vertical="center"/>
    </xf>
    <xf numFmtId="3" fontId="11" fillId="0" borderId="48" xfId="4" applyNumberFormat="1" applyFont="1" applyBorder="1" applyAlignment="1">
      <alignment horizontal="center" vertical="center"/>
    </xf>
    <xf numFmtId="3" fontId="11" fillId="2" borderId="48" xfId="4" quotePrefix="1" applyNumberFormat="1" applyFont="1" applyFill="1" applyBorder="1" applyAlignment="1">
      <alignment horizontal="center" vertical="center"/>
    </xf>
    <xf numFmtId="3" fontId="19" fillId="2" borderId="0" xfId="52" applyNumberFormat="1" applyFont="1" applyFill="1" applyAlignment="1">
      <alignment vertical="center"/>
    </xf>
    <xf numFmtId="3" fontId="11" fillId="2" borderId="305" xfId="4" applyNumberFormat="1" applyFont="1" applyFill="1" applyBorder="1" applyAlignment="1">
      <alignment horizontal="center" vertical="center"/>
    </xf>
    <xf numFmtId="3" fontId="11" fillId="0" borderId="41" xfId="4" applyNumberFormat="1" applyFont="1" applyFill="1" applyBorder="1" applyAlignment="1">
      <alignment horizontal="center" vertical="center"/>
    </xf>
    <xf numFmtId="3" fontId="11" fillId="0" borderId="48" xfId="4" applyNumberFormat="1" applyFont="1" applyFill="1" applyBorder="1" applyAlignment="1">
      <alignment horizontal="center" vertical="center"/>
    </xf>
    <xf numFmtId="1" fontId="19" fillId="0" borderId="0" xfId="52" applyNumberFormat="1" applyFont="1" applyFill="1" applyAlignment="1">
      <alignment vertical="center"/>
    </xf>
    <xf numFmtId="0" fontId="31" fillId="0" borderId="0" xfId="52" applyFont="1" applyFill="1" applyAlignment="1">
      <alignment vertical="center"/>
    </xf>
    <xf numFmtId="0" fontId="31" fillId="2" borderId="0" xfId="52" applyFont="1" applyFill="1" applyAlignment="1">
      <alignment vertical="center"/>
    </xf>
    <xf numFmtId="3" fontId="11" fillId="0" borderId="33" xfId="4" applyNumberFormat="1" applyFont="1" applyBorder="1" applyAlignment="1">
      <alignment horizontal="center" vertical="center"/>
    </xf>
    <xf numFmtId="3" fontId="11" fillId="0" borderId="305" xfId="4" applyNumberFormat="1" applyFont="1" applyBorder="1" applyAlignment="1">
      <alignment horizontal="center" vertical="center"/>
    </xf>
    <xf numFmtId="3" fontId="11" fillId="2" borderId="47" xfId="4" quotePrefix="1" applyNumberFormat="1" applyFont="1" applyFill="1" applyBorder="1" applyAlignment="1">
      <alignment horizontal="center" vertical="center"/>
    </xf>
    <xf numFmtId="0" fontId="8" fillId="3" borderId="232" xfId="4" applyFont="1" applyFill="1" applyBorder="1" applyAlignment="1">
      <alignment horizontal="left" vertical="center"/>
    </xf>
    <xf numFmtId="3" fontId="26" fillId="3" borderId="306" xfId="4" applyNumberFormat="1" applyFont="1" applyFill="1" applyBorder="1" applyAlignment="1">
      <alignment horizontal="center" vertical="center"/>
    </xf>
    <xf numFmtId="3" fontId="26" fillId="3" borderId="307" xfId="4" applyNumberFormat="1" applyFont="1" applyFill="1" applyBorder="1" applyAlignment="1">
      <alignment horizontal="center" vertical="center"/>
    </xf>
    <xf numFmtId="3" fontId="26" fillId="3" borderId="239" xfId="4" applyNumberFormat="1" applyFont="1" applyFill="1" applyBorder="1" applyAlignment="1">
      <alignment horizontal="center" vertical="center"/>
    </xf>
    <xf numFmtId="3" fontId="26" fillId="3" borderId="234" xfId="4" applyNumberFormat="1" applyFont="1" applyFill="1" applyBorder="1" applyAlignment="1">
      <alignment horizontal="center" vertical="center"/>
    </xf>
    <xf numFmtId="3" fontId="26" fillId="3" borderId="255" xfId="4" applyNumberFormat="1" applyFont="1" applyFill="1" applyBorder="1" applyAlignment="1">
      <alignment horizontal="center" vertical="center"/>
    </xf>
    <xf numFmtId="0" fontId="17" fillId="2" borderId="0" xfId="2" applyFont="1" applyFill="1"/>
    <xf numFmtId="3" fontId="17" fillId="2" borderId="0" xfId="4" applyNumberFormat="1" applyFont="1" applyFill="1"/>
    <xf numFmtId="3" fontId="17" fillId="2" borderId="0" xfId="52" applyNumberFormat="1" applyFont="1" applyFill="1" applyAlignment="1">
      <alignment vertical="center"/>
    </xf>
    <xf numFmtId="43" fontId="19" fillId="2" borderId="0" xfId="52" applyNumberFormat="1" applyFont="1" applyFill="1" applyAlignment="1">
      <alignment vertical="center"/>
    </xf>
    <xf numFmtId="0" fontId="17" fillId="0" borderId="0" xfId="2" applyFont="1"/>
    <xf numFmtId="0" fontId="4" fillId="2" borderId="0" xfId="14" applyFont="1" applyFill="1" applyAlignment="1">
      <alignment vertical="top"/>
    </xf>
    <xf numFmtId="0" fontId="19" fillId="0" borderId="0" xfId="14" applyFont="1" applyFill="1"/>
    <xf numFmtId="166" fontId="19" fillId="2" borderId="0" xfId="14" applyNumberFormat="1" applyFont="1" applyFill="1"/>
    <xf numFmtId="167" fontId="19" fillId="2" borderId="0" xfId="14" applyNumberFormat="1" applyFont="1" applyFill="1"/>
    <xf numFmtId="166" fontId="19" fillId="0" borderId="0" xfId="14" applyNumberFormat="1" applyFont="1"/>
    <xf numFmtId="0" fontId="24" fillId="3" borderId="22" xfId="14" applyFont="1" applyFill="1" applyBorder="1" applyAlignment="1">
      <alignment vertical="center"/>
    </xf>
    <xf numFmtId="166" fontId="19" fillId="2" borderId="0" xfId="14" applyNumberFormat="1" applyFont="1" applyFill="1" applyAlignment="1">
      <alignment vertical="center"/>
    </xf>
    <xf numFmtId="167" fontId="19" fillId="2" borderId="0" xfId="14" applyNumberFormat="1" applyFont="1" applyFill="1" applyAlignment="1">
      <alignment vertical="center"/>
    </xf>
    <xf numFmtId="0" fontId="19" fillId="0" borderId="0" xfId="14" applyFont="1" applyAlignment="1">
      <alignment vertical="center"/>
    </xf>
    <xf numFmtId="0" fontId="24" fillId="3" borderId="24" xfId="14" applyFont="1" applyFill="1" applyBorder="1" applyAlignment="1">
      <alignment vertical="center"/>
    </xf>
    <xf numFmtId="0" fontId="8" fillId="3" borderId="185" xfId="14" applyFont="1" applyFill="1" applyBorder="1" applyAlignment="1">
      <alignment horizontal="center" vertical="center"/>
    </xf>
    <xf numFmtId="0" fontId="8" fillId="3" borderId="186" xfId="14" applyFont="1" applyFill="1" applyBorder="1" applyAlignment="1">
      <alignment horizontal="center" vertical="center"/>
    </xf>
    <xf numFmtId="0" fontId="8" fillId="3" borderId="251" xfId="14" applyFont="1" applyFill="1" applyBorder="1" applyAlignment="1">
      <alignment horizontal="center" vertical="center"/>
    </xf>
    <xf numFmtId="0" fontId="24" fillId="3" borderId="23" xfId="14" applyFont="1" applyFill="1" applyBorder="1" applyAlignment="1">
      <alignment horizontal="center" vertical="center"/>
    </xf>
    <xf numFmtId="0" fontId="25" fillId="3" borderId="39" xfId="14" applyFont="1" applyFill="1" applyBorder="1" applyAlignment="1">
      <alignment horizontal="center" vertical="center"/>
    </xf>
    <xf numFmtId="0" fontId="25" fillId="3" borderId="282" xfId="14" applyFont="1" applyFill="1" applyBorder="1" applyAlignment="1">
      <alignment horizontal="center" vertical="center"/>
    </xf>
    <xf numFmtId="166" fontId="19" fillId="2" borderId="0" xfId="14" applyNumberFormat="1" applyFont="1" applyFill="1" applyAlignment="1">
      <alignment horizontal="center" vertical="center"/>
    </xf>
    <xf numFmtId="167" fontId="19" fillId="2" borderId="0" xfId="14" applyNumberFormat="1" applyFont="1" applyFill="1" applyAlignment="1">
      <alignment horizontal="center" vertical="center"/>
    </xf>
    <xf numFmtId="0" fontId="19" fillId="0" borderId="0" xfId="14" applyFont="1" applyAlignment="1">
      <alignment horizontal="center" vertical="center"/>
    </xf>
    <xf numFmtId="17" fontId="4" fillId="18" borderId="24" xfId="14" applyNumberFormat="1" applyFont="1" applyFill="1" applyBorder="1" applyAlignment="1">
      <alignment horizontal="left" vertical="center"/>
    </xf>
    <xf numFmtId="3" fontId="19" fillId="0" borderId="4" xfId="14" applyNumberFormat="1" applyFont="1" applyBorder="1" applyAlignment="1">
      <alignment horizontal="right" vertical="center"/>
    </xf>
    <xf numFmtId="3" fontId="19" fillId="0" borderId="4" xfId="14" applyNumberFormat="1" applyFont="1" applyBorder="1" applyAlignment="1">
      <alignment vertical="center"/>
    </xf>
    <xf numFmtId="167" fontId="19" fillId="0" borderId="4" xfId="14" applyNumberFormat="1" applyFont="1" applyBorder="1" applyAlignment="1">
      <alignment horizontal="right" vertical="center"/>
    </xf>
    <xf numFmtId="166" fontId="31" fillId="0" borderId="4" xfId="14" applyNumberFormat="1" applyFont="1" applyBorder="1" applyAlignment="1">
      <alignment vertical="center"/>
    </xf>
    <xf numFmtId="166" fontId="31" fillId="0" borderId="41" xfId="14" applyNumberFormat="1" applyFont="1" applyBorder="1" applyAlignment="1">
      <alignment vertical="center"/>
    </xf>
    <xf numFmtId="17" fontId="4" fillId="18" borderId="24" xfId="14" quotePrefix="1" applyNumberFormat="1" applyFont="1" applyFill="1" applyBorder="1" applyAlignment="1">
      <alignment horizontal="left" vertical="center"/>
    </xf>
    <xf numFmtId="3" fontId="19" fillId="0" borderId="4" xfId="80" applyNumberFormat="1" applyFont="1" applyBorder="1" applyAlignment="1">
      <alignment horizontal="right" vertical="center"/>
    </xf>
    <xf numFmtId="3" fontId="19" fillId="0" borderId="4" xfId="80" applyNumberFormat="1" applyFont="1" applyBorder="1" applyAlignment="1">
      <alignment vertical="center"/>
    </xf>
    <xf numFmtId="167" fontId="19" fillId="0" borderId="4" xfId="80" applyNumberFormat="1" applyFont="1" applyBorder="1" applyAlignment="1">
      <alignment horizontal="right" vertical="center"/>
    </xf>
    <xf numFmtId="166" fontId="31" fillId="0" borderId="4" xfId="80" applyNumberFormat="1" applyFont="1" applyBorder="1" applyAlignment="1">
      <alignment vertical="center"/>
    </xf>
    <xf numFmtId="17" fontId="4" fillId="3" borderId="24" xfId="14" quotePrefix="1" applyNumberFormat="1" applyFont="1" applyFill="1" applyBorder="1" applyAlignment="1">
      <alignment horizontal="left" vertical="center"/>
    </xf>
    <xf numFmtId="3" fontId="5" fillId="2" borderId="4" xfId="80" applyNumberFormat="1" applyFont="1" applyFill="1" applyBorder="1" applyAlignment="1">
      <alignment vertical="center"/>
    </xf>
    <xf numFmtId="3" fontId="5" fillId="2" borderId="4" xfId="80" applyNumberFormat="1" applyFont="1" applyFill="1" applyBorder="1" applyAlignment="1">
      <alignment horizontal="right" vertical="center"/>
    </xf>
    <xf numFmtId="167" fontId="5" fillId="2" borderId="4" xfId="80" applyNumberFormat="1" applyFont="1" applyFill="1" applyBorder="1" applyAlignment="1">
      <alignment horizontal="right" vertical="center"/>
    </xf>
    <xf numFmtId="166" fontId="8" fillId="2" borderId="4" xfId="14" applyNumberFormat="1" applyFont="1" applyFill="1" applyBorder="1" applyAlignment="1">
      <alignment vertical="center"/>
    </xf>
    <xf numFmtId="166" fontId="8" fillId="2" borderId="4" xfId="80" applyNumberFormat="1" applyFont="1" applyFill="1" applyBorder="1" applyAlignment="1">
      <alignment vertical="center"/>
    </xf>
    <xf numFmtId="166" fontId="8" fillId="2" borderId="41" xfId="14" applyNumberFormat="1" applyFont="1" applyFill="1" applyBorder="1" applyAlignment="1">
      <alignment vertical="center"/>
    </xf>
    <xf numFmtId="166" fontId="31" fillId="2" borderId="0" xfId="80" applyNumberFormat="1" applyFont="1" applyFill="1" applyAlignment="1">
      <alignment vertical="center"/>
    </xf>
    <xf numFmtId="17" fontId="4" fillId="3" borderId="23" xfId="14" quotePrefix="1" applyNumberFormat="1" applyFont="1" applyFill="1" applyBorder="1" applyAlignment="1">
      <alignment horizontal="left" vertical="center"/>
    </xf>
    <xf numFmtId="3" fontId="5" fillId="2" borderId="37" xfId="80" applyNumberFormat="1" applyFont="1" applyFill="1" applyBorder="1" applyAlignment="1">
      <alignment vertical="center"/>
    </xf>
    <xf numFmtId="3" fontId="5" fillId="2" borderId="37" xfId="80" applyNumberFormat="1" applyFont="1" applyFill="1" applyBorder="1" applyAlignment="1">
      <alignment horizontal="right" vertical="center"/>
    </xf>
    <xf numFmtId="167" fontId="5" fillId="2" borderId="37" xfId="80" applyNumberFormat="1" applyFont="1" applyFill="1" applyBorder="1" applyAlignment="1">
      <alignment horizontal="right" vertical="center"/>
    </xf>
    <xf numFmtId="166" fontId="8" fillId="2" borderId="37" xfId="14" applyNumberFormat="1" applyFont="1" applyFill="1" applyBorder="1" applyAlignment="1">
      <alignment vertical="center"/>
    </xf>
    <xf numFmtId="166" fontId="8" fillId="2" borderId="37" xfId="80" applyNumberFormat="1" applyFont="1" applyFill="1" applyBorder="1" applyAlignment="1">
      <alignment vertical="center"/>
    </xf>
    <xf numFmtId="166" fontId="8" fillId="2" borderId="40" xfId="14" applyNumberFormat="1" applyFont="1" applyFill="1" applyBorder="1" applyAlignment="1">
      <alignment vertical="center"/>
    </xf>
    <xf numFmtId="3" fontId="11" fillId="2" borderId="4" xfId="80" applyNumberFormat="1" applyFont="1" applyFill="1" applyBorder="1" applyAlignment="1">
      <alignment vertical="center"/>
    </xf>
    <xf numFmtId="3" fontId="11" fillId="2" borderId="4" xfId="80" applyNumberFormat="1" applyFont="1" applyFill="1" applyBorder="1" applyAlignment="1">
      <alignment horizontal="right" vertical="center"/>
    </xf>
    <xf numFmtId="167" fontId="11" fillId="2" borderId="4" xfId="80" applyNumberFormat="1" applyFont="1" applyFill="1" applyBorder="1" applyAlignment="1">
      <alignment horizontal="right" vertical="center"/>
    </xf>
    <xf numFmtId="166" fontId="26" fillId="2" borderId="4" xfId="14" applyNumberFormat="1" applyFont="1" applyFill="1" applyBorder="1" applyAlignment="1">
      <alignment vertical="center"/>
    </xf>
    <xf numFmtId="166" fontId="26" fillId="2" borderId="4" xfId="80" applyNumberFormat="1" applyFont="1" applyFill="1" applyBorder="1" applyAlignment="1">
      <alignment vertical="center"/>
    </xf>
    <xf numFmtId="166" fontId="26" fillId="2" borderId="41" xfId="14" applyNumberFormat="1" applyFont="1" applyFill="1" applyBorder="1" applyAlignment="1">
      <alignment vertical="center"/>
    </xf>
    <xf numFmtId="17" fontId="8" fillId="3" borderId="26" xfId="14" quotePrefix="1" applyNumberFormat="1" applyFont="1" applyFill="1" applyBorder="1" applyAlignment="1">
      <alignment horizontal="left" vertical="center"/>
    </xf>
    <xf numFmtId="3" fontId="11" fillId="2" borderId="36" xfId="80" applyNumberFormat="1" applyFont="1" applyFill="1" applyBorder="1" applyAlignment="1">
      <alignment vertical="center"/>
    </xf>
    <xf numFmtId="3" fontId="11" fillId="2" borderId="36" xfId="80" applyNumberFormat="1" applyFont="1" applyFill="1" applyBorder="1" applyAlignment="1">
      <alignment horizontal="right" vertical="center"/>
    </xf>
    <xf numFmtId="167" fontId="11" fillId="2" borderId="36" xfId="80" applyNumberFormat="1" applyFont="1" applyFill="1" applyBorder="1" applyAlignment="1">
      <alignment horizontal="right" vertical="center"/>
    </xf>
    <xf numFmtId="166" fontId="26" fillId="2" borderId="36" xfId="14" applyNumberFormat="1" applyFont="1" applyFill="1" applyBorder="1" applyAlignment="1">
      <alignment vertical="center"/>
    </xf>
    <xf numFmtId="166" fontId="26" fillId="2" borderId="36" xfId="80" applyNumberFormat="1" applyFont="1" applyFill="1" applyBorder="1" applyAlignment="1">
      <alignment vertical="center"/>
    </xf>
    <xf numFmtId="166" fontId="26" fillId="2" borderId="38" xfId="14" applyNumberFormat="1" applyFont="1" applyFill="1" applyBorder="1" applyAlignment="1">
      <alignment vertical="center"/>
    </xf>
    <xf numFmtId="180" fontId="19" fillId="2" borderId="0" xfId="14" applyNumberFormat="1" applyFont="1" applyFill="1" applyAlignment="1">
      <alignment vertical="center"/>
    </xf>
    <xf numFmtId="17" fontId="8" fillId="3" borderId="24" xfId="14" quotePrefix="1" applyNumberFormat="1" applyFont="1" applyFill="1" applyBorder="1" applyAlignment="1">
      <alignment horizontal="left" vertical="center"/>
    </xf>
    <xf numFmtId="17" fontId="8" fillId="3" borderId="23" xfId="14" quotePrefix="1" applyNumberFormat="1" applyFont="1" applyFill="1" applyBorder="1" applyAlignment="1">
      <alignment horizontal="left" vertical="center"/>
    </xf>
    <xf numFmtId="3" fontId="11" fillId="2" borderId="37" xfId="80" applyNumberFormat="1" applyFont="1" applyFill="1" applyBorder="1" applyAlignment="1">
      <alignment vertical="center"/>
    </xf>
    <xf numFmtId="3" fontId="11" fillId="2" borderId="37" xfId="80" applyNumberFormat="1" applyFont="1" applyFill="1" applyBorder="1" applyAlignment="1">
      <alignment horizontal="right" vertical="center"/>
    </xf>
    <xf numFmtId="167" fontId="11" fillId="2" borderId="37" xfId="80" applyNumberFormat="1" applyFont="1" applyFill="1" applyBorder="1" applyAlignment="1">
      <alignment horizontal="right" vertical="center"/>
    </xf>
    <xf numFmtId="166" fontId="26" fillId="2" borderId="37" xfId="14" applyNumberFormat="1" applyFont="1" applyFill="1" applyBorder="1" applyAlignment="1">
      <alignment vertical="center"/>
    </xf>
    <xf numFmtId="166" fontId="26" fillId="2" borderId="37" xfId="80" applyNumberFormat="1" applyFont="1" applyFill="1" applyBorder="1" applyAlignment="1">
      <alignment vertical="center"/>
    </xf>
    <xf numFmtId="166" fontId="26" fillId="2" borderId="40" xfId="14" applyNumberFormat="1" applyFont="1" applyFill="1" applyBorder="1" applyAlignment="1">
      <alignment vertical="center"/>
    </xf>
    <xf numFmtId="166" fontId="26" fillId="2" borderId="41" xfId="80" applyNumberFormat="1" applyFont="1" applyFill="1" applyBorder="1" applyAlignment="1">
      <alignment vertical="center"/>
    </xf>
    <xf numFmtId="2" fontId="11" fillId="2" borderId="4" xfId="80" applyNumberFormat="1" applyFont="1" applyFill="1" applyBorder="1" applyAlignment="1">
      <alignment horizontal="right" vertical="center"/>
    </xf>
    <xf numFmtId="177" fontId="11" fillId="2" borderId="4" xfId="3" applyNumberFormat="1" applyFont="1" applyFill="1" applyBorder="1" applyAlignment="1">
      <alignment horizontal="right" vertical="center"/>
    </xf>
    <xf numFmtId="166" fontId="26" fillId="2" borderId="40" xfId="80" applyNumberFormat="1" applyFont="1" applyFill="1" applyBorder="1" applyAlignment="1">
      <alignment vertical="center"/>
    </xf>
    <xf numFmtId="167" fontId="5" fillId="2" borderId="0" xfId="80" applyNumberFormat="1" applyFont="1" applyFill="1"/>
    <xf numFmtId="166" fontId="19" fillId="2" borderId="0" xfId="14" applyNumberFormat="1" applyFont="1" applyFill="1" applyBorder="1" applyAlignment="1">
      <alignment vertical="center"/>
    </xf>
    <xf numFmtId="4" fontId="19" fillId="2" borderId="0" xfId="14" applyNumberFormat="1" applyFont="1" applyFill="1" applyBorder="1" applyAlignment="1">
      <alignment vertical="center"/>
    </xf>
    <xf numFmtId="0" fontId="19" fillId="2" borderId="0" xfId="14" applyFont="1" applyFill="1" applyBorder="1"/>
    <xf numFmtId="167" fontId="19" fillId="2" borderId="0" xfId="14" applyNumberFormat="1" applyFont="1" applyFill="1" applyBorder="1"/>
    <xf numFmtId="167" fontId="19" fillId="2" borderId="0" xfId="14" applyNumberFormat="1" applyFont="1" applyFill="1" applyBorder="1" applyAlignment="1">
      <alignment vertical="center"/>
    </xf>
    <xf numFmtId="3" fontId="19" fillId="2" borderId="0" xfId="14" applyNumberFormat="1" applyFont="1" applyFill="1" applyBorder="1" applyAlignment="1">
      <alignment vertical="center"/>
    </xf>
    <xf numFmtId="0" fontId="19" fillId="2" borderId="0" xfId="14" applyFont="1" applyFill="1" applyBorder="1" applyAlignment="1">
      <alignment vertical="center"/>
    </xf>
    <xf numFmtId="0" fontId="19" fillId="0" borderId="0" xfId="14" applyFont="1" applyBorder="1" applyAlignment="1">
      <alignment vertical="center"/>
    </xf>
    <xf numFmtId="0" fontId="8" fillId="3" borderId="27" xfId="14" quotePrefix="1" applyNumberFormat="1" applyFont="1" applyFill="1" applyBorder="1" applyAlignment="1">
      <alignment horizontal="left" vertical="center"/>
    </xf>
    <xf numFmtId="3" fontId="11" fillId="0" borderId="6" xfId="80" applyNumberFormat="1" applyFont="1" applyFill="1" applyBorder="1" applyAlignment="1">
      <alignment vertical="center"/>
    </xf>
    <xf numFmtId="3" fontId="11" fillId="0" borderId="6" xfId="80" applyNumberFormat="1" applyFont="1" applyFill="1" applyBorder="1" applyAlignment="1">
      <alignment horizontal="right" vertical="center"/>
    </xf>
    <xf numFmtId="167" fontId="11" fillId="0" borderId="6" xfId="80" applyNumberFormat="1" applyFont="1" applyFill="1" applyBorder="1" applyAlignment="1">
      <alignment horizontal="right" vertical="center"/>
    </xf>
    <xf numFmtId="166" fontId="26" fillId="0" borderId="6" xfId="14" applyNumberFormat="1" applyFont="1" applyFill="1" applyBorder="1" applyAlignment="1">
      <alignment vertical="center"/>
    </xf>
    <xf numFmtId="166" fontId="26" fillId="0" borderId="6" xfId="80" applyNumberFormat="1" applyFont="1" applyFill="1" applyBorder="1" applyAlignment="1">
      <alignment vertical="center"/>
    </xf>
    <xf numFmtId="166" fontId="26" fillId="0" borderId="43" xfId="80" applyNumberFormat="1" applyFont="1" applyFill="1" applyBorder="1" applyAlignment="1">
      <alignment vertical="center"/>
    </xf>
    <xf numFmtId="0" fontId="149" fillId="2" borderId="0" xfId="80" applyFont="1" applyFill="1" applyAlignment="1">
      <alignment vertical="center"/>
    </xf>
    <xf numFmtId="166" fontId="149" fillId="2" borderId="0" xfId="14" applyNumberFormat="1" applyFont="1" applyFill="1" applyAlignment="1">
      <alignment vertical="center"/>
    </xf>
    <xf numFmtId="4" fontId="149" fillId="2" borderId="0" xfId="80" applyNumberFormat="1" applyFont="1" applyFill="1" applyAlignment="1">
      <alignment vertical="center"/>
    </xf>
    <xf numFmtId="3" fontId="149" fillId="2" borderId="0" xfId="14" applyNumberFormat="1" applyFont="1" applyFill="1" applyAlignment="1">
      <alignment vertical="center"/>
    </xf>
    <xf numFmtId="0" fontId="134" fillId="2" borderId="0" xfId="14" applyFont="1" applyFill="1" applyAlignment="1">
      <alignment vertical="center"/>
    </xf>
    <xf numFmtId="166" fontId="134" fillId="2" borderId="0" xfId="14" applyNumberFormat="1" applyFont="1" applyFill="1" applyAlignment="1">
      <alignment vertical="center"/>
    </xf>
    <xf numFmtId="0" fontId="134" fillId="2" borderId="0" xfId="80" applyFont="1" applyFill="1" applyAlignment="1">
      <alignment vertical="center"/>
    </xf>
    <xf numFmtId="0" fontId="136" fillId="2" borderId="0" xfId="14" applyFont="1" applyFill="1" applyAlignment="1">
      <alignment horizontal="right" vertical="center"/>
    </xf>
    <xf numFmtId="0" fontId="134" fillId="0" borderId="0" xfId="14" applyFont="1" applyAlignment="1">
      <alignment vertical="center"/>
    </xf>
    <xf numFmtId="3" fontId="19" fillId="2" borderId="0" xfId="14" applyNumberFormat="1" applyFont="1" applyFill="1"/>
    <xf numFmtId="0" fontId="30" fillId="2" borderId="0" xfId="52" applyFont="1" applyFill="1" applyBorder="1" applyAlignment="1">
      <alignment horizontal="right" vertical="center"/>
    </xf>
    <xf numFmtId="0" fontId="30" fillId="2" borderId="0" xfId="52" applyFont="1" applyFill="1" applyBorder="1" applyAlignment="1">
      <alignment horizontal="right"/>
    </xf>
    <xf numFmtId="49" fontId="8" fillId="3" borderId="124" xfId="52" applyNumberFormat="1" applyFont="1" applyFill="1" applyBorder="1" applyAlignment="1">
      <alignment horizontal="center" vertical="center" wrapText="1"/>
    </xf>
    <xf numFmtId="0" fontId="8" fillId="3" borderId="122" xfId="52" applyFont="1" applyFill="1" applyBorder="1" applyAlignment="1">
      <alignment horizontal="center" vertical="center" wrapText="1"/>
    </xf>
    <xf numFmtId="49" fontId="8" fillId="3" borderId="77" xfId="52" applyNumberFormat="1" applyFont="1" applyFill="1" applyBorder="1" applyAlignment="1">
      <alignment horizontal="center" vertical="center" wrapText="1"/>
    </xf>
    <xf numFmtId="49" fontId="8" fillId="3" borderId="122" xfId="52" applyNumberFormat="1" applyFont="1" applyFill="1" applyBorder="1" applyAlignment="1">
      <alignment horizontal="center" vertical="center" wrapText="1"/>
    </xf>
    <xf numFmtId="49" fontId="8" fillId="3" borderId="265" xfId="52" applyNumberFormat="1" applyFont="1" applyFill="1" applyBorder="1" applyAlignment="1">
      <alignment horizontal="center" vertical="center" wrapText="1"/>
    </xf>
    <xf numFmtId="49" fontId="8" fillId="3" borderId="308" xfId="52" applyNumberFormat="1" applyFont="1" applyFill="1" applyBorder="1" applyAlignment="1">
      <alignment horizontal="center" vertical="top" wrapText="1"/>
    </xf>
    <xf numFmtId="0" fontId="8" fillId="2" borderId="0" xfId="24" applyFont="1" applyFill="1" applyAlignment="1">
      <alignment vertical="center" wrapText="1"/>
    </xf>
    <xf numFmtId="0" fontId="8" fillId="3" borderId="26" xfId="52" applyFont="1" applyFill="1" applyBorder="1" applyAlignment="1">
      <alignment horizontal="center" vertical="center"/>
    </xf>
    <xf numFmtId="0" fontId="5" fillId="3" borderId="309" xfId="52" applyFont="1" applyFill="1" applyBorder="1" applyAlignment="1">
      <alignment vertical="center" wrapText="1"/>
    </xf>
    <xf numFmtId="3" fontId="5" fillId="2" borderId="36" xfId="24" applyNumberFormat="1" applyFont="1" applyFill="1" applyBorder="1" applyAlignment="1">
      <alignment horizontal="center" vertical="center"/>
    </xf>
    <xf numFmtId="37" fontId="5" fillId="2" borderId="36" xfId="24" applyNumberFormat="1" applyFont="1" applyFill="1" applyBorder="1" applyAlignment="1">
      <alignment horizontal="center" vertical="center" wrapText="1"/>
    </xf>
    <xf numFmtId="211" fontId="5" fillId="2" borderId="36" xfId="83" applyNumberFormat="1" applyFont="1" applyFill="1" applyBorder="1" applyAlignment="1">
      <alignment horizontal="center" vertical="center"/>
    </xf>
    <xf numFmtId="211" fontId="5" fillId="2" borderId="32" xfId="83" applyNumberFormat="1" applyFont="1" applyFill="1" applyBorder="1" applyAlignment="1">
      <alignment horizontal="center" vertical="center"/>
    </xf>
    <xf numFmtId="211" fontId="5" fillId="2" borderId="310" xfId="83" applyNumberFormat="1" applyFont="1" applyFill="1" applyBorder="1" applyAlignment="1">
      <alignment horizontal="center" vertical="center"/>
    </xf>
    <xf numFmtId="211" fontId="5" fillId="2" borderId="0" xfId="52" applyNumberFormat="1" applyFont="1" applyFill="1" applyAlignment="1">
      <alignment vertical="center"/>
    </xf>
    <xf numFmtId="0" fontId="5" fillId="0" borderId="0" xfId="52" applyFont="1" applyAlignment="1">
      <alignment vertical="center"/>
    </xf>
    <xf numFmtId="0" fontId="8" fillId="3" borderId="24" xfId="52" applyFont="1" applyFill="1" applyBorder="1" applyAlignment="1">
      <alignment horizontal="center" vertical="center"/>
    </xf>
    <xf numFmtId="0" fontId="5" fillId="3" borderId="89" xfId="52" applyFont="1" applyFill="1" applyBorder="1" applyAlignment="1">
      <alignment vertical="center" wrapText="1"/>
    </xf>
    <xf numFmtId="3" fontId="5" fillId="2" borderId="4" xfId="24" applyNumberFormat="1" applyFont="1" applyFill="1" applyBorder="1" applyAlignment="1">
      <alignment horizontal="center" vertical="center"/>
    </xf>
    <xf numFmtId="211" fontId="5" fillId="2" borderId="4" xfId="83" applyNumberFormat="1" applyFont="1" applyFill="1" applyBorder="1" applyAlignment="1">
      <alignment horizontal="center" vertical="center"/>
    </xf>
    <xf numFmtId="3" fontId="5" fillId="2" borderId="4" xfId="83" applyNumberFormat="1" applyFont="1" applyFill="1" applyBorder="1" applyAlignment="1">
      <alignment horizontal="center" vertical="center"/>
    </xf>
    <xf numFmtId="211" fontId="5" fillId="2" borderId="25" xfId="83" applyNumberFormat="1" applyFont="1" applyFill="1" applyBorder="1" applyAlignment="1">
      <alignment horizontal="center" vertical="center"/>
    </xf>
    <xf numFmtId="3" fontId="5" fillId="2" borderId="311" xfId="83" applyNumberFormat="1" applyFont="1" applyFill="1" applyBorder="1" applyAlignment="1">
      <alignment horizontal="center" vertical="center"/>
    </xf>
    <xf numFmtId="37" fontId="5" fillId="2" borderId="4" xfId="24" applyNumberFormat="1" applyFont="1" applyFill="1" applyBorder="1" applyAlignment="1">
      <alignment horizontal="center" vertical="center" wrapText="1"/>
    </xf>
    <xf numFmtId="211" fontId="5" fillId="2" borderId="311" xfId="83" applyNumberFormat="1" applyFont="1" applyFill="1" applyBorder="1" applyAlignment="1">
      <alignment horizontal="center" vertical="center"/>
    </xf>
    <xf numFmtId="3" fontId="5" fillId="2" borderId="25" xfId="83" applyNumberFormat="1" applyFont="1" applyFill="1" applyBorder="1" applyAlignment="1">
      <alignment horizontal="center" vertical="center"/>
    </xf>
    <xf numFmtId="3" fontId="5" fillId="2" borderId="0" xfId="52" applyNumberFormat="1" applyFont="1" applyFill="1" applyAlignment="1">
      <alignment vertical="center"/>
    </xf>
    <xf numFmtId="0" fontId="27" fillId="3" borderId="24" xfId="52" applyFont="1" applyFill="1" applyBorder="1" applyAlignment="1">
      <alignment horizontal="center" vertical="center"/>
    </xf>
    <xf numFmtId="0" fontId="30" fillId="3" borderId="89" xfId="52" applyFont="1" applyFill="1" applyBorder="1" applyAlignment="1">
      <alignment vertical="center" wrapText="1"/>
    </xf>
    <xf numFmtId="37" fontId="30" fillId="2" borderId="4" xfId="24" applyNumberFormat="1" applyFont="1" applyFill="1" applyBorder="1" applyAlignment="1">
      <alignment horizontal="center" vertical="center" wrapText="1"/>
    </xf>
    <xf numFmtId="3" fontId="30" fillId="2" borderId="4" xfId="24" applyNumberFormat="1" applyFont="1" applyFill="1" applyBorder="1" applyAlignment="1">
      <alignment horizontal="center" vertical="center"/>
    </xf>
    <xf numFmtId="3" fontId="30" fillId="2" borderId="4" xfId="83" applyNumberFormat="1" applyFont="1" applyFill="1" applyBorder="1" applyAlignment="1">
      <alignment horizontal="center" vertical="center"/>
    </xf>
    <xf numFmtId="3" fontId="30" fillId="2" borderId="25" xfId="83" applyNumberFormat="1" applyFont="1" applyFill="1" applyBorder="1" applyAlignment="1">
      <alignment horizontal="center" vertical="center"/>
    </xf>
    <xf numFmtId="3" fontId="30" fillId="2" borderId="311" xfId="83" applyNumberFormat="1" applyFont="1" applyFill="1" applyBorder="1" applyAlignment="1">
      <alignment horizontal="center" vertical="center"/>
    </xf>
    <xf numFmtId="3" fontId="30" fillId="2" borderId="0" xfId="52" applyNumberFormat="1" applyFont="1" applyFill="1" applyAlignment="1">
      <alignment vertical="center"/>
    </xf>
    <xf numFmtId="211" fontId="30" fillId="2" borderId="0" xfId="52" applyNumberFormat="1" applyFont="1" applyFill="1" applyAlignment="1">
      <alignment vertical="center"/>
    </xf>
    <xf numFmtId="0" fontId="27" fillId="2" borderId="0" xfId="52" applyFont="1" applyFill="1" applyAlignment="1">
      <alignment horizontal="center" vertical="center"/>
    </xf>
    <xf numFmtId="0" fontId="27" fillId="0" borderId="0" xfId="52" applyFont="1" applyAlignment="1">
      <alignment horizontal="center" vertical="center"/>
    </xf>
    <xf numFmtId="0" fontId="5" fillId="3" borderId="89" xfId="52" applyFont="1" applyFill="1" applyBorder="1" applyAlignment="1">
      <alignment vertical="center"/>
    </xf>
    <xf numFmtId="0" fontId="8" fillId="2" borderId="0" xfId="52" applyFont="1" applyFill="1" applyAlignment="1">
      <alignment horizontal="center" vertical="center"/>
    </xf>
    <xf numFmtId="0" fontId="8" fillId="0" borderId="0" xfId="52" applyFont="1" applyAlignment="1">
      <alignment horizontal="center" vertical="center"/>
    </xf>
    <xf numFmtId="0" fontId="8" fillId="3" borderId="23" xfId="52" applyFont="1" applyFill="1" applyBorder="1" applyAlignment="1">
      <alignment horizontal="center" vertical="center"/>
    </xf>
    <xf numFmtId="0" fontId="5" fillId="3" borderId="182" xfId="52" applyFont="1" applyFill="1" applyBorder="1" applyAlignment="1">
      <alignment vertical="center" wrapText="1"/>
    </xf>
    <xf numFmtId="37" fontId="5" fillId="0" borderId="37" xfId="24" applyNumberFormat="1" applyFont="1" applyFill="1" applyBorder="1" applyAlignment="1">
      <alignment horizontal="center" vertical="center" wrapText="1"/>
    </xf>
    <xf numFmtId="3" fontId="5" fillId="0" borderId="37" xfId="24" applyNumberFormat="1" applyFont="1" applyFill="1" applyBorder="1" applyAlignment="1">
      <alignment horizontal="center" vertical="center"/>
    </xf>
    <xf numFmtId="211" fontId="5" fillId="2" borderId="37" xfId="83" applyNumberFormat="1" applyFont="1" applyFill="1" applyBorder="1" applyAlignment="1">
      <alignment horizontal="center" vertical="center"/>
    </xf>
    <xf numFmtId="211" fontId="5" fillId="2" borderId="45" xfId="83" applyNumberFormat="1" applyFont="1" applyFill="1" applyBorder="1" applyAlignment="1">
      <alignment horizontal="center" vertical="center"/>
    </xf>
    <xf numFmtId="211" fontId="5" fillId="2" borderId="312" xfId="83" applyNumberFormat="1" applyFont="1" applyFill="1" applyBorder="1" applyAlignment="1">
      <alignment horizontal="center" vertical="center"/>
    </xf>
    <xf numFmtId="3" fontId="8" fillId="2" borderId="6" xfId="24" applyNumberFormat="1" applyFont="1" applyFill="1" applyBorder="1" applyAlignment="1">
      <alignment horizontal="center" vertical="center"/>
    </xf>
    <xf numFmtId="3" fontId="8" fillId="2" borderId="233" xfId="24" applyNumberFormat="1" applyFont="1" applyFill="1" applyBorder="1" applyAlignment="1">
      <alignment horizontal="center" vertical="center"/>
    </xf>
    <xf numFmtId="3" fontId="8" fillId="2" borderId="196" xfId="24" applyNumberFormat="1" applyFont="1" applyFill="1" applyBorder="1" applyAlignment="1">
      <alignment horizontal="center" vertical="center"/>
    </xf>
    <xf numFmtId="3" fontId="8" fillId="2" borderId="313" xfId="24" applyNumberFormat="1" applyFont="1" applyFill="1" applyBorder="1" applyAlignment="1">
      <alignment horizontal="center" vertical="center"/>
    </xf>
    <xf numFmtId="0" fontId="17" fillId="2" borderId="0" xfId="24" applyFont="1" applyFill="1" applyBorder="1" applyAlignment="1">
      <alignment vertical="center" wrapText="1"/>
    </xf>
    <xf numFmtId="0" fontId="17" fillId="0" borderId="0" xfId="52" applyFont="1" applyFill="1" applyAlignment="1">
      <alignment vertical="center"/>
    </xf>
    <xf numFmtId="0" fontId="17" fillId="2" borderId="0" xfId="52" applyFont="1" applyFill="1" applyAlignment="1">
      <alignment horizontal="left" vertical="top"/>
    </xf>
    <xf numFmtId="0" fontId="5" fillId="2" borderId="0" xfId="52" applyFont="1" applyFill="1" applyAlignment="1"/>
    <xf numFmtId="0" fontId="5" fillId="2" borderId="0" xfId="52" applyFont="1" applyFill="1" applyAlignment="1">
      <alignment horizontal="center" vertical="center"/>
    </xf>
    <xf numFmtId="0" fontId="8" fillId="2" borderId="0" xfId="24" applyFont="1" applyFill="1" applyAlignment="1">
      <alignment vertical="top" wrapText="1"/>
    </xf>
    <xf numFmtId="49" fontId="8" fillId="3" borderId="2" xfId="52" applyNumberFormat="1" applyFont="1" applyFill="1" applyBorder="1" applyAlignment="1">
      <alignment horizontal="center" vertical="center" wrapText="1"/>
    </xf>
    <xf numFmtId="49" fontId="8" fillId="3" borderId="78" xfId="52" applyNumberFormat="1" applyFont="1" applyFill="1" applyBorder="1" applyAlignment="1">
      <alignment horizontal="center" vertical="center" wrapText="1"/>
    </xf>
    <xf numFmtId="49" fontId="8" fillId="3" borderId="314" xfId="52" applyNumberFormat="1" applyFont="1" applyFill="1" applyBorder="1" applyAlignment="1">
      <alignment horizontal="center" vertical="center" wrapText="1"/>
    </xf>
    <xf numFmtId="49" fontId="8" fillId="3" borderId="315" xfId="52" applyNumberFormat="1" applyFont="1" applyFill="1" applyBorder="1" applyAlignment="1">
      <alignment horizontal="center" vertical="center" wrapText="1"/>
    </xf>
    <xf numFmtId="0" fontId="5" fillId="0" borderId="0" xfId="52" applyFont="1" applyFill="1" applyAlignment="1">
      <alignment vertical="center"/>
    </xf>
    <xf numFmtId="0" fontId="8" fillId="3" borderId="3" xfId="24" applyFont="1" applyFill="1" applyBorder="1" applyAlignment="1">
      <alignment horizontal="left" vertical="center"/>
    </xf>
    <xf numFmtId="0" fontId="8" fillId="3" borderId="33" xfId="24" applyFont="1" applyFill="1" applyBorder="1" applyAlignment="1">
      <alignment horizontal="left" vertical="center"/>
    </xf>
    <xf numFmtId="3" fontId="8" fillId="2" borderId="4" xfId="19" applyNumberFormat="1" applyFont="1" applyFill="1" applyBorder="1" applyAlignment="1">
      <alignment horizontal="center" vertical="center"/>
    </xf>
    <xf numFmtId="3" fontId="8" fillId="0" borderId="4" xfId="19" applyNumberFormat="1" applyFont="1" applyFill="1" applyBorder="1" applyAlignment="1">
      <alignment horizontal="center" vertical="center"/>
    </xf>
    <xf numFmtId="3" fontId="8" fillId="0" borderId="25" xfId="19" applyNumberFormat="1" applyFont="1" applyBorder="1" applyAlignment="1">
      <alignment horizontal="center" vertical="center"/>
    </xf>
    <xf numFmtId="3" fontId="8" fillId="0" borderId="47" xfId="19" applyNumberFormat="1" applyFont="1" applyBorder="1" applyAlignment="1">
      <alignment horizontal="center" vertical="center"/>
    </xf>
    <xf numFmtId="3" fontId="8" fillId="0" borderId="311" xfId="19" applyNumberFormat="1" applyFont="1" applyBorder="1" applyAlignment="1">
      <alignment horizontal="center" vertical="center"/>
    </xf>
    <xf numFmtId="0" fontId="8" fillId="3" borderId="24" xfId="24" applyFont="1" applyFill="1" applyBorder="1" applyAlignment="1">
      <alignment horizontal="left" vertical="center"/>
    </xf>
    <xf numFmtId="0" fontId="5" fillId="3" borderId="4" xfId="24" applyFont="1" applyFill="1" applyBorder="1" applyAlignment="1">
      <alignment horizontal="left" vertical="center"/>
    </xf>
    <xf numFmtId="3" fontId="8" fillId="2" borderId="25" xfId="19" applyNumberFormat="1" applyFont="1" applyFill="1" applyBorder="1" applyAlignment="1">
      <alignment horizontal="center" vertical="center"/>
    </xf>
    <xf numFmtId="3" fontId="8" fillId="2" borderId="47" xfId="19" applyNumberFormat="1" applyFont="1" applyFill="1" applyBorder="1" applyAlignment="1">
      <alignment horizontal="center" vertical="center"/>
    </xf>
    <xf numFmtId="3" fontId="8" fillId="2" borderId="311" xfId="19" applyNumberFormat="1" applyFont="1" applyFill="1" applyBorder="1" applyAlignment="1">
      <alignment horizontal="center" vertical="center"/>
    </xf>
    <xf numFmtId="3" fontId="5" fillId="2" borderId="4" xfId="19" applyNumberFormat="1" applyFont="1" applyFill="1" applyBorder="1" applyAlignment="1">
      <alignment horizontal="center" vertical="center"/>
    </xf>
    <xf numFmtId="3" fontId="5" fillId="2" borderId="25" xfId="19" applyNumberFormat="1" applyFont="1" applyFill="1" applyBorder="1" applyAlignment="1">
      <alignment horizontal="center" vertical="center"/>
    </xf>
    <xf numFmtId="3" fontId="5" fillId="2" borderId="47" xfId="19" applyNumberFormat="1" applyFont="1" applyFill="1" applyBorder="1" applyAlignment="1">
      <alignment horizontal="center" vertical="center"/>
    </xf>
    <xf numFmtId="3" fontId="5" fillId="2" borderId="311" xfId="19" applyNumberFormat="1" applyFont="1" applyFill="1" applyBorder="1" applyAlignment="1">
      <alignment horizontal="center" vertical="center"/>
    </xf>
    <xf numFmtId="0" fontId="5" fillId="3" borderId="24" xfId="24" applyFont="1" applyFill="1" applyBorder="1" applyAlignment="1">
      <alignment horizontal="left" vertical="center"/>
    </xf>
    <xf numFmtId="211" fontId="5" fillId="2" borderId="47" xfId="83" applyNumberFormat="1" applyFont="1" applyFill="1" applyBorder="1" applyAlignment="1">
      <alignment horizontal="center" vertical="center"/>
    </xf>
    <xf numFmtId="3" fontId="5" fillId="2" borderId="25" xfId="24" applyNumberFormat="1" applyFont="1" applyFill="1" applyBorder="1" applyAlignment="1">
      <alignment horizontal="center" vertical="center"/>
    </xf>
    <xf numFmtId="3" fontId="5" fillId="2" borderId="47" xfId="24" applyNumberFormat="1" applyFont="1" applyFill="1" applyBorder="1" applyAlignment="1">
      <alignment horizontal="center" vertical="center"/>
    </xf>
    <xf numFmtId="3" fontId="5" fillId="2" borderId="311" xfId="24" applyNumberFormat="1" applyFont="1" applyFill="1" applyBorder="1" applyAlignment="1">
      <alignment horizontal="center" vertical="center"/>
    </xf>
    <xf numFmtId="3" fontId="5" fillId="0" borderId="25" xfId="24" applyNumberFormat="1" applyFont="1" applyBorder="1" applyAlignment="1">
      <alignment horizontal="center" vertical="center"/>
    </xf>
    <xf numFmtId="3" fontId="5" fillId="0" borderId="47" xfId="24" applyNumberFormat="1" applyFont="1" applyBorder="1" applyAlignment="1">
      <alignment horizontal="center" vertical="center"/>
    </xf>
    <xf numFmtId="3" fontId="5" fillId="0" borderId="311" xfId="24" applyNumberFormat="1" applyFont="1" applyBorder="1" applyAlignment="1">
      <alignment horizontal="center" vertical="center"/>
    </xf>
    <xf numFmtId="0" fontId="30" fillId="2" borderId="0" xfId="52" applyFont="1" applyFill="1" applyAlignment="1">
      <alignment vertical="center"/>
    </xf>
    <xf numFmtId="0" fontId="30" fillId="0" borderId="0" xfId="52" applyFont="1" applyFill="1" applyAlignment="1">
      <alignment vertical="center"/>
    </xf>
    <xf numFmtId="0" fontId="5" fillId="3" borderId="3" xfId="24" applyFont="1" applyFill="1" applyBorder="1" applyAlignment="1">
      <alignment horizontal="left" vertical="center"/>
    </xf>
    <xf numFmtId="0" fontId="5" fillId="3" borderId="33" xfId="24" applyFont="1" applyFill="1" applyBorder="1" applyAlignment="1">
      <alignment horizontal="left" vertical="center" indent="1"/>
    </xf>
    <xf numFmtId="0" fontId="5" fillId="3" borderId="3" xfId="24" applyFont="1" applyFill="1" applyBorder="1" applyAlignment="1">
      <alignment horizontal="right" vertical="center"/>
    </xf>
    <xf numFmtId="165" fontId="5" fillId="2" borderId="4" xfId="83" applyNumberFormat="1" applyFont="1" applyFill="1" applyBorder="1" applyAlignment="1">
      <alignment horizontal="center" vertical="center"/>
    </xf>
    <xf numFmtId="3" fontId="5" fillId="2" borderId="25" xfId="57" applyNumberFormat="1" applyFont="1" applyFill="1" applyBorder="1" applyAlignment="1">
      <alignment horizontal="center" vertical="center"/>
    </xf>
    <xf numFmtId="3" fontId="5" fillId="2" borderId="47" xfId="57" applyNumberFormat="1" applyFont="1" applyFill="1" applyBorder="1" applyAlignment="1">
      <alignment horizontal="center" vertical="center"/>
    </xf>
    <xf numFmtId="0" fontId="30" fillId="2" borderId="0" xfId="52" applyFont="1" applyFill="1" applyAlignment="1">
      <alignment horizontal="left" vertical="top"/>
    </xf>
    <xf numFmtId="3" fontId="8" fillId="2" borderId="6" xfId="19" applyNumberFormat="1" applyFont="1" applyFill="1" applyBorder="1" applyAlignment="1">
      <alignment horizontal="center" vertical="center"/>
    </xf>
    <xf numFmtId="165" fontId="8" fillId="2" borderId="6" xfId="83" applyNumberFormat="1" applyFont="1" applyFill="1" applyBorder="1" applyAlignment="1">
      <alignment horizontal="center" vertical="center"/>
    </xf>
    <xf numFmtId="211" fontId="5" fillId="2" borderId="6" xfId="83" applyNumberFormat="1" applyFont="1" applyFill="1" applyBorder="1" applyAlignment="1">
      <alignment horizontal="center" vertical="center"/>
    </xf>
    <xf numFmtId="211" fontId="8" fillId="2" borderId="6" xfId="83" applyNumberFormat="1" applyFont="1" applyFill="1" applyBorder="1" applyAlignment="1">
      <alignment horizontal="center" vertical="center"/>
    </xf>
    <xf numFmtId="3" fontId="8" fillId="2" borderId="129" xfId="19" applyNumberFormat="1" applyFont="1" applyFill="1" applyBorder="1" applyAlignment="1">
      <alignment horizontal="center" vertical="center"/>
    </xf>
    <xf numFmtId="211" fontId="8" fillId="2" borderId="316" xfId="83" applyNumberFormat="1" applyFont="1" applyFill="1" applyBorder="1" applyAlignment="1">
      <alignment horizontal="center" vertical="center"/>
    </xf>
    <xf numFmtId="0" fontId="19" fillId="2" borderId="0" xfId="52" applyFont="1" applyFill="1" applyAlignment="1">
      <alignment vertical="top"/>
    </xf>
    <xf numFmtId="212" fontId="5" fillId="2" borderId="0" xfId="52" applyNumberFormat="1" applyFont="1" applyFill="1" applyBorder="1" applyAlignment="1">
      <alignment horizontal="center" vertical="center"/>
    </xf>
    <xf numFmtId="0" fontId="5" fillId="2" borderId="0" xfId="24" applyFont="1" applyFill="1" applyAlignment="1">
      <alignment horizontal="center" vertical="center"/>
    </xf>
    <xf numFmtId="0" fontId="30" fillId="2" borderId="0" xfId="24" applyFont="1" applyFill="1" applyBorder="1" applyAlignment="1">
      <alignment horizontal="right" vertical="center"/>
    </xf>
    <xf numFmtId="49" fontId="8" fillId="3" borderId="1" xfId="52" applyNumberFormat="1" applyFont="1" applyFill="1" applyBorder="1" applyAlignment="1">
      <alignment horizontal="center" vertical="center" wrapText="1"/>
    </xf>
    <xf numFmtId="0" fontId="8" fillId="3" borderId="2" xfId="52" applyFont="1" applyFill="1" applyBorder="1" applyAlignment="1">
      <alignment horizontal="center" vertical="center" wrapText="1"/>
    </xf>
    <xf numFmtId="49" fontId="8" fillId="3" borderId="98" xfId="52" applyNumberFormat="1" applyFont="1" applyFill="1" applyBorder="1" applyAlignment="1">
      <alignment horizontal="center" vertical="center" wrapText="1"/>
    </xf>
    <xf numFmtId="49" fontId="8" fillId="3" borderId="78" xfId="52" applyNumberFormat="1" applyFont="1" applyFill="1" applyBorder="1" applyAlignment="1">
      <alignment horizontal="center" vertical="center"/>
    </xf>
    <xf numFmtId="49" fontId="8" fillId="3" borderId="28" xfId="52" applyNumberFormat="1" applyFont="1" applyFill="1" applyBorder="1" applyAlignment="1">
      <alignment horizontal="center" vertical="center" wrapText="1"/>
    </xf>
    <xf numFmtId="0" fontId="8" fillId="3" borderId="3" xfId="52" applyFont="1" applyFill="1" applyBorder="1" applyAlignment="1">
      <alignment horizontal="center" vertical="center"/>
    </xf>
    <xf numFmtId="0" fontId="5" fillId="3" borderId="4" xfId="52" applyFont="1" applyFill="1" applyBorder="1" applyAlignment="1">
      <alignment vertical="center" wrapText="1"/>
    </xf>
    <xf numFmtId="211" fontId="5" fillId="2" borderId="33" xfId="83" applyNumberFormat="1" applyFont="1" applyFill="1" applyBorder="1" applyAlignment="1">
      <alignment horizontal="center" vertical="center"/>
    </xf>
    <xf numFmtId="211" fontId="5" fillId="2" borderId="25" xfId="58" applyNumberFormat="1" applyFont="1" applyFill="1" applyBorder="1" applyAlignment="1">
      <alignment horizontal="center" vertical="center"/>
    </xf>
    <xf numFmtId="211" fontId="5" fillId="2" borderId="4" xfId="58" applyNumberFormat="1" applyFont="1" applyFill="1" applyBorder="1" applyAlignment="1">
      <alignment horizontal="center" vertical="center"/>
    </xf>
    <xf numFmtId="211" fontId="5" fillId="2" borderId="14" xfId="58" applyNumberFormat="1" applyFont="1" applyFill="1" applyBorder="1" applyAlignment="1">
      <alignment horizontal="center" vertical="center"/>
    </xf>
    <xf numFmtId="211" fontId="5" fillId="2" borderId="311" xfId="58" applyNumberFormat="1" applyFont="1" applyFill="1" applyBorder="1" applyAlignment="1">
      <alignment horizontal="center" vertical="center"/>
    </xf>
    <xf numFmtId="0" fontId="5" fillId="2" borderId="0" xfId="24" applyFont="1" applyFill="1" applyAlignment="1">
      <alignment vertical="center" wrapText="1"/>
    </xf>
    <xf numFmtId="3" fontId="5" fillId="2" borderId="14" xfId="83" applyNumberFormat="1" applyFont="1" applyFill="1" applyBorder="1" applyAlignment="1">
      <alignment horizontal="center" vertical="center"/>
    </xf>
    <xf numFmtId="211" fontId="5" fillId="2" borderId="317" xfId="58" applyNumberFormat="1" applyFont="1" applyFill="1" applyBorder="1" applyAlignment="1">
      <alignment horizontal="center" vertical="center"/>
    </xf>
    <xf numFmtId="0" fontId="8" fillId="3" borderId="3" xfId="52" applyFont="1" applyFill="1" applyBorder="1" applyAlignment="1">
      <alignment horizontal="center" vertical="top"/>
    </xf>
    <xf numFmtId="0" fontId="5" fillId="3" borderId="4" xfId="52" applyFont="1" applyFill="1" applyBorder="1" applyAlignment="1">
      <alignment vertical="top" wrapText="1"/>
    </xf>
    <xf numFmtId="3" fontId="5" fillId="2" borderId="4" xfId="83" applyNumberFormat="1" applyFont="1" applyFill="1" applyBorder="1" applyAlignment="1">
      <alignment horizontal="center" vertical="top"/>
    </xf>
    <xf numFmtId="211" fontId="5" fillId="2" borderId="4" xfId="58" applyNumberFormat="1" applyFont="1" applyFill="1" applyBorder="1" applyAlignment="1">
      <alignment horizontal="center" vertical="top"/>
    </xf>
    <xf numFmtId="187" fontId="27" fillId="2" borderId="0" xfId="19" applyNumberFormat="1" applyFont="1" applyFill="1" applyAlignment="1">
      <alignment vertical="center" wrapText="1"/>
    </xf>
    <xf numFmtId="187" fontId="8" fillId="2" borderId="0" xfId="19" applyNumberFormat="1" applyFont="1" applyFill="1" applyAlignment="1">
      <alignment vertical="center" wrapText="1"/>
    </xf>
    <xf numFmtId="211" fontId="30" fillId="2" borderId="25" xfId="58" applyNumberFormat="1" applyFont="1" applyFill="1" applyBorder="1" applyAlignment="1">
      <alignment horizontal="center" vertical="center"/>
    </xf>
    <xf numFmtId="0" fontId="8" fillId="3" borderId="99" xfId="52" applyFont="1" applyFill="1" applyBorder="1" applyAlignment="1">
      <alignment horizontal="center" vertical="center"/>
    </xf>
    <xf numFmtId="0" fontId="5" fillId="3" borderId="318" xfId="52" applyFont="1" applyFill="1" applyBorder="1" applyAlignment="1">
      <alignment vertical="center" wrapText="1"/>
    </xf>
    <xf numFmtId="3" fontId="5" fillId="2" borderId="14" xfId="58" applyNumberFormat="1" applyFont="1" applyFill="1" applyBorder="1" applyAlignment="1">
      <alignment horizontal="center" vertical="center"/>
    </xf>
    <xf numFmtId="3" fontId="8" fillId="2" borderId="239" xfId="52" applyNumberFormat="1" applyFont="1" applyFill="1" applyBorder="1" applyAlignment="1">
      <alignment horizontal="center" vertical="center"/>
    </xf>
    <xf numFmtId="3" fontId="8" fillId="2" borderId="320" xfId="52" applyNumberFormat="1" applyFont="1" applyFill="1" applyBorder="1" applyAlignment="1">
      <alignment horizontal="center" vertical="center"/>
    </xf>
    <xf numFmtId="3" fontId="8" fillId="2" borderId="233" xfId="52" applyNumberFormat="1" applyFont="1" applyFill="1" applyBorder="1" applyAlignment="1">
      <alignment horizontal="center" vertical="center"/>
    </xf>
    <xf numFmtId="3" fontId="8" fillId="2" borderId="240" xfId="52" applyNumberFormat="1" applyFont="1" applyFill="1" applyBorder="1" applyAlignment="1">
      <alignment horizontal="center" vertical="center"/>
    </xf>
    <xf numFmtId="3" fontId="8" fillId="2" borderId="255" xfId="52" applyNumberFormat="1" applyFont="1" applyFill="1" applyBorder="1" applyAlignment="1">
      <alignment horizontal="center" vertical="center"/>
    </xf>
    <xf numFmtId="3" fontId="8" fillId="2" borderId="313" xfId="52" applyNumberFormat="1" applyFont="1" applyFill="1" applyBorder="1" applyAlignment="1">
      <alignment horizontal="center" vertical="center"/>
    </xf>
    <xf numFmtId="0" fontId="30" fillId="2" borderId="0" xfId="24" applyFont="1" applyFill="1" applyAlignment="1">
      <alignment vertical="center"/>
    </xf>
    <xf numFmtId="0" fontId="17" fillId="0" borderId="0" xfId="52" applyFont="1" applyAlignment="1">
      <alignment vertical="center"/>
    </xf>
    <xf numFmtId="0" fontId="30" fillId="2" borderId="0" xfId="24" applyFont="1" applyFill="1"/>
    <xf numFmtId="187" fontId="30" fillId="2" borderId="0" xfId="24" applyNumberFormat="1" applyFont="1" applyFill="1" applyAlignment="1">
      <alignment horizontal="center" vertical="center"/>
    </xf>
    <xf numFmtId="0" fontId="5" fillId="2" borderId="0" xfId="24" applyNumberFormat="1" applyFont="1" applyFill="1" applyAlignment="1">
      <alignment vertical="center"/>
    </xf>
    <xf numFmtId="3" fontId="5" fillId="2" borderId="0" xfId="24" applyNumberFormat="1" applyFont="1" applyFill="1" applyAlignment="1">
      <alignment vertical="center"/>
    </xf>
    <xf numFmtId="3" fontId="8" fillId="2" borderId="25" xfId="52" applyNumberFormat="1" applyFont="1" applyFill="1" applyBorder="1" applyAlignment="1">
      <alignment horizontal="center" vertical="center"/>
    </xf>
    <xf numFmtId="3" fontId="8" fillId="2" borderId="112" xfId="52" applyNumberFormat="1" applyFont="1" applyFill="1" applyBorder="1" applyAlignment="1">
      <alignment horizontal="center" vertical="center"/>
    </xf>
    <xf numFmtId="3" fontId="8" fillId="2" borderId="107" xfId="52" applyNumberFormat="1" applyFont="1" applyFill="1" applyBorder="1" applyAlignment="1">
      <alignment horizontal="center" vertical="center"/>
    </xf>
    <xf numFmtId="3" fontId="8" fillId="2" borderId="4" xfId="83" applyNumberFormat="1" applyFont="1" applyFill="1" applyBorder="1" applyAlignment="1">
      <alignment horizontal="center" vertical="center"/>
    </xf>
    <xf numFmtId="3" fontId="8" fillId="2" borderId="36" xfId="83" applyNumberFormat="1" applyFont="1" applyFill="1" applyBorder="1" applyAlignment="1">
      <alignment horizontal="center" vertical="center"/>
    </xf>
    <xf numFmtId="3" fontId="8" fillId="2" borderId="32" xfId="83" applyNumberFormat="1" applyFont="1" applyFill="1" applyBorder="1" applyAlignment="1">
      <alignment horizontal="center" vertical="center"/>
    </xf>
    <xf numFmtId="3" fontId="26" fillId="0" borderId="14" xfId="19" applyNumberFormat="1" applyFont="1" applyFill="1" applyBorder="1" applyAlignment="1">
      <alignment horizontal="center" vertical="center"/>
    </xf>
    <xf numFmtId="3" fontId="26" fillId="0" borderId="311" xfId="19" applyNumberFormat="1" applyFont="1" applyFill="1" applyBorder="1" applyAlignment="1">
      <alignment horizontal="center" vertical="center"/>
    </xf>
    <xf numFmtId="0" fontId="8" fillId="2" borderId="0" xfId="24" applyFont="1" applyFill="1" applyAlignment="1">
      <alignment vertical="center"/>
    </xf>
    <xf numFmtId="3" fontId="8" fillId="2" borderId="4" xfId="52" applyNumberFormat="1" applyFont="1" applyFill="1" applyBorder="1" applyAlignment="1">
      <alignment horizontal="center" vertical="center"/>
    </xf>
    <xf numFmtId="3" fontId="26" fillId="2" borderId="14" xfId="83" applyNumberFormat="1" applyFont="1" applyFill="1" applyBorder="1" applyAlignment="1">
      <alignment horizontal="center" vertical="center"/>
    </xf>
    <xf numFmtId="3" fontId="26" fillId="2" borderId="311" xfId="83" applyNumberFormat="1" applyFont="1" applyFill="1" applyBorder="1" applyAlignment="1">
      <alignment horizontal="center" vertical="center"/>
    </xf>
    <xf numFmtId="211" fontId="5" fillId="2" borderId="25" xfId="52" applyNumberFormat="1" applyFont="1" applyFill="1" applyBorder="1" applyAlignment="1">
      <alignment horizontal="center" vertical="center"/>
    </xf>
    <xf numFmtId="3" fontId="5" fillId="2" borderId="112" xfId="52" applyNumberFormat="1" applyFont="1" applyFill="1" applyBorder="1" applyAlignment="1">
      <alignment horizontal="center" vertical="center"/>
    </xf>
    <xf numFmtId="3" fontId="5" fillId="2" borderId="107" xfId="52" applyNumberFormat="1" applyFont="1" applyFill="1" applyBorder="1" applyAlignment="1">
      <alignment horizontal="center" vertical="center"/>
    </xf>
    <xf numFmtId="3" fontId="5" fillId="2" borderId="4" xfId="52" applyNumberFormat="1" applyFont="1" applyFill="1" applyBorder="1" applyAlignment="1">
      <alignment horizontal="center" vertical="center"/>
    </xf>
    <xf numFmtId="211" fontId="5" fillId="2" borderId="4" xfId="52" applyNumberFormat="1" applyFont="1" applyFill="1" applyBorder="1" applyAlignment="1">
      <alignment horizontal="center" vertical="center"/>
    </xf>
    <xf numFmtId="3" fontId="11" fillId="2" borderId="14" xfId="83" applyNumberFormat="1" applyFont="1" applyFill="1" applyBorder="1" applyAlignment="1">
      <alignment horizontal="center" vertical="center"/>
    </xf>
    <xf numFmtId="3" fontId="11" fillId="2" borderId="311" xfId="83" applyNumberFormat="1" applyFont="1" applyFill="1" applyBorder="1" applyAlignment="1">
      <alignment horizontal="center" vertical="center"/>
    </xf>
    <xf numFmtId="211" fontId="8" fillId="2" borderId="179" xfId="52" applyNumberFormat="1" applyFont="1" applyFill="1" applyBorder="1" applyAlignment="1">
      <alignment horizontal="center" vertical="center"/>
    </xf>
    <xf numFmtId="3" fontId="5" fillId="2" borderId="321" xfId="52" applyNumberFormat="1" applyFont="1" applyFill="1" applyBorder="1" applyAlignment="1">
      <alignment horizontal="center" vertical="center"/>
    </xf>
    <xf numFmtId="165" fontId="8" fillId="2" borderId="112" xfId="52" applyNumberFormat="1" applyFont="1" applyFill="1" applyBorder="1" applyAlignment="1">
      <alignment horizontal="center" vertical="center"/>
    </xf>
    <xf numFmtId="211" fontId="5" fillId="2" borderId="4" xfId="52" applyNumberFormat="1" applyFont="1" applyFill="1" applyBorder="1" applyAlignment="1">
      <alignment horizontal="center" vertical="center" wrapText="1"/>
    </xf>
    <xf numFmtId="211" fontId="11" fillId="2" borderId="14" xfId="83" applyNumberFormat="1" applyFont="1" applyFill="1" applyBorder="1" applyAlignment="1">
      <alignment horizontal="center" vertical="center"/>
    </xf>
    <xf numFmtId="211" fontId="11" fillId="2" borderId="311" xfId="83" applyNumberFormat="1" applyFont="1" applyFill="1" applyBorder="1" applyAlignment="1">
      <alignment horizontal="center" vertical="center"/>
    </xf>
    <xf numFmtId="165" fontId="8" fillId="2" borderId="107" xfId="52" applyNumberFormat="1" applyFont="1" applyFill="1" applyBorder="1" applyAlignment="1">
      <alignment horizontal="center" vertical="center"/>
    </xf>
    <xf numFmtId="0" fontId="8" fillId="3" borderId="3" xfId="52" applyFont="1" applyFill="1" applyBorder="1" applyAlignment="1">
      <alignment horizontal="left" vertical="center"/>
    </xf>
    <xf numFmtId="3" fontId="5" fillId="2" borderId="25" xfId="52" applyNumberFormat="1" applyFont="1" applyFill="1" applyBorder="1" applyAlignment="1">
      <alignment horizontal="center" vertical="center"/>
    </xf>
    <xf numFmtId="165" fontId="5" fillId="2" borderId="112" xfId="52" applyNumberFormat="1" applyFont="1" applyFill="1" applyBorder="1" applyAlignment="1">
      <alignment horizontal="center" vertical="center"/>
    </xf>
    <xf numFmtId="165" fontId="5" fillId="2" borderId="107" xfId="52" applyNumberFormat="1" applyFont="1" applyFill="1" applyBorder="1" applyAlignment="1">
      <alignment horizontal="center" vertical="center"/>
    </xf>
    <xf numFmtId="211" fontId="5" fillId="0" borderId="4" xfId="58" applyNumberFormat="1" applyFont="1" applyFill="1" applyBorder="1" applyAlignment="1">
      <alignment horizontal="center" vertical="center"/>
    </xf>
    <xf numFmtId="0" fontId="5" fillId="3" borderId="3" xfId="52" applyFont="1" applyFill="1" applyBorder="1" applyAlignment="1">
      <alignment horizontal="left" vertical="center"/>
    </xf>
    <xf numFmtId="211" fontId="30" fillId="2" borderId="25" xfId="52" applyNumberFormat="1" applyFont="1" applyFill="1" applyBorder="1" applyAlignment="1">
      <alignment horizontal="center" vertical="center"/>
    </xf>
    <xf numFmtId="3" fontId="30" fillId="2" borderId="107" xfId="52" applyNumberFormat="1" applyFont="1" applyFill="1" applyBorder="1" applyAlignment="1">
      <alignment horizontal="center" vertical="center"/>
    </xf>
    <xf numFmtId="211" fontId="30" fillId="2" borderId="4" xfId="52" applyNumberFormat="1" applyFont="1" applyFill="1" applyBorder="1" applyAlignment="1">
      <alignment horizontal="center" vertical="center"/>
    </xf>
    <xf numFmtId="211" fontId="8" fillId="2" borderId="4" xfId="52" applyNumberFormat="1" applyFont="1" applyFill="1" applyBorder="1" applyAlignment="1">
      <alignment horizontal="center" vertical="center"/>
    </xf>
    <xf numFmtId="0" fontId="8" fillId="3" borderId="5" xfId="52" applyFont="1" applyFill="1" applyBorder="1" applyAlignment="1">
      <alignment horizontal="left" vertical="center"/>
    </xf>
    <xf numFmtId="0" fontId="5" fillId="3" borderId="322" xfId="52" applyFont="1" applyFill="1" applyBorder="1" applyAlignment="1">
      <alignment vertical="center"/>
    </xf>
    <xf numFmtId="211" fontId="8" fillId="2" borderId="196" xfId="52" applyNumberFormat="1" applyFont="1" applyFill="1" applyBorder="1" applyAlignment="1">
      <alignment horizontal="center" vertical="center"/>
    </xf>
    <xf numFmtId="165" fontId="8" fillId="2" borderId="117" xfId="52" applyNumberFormat="1" applyFont="1" applyFill="1" applyBorder="1" applyAlignment="1">
      <alignment horizontal="center" vertical="center"/>
    </xf>
    <xf numFmtId="165" fontId="8" fillId="2" borderId="323" xfId="52" applyNumberFormat="1" applyFont="1" applyFill="1" applyBorder="1" applyAlignment="1">
      <alignment horizontal="center" vertical="center"/>
    </xf>
    <xf numFmtId="211" fontId="8" fillId="2" borderId="6" xfId="52" applyNumberFormat="1" applyFont="1" applyFill="1" applyBorder="1" applyAlignment="1">
      <alignment horizontal="center" vertical="center"/>
    </xf>
    <xf numFmtId="211" fontId="8" fillId="2" borderId="25" xfId="52" applyNumberFormat="1" applyFont="1" applyFill="1" applyBorder="1" applyAlignment="1">
      <alignment horizontal="center" vertical="center"/>
    </xf>
    <xf numFmtId="3" fontId="26" fillId="2" borderId="21" xfId="83" applyNumberFormat="1" applyFont="1" applyFill="1" applyBorder="1" applyAlignment="1">
      <alignment horizontal="center" vertical="center"/>
    </xf>
    <xf numFmtId="211" fontId="26" fillId="2" borderId="311" xfId="83" applyNumberFormat="1" applyFont="1" applyFill="1" applyBorder="1" applyAlignment="1">
      <alignment horizontal="center" vertical="center"/>
    </xf>
    <xf numFmtId="0" fontId="19" fillId="2" borderId="0" xfId="52" applyFont="1" applyFill="1" applyAlignment="1">
      <alignment horizontal="left"/>
    </xf>
    <xf numFmtId="0" fontId="4" fillId="2" borderId="0" xfId="56" applyFont="1" applyFill="1" applyAlignment="1">
      <alignment vertical="center"/>
    </xf>
    <xf numFmtId="0" fontId="76" fillId="2" borderId="0" xfId="56" applyFont="1" applyFill="1" applyAlignment="1">
      <alignment vertical="center"/>
    </xf>
    <xf numFmtId="0" fontId="76" fillId="2" borderId="0" xfId="0" applyFont="1" applyFill="1" applyBorder="1" applyAlignment="1">
      <alignment horizontal="left" vertical="center"/>
    </xf>
    <xf numFmtId="0" fontId="0" fillId="2" borderId="0" xfId="0" applyFont="1" applyFill="1" applyAlignment="1">
      <alignment vertical="center"/>
    </xf>
    <xf numFmtId="0" fontId="17" fillId="2" borderId="20" xfId="0" applyFont="1" applyFill="1" applyBorder="1" applyAlignment="1"/>
    <xf numFmtId="0" fontId="17" fillId="2" borderId="20" xfId="0" applyFont="1" applyFill="1" applyBorder="1" applyAlignment="1">
      <alignment horizontal="right"/>
    </xf>
    <xf numFmtId="0" fontId="28" fillId="2" borderId="0" xfId="56" applyFill="1" applyAlignment="1">
      <alignment vertical="center"/>
    </xf>
    <xf numFmtId="0" fontId="26" fillId="3" borderId="1" xfId="0" applyFont="1" applyFill="1" applyBorder="1" applyAlignment="1">
      <alignment horizontal="center" vertical="center" wrapText="1"/>
    </xf>
    <xf numFmtId="0" fontId="26" fillId="3" borderId="324" xfId="0" applyFont="1" applyFill="1" applyBorder="1" applyAlignment="1">
      <alignment horizontal="center" vertical="center" wrapText="1"/>
    </xf>
    <xf numFmtId="0" fontId="26" fillId="3" borderId="325" xfId="0" applyFont="1" applyFill="1" applyBorder="1" applyAlignment="1">
      <alignment horizontal="center" vertical="center" wrapText="1"/>
    </xf>
    <xf numFmtId="0" fontId="26" fillId="3" borderId="35" xfId="0" applyFont="1" applyFill="1" applyBorder="1" applyAlignment="1">
      <alignment horizontal="center" vertical="center" wrapText="1"/>
    </xf>
    <xf numFmtId="0" fontId="26" fillId="3" borderId="326" xfId="0" applyFont="1" applyFill="1" applyBorder="1" applyAlignment="1">
      <alignment horizontal="center" vertical="center" wrapText="1"/>
    </xf>
    <xf numFmtId="0" fontId="0" fillId="2" borderId="0" xfId="0" applyFont="1" applyFill="1" applyAlignment="1">
      <alignment horizontal="center" vertical="center"/>
    </xf>
    <xf numFmtId="0" fontId="26" fillId="2" borderId="13" xfId="0" applyFont="1" applyFill="1" applyBorder="1" applyAlignment="1">
      <alignment horizontal="left" vertical="center" wrapText="1"/>
    </xf>
    <xf numFmtId="3" fontId="26" fillId="2" borderId="177" xfId="0" applyNumberFormat="1" applyFont="1" applyFill="1" applyBorder="1" applyAlignment="1">
      <alignment horizontal="center" vertical="center" wrapText="1"/>
    </xf>
    <xf numFmtId="3" fontId="26" fillId="2" borderId="79" xfId="0" applyNumberFormat="1" applyFont="1" applyFill="1" applyBorder="1" applyAlignment="1">
      <alignment horizontal="center" vertical="center" wrapText="1"/>
    </xf>
    <xf numFmtId="3" fontId="26" fillId="2" borderId="178" xfId="0" applyNumberFormat="1" applyFont="1" applyFill="1" applyBorder="1" applyAlignment="1">
      <alignment horizontal="center" vertical="center" wrapText="1"/>
    </xf>
    <xf numFmtId="3" fontId="26" fillId="2" borderId="327" xfId="0" applyNumberFormat="1" applyFont="1" applyFill="1" applyBorder="1" applyAlignment="1">
      <alignment horizontal="center" vertical="center" wrapText="1"/>
    </xf>
    <xf numFmtId="1" fontId="0" fillId="2" borderId="0" xfId="0" applyNumberFormat="1" applyFont="1" applyFill="1" applyAlignment="1">
      <alignment vertical="center"/>
    </xf>
    <xf numFmtId="3" fontId="0" fillId="2" borderId="0" xfId="0" applyNumberFormat="1" applyFont="1" applyFill="1" applyAlignment="1">
      <alignment vertical="center"/>
    </xf>
    <xf numFmtId="0" fontId="25" fillId="2" borderId="328" xfId="0" applyFont="1" applyFill="1" applyBorder="1" applyAlignment="1">
      <alignment horizontal="left" vertical="center" wrapText="1" indent="1"/>
    </xf>
    <xf numFmtId="3" fontId="11" fillId="2" borderId="329" xfId="0" applyNumberFormat="1" applyFont="1" applyFill="1" applyBorder="1" applyAlignment="1">
      <alignment horizontal="center" vertical="center" wrapText="1"/>
    </xf>
    <xf numFmtId="3" fontId="11" fillId="2" borderId="330" xfId="0" applyNumberFormat="1" applyFont="1" applyFill="1" applyBorder="1" applyAlignment="1">
      <alignment horizontal="center" vertical="center" wrapText="1"/>
    </xf>
    <xf numFmtId="3" fontId="11" fillId="2" borderId="331" xfId="0" applyNumberFormat="1" applyFont="1" applyFill="1" applyBorder="1" applyAlignment="1">
      <alignment horizontal="center" vertical="center" wrapText="1"/>
    </xf>
    <xf numFmtId="3" fontId="11" fillId="2" borderId="332" xfId="0" applyNumberFormat="1" applyFont="1" applyFill="1" applyBorder="1" applyAlignment="1">
      <alignment horizontal="center" vertical="center" wrapText="1"/>
    </xf>
    <xf numFmtId="0" fontId="11" fillId="2" borderId="333" xfId="0" applyFont="1" applyFill="1" applyBorder="1" applyAlignment="1">
      <alignment horizontal="left" vertical="center" wrapText="1" indent="2"/>
    </xf>
    <xf numFmtId="1" fontId="11" fillId="2" borderId="334" xfId="59" applyNumberFormat="1" applyFont="1" applyFill="1" applyBorder="1" applyAlignment="1">
      <alignment horizontal="center" vertical="center" wrapText="1"/>
    </xf>
    <xf numFmtId="1" fontId="11" fillId="2" borderId="335" xfId="59" applyNumberFormat="1" applyFont="1" applyFill="1" applyBorder="1" applyAlignment="1">
      <alignment horizontal="center" vertical="center" wrapText="1"/>
    </xf>
    <xf numFmtId="1" fontId="11" fillId="2" borderId="336" xfId="59" applyNumberFormat="1" applyFont="1" applyFill="1" applyBorder="1" applyAlignment="1">
      <alignment horizontal="center" vertical="center" wrapText="1"/>
    </xf>
    <xf numFmtId="1" fontId="11" fillId="2" borderId="337" xfId="59" applyNumberFormat="1" applyFont="1" applyFill="1" applyBorder="1" applyAlignment="1">
      <alignment horizontal="center" vertical="center" wrapText="1"/>
    </xf>
    <xf numFmtId="1" fontId="151" fillId="2" borderId="0" xfId="0" applyNumberFormat="1" applyFont="1" applyFill="1" applyAlignment="1">
      <alignment vertical="center"/>
    </xf>
    <xf numFmtId="0" fontId="11" fillId="2" borderId="338" xfId="0" applyFont="1" applyFill="1" applyBorder="1" applyAlignment="1">
      <alignment horizontal="left" vertical="center" wrapText="1" indent="2"/>
    </xf>
    <xf numFmtId="1" fontId="11" fillId="2" borderId="339" xfId="59" applyNumberFormat="1" applyFont="1" applyFill="1" applyBorder="1" applyAlignment="1">
      <alignment horizontal="center" vertical="center" wrapText="1"/>
    </xf>
    <xf numFmtId="1" fontId="11" fillId="2" borderId="20" xfId="59" applyNumberFormat="1" applyFont="1" applyFill="1" applyBorder="1" applyAlignment="1">
      <alignment horizontal="center" vertical="center" wrapText="1"/>
    </xf>
    <xf numFmtId="1" fontId="11" fillId="2" borderId="340" xfId="59" applyNumberFormat="1" applyFont="1" applyFill="1" applyBorder="1" applyAlignment="1">
      <alignment horizontal="center" vertical="center" wrapText="1"/>
    </xf>
    <xf numFmtId="1" fontId="11" fillId="2" borderId="341" xfId="59" applyNumberFormat="1" applyFont="1" applyFill="1" applyBorder="1" applyAlignment="1">
      <alignment horizontal="center" vertical="center" wrapText="1"/>
    </xf>
    <xf numFmtId="0" fontId="49" fillId="2" borderId="7" xfId="56" applyFont="1" applyFill="1" applyBorder="1" applyAlignment="1">
      <alignment vertical="center" wrapText="1"/>
    </xf>
    <xf numFmtId="0" fontId="36" fillId="2" borderId="7" xfId="56" applyFont="1" applyFill="1" applyBorder="1" applyAlignment="1">
      <alignment vertical="center" wrapText="1"/>
    </xf>
    <xf numFmtId="1" fontId="36" fillId="2" borderId="7" xfId="59" applyNumberFormat="1" applyFont="1" applyFill="1" applyBorder="1" applyAlignment="1">
      <alignment vertical="center" wrapText="1"/>
    </xf>
    <xf numFmtId="0" fontId="152" fillId="2" borderId="0" xfId="56" applyFont="1" applyFill="1" applyAlignment="1">
      <alignment vertical="center"/>
    </xf>
    <xf numFmtId="0" fontId="153" fillId="2" borderId="0" xfId="56" applyFont="1" applyFill="1" applyAlignment="1">
      <alignment vertical="center"/>
    </xf>
    <xf numFmtId="0" fontId="28" fillId="2" borderId="0" xfId="56" applyFill="1" applyAlignment="1">
      <alignment horizontal="center" vertical="center"/>
    </xf>
    <xf numFmtId="0" fontId="26" fillId="3" borderId="342" xfId="0" applyFont="1" applyFill="1" applyBorder="1" applyAlignment="1">
      <alignment horizontal="center" vertical="center" wrapText="1"/>
    </xf>
    <xf numFmtId="3" fontId="28" fillId="2" borderId="0" xfId="56" applyNumberFormat="1" applyFill="1" applyAlignment="1">
      <alignment horizontal="center" vertical="center"/>
    </xf>
    <xf numFmtId="0" fontId="26" fillId="2" borderId="13" xfId="0" applyFont="1" applyFill="1" applyBorder="1" applyAlignment="1">
      <alignment horizontal="left" vertical="center"/>
    </xf>
    <xf numFmtId="3" fontId="26" fillId="2" borderId="309" xfId="59" applyNumberFormat="1" applyFont="1" applyFill="1" applyBorder="1" applyAlignment="1">
      <alignment horizontal="center" vertical="center" wrapText="1"/>
    </xf>
    <xf numFmtId="3" fontId="26" fillId="2" borderId="177" xfId="59" applyNumberFormat="1" applyFont="1" applyFill="1" applyBorder="1" applyAlignment="1">
      <alignment horizontal="center" vertical="center" wrapText="1"/>
    </xf>
    <xf numFmtId="3" fontId="26" fillId="2" borderId="79" xfId="59" applyNumberFormat="1" applyFont="1" applyFill="1" applyBorder="1" applyAlignment="1">
      <alignment horizontal="center" vertical="center" wrapText="1"/>
    </xf>
    <xf numFmtId="3" fontId="26" fillId="2" borderId="178" xfId="59" applyNumberFormat="1" applyFont="1" applyFill="1" applyBorder="1" applyAlignment="1">
      <alignment horizontal="center" vertical="center" wrapText="1"/>
    </xf>
    <xf numFmtId="3" fontId="26" fillId="2" borderId="327" xfId="59" applyNumberFormat="1" applyFont="1" applyFill="1" applyBorder="1" applyAlignment="1">
      <alignment horizontal="center" vertical="center" wrapText="1"/>
    </xf>
    <xf numFmtId="0" fontId="25" fillId="2" borderId="328" xfId="0" applyFont="1" applyFill="1" applyBorder="1" applyAlignment="1">
      <alignment horizontal="left" vertical="center" indent="1"/>
    </xf>
    <xf numFmtId="0" fontId="25" fillId="2" borderId="343" xfId="0" applyFont="1" applyFill="1" applyBorder="1" applyAlignment="1">
      <alignment horizontal="left" vertical="center" wrapText="1" indent="1"/>
    </xf>
    <xf numFmtId="0" fontId="25" fillId="2" borderId="329" xfId="0" applyFont="1" applyFill="1" applyBorder="1" applyAlignment="1">
      <alignment horizontal="left" vertical="center" wrapText="1" indent="1"/>
    </xf>
    <xf numFmtId="0" fontId="11" fillId="2" borderId="333" xfId="0" applyFont="1" applyFill="1" applyBorder="1" applyAlignment="1">
      <alignment horizontal="left" vertical="center" indent="2"/>
    </xf>
    <xf numFmtId="1" fontId="11" fillId="2" borderId="344" xfId="59" applyNumberFormat="1" applyFont="1" applyFill="1" applyBorder="1" applyAlignment="1">
      <alignment horizontal="left" vertical="center" wrapText="1" indent="2"/>
    </xf>
    <xf numFmtId="1" fontId="11" fillId="2" borderId="334" xfId="59" applyNumberFormat="1" applyFont="1" applyFill="1" applyBorder="1" applyAlignment="1">
      <alignment horizontal="left" vertical="center" wrapText="1" indent="2"/>
    </xf>
    <xf numFmtId="0" fontId="11" fillId="2" borderId="345" xfId="0" applyFont="1" applyFill="1" applyBorder="1" applyAlignment="1">
      <alignment horizontal="left" vertical="center" indent="2"/>
    </xf>
    <xf numFmtId="1" fontId="11" fillId="2" borderId="346" xfId="59" applyNumberFormat="1" applyFont="1" applyFill="1" applyBorder="1" applyAlignment="1">
      <alignment horizontal="center" vertical="center" wrapText="1"/>
    </xf>
    <xf numFmtId="1" fontId="11" fillId="2" borderId="347" xfId="59" applyNumberFormat="1" applyFont="1" applyFill="1" applyBorder="1" applyAlignment="1">
      <alignment horizontal="left" vertical="center" wrapText="1" indent="2"/>
    </xf>
    <xf numFmtId="1" fontId="11" fillId="2" borderId="346" xfId="59" applyNumberFormat="1" applyFont="1" applyFill="1" applyBorder="1" applyAlignment="1">
      <alignment horizontal="left" vertical="center" wrapText="1" indent="2"/>
    </xf>
    <xf numFmtId="1" fontId="11" fillId="2" borderId="348" xfId="59" applyNumberFormat="1" applyFont="1" applyFill="1" applyBorder="1" applyAlignment="1">
      <alignment horizontal="center" vertical="center" wrapText="1"/>
    </xf>
    <xf numFmtId="1" fontId="11" fillId="2" borderId="349" xfId="59" applyNumberFormat="1" applyFont="1" applyFill="1" applyBorder="1" applyAlignment="1">
      <alignment horizontal="center" vertical="center" wrapText="1"/>
    </xf>
    <xf numFmtId="1" fontId="11" fillId="2" borderId="350" xfId="59" applyNumberFormat="1" applyFont="1" applyFill="1" applyBorder="1" applyAlignment="1">
      <alignment horizontal="center" vertical="center" wrapText="1"/>
    </xf>
    <xf numFmtId="0" fontId="26" fillId="2" borderId="351" xfId="0" applyFont="1" applyFill="1" applyBorder="1" applyAlignment="1">
      <alignment vertical="center"/>
    </xf>
    <xf numFmtId="167" fontId="11" fillId="2" borderId="352" xfId="59" applyNumberFormat="1" applyFont="1" applyFill="1" applyBorder="1" applyAlignment="1">
      <alignment horizontal="center" vertical="center" wrapText="1"/>
    </xf>
    <xf numFmtId="167" fontId="11" fillId="2" borderId="353" xfId="59" applyNumberFormat="1" applyFont="1" applyFill="1" applyBorder="1" applyAlignment="1">
      <alignment horizontal="center" vertical="center" wrapText="1"/>
    </xf>
    <xf numFmtId="167" fontId="11" fillId="0" borderId="354" xfId="59" applyNumberFormat="1" applyFont="1" applyFill="1" applyBorder="1" applyAlignment="1">
      <alignment horizontal="center" vertical="center" wrapText="1"/>
    </xf>
    <xf numFmtId="167" fontId="11" fillId="0" borderId="352" xfId="59" applyNumberFormat="1" applyFont="1" applyFill="1" applyBorder="1" applyAlignment="1">
      <alignment horizontal="center" vertical="center" wrapText="1"/>
    </xf>
    <xf numFmtId="167" fontId="11" fillId="0" borderId="355" xfId="59" applyNumberFormat="1" applyFont="1" applyFill="1" applyBorder="1" applyAlignment="1">
      <alignment horizontal="center" vertical="center" wrapText="1"/>
    </xf>
    <xf numFmtId="213" fontId="25" fillId="2" borderId="356" xfId="0" applyNumberFormat="1" applyFont="1" applyFill="1" applyBorder="1" applyAlignment="1">
      <alignment vertical="center"/>
    </xf>
    <xf numFmtId="10" fontId="25" fillId="2" borderId="357" xfId="0" applyNumberFormat="1" applyFont="1" applyFill="1" applyBorder="1" applyAlignment="1">
      <alignment horizontal="center" vertical="center" wrapText="1"/>
    </xf>
    <xf numFmtId="10" fontId="25" fillId="2" borderId="358" xfId="0" applyNumberFormat="1" applyFont="1" applyFill="1" applyBorder="1" applyAlignment="1">
      <alignment horizontal="left" vertical="center" wrapText="1" indent="2"/>
    </xf>
    <xf numFmtId="171" fontId="25" fillId="2" borderId="357" xfId="0" applyNumberFormat="1" applyFont="1" applyFill="1" applyBorder="1" applyAlignment="1">
      <alignment horizontal="left" vertical="center" wrapText="1" indent="2"/>
    </xf>
    <xf numFmtId="10" fontId="25" fillId="2" borderId="357" xfId="0" applyNumberFormat="1" applyFont="1" applyFill="1" applyBorder="1" applyAlignment="1">
      <alignment horizontal="left" vertical="center" wrapText="1" indent="2"/>
    </xf>
    <xf numFmtId="10" fontId="25" fillId="0" borderId="359" xfId="0" applyNumberFormat="1" applyFont="1" applyFill="1" applyBorder="1" applyAlignment="1">
      <alignment horizontal="center" vertical="center" wrapText="1"/>
    </xf>
    <xf numFmtId="10" fontId="25" fillId="0" borderId="357" xfId="0" applyNumberFormat="1" applyFont="1" applyFill="1" applyBorder="1" applyAlignment="1">
      <alignment horizontal="center" vertical="center" wrapText="1"/>
    </xf>
    <xf numFmtId="10" fontId="25" fillId="0" borderId="360" xfId="0" applyNumberFormat="1" applyFont="1" applyFill="1" applyBorder="1" applyAlignment="1">
      <alignment horizontal="center" vertical="center" wrapText="1"/>
    </xf>
    <xf numFmtId="213" fontId="154" fillId="2" borderId="0" xfId="56" applyNumberFormat="1" applyFont="1" applyFill="1" applyAlignment="1">
      <alignment horizontal="center"/>
    </xf>
    <xf numFmtId="0" fontId="26" fillId="2" borderId="328" xfId="0" applyFont="1" applyFill="1" applyBorder="1" applyAlignment="1">
      <alignment vertical="center"/>
    </xf>
    <xf numFmtId="167" fontId="11" fillId="2" borderId="329" xfId="59" applyNumberFormat="1" applyFont="1" applyFill="1" applyBorder="1" applyAlignment="1">
      <alignment horizontal="center" vertical="center" wrapText="1"/>
    </xf>
    <xf numFmtId="167" fontId="11" fillId="2" borderId="343" xfId="59" applyNumberFormat="1" applyFont="1" applyFill="1" applyBorder="1" applyAlignment="1">
      <alignment horizontal="center" vertical="center" wrapText="1"/>
    </xf>
    <xf numFmtId="167" fontId="11" fillId="0" borderId="330" xfId="59" applyNumberFormat="1" applyFont="1" applyFill="1" applyBorder="1" applyAlignment="1">
      <alignment horizontal="center" vertical="center" wrapText="1"/>
    </xf>
    <xf numFmtId="167" fontId="11" fillId="0" borderId="329" xfId="59" applyNumberFormat="1" applyFont="1" applyFill="1" applyBorder="1" applyAlignment="1">
      <alignment horizontal="center" vertical="center" wrapText="1"/>
    </xf>
    <xf numFmtId="167" fontId="11" fillId="0" borderId="332" xfId="59" applyNumberFormat="1" applyFont="1" applyFill="1" applyBorder="1" applyAlignment="1">
      <alignment horizontal="center" vertical="center" wrapText="1"/>
    </xf>
    <xf numFmtId="213" fontId="25" fillId="2" borderId="338" xfId="0" applyNumberFormat="1" applyFont="1" applyFill="1" applyBorder="1" applyAlignment="1">
      <alignment horizontal="left" vertical="center" wrapText="1"/>
    </xf>
    <xf numFmtId="171" fontId="25" fillId="2" borderId="346" xfId="0" applyNumberFormat="1" applyFont="1" applyFill="1" applyBorder="1" applyAlignment="1">
      <alignment horizontal="center" vertical="center" wrapText="1"/>
    </xf>
    <xf numFmtId="171" fontId="25" fillId="2" borderId="346" xfId="0" applyNumberFormat="1" applyFont="1" applyFill="1" applyBorder="1" applyAlignment="1">
      <alignment horizontal="left" vertical="center" wrapText="1" indent="2"/>
    </xf>
    <xf numFmtId="171" fontId="25" fillId="0" borderId="348" xfId="0" applyNumberFormat="1" applyFont="1" applyFill="1" applyBorder="1" applyAlignment="1">
      <alignment horizontal="left" vertical="center" wrapText="1" indent="2"/>
    </xf>
    <xf numFmtId="171" fontId="25" fillId="0" borderId="346" xfId="0" applyNumberFormat="1" applyFont="1" applyFill="1" applyBorder="1" applyAlignment="1">
      <alignment horizontal="left" vertical="center" wrapText="1" indent="2"/>
    </xf>
    <xf numFmtId="171" fontId="25" fillId="0" borderId="350" xfId="0" applyNumberFormat="1" applyFont="1" applyFill="1" applyBorder="1" applyAlignment="1">
      <alignment horizontal="left" vertical="center" wrapText="1" indent="2"/>
    </xf>
    <xf numFmtId="213" fontId="154" fillId="2" borderId="0" xfId="56" applyNumberFormat="1" applyFont="1" applyFill="1" applyAlignment="1">
      <alignment horizontal="center" vertical="center"/>
    </xf>
    <xf numFmtId="213" fontId="155" fillId="2" borderId="0" xfId="56" applyNumberFormat="1" applyFont="1" applyFill="1" applyAlignment="1">
      <alignment horizontal="left" vertical="center"/>
    </xf>
    <xf numFmtId="0" fontId="134" fillId="2" borderId="0" xfId="0" applyFont="1" applyFill="1" applyAlignment="1">
      <alignment horizontal="left" vertical="center" wrapText="1"/>
    </xf>
    <xf numFmtId="0" fontId="156" fillId="2" borderId="0" xfId="0" applyFont="1" applyFill="1" applyAlignment="1">
      <alignment vertical="center"/>
    </xf>
    <xf numFmtId="0" fontId="157" fillId="2" borderId="0" xfId="56" applyFont="1" applyFill="1" applyAlignment="1">
      <alignment vertical="center"/>
    </xf>
    <xf numFmtId="0" fontId="4" fillId="2" borderId="0" xfId="60" applyFont="1" applyFill="1" applyBorder="1" applyAlignment="1">
      <alignment vertical="center"/>
    </xf>
    <xf numFmtId="0" fontId="77" fillId="2" borderId="0" xfId="60" applyFont="1" applyFill="1" applyAlignment="1">
      <alignment vertical="center"/>
    </xf>
    <xf numFmtId="0" fontId="77" fillId="2" borderId="0" xfId="60" applyFont="1" applyFill="1"/>
    <xf numFmtId="0" fontId="0" fillId="2" borderId="0" xfId="0" applyFont="1" applyFill="1"/>
    <xf numFmtId="0" fontId="25" fillId="2" borderId="20" xfId="0" applyFont="1" applyFill="1" applyBorder="1" applyAlignment="1">
      <alignment vertical="center"/>
    </xf>
    <xf numFmtId="0" fontId="25" fillId="2" borderId="20" xfId="0" applyFont="1" applyFill="1" applyBorder="1" applyAlignment="1">
      <alignment horizontal="left" vertical="center"/>
    </xf>
    <xf numFmtId="0" fontId="17" fillId="2" borderId="20" xfId="0" applyFont="1" applyFill="1" applyBorder="1" applyAlignment="1">
      <alignment horizontal="right" vertical="center"/>
    </xf>
    <xf numFmtId="0" fontId="28" fillId="2" borderId="0" xfId="60" applyFont="1" applyFill="1"/>
    <xf numFmtId="0" fontId="26" fillId="3" borderId="52" xfId="0" applyFont="1" applyFill="1" applyBorder="1" applyAlignment="1">
      <alignment horizontal="center" vertical="center" wrapText="1"/>
    </xf>
    <xf numFmtId="0" fontId="26" fillId="3" borderId="75" xfId="0" applyFont="1" applyFill="1" applyBorder="1" applyAlignment="1">
      <alignment horizontal="center" vertical="center" wrapText="1"/>
    </xf>
    <xf numFmtId="0" fontId="26" fillId="3" borderId="53" xfId="0" applyFont="1" applyFill="1" applyBorder="1" applyAlignment="1">
      <alignment horizontal="center" vertical="center" wrapText="1"/>
    </xf>
    <xf numFmtId="0" fontId="26" fillId="3" borderId="361" xfId="0" applyFont="1" applyFill="1" applyBorder="1" applyAlignment="1">
      <alignment horizontal="center" vertical="center" wrapText="1"/>
    </xf>
    <xf numFmtId="0" fontId="26" fillId="3" borderId="51" xfId="0" applyFont="1" applyFill="1" applyBorder="1" applyAlignment="1">
      <alignment horizontal="center" vertical="center" wrapText="1"/>
    </xf>
    <xf numFmtId="0" fontId="26" fillId="3" borderId="22" xfId="0" applyFont="1" applyFill="1" applyBorder="1" applyAlignment="1">
      <alignment horizontal="center" vertical="center"/>
    </xf>
    <xf numFmtId="0" fontId="11" fillId="2" borderId="7" xfId="0" applyFont="1" applyFill="1" applyBorder="1" applyAlignment="1">
      <alignment vertical="center"/>
    </xf>
    <xf numFmtId="164" fontId="11" fillId="2" borderId="122" xfId="59" applyNumberFormat="1" applyFont="1" applyFill="1" applyBorder="1" applyAlignment="1">
      <alignment vertical="center"/>
    </xf>
    <xf numFmtId="164" fontId="11" fillId="2" borderId="265" xfId="59" applyNumberFormat="1" applyFont="1" applyFill="1" applyBorder="1" applyAlignment="1">
      <alignment vertical="center"/>
    </xf>
    <xf numFmtId="164" fontId="11" fillId="2" borderId="8" xfId="59" applyNumberFormat="1" applyFont="1" applyFill="1" applyBorder="1" applyAlignment="1">
      <alignment vertical="center"/>
    </xf>
    <xf numFmtId="164" fontId="28" fillId="2" borderId="0" xfId="60" applyNumberFormat="1" applyFont="1" applyFill="1"/>
    <xf numFmtId="0" fontId="26" fillId="3" borderId="24" xfId="0" applyFont="1" applyFill="1" applyBorder="1" applyAlignment="1">
      <alignment horizontal="center" vertical="center"/>
    </xf>
    <xf numFmtId="0" fontId="11" fillId="2" borderId="0" xfId="0" applyFont="1" applyFill="1" applyBorder="1" applyAlignment="1">
      <alignment vertical="center"/>
    </xf>
    <xf numFmtId="164" fontId="11" fillId="2" borderId="4" xfId="59" applyNumberFormat="1" applyFont="1" applyFill="1" applyBorder="1" applyAlignment="1">
      <alignment horizontal="center" vertical="center"/>
    </xf>
    <xf numFmtId="164" fontId="11" fillId="2" borderId="25" xfId="59" applyNumberFormat="1" applyFont="1" applyFill="1" applyBorder="1" applyAlignment="1">
      <alignment horizontal="center" vertical="center"/>
    </xf>
    <xf numFmtId="164" fontId="11" fillId="2" borderId="14" xfId="59" applyNumberFormat="1" applyFont="1" applyFill="1" applyBorder="1" applyAlignment="1">
      <alignment horizontal="center" vertical="center"/>
    </xf>
    <xf numFmtId="43" fontId="11" fillId="2" borderId="4" xfId="59" applyNumberFormat="1" applyFont="1" applyFill="1" applyBorder="1" applyAlignment="1">
      <alignment horizontal="center" vertical="center"/>
    </xf>
    <xf numFmtId="177" fontId="11" fillId="2" borderId="4" xfId="59" applyNumberFormat="1" applyFont="1" applyFill="1" applyBorder="1" applyAlignment="1">
      <alignment horizontal="center" vertical="center"/>
    </xf>
    <xf numFmtId="177" fontId="11" fillId="2" borderId="25" xfId="59" applyNumberFormat="1" applyFont="1" applyFill="1" applyBorder="1" applyAlignment="1">
      <alignment horizontal="center" vertical="center"/>
    </xf>
    <xf numFmtId="196" fontId="11" fillId="2" borderId="4" xfId="59" applyNumberFormat="1" applyFont="1" applyFill="1" applyBorder="1" applyAlignment="1">
      <alignment horizontal="center" vertical="center"/>
    </xf>
    <xf numFmtId="177" fontId="11" fillId="2" borderId="4" xfId="59" applyNumberFormat="1" applyFont="1" applyFill="1" applyBorder="1" applyAlignment="1">
      <alignment horizontal="left" vertical="center" indent="1"/>
    </xf>
    <xf numFmtId="164" fontId="11" fillId="2" borderId="4" xfId="59" applyNumberFormat="1" applyFont="1" applyFill="1" applyBorder="1" applyAlignment="1">
      <alignment horizontal="left" vertical="center" indent="1"/>
    </xf>
    <xf numFmtId="164" fontId="11" fillId="0" borderId="14" xfId="59" applyNumberFormat="1" applyFont="1" applyFill="1" applyBorder="1" applyAlignment="1">
      <alignment horizontal="left" vertical="center" indent="1"/>
    </xf>
    <xf numFmtId="0" fontId="26" fillId="3" borderId="27" xfId="0" applyFont="1" applyFill="1" applyBorder="1" applyAlignment="1">
      <alignment horizontal="center" vertical="center"/>
    </xf>
    <xf numFmtId="0" fontId="11" fillId="2" borderId="20" xfId="0" applyFont="1" applyFill="1" applyBorder="1" applyAlignment="1">
      <alignment vertical="center"/>
    </xf>
    <xf numFmtId="164" fontId="11" fillId="2" borderId="6" xfId="59" applyNumberFormat="1" applyFont="1" applyFill="1" applyBorder="1" applyAlignment="1">
      <alignment horizontal="center" vertical="center"/>
    </xf>
    <xf numFmtId="164" fontId="11" fillId="2" borderId="196" xfId="59" applyNumberFormat="1" applyFont="1" applyFill="1" applyBorder="1" applyAlignment="1">
      <alignment horizontal="center" vertical="center"/>
    </xf>
    <xf numFmtId="164" fontId="11" fillId="2" borderId="21" xfId="59" applyNumberFormat="1" applyFont="1" applyFill="1" applyBorder="1" applyAlignment="1">
      <alignment horizontal="center" vertical="center"/>
    </xf>
    <xf numFmtId="164" fontId="26" fillId="3" borderId="53" xfId="59" applyNumberFormat="1" applyFont="1" applyFill="1" applyBorder="1" applyAlignment="1"/>
    <xf numFmtId="164" fontId="26" fillId="3" borderId="361" xfId="59" applyNumberFormat="1" applyFont="1" applyFill="1" applyBorder="1" applyAlignment="1"/>
    <xf numFmtId="0" fontId="49" fillId="2" borderId="7" xfId="56" applyFont="1" applyFill="1" applyBorder="1" applyAlignment="1">
      <alignment vertical="center"/>
    </xf>
    <xf numFmtId="0" fontId="152" fillId="2" borderId="0" xfId="56" applyFont="1" applyFill="1" applyBorder="1" applyAlignment="1">
      <alignment vertical="center"/>
    </xf>
    <xf numFmtId="0" fontId="28" fillId="2" borderId="0" xfId="60" applyFont="1" applyFill="1" applyBorder="1"/>
    <xf numFmtId="0" fontId="25" fillId="2" borderId="0" xfId="60" applyFont="1" applyFill="1"/>
    <xf numFmtId="0" fontId="158" fillId="2" borderId="0" xfId="0" applyFont="1" applyFill="1" applyAlignment="1">
      <alignment vertical="center"/>
    </xf>
    <xf numFmtId="0" fontId="159" fillId="2" borderId="0" xfId="0" applyFont="1" applyFill="1" applyBorder="1" applyAlignment="1">
      <alignment horizontal="left" vertical="center"/>
    </xf>
    <xf numFmtId="0" fontId="17" fillId="2" borderId="0" xfId="0" applyFont="1" applyFill="1" applyBorder="1" applyAlignment="1">
      <alignment horizontal="right" vertical="center"/>
    </xf>
    <xf numFmtId="0" fontId="0" fillId="2" borderId="0" xfId="0" applyFill="1" applyAlignment="1">
      <alignment vertical="center"/>
    </xf>
    <xf numFmtId="0" fontId="8" fillId="3" borderId="97" xfId="0" applyFont="1" applyFill="1" applyBorder="1" applyAlignment="1">
      <alignment horizontal="center" vertical="center" wrapText="1"/>
    </xf>
    <xf numFmtId="0" fontId="8" fillId="3" borderId="282" xfId="0" applyFont="1" applyFill="1" applyBorder="1" applyAlignment="1">
      <alignment horizontal="center" vertical="center" wrapText="1"/>
    </xf>
    <xf numFmtId="0" fontId="8" fillId="3" borderId="31" xfId="0" applyFont="1" applyFill="1" applyBorder="1" applyAlignment="1">
      <alignment horizontal="center" vertical="center" wrapText="1"/>
    </xf>
    <xf numFmtId="3" fontId="8" fillId="3" borderId="282" xfId="0" applyNumberFormat="1" applyFont="1" applyFill="1" applyBorder="1" applyAlignment="1">
      <alignment horizontal="center" vertical="center" wrapText="1"/>
    </xf>
    <xf numFmtId="0" fontId="0" fillId="0" borderId="0" xfId="0" applyFont="1" applyFill="1" applyAlignment="1">
      <alignment vertical="center"/>
    </xf>
    <xf numFmtId="0" fontId="25" fillId="2" borderId="26" xfId="0" applyFont="1" applyFill="1" applyBorder="1" applyAlignment="1">
      <alignment horizontal="left" vertical="center" wrapText="1" indent="1"/>
    </xf>
    <xf numFmtId="3" fontId="11" fillId="2" borderId="38" xfId="0" applyNumberFormat="1" applyFont="1" applyFill="1" applyBorder="1" applyAlignment="1">
      <alignment horizontal="center" vertical="center" wrapText="1"/>
    </xf>
    <xf numFmtId="0" fontId="25" fillId="2" borderId="31" xfId="0" applyFont="1" applyFill="1" applyBorder="1" applyAlignment="1">
      <alignment horizontal="left" vertical="center" wrapText="1" indent="1"/>
    </xf>
    <xf numFmtId="0" fontId="11" fillId="2" borderId="24" xfId="0" applyFont="1" applyFill="1" applyBorder="1" applyAlignment="1">
      <alignment horizontal="left" vertical="center" wrapText="1" indent="2"/>
    </xf>
    <xf numFmtId="3" fontId="11" fillId="2" borderId="41" xfId="0" applyNumberFormat="1" applyFont="1" applyFill="1" applyBorder="1" applyAlignment="1">
      <alignment horizontal="center" vertical="center" wrapText="1"/>
    </xf>
    <xf numFmtId="0" fontId="11" fillId="2" borderId="33" xfId="0" applyFont="1" applyFill="1" applyBorder="1" applyAlignment="1">
      <alignment horizontal="left" vertical="center" wrapText="1" indent="2"/>
    </xf>
    <xf numFmtId="0" fontId="11" fillId="2" borderId="27" xfId="0" applyFont="1" applyFill="1" applyBorder="1" applyAlignment="1">
      <alignment horizontal="left" vertical="center" wrapText="1" indent="2"/>
    </xf>
    <xf numFmtId="3" fontId="11" fillId="2" borderId="43" xfId="0" applyNumberFormat="1" applyFont="1" applyFill="1" applyBorder="1" applyAlignment="1">
      <alignment horizontal="center" vertical="center" wrapText="1"/>
    </xf>
    <xf numFmtId="0" fontId="11" fillId="2" borderId="34" xfId="0" applyFont="1" applyFill="1" applyBorder="1" applyAlignment="1">
      <alignment horizontal="left" vertical="center" wrapText="1" indent="2"/>
    </xf>
    <xf numFmtId="0" fontId="17" fillId="2" borderId="0" xfId="0" applyFont="1" applyFill="1" applyBorder="1" applyAlignment="1">
      <alignment horizontal="left" vertical="center" wrapText="1"/>
    </xf>
    <xf numFmtId="3" fontId="11" fillId="2" borderId="0" xfId="0" applyNumberFormat="1" applyFont="1" applyFill="1" applyBorder="1" applyAlignment="1">
      <alignment horizontal="center" vertical="center" wrapText="1"/>
    </xf>
    <xf numFmtId="0" fontId="11" fillId="2" borderId="0" xfId="0" applyFont="1" applyFill="1" applyBorder="1" applyAlignment="1">
      <alignment horizontal="left" vertical="center" wrapText="1" indent="2"/>
    </xf>
    <xf numFmtId="0" fontId="160" fillId="2" borderId="0" xfId="0" applyFont="1" applyFill="1" applyAlignment="1">
      <alignment vertical="center"/>
    </xf>
    <xf numFmtId="0" fontId="17" fillId="0" borderId="0" xfId="2" applyFont="1" applyFill="1"/>
    <xf numFmtId="0" fontId="0" fillId="0" borderId="0" xfId="0" applyAlignment="1">
      <alignment vertical="center"/>
    </xf>
    <xf numFmtId="0" fontId="104" fillId="2" borderId="0" xfId="0" applyFont="1" applyFill="1"/>
    <xf numFmtId="167" fontId="104" fillId="2" borderId="0" xfId="0" applyNumberFormat="1" applyFont="1" applyFill="1"/>
    <xf numFmtId="164" fontId="104" fillId="2" borderId="0" xfId="1" applyNumberFormat="1" applyFont="1" applyFill="1"/>
    <xf numFmtId="0" fontId="78" fillId="2" borderId="0" xfId="14" applyFont="1" applyFill="1" applyAlignment="1">
      <alignment vertical="top" wrapText="1"/>
    </xf>
    <xf numFmtId="0" fontId="78" fillId="2" borderId="0" xfId="14" applyFont="1" applyFill="1" applyAlignment="1">
      <alignment horizontal="center"/>
    </xf>
    <xf numFmtId="3" fontId="112" fillId="2" borderId="0" xfId="14" applyNumberFormat="1" applyFont="1" applyFill="1"/>
    <xf numFmtId="0" fontId="8" fillId="3" borderId="124" xfId="14" applyFont="1" applyFill="1" applyBorder="1" applyAlignment="1">
      <alignment horizontal="center" vertical="top" wrapText="1"/>
    </xf>
    <xf numFmtId="0" fontId="8" fillId="3" borderId="5" xfId="14" applyFont="1" applyFill="1" applyBorder="1" applyAlignment="1">
      <alignment horizontal="center" vertical="top" wrapText="1"/>
    </xf>
    <xf numFmtId="0" fontId="8" fillId="3" borderId="367" xfId="14" applyFont="1" applyFill="1" applyBorder="1" applyAlignment="1">
      <alignment horizontal="center" vertical="top" wrapText="1"/>
    </xf>
    <xf numFmtId="0" fontId="8" fillId="3" borderId="368" xfId="14" applyFont="1" applyFill="1" applyBorder="1" applyAlignment="1">
      <alignment horizontal="center" vertical="top" wrapText="1"/>
    </xf>
    <xf numFmtId="0" fontId="8" fillId="3" borderId="369" xfId="14" applyFont="1" applyFill="1" applyBorder="1" applyAlignment="1">
      <alignment horizontal="center" vertical="top" wrapText="1"/>
    </xf>
    <xf numFmtId="0" fontId="161" fillId="0" borderId="370" xfId="14" applyFont="1" applyBorder="1" applyAlignment="1">
      <alignment vertical="top" wrapText="1"/>
    </xf>
    <xf numFmtId="3" fontId="161" fillId="2" borderId="371" xfId="84" applyNumberFormat="1" applyFont="1" applyFill="1" applyBorder="1" applyAlignment="1">
      <alignment horizontal="right" vertical="center"/>
    </xf>
    <xf numFmtId="3" fontId="161" fillId="2" borderId="372" xfId="84" applyNumberFormat="1" applyFont="1" applyFill="1" applyBorder="1" applyAlignment="1">
      <alignment horizontal="right" vertical="center"/>
    </xf>
    <xf numFmtId="3" fontId="161" fillId="2" borderId="373" xfId="84" applyNumberFormat="1" applyFont="1" applyFill="1" applyBorder="1" applyAlignment="1">
      <alignment horizontal="right" vertical="center"/>
    </xf>
    <xf numFmtId="177" fontId="0" fillId="2" borderId="0" xfId="0" applyNumberFormat="1" applyFill="1"/>
    <xf numFmtId="0" fontId="8" fillId="0" borderId="374" xfId="14" applyFont="1" applyBorder="1" applyAlignment="1">
      <alignment vertical="top" wrapText="1"/>
    </xf>
    <xf numFmtId="3" fontId="8" fillId="2" borderId="375" xfId="84" applyNumberFormat="1" applyFont="1" applyFill="1" applyBorder="1" applyAlignment="1">
      <alignment horizontal="right" vertical="center"/>
    </xf>
    <xf numFmtId="3" fontId="8" fillId="2" borderId="344" xfId="84" applyNumberFormat="1" applyFont="1" applyFill="1" applyBorder="1" applyAlignment="1">
      <alignment horizontal="right" vertical="center"/>
    </xf>
    <xf numFmtId="3" fontId="8" fillId="2" borderId="337" xfId="84" applyNumberFormat="1" applyFont="1" applyFill="1" applyBorder="1" applyAlignment="1">
      <alignment horizontal="right" vertical="center"/>
    </xf>
    <xf numFmtId="3" fontId="8" fillId="0" borderId="375" xfId="84" applyNumberFormat="1" applyFont="1" applyFill="1" applyBorder="1" applyAlignment="1">
      <alignment horizontal="right" vertical="center"/>
    </xf>
    <xf numFmtId="3" fontId="8" fillId="0" borderId="344" xfId="84" applyNumberFormat="1" applyFont="1" applyFill="1" applyBorder="1" applyAlignment="1">
      <alignment horizontal="right" vertical="center"/>
    </xf>
    <xf numFmtId="3" fontId="8" fillId="0" borderId="337" xfId="84" applyNumberFormat="1" applyFont="1" applyFill="1" applyBorder="1" applyAlignment="1">
      <alignment horizontal="right" vertical="center"/>
    </xf>
    <xf numFmtId="0" fontId="5" fillId="0" borderId="374" xfId="14" applyFont="1" applyFill="1" applyBorder="1" applyAlignment="1">
      <alignment vertical="top" wrapText="1"/>
    </xf>
    <xf numFmtId="3" fontId="5" fillId="0" borderId="375" xfId="84" applyNumberFormat="1" applyFont="1" applyFill="1" applyBorder="1" applyAlignment="1">
      <alignment horizontal="right" vertical="center"/>
    </xf>
    <xf numFmtId="3" fontId="5" fillId="0" borderId="344" xfId="84" applyNumberFormat="1" applyFont="1" applyFill="1" applyBorder="1" applyAlignment="1">
      <alignment horizontal="right" vertical="center"/>
    </xf>
    <xf numFmtId="3" fontId="5" fillId="0" borderId="337" xfId="84" applyNumberFormat="1" applyFont="1" applyFill="1" applyBorder="1" applyAlignment="1">
      <alignment horizontal="right" vertical="center"/>
    </xf>
    <xf numFmtId="0" fontId="30" fillId="0" borderId="374" xfId="14" applyFont="1" applyBorder="1" applyAlignment="1">
      <alignment horizontal="left" vertical="top" wrapText="1" indent="1"/>
    </xf>
    <xf numFmtId="3" fontId="30" fillId="0" borderId="375" xfId="84" applyNumberFormat="1" applyFont="1" applyFill="1" applyBorder="1" applyAlignment="1">
      <alignment horizontal="right" vertical="center"/>
    </xf>
    <xf numFmtId="3" fontId="30" fillId="0" borderId="344" xfId="84" applyNumberFormat="1" applyFont="1" applyFill="1" applyBorder="1" applyAlignment="1">
      <alignment horizontal="right" vertical="center"/>
    </xf>
    <xf numFmtId="3" fontId="30" fillId="0" borderId="337" xfId="84" applyNumberFormat="1" applyFont="1" applyFill="1" applyBorder="1" applyAlignment="1">
      <alignment horizontal="right" vertical="center"/>
    </xf>
    <xf numFmtId="0" fontId="8" fillId="0" borderId="374" xfId="14" applyFont="1" applyFill="1" applyBorder="1" applyAlignment="1">
      <alignment vertical="top" wrapText="1"/>
    </xf>
    <xf numFmtId="0" fontId="5" fillId="0" borderId="374" xfId="14" applyFont="1" applyBorder="1" applyAlignment="1">
      <alignment horizontal="left" vertical="top" wrapText="1" indent="1"/>
    </xf>
    <xf numFmtId="3" fontId="5" fillId="2" borderId="337" xfId="84" applyNumberFormat="1" applyFont="1" applyFill="1" applyBorder="1" applyAlignment="1">
      <alignment horizontal="right" vertical="center"/>
    </xf>
    <xf numFmtId="3" fontId="5" fillId="2" borderId="375" xfId="84" applyNumberFormat="1" applyFont="1" applyFill="1" applyBorder="1" applyAlignment="1">
      <alignment horizontal="right" vertical="center"/>
    </xf>
    <xf numFmtId="3" fontId="5" fillId="2" borderId="344" xfId="84" applyNumberFormat="1" applyFont="1" applyFill="1" applyBorder="1" applyAlignment="1">
      <alignment horizontal="right" vertical="center"/>
    </xf>
    <xf numFmtId="0" fontId="8" fillId="0" borderId="374" xfId="14" applyFont="1" applyBorder="1" applyAlignment="1">
      <alignment wrapText="1"/>
    </xf>
    <xf numFmtId="3" fontId="8" fillId="2" borderId="375" xfId="84" applyNumberFormat="1" applyFont="1" applyFill="1" applyBorder="1" applyAlignment="1">
      <alignment horizontal="right"/>
    </xf>
    <xf numFmtId="3" fontId="8" fillId="2" borderId="344" xfId="84" applyNumberFormat="1" applyFont="1" applyFill="1" applyBorder="1" applyAlignment="1">
      <alignment horizontal="right"/>
    </xf>
    <xf numFmtId="3" fontId="8" fillId="2" borderId="337" xfId="84" applyNumberFormat="1" applyFont="1" applyFill="1" applyBorder="1" applyAlignment="1">
      <alignment horizontal="right"/>
    </xf>
    <xf numFmtId="0" fontId="5" fillId="0" borderId="374" xfId="14" applyFont="1" applyFill="1" applyBorder="1" applyAlignment="1">
      <alignment horizontal="left" vertical="top" wrapText="1" indent="1"/>
    </xf>
    <xf numFmtId="0" fontId="30" fillId="0" borderId="374" xfId="14" applyFont="1" applyFill="1" applyBorder="1" applyAlignment="1">
      <alignment horizontal="left" vertical="top" wrapText="1" indent="2"/>
    </xf>
    <xf numFmtId="0" fontId="162" fillId="2" borderId="0" xfId="0" applyFont="1" applyFill="1"/>
    <xf numFmtId="167" fontId="162" fillId="2" borderId="0" xfId="0" applyNumberFormat="1" applyFont="1" applyFill="1"/>
    <xf numFmtId="164" fontId="162" fillId="2" borderId="0" xfId="1" applyNumberFormat="1" applyFont="1" applyFill="1"/>
    <xf numFmtId="177" fontId="160" fillId="2" borderId="0" xfId="0" applyNumberFormat="1" applyFont="1" applyFill="1"/>
    <xf numFmtId="0" fontId="160" fillId="2" borderId="0" xfId="0" applyFont="1" applyFill="1"/>
    <xf numFmtId="0" fontId="30" fillId="0" borderId="376" xfId="14" applyFont="1" applyFill="1" applyBorder="1" applyAlignment="1">
      <alignment horizontal="left" vertical="top" wrapText="1" indent="2"/>
    </xf>
    <xf numFmtId="3" fontId="30" fillId="0" borderId="377" xfId="84" applyNumberFormat="1" applyFont="1" applyFill="1" applyBorder="1" applyAlignment="1">
      <alignment horizontal="right" vertical="center"/>
    </xf>
    <xf numFmtId="3" fontId="30" fillId="0" borderId="350" xfId="84" applyNumberFormat="1" applyFont="1" applyFill="1" applyBorder="1" applyAlignment="1">
      <alignment horizontal="right" vertical="center"/>
    </xf>
    <xf numFmtId="0" fontId="8" fillId="3" borderId="378" xfId="14" applyFont="1" applyFill="1" applyBorder="1" applyAlignment="1">
      <alignment horizontal="center" vertical="top" wrapText="1"/>
    </xf>
    <xf numFmtId="0" fontId="8" fillId="3" borderId="379" xfId="14" applyFont="1" applyFill="1" applyBorder="1" applyAlignment="1">
      <alignment horizontal="center" vertical="top" wrapText="1"/>
    </xf>
    <xf numFmtId="3" fontId="8" fillId="3" borderId="380" xfId="14" applyNumberFormat="1" applyFont="1" applyFill="1" applyBorder="1" applyAlignment="1">
      <alignment horizontal="center" vertical="top" wrapText="1"/>
    </xf>
    <xf numFmtId="3" fontId="8" fillId="3" borderId="381" xfId="14" applyNumberFormat="1" applyFont="1" applyFill="1" applyBorder="1" applyAlignment="1">
      <alignment horizontal="center" vertical="top" wrapText="1"/>
    </xf>
    <xf numFmtId="3" fontId="8" fillId="3" borderId="382" xfId="14" applyNumberFormat="1" applyFont="1" applyFill="1" applyBorder="1" applyAlignment="1">
      <alignment horizontal="center" vertical="top" wrapText="1"/>
    </xf>
    <xf numFmtId="37" fontId="161" fillId="0" borderId="383" xfId="63" applyNumberFormat="1" applyFont="1" applyFill="1" applyBorder="1" applyAlignment="1">
      <alignment vertical="top"/>
    </xf>
    <xf numFmtId="3" fontId="8" fillId="0" borderId="384" xfId="63" applyNumberFormat="1" applyFont="1" applyFill="1" applyBorder="1" applyAlignment="1">
      <alignment horizontal="right" vertical="center"/>
    </xf>
    <xf numFmtId="3" fontId="8" fillId="0" borderId="329" xfId="63" applyNumberFormat="1" applyFont="1" applyFill="1" applyBorder="1" applyAlignment="1">
      <alignment horizontal="right" vertical="center"/>
    </xf>
    <xf numFmtId="3" fontId="8" fillId="0" borderId="332" xfId="63" applyNumberFormat="1" applyFont="1" applyFill="1" applyBorder="1" applyAlignment="1">
      <alignment horizontal="right" vertical="center"/>
    </xf>
    <xf numFmtId="0" fontId="5" fillId="0" borderId="385" xfId="14" applyFont="1" applyFill="1" applyBorder="1" applyAlignment="1">
      <alignment vertical="top" wrapText="1"/>
    </xf>
    <xf numFmtId="3" fontId="8" fillId="0" borderId="347" xfId="63" applyNumberFormat="1" applyFont="1" applyFill="1" applyBorder="1" applyAlignment="1">
      <alignment horizontal="right" vertical="center"/>
    </xf>
    <xf numFmtId="3" fontId="5" fillId="0" borderId="346" xfId="63" applyNumberFormat="1" applyFont="1" applyFill="1" applyBorder="1" applyAlignment="1">
      <alignment horizontal="right" vertical="center"/>
    </xf>
    <xf numFmtId="3" fontId="5" fillId="0" borderId="350" xfId="63" applyNumberFormat="1" applyFont="1" applyFill="1" applyBorder="1" applyAlignment="1">
      <alignment horizontal="right" vertical="center"/>
    </xf>
    <xf numFmtId="3" fontId="5" fillId="0" borderId="377" xfId="63" applyNumberFormat="1" applyFont="1" applyFill="1" applyBorder="1" applyAlignment="1">
      <alignment horizontal="right" vertical="center"/>
    </xf>
    <xf numFmtId="0" fontId="8" fillId="3" borderId="386" xfId="14" applyFont="1" applyFill="1" applyBorder="1" applyAlignment="1">
      <alignment horizontal="center" vertical="top" wrapText="1"/>
    </xf>
    <xf numFmtId="3" fontId="8" fillId="3" borderId="380" xfId="14" applyNumberFormat="1" applyFont="1" applyFill="1" applyBorder="1" applyAlignment="1">
      <alignment horizontal="center" vertical="center" wrapText="1"/>
    </xf>
    <xf numFmtId="3" fontId="8" fillId="3" borderId="381" xfId="14" applyNumberFormat="1" applyFont="1" applyFill="1" applyBorder="1" applyAlignment="1">
      <alignment horizontal="center" vertical="center" wrapText="1"/>
    </xf>
    <xf numFmtId="3" fontId="8" fillId="3" borderId="382" xfId="14" applyNumberFormat="1" applyFont="1" applyFill="1" applyBorder="1" applyAlignment="1">
      <alignment horizontal="center" vertical="center" wrapText="1"/>
    </xf>
    <xf numFmtId="164" fontId="163" fillId="2" borderId="0" xfId="1" applyNumberFormat="1" applyFont="1" applyFill="1" applyAlignment="1">
      <alignment horizontal="center"/>
    </xf>
    <xf numFmtId="1" fontId="8" fillId="0" borderId="387" xfId="63" applyNumberFormat="1" applyFont="1" applyFill="1" applyBorder="1" applyAlignment="1">
      <alignment vertical="top" wrapText="1"/>
    </xf>
    <xf numFmtId="4" fontId="8" fillId="0" borderId="384" xfId="63" applyNumberFormat="1" applyFont="1" applyFill="1" applyBorder="1" applyAlignment="1">
      <alignment horizontal="right" vertical="center"/>
    </xf>
    <xf numFmtId="164" fontId="86" fillId="2" borderId="0" xfId="1" applyNumberFormat="1" applyFont="1" applyFill="1"/>
    <xf numFmtId="1" fontId="8" fillId="0" borderId="374" xfId="63" applyNumberFormat="1" applyFont="1" applyFill="1" applyBorder="1"/>
    <xf numFmtId="3" fontId="8" fillId="0" borderId="375" xfId="63" applyNumberFormat="1" applyFont="1" applyFill="1" applyBorder="1" applyAlignment="1">
      <alignment horizontal="right" vertical="center"/>
    </xf>
    <xf numFmtId="3" fontId="8" fillId="0" borderId="334" xfId="63" applyNumberFormat="1" applyFont="1" applyFill="1" applyBorder="1" applyAlignment="1">
      <alignment horizontal="right" vertical="center"/>
    </xf>
    <xf numFmtId="3" fontId="8" fillId="0" borderId="337" xfId="63" applyNumberFormat="1" applyFont="1" applyFill="1" applyBorder="1" applyAlignment="1">
      <alignment horizontal="right" vertical="center"/>
    </xf>
    <xf numFmtId="3" fontId="104" fillId="2" borderId="0" xfId="0" applyNumberFormat="1" applyFont="1" applyFill="1"/>
    <xf numFmtId="3" fontId="86" fillId="2" borderId="0" xfId="1" applyNumberFormat="1" applyFont="1" applyFill="1"/>
    <xf numFmtId="1" fontId="5" fillId="0" borderId="374" xfId="63" applyNumberFormat="1" applyFont="1" applyFill="1" applyBorder="1"/>
    <xf numFmtId="3" fontId="5" fillId="0" borderId="388" xfId="63" applyNumberFormat="1" applyFont="1" applyFill="1" applyBorder="1" applyAlignment="1">
      <alignment horizontal="right" vertical="center"/>
    </xf>
    <xf numFmtId="3" fontId="5" fillId="0" borderId="334" xfId="63" applyNumberFormat="1" applyFont="1" applyFill="1" applyBorder="1" applyAlignment="1">
      <alignment horizontal="right" vertical="center"/>
    </xf>
    <xf numFmtId="3" fontId="5" fillId="0" borderId="337" xfId="63" applyNumberFormat="1" applyFont="1" applyFill="1" applyBorder="1" applyAlignment="1">
      <alignment horizontal="right" vertical="center"/>
    </xf>
    <xf numFmtId="3" fontId="5" fillId="0" borderId="375" xfId="63" applyNumberFormat="1" applyFont="1" applyFill="1" applyBorder="1" applyAlignment="1">
      <alignment horizontal="right" vertical="center"/>
    </xf>
    <xf numFmtId="3" fontId="5" fillId="0" borderId="344" xfId="63" applyNumberFormat="1" applyFont="1" applyFill="1" applyBorder="1" applyAlignment="1">
      <alignment horizontal="right" vertical="center"/>
    </xf>
    <xf numFmtId="1" fontId="30" fillId="0" borderId="374" xfId="60" applyNumberFormat="1" applyFont="1" applyFill="1" applyBorder="1" applyAlignment="1">
      <alignment horizontal="left" indent="1"/>
    </xf>
    <xf numFmtId="3" fontId="30" fillId="0" borderId="388" xfId="63" applyNumberFormat="1" applyFont="1" applyFill="1" applyBorder="1" applyAlignment="1">
      <alignment horizontal="right" vertical="center"/>
    </xf>
    <xf numFmtId="3" fontId="30" fillId="0" borderId="334" xfId="63" applyNumberFormat="1" applyFont="1" applyFill="1" applyBorder="1" applyAlignment="1">
      <alignment horizontal="right" vertical="center"/>
    </xf>
    <xf numFmtId="3" fontId="30" fillId="0" borderId="337" xfId="63" applyNumberFormat="1" applyFont="1" applyFill="1" applyBorder="1" applyAlignment="1">
      <alignment horizontal="right" vertical="center"/>
    </xf>
    <xf numFmtId="3" fontId="30" fillId="0" borderId="375" xfId="63" applyNumberFormat="1" applyFont="1" applyFill="1" applyBorder="1" applyAlignment="1">
      <alignment horizontal="right" vertical="center"/>
    </xf>
    <xf numFmtId="3" fontId="30" fillId="0" borderId="344" xfId="63" applyNumberFormat="1" applyFont="1" applyFill="1" applyBorder="1" applyAlignment="1">
      <alignment horizontal="right" vertical="center"/>
    </xf>
    <xf numFmtId="3" fontId="164" fillId="2" borderId="0" xfId="1" applyNumberFormat="1" applyFont="1" applyFill="1"/>
    <xf numFmtId="3" fontId="8" fillId="0" borderId="344" xfId="63" applyNumberFormat="1" applyFont="1" applyFill="1" applyBorder="1" applyAlignment="1">
      <alignment horizontal="right" vertical="center"/>
    </xf>
    <xf numFmtId="1" fontId="5" fillId="0" borderId="374" xfId="63" applyNumberFormat="1" applyFont="1" applyFill="1" applyBorder="1" applyAlignment="1">
      <alignment horizontal="left" indent="1"/>
    </xf>
    <xf numFmtId="1" fontId="30" fillId="0" borderId="374" xfId="60" applyNumberFormat="1" applyFont="1" applyFill="1" applyBorder="1" applyAlignment="1">
      <alignment horizontal="left" indent="2"/>
    </xf>
    <xf numFmtId="1" fontId="5" fillId="0" borderId="374" xfId="63" applyNumberFormat="1" applyFont="1" applyFill="1" applyBorder="1" applyAlignment="1">
      <alignment horizontal="left" indent="2"/>
    </xf>
    <xf numFmtId="3" fontId="86" fillId="2" borderId="0" xfId="1" applyNumberFormat="1" applyFont="1" applyFill="1" applyAlignment="1">
      <alignment wrapText="1"/>
    </xf>
    <xf numFmtId="3" fontId="86" fillId="2" borderId="0" xfId="0" applyNumberFormat="1" applyFont="1" applyFill="1"/>
    <xf numFmtId="3" fontId="104" fillId="2" borderId="0" xfId="1" applyNumberFormat="1" applyFont="1" applyFill="1"/>
    <xf numFmtId="3" fontId="164" fillId="2" borderId="0" xfId="0" applyNumberFormat="1" applyFont="1" applyFill="1"/>
    <xf numFmtId="3" fontId="162" fillId="2" borderId="0" xfId="1" applyNumberFormat="1" applyFont="1" applyFill="1"/>
    <xf numFmtId="167" fontId="86" fillId="2" borderId="0" xfId="0" applyNumberFormat="1" applyFont="1" applyFill="1"/>
    <xf numFmtId="167" fontId="104" fillId="2" borderId="0" xfId="0" applyNumberFormat="1" applyFont="1" applyFill="1" applyAlignment="1">
      <alignment wrapText="1"/>
    </xf>
    <xf numFmtId="1" fontId="5" fillId="0" borderId="374" xfId="63" applyNumberFormat="1" applyFont="1" applyFill="1" applyBorder="1" applyAlignment="1">
      <alignment horizontal="left" indent="3"/>
    </xf>
    <xf numFmtId="1" fontId="30" fillId="0" borderId="374" xfId="60" applyNumberFormat="1" applyFont="1" applyFill="1" applyBorder="1" applyAlignment="1">
      <alignment horizontal="left" indent="4"/>
    </xf>
    <xf numFmtId="1" fontId="5" fillId="0" borderId="387" xfId="63" applyNumberFormat="1" applyFont="1" applyFill="1" applyBorder="1" applyAlignment="1">
      <alignment horizontal="left" indent="3"/>
    </xf>
    <xf numFmtId="1" fontId="5" fillId="2" borderId="374" xfId="63" applyNumberFormat="1" applyFont="1" applyFill="1" applyBorder="1" applyAlignment="1">
      <alignment horizontal="left" indent="1"/>
    </xf>
    <xf numFmtId="1" fontId="5" fillId="2" borderId="374" xfId="63" applyNumberFormat="1" applyFont="1" applyFill="1" applyBorder="1" applyAlignment="1">
      <alignment horizontal="left" indent="2"/>
    </xf>
    <xf numFmtId="1" fontId="30" fillId="2" borderId="374" xfId="60" applyNumberFormat="1" applyFont="1" applyFill="1" applyBorder="1" applyAlignment="1">
      <alignment horizontal="left" indent="4"/>
    </xf>
    <xf numFmtId="1" fontId="5" fillId="2" borderId="374" xfId="63" applyNumberFormat="1" applyFont="1" applyFill="1" applyBorder="1" applyAlignment="1">
      <alignment horizontal="left" indent="3"/>
    </xf>
    <xf numFmtId="1" fontId="5" fillId="0" borderId="389" xfId="63" applyNumberFormat="1" applyFont="1" applyFill="1" applyBorder="1"/>
    <xf numFmtId="3" fontId="5" fillId="0" borderId="390" xfId="63" applyNumberFormat="1" applyFont="1" applyFill="1" applyBorder="1" applyAlignment="1">
      <alignment horizontal="right" vertical="center"/>
    </xf>
    <xf numFmtId="3" fontId="5" fillId="0" borderId="391" xfId="63" applyNumberFormat="1" applyFont="1" applyFill="1" applyBorder="1" applyAlignment="1">
      <alignment horizontal="right" vertical="center"/>
    </xf>
    <xf numFmtId="3" fontId="5" fillId="0" borderId="392" xfId="63" applyNumberFormat="1" applyFont="1" applyFill="1" applyBorder="1" applyAlignment="1">
      <alignment horizontal="right" vertical="center"/>
    </xf>
    <xf numFmtId="1" fontId="8" fillId="0" borderId="376" xfId="63" applyNumberFormat="1" applyFont="1" applyFill="1" applyBorder="1"/>
    <xf numFmtId="3" fontId="5" fillId="0" borderId="393" xfId="63" applyNumberFormat="1" applyFont="1" applyFill="1" applyBorder="1" applyAlignment="1">
      <alignment horizontal="right" vertical="center"/>
    </xf>
    <xf numFmtId="3" fontId="5" fillId="0" borderId="347" xfId="63" applyNumberFormat="1" applyFont="1" applyFill="1" applyBorder="1" applyAlignment="1">
      <alignment horizontal="right" vertical="center"/>
    </xf>
    <xf numFmtId="3" fontId="8" fillId="0" borderId="350" xfId="63" applyNumberFormat="1" applyFont="1" applyFill="1" applyBorder="1" applyAlignment="1">
      <alignment horizontal="right" vertical="center"/>
    </xf>
    <xf numFmtId="0" fontId="25" fillId="2" borderId="0" xfId="85" applyFont="1" applyFill="1"/>
    <xf numFmtId="3" fontId="78" fillId="2" borderId="0" xfId="14" applyNumberFormat="1" applyFont="1" applyFill="1" applyAlignment="1">
      <alignment horizontal="center"/>
    </xf>
    <xf numFmtId="0" fontId="167" fillId="2" borderId="0" xfId="14" applyFont="1" applyFill="1"/>
    <xf numFmtId="167" fontId="167" fillId="2" borderId="0" xfId="14" applyNumberFormat="1" applyFont="1" applyFill="1"/>
    <xf numFmtId="164" fontId="168" fillId="2" borderId="0" xfId="1" applyNumberFormat="1" applyFont="1" applyFill="1" applyAlignment="1">
      <alignment horizontal="center"/>
    </xf>
    <xf numFmtId="164" fontId="167" fillId="2" borderId="0" xfId="1" applyNumberFormat="1" applyFont="1" applyFill="1"/>
    <xf numFmtId="0" fontId="112" fillId="2" borderId="0" xfId="14" applyFont="1" applyFill="1"/>
    <xf numFmtId="0" fontId="25" fillId="2" borderId="0" xfId="14" applyFont="1" applyFill="1" applyAlignment="1">
      <alignment horizontal="left" wrapText="1"/>
    </xf>
    <xf numFmtId="3" fontId="30" fillId="2" borderId="0" xfId="14" applyNumberFormat="1" applyFont="1" applyFill="1" applyAlignment="1">
      <alignment vertical="center" wrapText="1"/>
    </xf>
    <xf numFmtId="0" fontId="25" fillId="2" borderId="0" xfId="14" applyFont="1" applyFill="1" applyAlignment="1">
      <alignment horizontal="left"/>
    </xf>
    <xf numFmtId="180" fontId="78" fillId="2" borderId="0" xfId="14" applyNumberFormat="1" applyFont="1" applyFill="1" applyAlignment="1">
      <alignment horizontal="center"/>
    </xf>
    <xf numFmtId="180" fontId="112" fillId="2" borderId="0" xfId="14" applyNumberFormat="1" applyFont="1" applyFill="1"/>
    <xf numFmtId="167" fontId="112" fillId="2" borderId="0" xfId="14" applyNumberFormat="1" applyFont="1" applyFill="1"/>
    <xf numFmtId="3" fontId="78" fillId="2" borderId="0" xfId="14" applyNumberFormat="1" applyFont="1" applyFill="1" applyAlignment="1">
      <alignment horizontal="right"/>
    </xf>
    <xf numFmtId="3" fontId="170" fillId="2" borderId="0" xfId="14" applyNumberFormat="1" applyFont="1" applyFill="1" applyAlignment="1">
      <alignment horizontal="right"/>
    </xf>
    <xf numFmtId="0" fontId="112" fillId="2" borderId="0" xfId="14" applyFont="1" applyFill="1" applyAlignment="1">
      <alignment horizontal="center"/>
    </xf>
    <xf numFmtId="3" fontId="78" fillId="2" borderId="0" xfId="1" applyNumberFormat="1" applyFont="1" applyFill="1" applyAlignment="1">
      <alignment horizontal="right"/>
    </xf>
    <xf numFmtId="3" fontId="170" fillId="2" borderId="0" xfId="1" applyNumberFormat="1" applyFont="1" applyFill="1" applyAlignment="1">
      <alignment horizontal="right"/>
    </xf>
    <xf numFmtId="3" fontId="112" fillId="2" borderId="0" xfId="1" applyNumberFormat="1" applyFont="1" applyFill="1"/>
    <xf numFmtId="0" fontId="78" fillId="2" borderId="0" xfId="14" applyFont="1" applyFill="1" applyAlignment="1">
      <alignment horizontal="right"/>
    </xf>
    <xf numFmtId="0" fontId="112" fillId="2" borderId="0" xfId="14" applyFont="1" applyFill="1" applyAlignment="1">
      <alignment horizontal="right"/>
    </xf>
    <xf numFmtId="0" fontId="33" fillId="0" borderId="0" xfId="86" applyFont="1"/>
    <xf numFmtId="214" fontId="172" fillId="2" borderId="0" xfId="86" applyNumberFormat="1" applyFont="1" applyFill="1" applyAlignment="1">
      <alignment horizontal="left"/>
    </xf>
    <xf numFmtId="3" fontId="19" fillId="2" borderId="0" xfId="86" applyNumberFormat="1" applyFont="1" applyFill="1"/>
    <xf numFmtId="3" fontId="17" fillId="2" borderId="0" xfId="86" applyNumberFormat="1" applyFont="1" applyFill="1" applyAlignment="1">
      <alignment horizontal="right"/>
    </xf>
    <xf numFmtId="0" fontId="172" fillId="3" borderId="394" xfId="86" applyFont="1" applyFill="1" applyBorder="1" applyAlignment="1">
      <alignment horizontal="left"/>
    </xf>
    <xf numFmtId="0" fontId="31" fillId="3" borderId="395" xfId="86" applyFont="1" applyFill="1" applyBorder="1" applyAlignment="1">
      <alignment horizontal="center" vertical="center"/>
    </xf>
    <xf numFmtId="0" fontId="8" fillId="3" borderId="395" xfId="86" applyFont="1" applyFill="1" applyBorder="1" applyAlignment="1">
      <alignment horizontal="center" vertical="center"/>
    </xf>
    <xf numFmtId="0" fontId="172" fillId="3" borderId="25" xfId="86" applyFont="1" applyFill="1" applyBorder="1"/>
    <xf numFmtId="0" fontId="19" fillId="2" borderId="4" xfId="86" applyFont="1" applyFill="1" applyBorder="1"/>
    <xf numFmtId="0" fontId="173" fillId="3" borderId="25" xfId="86" applyFont="1" applyFill="1" applyBorder="1" applyAlignment="1">
      <alignment horizontal="left"/>
    </xf>
    <xf numFmtId="3" fontId="8" fillId="2" borderId="4" xfId="86" applyNumberFormat="1" applyFont="1" applyFill="1" applyBorder="1" applyAlignment="1">
      <alignment horizontal="center"/>
    </xf>
    <xf numFmtId="0" fontId="55" fillId="0" borderId="0" xfId="86" applyFont="1"/>
    <xf numFmtId="3" fontId="55" fillId="0" borderId="0" xfId="86" applyNumberFormat="1" applyFont="1"/>
    <xf numFmtId="3" fontId="5" fillId="2" borderId="4" xfId="86" applyNumberFormat="1" applyFont="1" applyFill="1" applyBorder="1" applyAlignment="1">
      <alignment horizontal="center"/>
    </xf>
    <xf numFmtId="0" fontId="172" fillId="3" borderId="25" xfId="86" applyFont="1" applyFill="1" applyBorder="1" applyAlignment="1">
      <alignment horizontal="left"/>
    </xf>
    <xf numFmtId="0" fontId="174" fillId="3" borderId="25" xfId="86" applyFont="1" applyFill="1" applyBorder="1" applyAlignment="1">
      <alignment horizontal="left"/>
    </xf>
    <xf numFmtId="3" fontId="30" fillId="2" borderId="4" xfId="86" applyNumberFormat="1" applyFont="1" applyFill="1" applyBorder="1" applyAlignment="1">
      <alignment horizontal="center"/>
    </xf>
    <xf numFmtId="0" fontId="42" fillId="0" borderId="0" xfId="86" applyFont="1"/>
    <xf numFmtId="3" fontId="175" fillId="0" borderId="0" xfId="86" applyNumberFormat="1" applyFont="1"/>
    <xf numFmtId="3" fontId="33" fillId="0" borderId="0" xfId="86" applyNumberFormat="1" applyFont="1"/>
    <xf numFmtId="3" fontId="176" fillId="0" borderId="0" xfId="86" applyNumberFormat="1" applyFont="1"/>
    <xf numFmtId="1" fontId="33" fillId="0" borderId="0" xfId="86" applyNumberFormat="1" applyFont="1"/>
    <xf numFmtId="0" fontId="176" fillId="0" borderId="0" xfId="86" applyFont="1"/>
    <xf numFmtId="3" fontId="25" fillId="2" borderId="4" xfId="86" applyNumberFormat="1" applyFont="1" applyFill="1" applyBorder="1" applyAlignment="1">
      <alignment horizontal="center"/>
    </xf>
    <xf numFmtId="0" fontId="5" fillId="2" borderId="4" xfId="86" applyFont="1" applyFill="1" applyBorder="1" applyAlignment="1">
      <alignment horizontal="center"/>
    </xf>
    <xf numFmtId="0" fontId="172" fillId="3" borderId="196" xfId="86" applyFont="1" applyFill="1" applyBorder="1" applyAlignment="1">
      <alignment horizontal="left"/>
    </xf>
    <xf numFmtId="3" fontId="19" fillId="2" borderId="6" xfId="86" applyNumberFormat="1" applyFont="1" applyFill="1" applyBorder="1" applyAlignment="1">
      <alignment horizontal="center"/>
    </xf>
    <xf numFmtId="0" fontId="173" fillId="3" borderId="265" xfId="86" applyFont="1" applyFill="1" applyBorder="1" applyAlignment="1">
      <alignment horizontal="left"/>
    </xf>
    <xf numFmtId="3" fontId="8" fillId="2" borderId="122" xfId="86" applyNumberFormat="1" applyFont="1" applyFill="1" applyBorder="1" applyAlignment="1">
      <alignment horizontal="center"/>
    </xf>
    <xf numFmtId="166" fontId="5" fillId="2" borderId="4" xfId="86" applyNumberFormat="1" applyFont="1" applyFill="1" applyBorder="1" applyAlignment="1">
      <alignment horizontal="center"/>
    </xf>
    <xf numFmtId="0" fontId="33" fillId="2" borderId="0" xfId="86" applyFont="1" applyFill="1"/>
    <xf numFmtId="0" fontId="172" fillId="3" borderId="45" xfId="86" applyFont="1" applyFill="1" applyBorder="1" applyAlignment="1">
      <alignment horizontal="left"/>
    </xf>
    <xf numFmtId="3" fontId="5" fillId="2" borderId="37" xfId="86" applyNumberFormat="1" applyFont="1" applyFill="1" applyBorder="1" applyAlignment="1">
      <alignment horizontal="center"/>
    </xf>
    <xf numFmtId="0" fontId="5" fillId="2" borderId="37" xfId="86" applyFont="1" applyFill="1" applyBorder="1" applyAlignment="1">
      <alignment horizontal="center"/>
    </xf>
    <xf numFmtId="3" fontId="33" fillId="2" borderId="0" xfId="86" applyNumberFormat="1" applyFont="1" applyFill="1" applyAlignment="1">
      <alignment vertical="center"/>
    </xf>
    <xf numFmtId="0" fontId="33" fillId="2" borderId="0" xfId="86" applyFont="1" applyFill="1" applyAlignment="1">
      <alignment vertical="center"/>
    </xf>
    <xf numFmtId="0" fontId="177" fillId="2" borderId="0" xfId="86" applyFont="1" applyFill="1"/>
    <xf numFmtId="0" fontId="177" fillId="0" borderId="0" xfId="86" applyFont="1"/>
    <xf numFmtId="0" fontId="4" fillId="2" borderId="0" xfId="31" applyFont="1" applyFill="1" applyAlignment="1"/>
    <xf numFmtId="0" fontId="97" fillId="0" borderId="20" xfId="86" applyFont="1" applyBorder="1" applyAlignment="1"/>
    <xf numFmtId="0" fontId="33" fillId="0" borderId="0" xfId="86" applyFont="1" applyAlignment="1"/>
    <xf numFmtId="0" fontId="8" fillId="3" borderId="386" xfId="12" applyFont="1" applyFill="1" applyBorder="1"/>
    <xf numFmtId="17" fontId="30" fillId="3" borderId="3" xfId="12" applyNumberFormat="1" applyFont="1" applyFill="1" applyBorder="1" applyAlignment="1">
      <alignment vertical="top"/>
    </xf>
    <xf numFmtId="17" fontId="17" fillId="3" borderId="399" xfId="12" applyNumberFormat="1" applyFont="1" applyFill="1" applyBorder="1" applyAlignment="1">
      <alignment horizontal="center" vertical="top"/>
    </xf>
    <xf numFmtId="17" fontId="17" fillId="3" borderId="33" xfId="12" applyNumberFormat="1" applyFont="1" applyFill="1" applyBorder="1" applyAlignment="1">
      <alignment horizontal="center" vertical="top"/>
    </xf>
    <xf numFmtId="17" fontId="25" fillId="3" borderId="399" xfId="12" applyNumberFormat="1" applyFont="1" applyFill="1" applyBorder="1" applyAlignment="1">
      <alignment horizontal="center" vertical="top"/>
    </xf>
    <xf numFmtId="17" fontId="25" fillId="3" borderId="400" xfId="12" applyNumberFormat="1" applyFont="1" applyFill="1" applyBorder="1" applyAlignment="1">
      <alignment horizontal="center" vertical="top"/>
    </xf>
    <xf numFmtId="17" fontId="25" fillId="3" borderId="401" xfId="12" applyNumberFormat="1" applyFont="1" applyFill="1" applyBorder="1" applyAlignment="1">
      <alignment horizontal="center" vertical="top"/>
    </xf>
    <xf numFmtId="0" fontId="8" fillId="3" borderId="9" xfId="12" applyFont="1" applyFill="1" applyBorder="1"/>
    <xf numFmtId="3" fontId="31" fillId="3" borderId="402" xfId="3" applyNumberFormat="1" applyFont="1" applyFill="1" applyBorder="1" applyAlignment="1">
      <alignment horizontal="center"/>
    </xf>
    <xf numFmtId="3" fontId="31" fillId="3" borderId="29" xfId="3" applyNumberFormat="1" applyFont="1" applyFill="1" applyBorder="1" applyAlignment="1">
      <alignment horizontal="center"/>
    </xf>
    <xf numFmtId="3" fontId="26" fillId="3" borderId="402" xfId="3" applyNumberFormat="1" applyFont="1" applyFill="1" applyBorder="1" applyAlignment="1">
      <alignment horizontal="center"/>
    </xf>
    <xf numFmtId="3" fontId="26" fillId="3" borderId="29" xfId="3" applyNumberFormat="1" applyFont="1" applyFill="1" applyBorder="1" applyAlignment="1">
      <alignment horizontal="center"/>
    </xf>
    <xf numFmtId="3" fontId="26" fillId="3" borderId="11" xfId="3" applyNumberFormat="1" applyFont="1" applyFill="1" applyBorder="1" applyAlignment="1">
      <alignment horizontal="center"/>
    </xf>
    <xf numFmtId="0" fontId="8" fillId="0" borderId="403" xfId="12" applyFont="1" applyBorder="1" applyAlignment="1">
      <alignment horizontal="left" vertical="top"/>
    </xf>
    <xf numFmtId="3" fontId="19" fillId="0" borderId="404" xfId="12" applyNumberFormat="1" applyFont="1" applyBorder="1" applyAlignment="1">
      <alignment horizontal="center"/>
    </xf>
    <xf numFmtId="3" fontId="19" fillId="0" borderId="405" xfId="12" applyNumberFormat="1" applyFont="1" applyBorder="1" applyAlignment="1">
      <alignment horizontal="center"/>
    </xf>
    <xf numFmtId="3" fontId="11" fillId="0" borderId="404" xfId="12" applyNumberFormat="1" applyFont="1" applyBorder="1" applyAlignment="1">
      <alignment horizontal="center"/>
    </xf>
    <xf numFmtId="3" fontId="11" fillId="0" borderId="406" xfId="12" applyNumberFormat="1" applyFont="1" applyBorder="1" applyAlignment="1">
      <alignment horizontal="center"/>
    </xf>
    <xf numFmtId="3" fontId="11" fillId="0" borderId="407" xfId="12" applyNumberFormat="1" applyFont="1" applyBorder="1" applyAlignment="1">
      <alignment horizontal="center"/>
    </xf>
    <xf numFmtId="0" fontId="8" fillId="0" borderId="379" xfId="12" applyFont="1" applyBorder="1" applyAlignment="1">
      <alignment horizontal="left" vertical="top" wrapText="1"/>
    </xf>
    <xf numFmtId="3" fontId="19" fillId="0" borderId="408" xfId="12" applyNumberFormat="1" applyFont="1" applyBorder="1" applyAlignment="1">
      <alignment horizontal="center"/>
    </xf>
    <xf numFmtId="3" fontId="19" fillId="0" borderId="409" xfId="12" applyNumberFormat="1" applyFont="1" applyBorder="1" applyAlignment="1">
      <alignment horizontal="center"/>
    </xf>
    <xf numFmtId="3" fontId="11" fillId="0" borderId="408" xfId="12" applyNumberFormat="1" applyFont="1" applyBorder="1" applyAlignment="1">
      <alignment horizontal="center"/>
    </xf>
    <xf numFmtId="3" fontId="11" fillId="0" borderId="410" xfId="12" applyNumberFormat="1" applyFont="1" applyBorder="1" applyAlignment="1">
      <alignment horizontal="center"/>
    </xf>
    <xf numFmtId="3" fontId="11" fillId="0" borderId="411" xfId="12" applyNumberFormat="1" applyFont="1" applyBorder="1" applyAlignment="1">
      <alignment horizontal="center"/>
    </xf>
    <xf numFmtId="0" fontId="8" fillId="0" borderId="412" xfId="12" applyFont="1" applyBorder="1" applyAlignment="1">
      <alignment horizontal="left" vertical="top"/>
    </xf>
    <xf numFmtId="3" fontId="19" fillId="0" borderId="413" xfId="12" applyNumberFormat="1" applyFont="1" applyBorder="1" applyAlignment="1">
      <alignment horizontal="center"/>
    </xf>
    <xf numFmtId="3" fontId="19" fillId="0" borderId="414" xfId="12" applyNumberFormat="1" applyFont="1" applyBorder="1" applyAlignment="1">
      <alignment horizontal="center"/>
    </xf>
    <xf numFmtId="3" fontId="11" fillId="0" borderId="413" xfId="12" applyNumberFormat="1" applyFont="1" applyBorder="1" applyAlignment="1">
      <alignment horizontal="center"/>
    </xf>
    <xf numFmtId="3" fontId="11" fillId="0" borderId="415" xfId="12" applyNumberFormat="1" applyFont="1" applyBorder="1" applyAlignment="1">
      <alignment horizontal="center"/>
    </xf>
    <xf numFmtId="3" fontId="11" fillId="0" borderId="416" xfId="12" applyNumberFormat="1" applyFont="1" applyBorder="1" applyAlignment="1">
      <alignment horizontal="center"/>
    </xf>
    <xf numFmtId="3" fontId="19" fillId="0" borderId="404" xfId="3" applyNumberFormat="1" applyFont="1" applyFill="1" applyBorder="1" applyAlignment="1">
      <alignment horizontal="center"/>
    </xf>
    <xf numFmtId="3" fontId="19" fillId="0" borderId="405" xfId="3" applyNumberFormat="1" applyFont="1" applyFill="1" applyBorder="1" applyAlignment="1">
      <alignment horizontal="center"/>
    </xf>
    <xf numFmtId="3" fontId="11" fillId="0" borderId="404" xfId="3" applyNumberFormat="1" applyFont="1" applyFill="1" applyBorder="1" applyAlignment="1">
      <alignment horizontal="center"/>
    </xf>
    <xf numFmtId="3" fontId="11" fillId="0" borderId="406" xfId="3" applyNumberFormat="1" applyFont="1" applyFill="1" applyBorder="1" applyAlignment="1">
      <alignment horizontal="center"/>
    </xf>
    <xf numFmtId="3" fontId="11" fillId="0" borderId="407" xfId="3" applyNumberFormat="1" applyFont="1" applyFill="1" applyBorder="1" applyAlignment="1">
      <alignment horizontal="center"/>
    </xf>
    <xf numFmtId="3" fontId="19" fillId="0" borderId="408" xfId="3" applyNumberFormat="1" applyFont="1" applyFill="1" applyBorder="1" applyAlignment="1">
      <alignment horizontal="center"/>
    </xf>
    <xf numFmtId="3" fontId="19" fillId="0" borderId="409" xfId="3" applyNumberFormat="1" applyFont="1" applyFill="1" applyBorder="1" applyAlignment="1">
      <alignment horizontal="center"/>
    </xf>
    <xf numFmtId="3" fontId="11" fillId="0" borderId="408" xfId="3" applyNumberFormat="1" applyFont="1" applyFill="1" applyBorder="1" applyAlignment="1">
      <alignment horizontal="center"/>
    </xf>
    <xf numFmtId="3" fontId="11" fillId="0" borderId="410" xfId="3" applyNumberFormat="1" applyFont="1" applyFill="1" applyBorder="1" applyAlignment="1">
      <alignment horizontal="center"/>
    </xf>
    <xf numFmtId="3" fontId="11" fillId="0" borderId="411" xfId="3" applyNumberFormat="1" applyFont="1" applyFill="1" applyBorder="1" applyAlignment="1">
      <alignment horizontal="center"/>
    </xf>
    <xf numFmtId="3" fontId="19" fillId="0" borderId="413" xfId="3" applyNumberFormat="1" applyFont="1" applyFill="1" applyBorder="1" applyAlignment="1">
      <alignment horizontal="center"/>
    </xf>
    <xf numFmtId="3" fontId="19" fillId="0" borderId="414" xfId="3" applyNumberFormat="1" applyFont="1" applyFill="1" applyBorder="1" applyAlignment="1">
      <alignment horizontal="center"/>
    </xf>
    <xf numFmtId="3" fontId="11" fillId="0" borderId="413" xfId="3" applyNumberFormat="1" applyFont="1" applyFill="1" applyBorder="1" applyAlignment="1">
      <alignment horizontal="center"/>
    </xf>
    <xf numFmtId="3" fontId="11" fillId="0" borderId="415" xfId="3" applyNumberFormat="1" applyFont="1" applyFill="1" applyBorder="1" applyAlignment="1">
      <alignment horizontal="center"/>
    </xf>
    <xf numFmtId="3" fontId="11" fillId="0" borderId="416" xfId="3" applyNumberFormat="1" applyFont="1" applyFill="1" applyBorder="1" applyAlignment="1">
      <alignment horizontal="center"/>
    </xf>
    <xf numFmtId="0" fontId="17" fillId="2" borderId="0" xfId="12" applyFont="1" applyFill="1" applyAlignment="1">
      <alignment vertical="top"/>
    </xf>
    <xf numFmtId="0" fontId="49" fillId="2" borderId="0" xfId="12" applyFont="1" applyFill="1" applyAlignment="1">
      <alignment vertical="top"/>
    </xf>
    <xf numFmtId="0" fontId="49" fillId="2" borderId="0" xfId="12" applyFont="1" applyFill="1" applyAlignment="1">
      <alignment horizontal="left" vertical="top"/>
    </xf>
    <xf numFmtId="0" fontId="19" fillId="0" borderId="0" xfId="86" applyFont="1"/>
    <xf numFmtId="0" fontId="17" fillId="0" borderId="0" xfId="86" applyFont="1"/>
    <xf numFmtId="0" fontId="178" fillId="2" borderId="0" xfId="68" applyFont="1" applyFill="1" applyAlignment="1">
      <alignment horizontal="left"/>
    </xf>
    <xf numFmtId="0" fontId="28" fillId="2" borderId="0" xfId="68" applyFill="1"/>
    <xf numFmtId="0" fontId="179" fillId="2" borderId="0" xfId="87" applyFont="1" applyFill="1" applyAlignment="1">
      <alignment horizontal="justify" vertical="center"/>
    </xf>
    <xf numFmtId="0" fontId="78" fillId="2" borderId="0" xfId="68" applyFont="1" applyFill="1"/>
    <xf numFmtId="0" fontId="78" fillId="2" borderId="0" xfId="68" applyFont="1" applyFill="1" applyAlignment="1"/>
    <xf numFmtId="0" fontId="28" fillId="2" borderId="0" xfId="68" applyFill="1" applyAlignment="1"/>
    <xf numFmtId="17" fontId="8" fillId="3" borderId="90" xfId="12" applyNumberFormat="1" applyFont="1" applyFill="1" applyBorder="1" applyAlignment="1">
      <alignment horizontal="right"/>
    </xf>
    <xf numFmtId="204" fontId="17" fillId="2" borderId="7" xfId="42" applyNumberFormat="1" applyFont="1" applyFill="1" applyBorder="1"/>
    <xf numFmtId="0" fontId="4" fillId="0" borderId="0" xfId="2" applyFont="1" applyFill="1" applyAlignment="1">
      <alignment horizontal="left" vertical="center"/>
    </xf>
    <xf numFmtId="0" fontId="17" fillId="2" borderId="0" xfId="11" quotePrefix="1" applyFont="1" applyFill="1" applyAlignment="1">
      <alignment horizontal="left" vertical="center" wrapText="1"/>
    </xf>
    <xf numFmtId="0" fontId="8" fillId="3" borderId="124" xfId="12" applyFont="1" applyFill="1" applyBorder="1" applyAlignment="1">
      <alignment horizontal="right" vertical="center" indent="1"/>
    </xf>
    <xf numFmtId="0" fontId="8" fillId="3" borderId="99" xfId="12" applyFont="1" applyFill="1" applyBorder="1" applyAlignment="1">
      <alignment horizontal="right" vertical="center" indent="1"/>
    </xf>
    <xf numFmtId="0" fontId="8" fillId="3" borderId="124" xfId="12" applyFont="1" applyFill="1" applyBorder="1" applyAlignment="1">
      <alignment horizontal="center" vertical="center" wrapText="1"/>
    </xf>
    <xf numFmtId="0" fontId="8" fillId="3" borderId="7" xfId="12" applyFont="1" applyFill="1" applyBorder="1" applyAlignment="1">
      <alignment horizontal="center" vertical="center" wrapText="1"/>
    </xf>
    <xf numFmtId="0" fontId="8" fillId="3" borderId="8" xfId="12" applyFont="1" applyFill="1" applyBorder="1" applyAlignment="1">
      <alignment horizontal="center" vertical="center" wrapText="1"/>
    </xf>
    <xf numFmtId="0" fontId="8" fillId="3" borderId="7" xfId="12" applyFont="1" applyFill="1" applyBorder="1" applyAlignment="1">
      <alignment horizontal="right" vertical="center" indent="1"/>
    </xf>
    <xf numFmtId="0" fontId="8" fillId="3" borderId="12" xfId="12" applyFont="1" applyFill="1" applyBorder="1" applyAlignment="1">
      <alignment horizontal="right" vertical="center" indent="1"/>
    </xf>
    <xf numFmtId="0" fontId="8" fillId="3" borderId="22"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2" xfId="12" applyFont="1" applyFill="1" applyBorder="1" applyAlignment="1">
      <alignment horizontal="center" vertical="center" wrapText="1"/>
    </xf>
    <xf numFmtId="0" fontId="8" fillId="0" borderId="23" xfId="12" applyFont="1" applyBorder="1" applyAlignment="1">
      <alignment horizontal="center" vertical="center" wrapText="1"/>
    </xf>
    <xf numFmtId="0" fontId="8" fillId="3" borderId="7" xfId="12" applyFont="1" applyFill="1" applyBorder="1" applyAlignment="1">
      <alignment horizontal="center" vertical="center"/>
    </xf>
    <xf numFmtId="0" fontId="8" fillId="3" borderId="77" xfId="12" applyFont="1" applyFill="1" applyBorder="1" applyAlignment="1">
      <alignment horizontal="center" vertical="center"/>
    </xf>
    <xf numFmtId="0" fontId="8" fillId="3" borderId="78" xfId="12" applyFont="1" applyFill="1" applyBorder="1" applyAlignment="1">
      <alignment horizontal="center" vertical="center"/>
    </xf>
    <xf numFmtId="0" fontId="8" fillId="3" borderId="28" xfId="12" applyFont="1" applyFill="1" applyBorder="1" applyAlignment="1">
      <alignment horizontal="center" vertical="center"/>
    </xf>
    <xf numFmtId="0" fontId="8" fillId="3" borderId="38" xfId="12" applyFont="1" applyFill="1" applyBorder="1" applyAlignment="1">
      <alignment horizontal="center" vertical="center" wrapText="1"/>
    </xf>
    <xf numFmtId="0" fontId="8" fillId="3" borderId="40" xfId="12" applyFont="1" applyFill="1" applyBorder="1" applyAlignment="1">
      <alignment horizontal="center" vertical="center" wrapText="1"/>
    </xf>
    <xf numFmtId="172" fontId="27" fillId="3" borderId="30" xfId="12" applyNumberFormat="1" applyFont="1" applyFill="1" applyBorder="1" applyAlignment="1">
      <alignment horizontal="center" vertical="center"/>
    </xf>
    <xf numFmtId="172" fontId="27" fillId="3" borderId="10" xfId="12" applyNumberFormat="1" applyFont="1" applyFill="1" applyBorder="1" applyAlignment="1">
      <alignment horizontal="center" vertical="center"/>
    </xf>
    <xf numFmtId="172" fontId="27" fillId="3" borderId="11" xfId="12" applyNumberFormat="1" applyFont="1" applyFill="1" applyBorder="1" applyAlignment="1">
      <alignment horizontal="center" vertical="center"/>
    </xf>
    <xf numFmtId="0" fontId="8" fillId="3" borderId="22" xfId="12" applyFont="1" applyFill="1" applyBorder="1" applyAlignment="1">
      <alignment horizontal="center" vertical="center"/>
    </xf>
    <xf numFmtId="0" fontId="8" fillId="3" borderId="24" xfId="12" applyFont="1" applyFill="1" applyBorder="1" applyAlignment="1">
      <alignment horizontal="center" vertical="center"/>
    </xf>
    <xf numFmtId="0" fontId="8" fillId="3" borderId="23" xfId="12" applyFont="1" applyFill="1" applyBorder="1" applyAlignment="1">
      <alignment horizontal="center" vertical="center"/>
    </xf>
    <xf numFmtId="0" fontId="8" fillId="3" borderId="35" xfId="12" applyFont="1" applyFill="1" applyBorder="1" applyAlignment="1">
      <alignment horizontal="center" vertical="center"/>
    </xf>
    <xf numFmtId="0" fontId="8" fillId="3" borderId="36" xfId="12" applyFont="1" applyFill="1" applyBorder="1" applyAlignment="1">
      <alignment horizontal="center" vertical="center"/>
    </xf>
    <xf numFmtId="0" fontId="8" fillId="3" borderId="37" xfId="12" applyFont="1" applyFill="1" applyBorder="1" applyAlignment="1">
      <alignment horizontal="center" vertical="center"/>
    </xf>
    <xf numFmtId="0" fontId="8" fillId="3" borderId="0" xfId="12" applyFont="1" applyFill="1" applyAlignment="1">
      <alignment horizontal="center" vertical="center"/>
    </xf>
    <xf numFmtId="0" fontId="8" fillId="3" borderId="30" xfId="12" applyFont="1" applyFill="1" applyBorder="1" applyAlignment="1">
      <alignment horizontal="center" vertical="center"/>
    </xf>
    <xf numFmtId="0" fontId="8" fillId="3" borderId="11" xfId="12" applyFont="1" applyFill="1" applyBorder="1" applyAlignment="1">
      <alignment horizontal="center" vertical="center"/>
    </xf>
    <xf numFmtId="0" fontId="8" fillId="3" borderId="92" xfId="12" applyFont="1" applyFill="1" applyBorder="1" applyAlignment="1">
      <alignment horizontal="center" vertical="center"/>
    </xf>
    <xf numFmtId="0" fontId="8" fillId="3" borderId="93" xfId="12" applyFont="1" applyFill="1" applyBorder="1" applyAlignment="1">
      <alignment horizontal="center" vertical="center"/>
    </xf>
    <xf numFmtId="0" fontId="8" fillId="3" borderId="94" xfId="12" applyFont="1" applyFill="1" applyBorder="1" applyAlignment="1">
      <alignment horizontal="center" vertical="center"/>
    </xf>
    <xf numFmtId="0" fontId="8" fillId="3" borderId="92" xfId="12" applyFont="1" applyFill="1" applyBorder="1" applyAlignment="1">
      <alignment horizontal="center" vertical="center" wrapText="1"/>
    </xf>
    <xf numFmtId="0" fontId="8" fillId="3" borderId="93" xfId="12" applyFont="1" applyFill="1" applyBorder="1" applyAlignment="1">
      <alignment horizontal="center" vertical="center" wrapText="1"/>
    </xf>
    <xf numFmtId="0" fontId="8" fillId="3" borderId="94" xfId="12" applyFont="1" applyFill="1" applyBorder="1" applyAlignment="1">
      <alignment horizontal="center" vertical="center" wrapText="1"/>
    </xf>
    <xf numFmtId="0" fontId="8" fillId="3" borderId="95" xfId="12" applyFont="1" applyFill="1" applyBorder="1" applyAlignment="1">
      <alignment horizontal="center" vertical="center" wrapText="1"/>
    </xf>
    <xf numFmtId="0" fontId="8" fillId="3" borderId="96" xfId="12" applyFont="1" applyFill="1" applyBorder="1" applyAlignment="1">
      <alignment horizontal="center" vertical="center" wrapText="1"/>
    </xf>
    <xf numFmtId="0" fontId="8" fillId="3" borderId="36" xfId="12" applyFont="1" applyFill="1" applyBorder="1" applyAlignment="1">
      <alignment horizontal="center" vertical="center" wrapText="1"/>
    </xf>
    <xf numFmtId="0" fontId="8" fillId="3" borderId="37" xfId="12" applyFont="1" applyFill="1" applyBorder="1" applyAlignment="1">
      <alignment horizontal="center" vertical="center" wrapText="1"/>
    </xf>
    <xf numFmtId="0" fontId="8" fillId="3" borderId="99" xfId="12" applyFont="1" applyFill="1" applyBorder="1" applyAlignment="1">
      <alignment horizontal="center" vertical="center" wrapText="1"/>
    </xf>
    <xf numFmtId="0" fontId="8" fillId="3" borderId="98" xfId="12" applyFont="1" applyFill="1" applyBorder="1" applyAlignment="1">
      <alignment horizontal="center" vertical="center"/>
    </xf>
    <xf numFmtId="172" fontId="29" fillId="3" borderId="101" xfId="12" applyNumberFormat="1" applyFont="1" applyFill="1" applyBorder="1" applyAlignment="1">
      <alignment horizontal="center" vertical="center"/>
    </xf>
    <xf numFmtId="172" fontId="29" fillId="3" borderId="93" xfId="12" applyNumberFormat="1" applyFont="1" applyFill="1" applyBorder="1" applyAlignment="1">
      <alignment horizontal="center" vertical="center"/>
    </xf>
    <xf numFmtId="172" fontId="29" fillId="3" borderId="102" xfId="12" applyNumberFormat="1" applyFont="1" applyFill="1" applyBorder="1" applyAlignment="1">
      <alignment horizontal="center" vertical="center"/>
    </xf>
    <xf numFmtId="0" fontId="8" fillId="3" borderId="39" xfId="12" applyFont="1" applyFill="1" applyBorder="1" applyAlignment="1">
      <alignment horizontal="center"/>
    </xf>
    <xf numFmtId="0" fontId="8" fillId="3" borderId="10" xfId="12" applyFont="1" applyFill="1" applyBorder="1" applyAlignment="1">
      <alignment horizontal="center"/>
    </xf>
    <xf numFmtId="0" fontId="8" fillId="3" borderId="29" xfId="12" applyFont="1" applyFill="1" applyBorder="1" applyAlignment="1">
      <alignment horizontal="center"/>
    </xf>
    <xf numFmtId="0" fontId="8" fillId="3" borderId="11" xfId="12" applyFont="1" applyFill="1" applyBorder="1" applyAlignment="1">
      <alignment horizontal="center"/>
    </xf>
    <xf numFmtId="0" fontId="17" fillId="2" borderId="0" xfId="12" applyFont="1" applyFill="1" applyAlignment="1">
      <alignment horizontal="left" wrapText="1"/>
    </xf>
    <xf numFmtId="0" fontId="8" fillId="3" borderId="104" xfId="12" applyFont="1" applyFill="1" applyBorder="1" applyAlignment="1">
      <alignment horizontal="center" vertical="center"/>
    </xf>
    <xf numFmtId="0" fontId="8" fillId="3" borderId="105" xfId="12" applyFont="1" applyFill="1" applyBorder="1" applyAlignment="1">
      <alignment horizontal="center" vertical="center"/>
    </xf>
    <xf numFmtId="0" fontId="8" fillId="3" borderId="106" xfId="12" applyFont="1" applyFill="1" applyBorder="1" applyAlignment="1">
      <alignment horizontal="center" vertical="center"/>
    </xf>
    <xf numFmtId="0" fontId="8" fillId="3" borderId="31" xfId="12" applyFont="1" applyFill="1" applyBorder="1" applyAlignment="1">
      <alignment horizontal="center" vertical="center"/>
    </xf>
    <xf numFmtId="0" fontId="8" fillId="3" borderId="33" xfId="12" applyFont="1" applyFill="1" applyBorder="1" applyAlignment="1">
      <alignment horizontal="center" vertical="center"/>
    </xf>
    <xf numFmtId="0" fontId="8" fillId="3" borderId="44" xfId="12" applyFont="1" applyFill="1" applyBorder="1" applyAlignment="1">
      <alignment horizontal="center" vertical="center"/>
    </xf>
    <xf numFmtId="0" fontId="8" fillId="3" borderId="4" xfId="12" applyFont="1" applyFill="1" applyBorder="1" applyAlignment="1">
      <alignment horizontal="center" vertical="center"/>
    </xf>
    <xf numFmtId="0" fontId="8" fillId="3" borderId="107" xfId="12" applyFont="1" applyFill="1" applyBorder="1" applyAlignment="1">
      <alignment horizontal="center" vertical="center" wrapText="1"/>
    </xf>
    <xf numFmtId="0" fontId="8" fillId="3" borderId="114" xfId="12" applyFont="1" applyFill="1" applyBorder="1" applyAlignment="1">
      <alignment horizontal="center" vertical="center" wrapText="1"/>
    </xf>
    <xf numFmtId="0" fontId="8" fillId="3" borderId="108" xfId="12" applyFont="1" applyFill="1" applyBorder="1" applyAlignment="1">
      <alignment horizontal="center"/>
    </xf>
    <xf numFmtId="0" fontId="8" fillId="3" borderId="109" xfId="12" applyFont="1" applyFill="1" applyBorder="1" applyAlignment="1">
      <alignment horizontal="center"/>
    </xf>
    <xf numFmtId="0" fontId="8" fillId="3" borderId="110" xfId="12" applyFont="1" applyFill="1" applyBorder="1" applyAlignment="1">
      <alignment horizontal="center"/>
    </xf>
    <xf numFmtId="0" fontId="8" fillId="3" borderId="111" xfId="12" applyFont="1" applyFill="1" applyBorder="1" applyAlignment="1">
      <alignment horizontal="center"/>
    </xf>
    <xf numFmtId="0" fontId="8" fillId="3" borderId="112" xfId="12" applyFont="1" applyFill="1" applyBorder="1" applyAlignment="1">
      <alignment horizontal="center"/>
    </xf>
    <xf numFmtId="0" fontId="8" fillId="3" borderId="113" xfId="12" applyFont="1" applyFill="1" applyBorder="1" applyAlignment="1">
      <alignment horizontal="center"/>
    </xf>
    <xf numFmtId="0" fontId="8" fillId="2" borderId="99" xfId="12" quotePrefix="1" applyFont="1" applyFill="1" applyBorder="1" applyAlignment="1">
      <alignment horizontal="right" vertical="center"/>
    </xf>
    <xf numFmtId="0" fontId="8" fillId="2" borderId="44" xfId="12" applyFont="1" applyFill="1" applyBorder="1" applyAlignment="1">
      <alignment horizontal="right" vertical="center"/>
    </xf>
    <xf numFmtId="0" fontId="8" fillId="2" borderId="3" xfId="12" applyFont="1" applyFill="1" applyBorder="1" applyAlignment="1">
      <alignment horizontal="right" vertical="center"/>
    </xf>
    <xf numFmtId="0" fontId="8" fillId="2" borderId="33" xfId="12" applyFont="1" applyFill="1" applyBorder="1" applyAlignment="1">
      <alignment horizontal="right" vertical="center"/>
    </xf>
    <xf numFmtId="0" fontId="8" fillId="2" borderId="3" xfId="12" quotePrefix="1" applyFont="1" applyFill="1" applyBorder="1" applyAlignment="1">
      <alignment horizontal="right" vertical="center"/>
    </xf>
    <xf numFmtId="0" fontId="17" fillId="2" borderId="0" xfId="12" applyFont="1" applyFill="1" applyAlignment="1">
      <alignment horizontal="left"/>
    </xf>
    <xf numFmtId="0" fontId="5" fillId="0" borderId="37" xfId="12" applyFont="1" applyBorder="1" applyAlignment="1">
      <alignment horizontal="center" vertical="center" wrapText="1"/>
    </xf>
    <xf numFmtId="0" fontId="8" fillId="3" borderId="77" xfId="12" applyFont="1" applyFill="1" applyBorder="1" applyAlignment="1">
      <alignment horizontal="center" vertical="center" wrapText="1"/>
    </xf>
    <xf numFmtId="0" fontId="8" fillId="3" borderId="3" xfId="12" applyFont="1" applyFill="1" applyBorder="1" applyAlignment="1">
      <alignment horizontal="center" vertical="center" wrapText="1"/>
    </xf>
    <xf numFmtId="0" fontId="8" fillId="3" borderId="33" xfId="12" applyFont="1" applyFill="1" applyBorder="1" applyAlignment="1">
      <alignment horizontal="center" vertical="center" wrapText="1"/>
    </xf>
    <xf numFmtId="0" fontId="8" fillId="3" borderId="44" xfId="12" applyFont="1" applyFill="1" applyBorder="1" applyAlignment="1">
      <alignment horizontal="center" vertical="center" wrapText="1"/>
    </xf>
    <xf numFmtId="0" fontId="8" fillId="3" borderId="125" xfId="12" applyFont="1" applyFill="1" applyBorder="1" applyAlignment="1">
      <alignment horizontal="center" vertical="center"/>
    </xf>
    <xf numFmtId="0" fontId="8" fillId="3" borderId="126" xfId="12" applyFont="1" applyFill="1" applyBorder="1" applyAlignment="1">
      <alignment horizontal="center" vertical="center"/>
    </xf>
    <xf numFmtId="0" fontId="8" fillId="3" borderId="31" xfId="12" applyFont="1" applyFill="1" applyBorder="1" applyAlignment="1">
      <alignment horizontal="center" vertical="center" wrapText="1"/>
    </xf>
    <xf numFmtId="0" fontId="5" fillId="0" borderId="44" xfId="12" applyFont="1" applyBorder="1" applyAlignment="1">
      <alignment horizontal="center" vertical="center" wrapText="1"/>
    </xf>
    <xf numFmtId="0" fontId="8" fillId="3" borderId="46" xfId="12" applyFont="1" applyFill="1" applyBorder="1" applyAlignment="1">
      <alignment horizontal="center" vertical="center"/>
    </xf>
    <xf numFmtId="0" fontId="8" fillId="3" borderId="127" xfId="12" applyFont="1" applyFill="1" applyBorder="1" applyAlignment="1">
      <alignment horizontal="center" vertical="center"/>
    </xf>
    <xf numFmtId="0" fontId="17" fillId="2" borderId="20" xfId="14" applyFont="1" applyFill="1" applyBorder="1" applyAlignment="1">
      <alignment horizontal="right"/>
    </xf>
    <xf numFmtId="17" fontId="8" fillId="3" borderId="36" xfId="11" applyNumberFormat="1" applyFont="1" applyFill="1" applyBorder="1" applyAlignment="1">
      <alignment horizontal="center" vertical="center" wrapText="1"/>
    </xf>
    <xf numFmtId="17" fontId="8" fillId="3" borderId="6" xfId="11" applyNumberFormat="1" applyFont="1" applyFill="1" applyBorder="1" applyAlignment="1">
      <alignment horizontal="center" vertical="center" wrapText="1"/>
    </xf>
    <xf numFmtId="17" fontId="8" fillId="3" borderId="118" xfId="11" applyNumberFormat="1" applyFont="1" applyFill="1" applyBorder="1" applyAlignment="1">
      <alignment horizontal="center" vertical="center" wrapText="1"/>
    </xf>
    <xf numFmtId="17" fontId="8" fillId="3" borderId="119" xfId="11" applyNumberFormat="1" applyFont="1" applyFill="1" applyBorder="1" applyAlignment="1">
      <alignment horizontal="center" vertical="center" wrapText="1"/>
    </xf>
    <xf numFmtId="17" fontId="26" fillId="3" borderId="79" xfId="11" applyNumberFormat="1" applyFont="1" applyFill="1" applyBorder="1" applyAlignment="1">
      <alignment horizontal="center" vertical="center"/>
    </xf>
    <xf numFmtId="17" fontId="26" fillId="3" borderId="20" xfId="11" applyNumberFormat="1" applyFont="1" applyFill="1" applyBorder="1" applyAlignment="1">
      <alignment horizontal="center" vertical="center"/>
    </xf>
    <xf numFmtId="17" fontId="26" fillId="3" borderId="26" xfId="11" applyNumberFormat="1" applyFont="1" applyFill="1" applyBorder="1" applyAlignment="1">
      <alignment horizontal="center" vertical="center"/>
    </xf>
    <xf numFmtId="17" fontId="26" fillId="3" borderId="27" xfId="11" applyNumberFormat="1" applyFont="1" applyFill="1" applyBorder="1" applyAlignment="1">
      <alignment horizontal="center" vertical="center"/>
    </xf>
    <xf numFmtId="17" fontId="26" fillId="3" borderId="36" xfId="11" applyNumberFormat="1" applyFont="1" applyFill="1" applyBorder="1" applyAlignment="1">
      <alignment horizontal="center" vertical="center"/>
    </xf>
    <xf numFmtId="17" fontId="26" fillId="3" borderId="6" xfId="11" applyNumberFormat="1" applyFont="1" applyFill="1" applyBorder="1" applyAlignment="1">
      <alignment horizontal="center" vertical="center"/>
    </xf>
    <xf numFmtId="17" fontId="8" fillId="3" borderId="36" xfId="11" applyNumberFormat="1" applyFont="1" applyFill="1" applyBorder="1" applyAlignment="1">
      <alignment horizontal="center" vertical="center"/>
    </xf>
    <xf numFmtId="17" fontId="8" fillId="3" borderId="6" xfId="11" applyNumberFormat="1" applyFont="1" applyFill="1" applyBorder="1" applyAlignment="1">
      <alignment horizontal="center" vertical="center"/>
    </xf>
    <xf numFmtId="0" fontId="17" fillId="0" borderId="0" xfId="12" applyFont="1" applyAlignment="1">
      <alignment horizontal="left" vertical="top" wrapText="1"/>
    </xf>
    <xf numFmtId="0" fontId="4" fillId="0" borderId="0" xfId="12" applyFont="1" applyAlignment="1">
      <alignment horizontal="left" vertical="center" wrapText="1"/>
    </xf>
    <xf numFmtId="0" fontId="8" fillId="3" borderId="76" xfId="12" applyFont="1" applyFill="1" applyBorder="1" applyAlignment="1">
      <alignment horizontal="center" vertical="center"/>
    </xf>
    <xf numFmtId="0" fontId="8" fillId="3" borderId="75" xfId="12" applyFont="1" applyFill="1" applyBorder="1" applyAlignment="1">
      <alignment horizontal="center" vertical="center"/>
    </xf>
    <xf numFmtId="0" fontId="8" fillId="3" borderId="51" xfId="12" applyFont="1" applyFill="1" applyBorder="1" applyAlignment="1">
      <alignment horizontal="center" vertical="center"/>
    </xf>
    <xf numFmtId="0" fontId="17" fillId="0" borderId="0" xfId="12" applyFont="1" applyAlignment="1">
      <alignment horizontal="left" vertical="center" wrapText="1"/>
    </xf>
    <xf numFmtId="0" fontId="17" fillId="0" borderId="0" xfId="12" applyFont="1" applyAlignment="1">
      <alignment horizontal="left" vertical="top"/>
    </xf>
    <xf numFmtId="0" fontId="17" fillId="0" borderId="0" xfId="12" applyFont="1" applyAlignment="1">
      <alignment vertical="top"/>
    </xf>
    <xf numFmtId="0" fontId="25" fillId="0" borderId="0" xfId="72" applyFont="1" applyBorder="1" applyAlignment="1">
      <alignment horizontal="left" wrapText="1"/>
    </xf>
    <xf numFmtId="0" fontId="17" fillId="2" borderId="0" xfId="14" applyFont="1" applyFill="1" applyAlignment="1">
      <alignment horizontal="left" vertical="top" wrapText="1"/>
    </xf>
    <xf numFmtId="0" fontId="17" fillId="2" borderId="0" xfId="14" applyFont="1" applyFill="1" applyAlignment="1">
      <alignment horizontal="left" wrapText="1"/>
    </xf>
    <xf numFmtId="0" fontId="17" fillId="2" borderId="7" xfId="14" applyFont="1" applyFill="1" applyBorder="1"/>
    <xf numFmtId="0" fontId="17" fillId="2" borderId="0" xfId="14" applyFont="1" applyFill="1" applyAlignment="1"/>
    <xf numFmtId="0" fontId="69" fillId="2" borderId="0" xfId="64" applyFont="1" applyFill="1" applyAlignment="1"/>
    <xf numFmtId="0" fontId="17" fillId="2" borderId="0" xfId="24" applyFont="1" applyFill="1" applyAlignment="1">
      <alignment horizontal="left" vertical="center" wrapText="1"/>
    </xf>
    <xf numFmtId="0" fontId="4" fillId="2" borderId="0" xfId="14" applyFont="1" applyFill="1" applyAlignment="1">
      <alignment horizontal="left" wrapText="1"/>
    </xf>
    <xf numFmtId="0" fontId="17" fillId="0" borderId="0" xfId="0" applyFont="1" applyAlignment="1">
      <alignment horizontal="left" wrapText="1"/>
    </xf>
    <xf numFmtId="0" fontId="36" fillId="2" borderId="0" xfId="28" applyFont="1" applyFill="1" applyAlignment="1">
      <alignment horizontal="left" vertical="top" wrapText="1"/>
    </xf>
    <xf numFmtId="0" fontId="17" fillId="0" borderId="0" xfId="24" applyFont="1" applyAlignment="1">
      <alignment horizontal="left" wrapText="1"/>
    </xf>
    <xf numFmtId="0" fontId="17" fillId="2" borderId="0" xfId="24" applyFont="1" applyFill="1" applyAlignment="1">
      <alignment horizontal="left" vertical="top" wrapText="1"/>
    </xf>
    <xf numFmtId="0" fontId="4" fillId="0" borderId="0" xfId="14" applyFont="1" applyFill="1" applyAlignment="1">
      <alignment horizontal="left" vertical="top" wrapText="1"/>
    </xf>
    <xf numFmtId="49" fontId="4" fillId="0" borderId="0" xfId="14" applyNumberFormat="1" applyFont="1" applyFill="1" applyAlignment="1">
      <alignment horizontal="left" wrapText="1"/>
    </xf>
    <xf numFmtId="0" fontId="17" fillId="2" borderId="0" xfId="74" applyFont="1" applyFill="1" applyAlignment="1">
      <alignment horizontal="left" vertical="center" wrapText="1"/>
    </xf>
    <xf numFmtId="0" fontId="17" fillId="2" borderId="0" xfId="74" applyFont="1" applyFill="1" applyAlignment="1">
      <alignment horizontal="left" wrapText="1"/>
    </xf>
    <xf numFmtId="185" fontId="8" fillId="6" borderId="10" xfId="74" applyNumberFormat="1" applyFont="1" applyFill="1" applyBorder="1" applyAlignment="1">
      <alignment horizontal="center" vertical="center"/>
    </xf>
    <xf numFmtId="185" fontId="8" fillId="6" borderId="29" xfId="74" applyNumberFormat="1" applyFont="1" applyFill="1" applyBorder="1" applyAlignment="1">
      <alignment horizontal="center" vertical="center"/>
    </xf>
    <xf numFmtId="0" fontId="30" fillId="0" borderId="159" xfId="74" applyFont="1" applyBorder="1" applyAlignment="1">
      <alignment horizontal="center"/>
    </xf>
    <xf numFmtId="0" fontId="30" fillId="0" borderId="160" xfId="74" applyFont="1" applyBorder="1" applyAlignment="1">
      <alignment horizontal="center"/>
    </xf>
    <xf numFmtId="0" fontId="30" fillId="0" borderId="161" xfId="74" applyFont="1" applyBorder="1" applyAlignment="1">
      <alignment horizontal="center"/>
    </xf>
    <xf numFmtId="0" fontId="30" fillId="13" borderId="160" xfId="74" applyFont="1" applyFill="1" applyBorder="1" applyAlignment="1">
      <alignment horizontal="center"/>
    </xf>
    <xf numFmtId="0" fontId="30" fillId="13" borderId="161" xfId="74" applyFont="1" applyFill="1" applyBorder="1" applyAlignment="1">
      <alignment horizontal="center"/>
    </xf>
    <xf numFmtId="0" fontId="17" fillId="0" borderId="0" xfId="74" applyFont="1" applyAlignment="1">
      <alignment horizontal="left" vertical="top" wrapText="1"/>
    </xf>
    <xf numFmtId="0" fontId="8" fillId="6" borderId="46" xfId="74" applyFont="1" applyFill="1" applyBorder="1" applyAlignment="1">
      <alignment horizontal="center" vertical="center"/>
    </xf>
    <xf numFmtId="0" fontId="8" fillId="6" borderId="47" xfId="74" applyFont="1" applyFill="1" applyBorder="1" applyAlignment="1">
      <alignment horizontal="center" vertical="center"/>
    </xf>
    <xf numFmtId="0" fontId="8" fillId="6" borderId="158" xfId="74" applyFont="1" applyFill="1" applyBorder="1" applyAlignment="1">
      <alignment horizontal="center" vertical="center"/>
    </xf>
    <xf numFmtId="0" fontId="8" fillId="6" borderId="154" xfId="74" applyFont="1" applyFill="1" applyBorder="1" applyAlignment="1">
      <alignment horizontal="center" vertical="center" wrapText="1"/>
    </xf>
    <xf numFmtId="0" fontId="8" fillId="6" borderId="31" xfId="74" applyFont="1" applyFill="1" applyBorder="1" applyAlignment="1">
      <alignment horizontal="center" vertical="center" wrapText="1"/>
    </xf>
    <xf numFmtId="0" fontId="8" fillId="6" borderId="155" xfId="74" applyFont="1" applyFill="1" applyBorder="1" applyAlignment="1">
      <alignment horizontal="center" vertical="center" wrapText="1"/>
    </xf>
    <xf numFmtId="0" fontId="8" fillId="6" borderId="44" xfId="74" applyFont="1" applyFill="1" applyBorder="1" applyAlignment="1">
      <alignment horizontal="center" vertical="center" wrapText="1"/>
    </xf>
    <xf numFmtId="0" fontId="8" fillId="6" borderId="32" xfId="74" applyFont="1" applyFill="1" applyBorder="1" applyAlignment="1">
      <alignment horizontal="center" vertical="center" wrapText="1"/>
    </xf>
    <xf numFmtId="0" fontId="8" fillId="6" borderId="45" xfId="74" applyFont="1" applyFill="1" applyBorder="1" applyAlignment="1">
      <alignment horizontal="center" vertical="center" wrapText="1"/>
    </xf>
    <xf numFmtId="0" fontId="8" fillId="6" borderId="25" xfId="74" applyFont="1" applyFill="1" applyBorder="1" applyAlignment="1">
      <alignment horizontal="center" vertical="center" wrapText="1"/>
    </xf>
    <xf numFmtId="0" fontId="8" fillId="6" borderId="33" xfId="74" applyFont="1" applyFill="1" applyBorder="1" applyAlignment="1">
      <alignment horizontal="center" vertical="center" wrapText="1"/>
    </xf>
    <xf numFmtId="0" fontId="8" fillId="6" borderId="156" xfId="74" applyFont="1" applyFill="1" applyBorder="1" applyAlignment="1">
      <alignment horizontal="center" vertical="center"/>
    </xf>
    <xf numFmtId="0" fontId="8" fillId="6" borderId="29" xfId="74" applyFont="1" applyFill="1" applyBorder="1" applyAlignment="1">
      <alignment horizontal="center" vertical="center"/>
    </xf>
    <xf numFmtId="185" fontId="8" fillId="6" borderId="30" xfId="74" applyNumberFormat="1" applyFont="1" applyFill="1" applyBorder="1" applyAlignment="1">
      <alignment horizontal="center" vertical="center"/>
    </xf>
    <xf numFmtId="0" fontId="8" fillId="6" borderId="61" xfId="31" applyFont="1" applyFill="1" applyBorder="1" applyAlignment="1">
      <alignment horizontal="center" vertical="center"/>
    </xf>
    <xf numFmtId="0" fontId="8" fillId="6" borderId="18" xfId="31" applyFont="1" applyFill="1" applyBorder="1" applyAlignment="1">
      <alignment horizontal="center" vertical="center"/>
    </xf>
    <xf numFmtId="0" fontId="8" fillId="6" borderId="19" xfId="31" applyFont="1" applyFill="1" applyBorder="1" applyAlignment="1">
      <alignment horizontal="center" vertical="center"/>
    </xf>
    <xf numFmtId="0" fontId="8" fillId="6" borderId="36" xfId="31" applyFont="1" applyFill="1" applyBorder="1" applyAlignment="1">
      <alignment horizontal="center" vertical="center"/>
    </xf>
    <xf numFmtId="0" fontId="8" fillId="6" borderId="6" xfId="31" applyFont="1" applyFill="1" applyBorder="1" applyAlignment="1">
      <alignment horizontal="center" vertical="center"/>
    </xf>
    <xf numFmtId="0" fontId="8" fillId="6" borderId="38" xfId="31" applyFont="1" applyFill="1" applyBorder="1" applyAlignment="1">
      <alignment horizontal="center" vertical="center"/>
    </xf>
    <xf numFmtId="0" fontId="8" fillId="6" borderId="43" xfId="31" applyFont="1" applyFill="1" applyBorder="1" applyAlignment="1">
      <alignment horizontal="center" vertical="center"/>
    </xf>
    <xf numFmtId="0" fontId="4" fillId="0" borderId="0" xfId="32" quotePrefix="1" applyFont="1" applyFill="1" applyBorder="1" applyAlignment="1">
      <alignment horizontal="left" vertical="center" wrapText="1"/>
    </xf>
    <xf numFmtId="0" fontId="4" fillId="3" borderId="168" xfId="32" applyFont="1" applyFill="1" applyBorder="1" applyAlignment="1">
      <alignment horizontal="left" vertical="center"/>
    </xf>
    <xf numFmtId="0" fontId="4" fillId="3" borderId="172" xfId="32" applyFont="1" applyFill="1" applyBorder="1" applyAlignment="1">
      <alignment horizontal="left" vertical="center"/>
    </xf>
    <xf numFmtId="175" fontId="26" fillId="3" borderId="170" xfId="32" applyNumberFormat="1" applyFont="1" applyFill="1" applyBorder="1" applyAlignment="1">
      <alignment horizontal="center" vertical="center"/>
    </xf>
    <xf numFmtId="175" fontId="26" fillId="3" borderId="174" xfId="32" applyNumberFormat="1" applyFont="1" applyFill="1" applyBorder="1" applyAlignment="1">
      <alignment horizontal="center" vertical="center"/>
    </xf>
    <xf numFmtId="175" fontId="8" fillId="3" borderId="171" xfId="32" applyNumberFormat="1" applyFont="1" applyFill="1" applyBorder="1" applyAlignment="1">
      <alignment horizontal="center" vertical="center"/>
    </xf>
    <xf numFmtId="175" fontId="8" fillId="3" borderId="175" xfId="32" applyNumberFormat="1" applyFont="1" applyFill="1" applyBorder="1" applyAlignment="1">
      <alignment horizontal="center" vertical="center"/>
    </xf>
    <xf numFmtId="175" fontId="8" fillId="3" borderId="171" xfId="32" quotePrefix="1" applyNumberFormat="1" applyFont="1" applyFill="1" applyBorder="1" applyAlignment="1">
      <alignment horizontal="center" vertical="center"/>
    </xf>
    <xf numFmtId="175" fontId="8" fillId="3" borderId="171" xfId="32" quotePrefix="1" applyNumberFormat="1" applyFont="1" applyFill="1" applyBorder="1" applyAlignment="1">
      <alignment horizontal="right" vertical="center"/>
    </xf>
    <xf numFmtId="175" fontId="8" fillId="3" borderId="175" xfId="32" applyNumberFormat="1" applyFont="1" applyFill="1" applyBorder="1" applyAlignment="1">
      <alignment horizontal="right" vertical="center"/>
    </xf>
    <xf numFmtId="0" fontId="17" fillId="2" borderId="0" xfId="32" applyFont="1" applyFill="1" applyBorder="1" applyAlignment="1">
      <alignment horizontal="left" vertical="justify"/>
    </xf>
    <xf numFmtId="0" fontId="17" fillId="2" borderId="0" xfId="32" quotePrefix="1" applyFont="1" applyFill="1" applyBorder="1" applyAlignment="1">
      <alignment horizontal="left" vertical="justify"/>
    </xf>
    <xf numFmtId="0" fontId="8" fillId="6" borderId="61" xfId="14" applyFont="1" applyFill="1" applyBorder="1" applyAlignment="1">
      <alignment horizontal="center" vertical="center" wrapText="1"/>
    </xf>
    <xf numFmtId="0" fontId="8" fillId="6" borderId="18" xfId="14" applyFont="1" applyFill="1" applyBorder="1" applyAlignment="1">
      <alignment horizontal="center" vertical="center" wrapText="1"/>
    </xf>
    <xf numFmtId="4" fontId="8" fillId="6" borderId="7" xfId="14" applyNumberFormat="1" applyFont="1" applyFill="1" applyBorder="1" applyAlignment="1">
      <alignment horizontal="center" vertical="center"/>
    </xf>
    <xf numFmtId="0" fontId="8" fillId="6" borderId="7" xfId="14" applyFont="1" applyFill="1" applyBorder="1" applyAlignment="1">
      <alignment horizontal="center" vertical="center"/>
    </xf>
    <xf numFmtId="0" fontId="8" fillId="6" borderId="26" xfId="14" applyFont="1" applyFill="1" applyBorder="1" applyAlignment="1">
      <alignment horizontal="center" vertical="center" wrapText="1"/>
    </xf>
    <xf numFmtId="0" fontId="8" fillId="6" borderId="24" xfId="14" applyFont="1" applyFill="1" applyBorder="1" applyAlignment="1">
      <alignment horizontal="center" vertical="center" wrapText="1"/>
    </xf>
    <xf numFmtId="0" fontId="8" fillId="3" borderId="78" xfId="14" applyFont="1" applyFill="1" applyBorder="1" applyAlignment="1">
      <alignment horizontal="center" vertical="center"/>
    </xf>
    <xf numFmtId="0" fontId="8" fillId="3" borderId="28" xfId="14" applyFont="1" applyFill="1" applyBorder="1" applyAlignment="1">
      <alignment horizontal="center" vertical="center"/>
    </xf>
    <xf numFmtId="0" fontId="17" fillId="2" borderId="0" xfId="14" applyFont="1" applyFill="1" applyBorder="1" applyAlignment="1">
      <alignment horizontal="left" wrapText="1"/>
    </xf>
    <xf numFmtId="3" fontId="17" fillId="2" borderId="0" xfId="0" applyNumberFormat="1" applyFont="1" applyFill="1" applyAlignment="1">
      <alignment horizontal="left" vertical="center" wrapText="1"/>
    </xf>
    <xf numFmtId="3" fontId="8" fillId="3" borderId="22" xfId="0" applyNumberFormat="1" applyFont="1" applyFill="1" applyBorder="1" applyAlignment="1">
      <alignment horizontal="center" vertical="center"/>
    </xf>
    <xf numFmtId="3" fontId="8" fillId="3" borderId="24" xfId="0" applyNumberFormat="1" applyFont="1" applyFill="1" applyBorder="1" applyAlignment="1">
      <alignment horizontal="center" vertical="center"/>
    </xf>
    <xf numFmtId="0" fontId="8" fillId="3" borderId="23" xfId="0" applyFont="1" applyFill="1" applyBorder="1" applyAlignment="1">
      <alignment horizontal="center" vertical="center"/>
    </xf>
    <xf numFmtId="3" fontId="8" fillId="3" borderId="122"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7" xfId="0" applyFont="1" applyFill="1" applyBorder="1" applyAlignment="1">
      <alignment horizontal="center" vertical="center" wrapText="1"/>
    </xf>
    <xf numFmtId="3" fontId="8" fillId="3" borderId="78" xfId="0" applyNumberFormat="1" applyFont="1" applyFill="1" applyBorder="1" applyAlignment="1">
      <alignment horizontal="center" vertical="top"/>
    </xf>
    <xf numFmtId="3" fontId="8" fillId="3" borderId="35" xfId="0" applyNumberFormat="1" applyFont="1" applyFill="1" applyBorder="1" applyAlignment="1">
      <alignment horizontal="center" vertical="top"/>
    </xf>
    <xf numFmtId="3" fontId="8" fillId="3" borderId="98" xfId="0" applyNumberFormat="1" applyFont="1" applyFill="1" applyBorder="1" applyAlignment="1">
      <alignment horizontal="center" vertical="top"/>
    </xf>
    <xf numFmtId="3" fontId="8" fillId="3" borderId="123" xfId="0" applyNumberFormat="1" applyFont="1" applyFill="1" applyBorder="1" applyAlignment="1">
      <alignment horizontal="center" vertical="center" wrapText="1"/>
    </xf>
    <xf numFmtId="3" fontId="8" fillId="3" borderId="41" xfId="0" applyNumberFormat="1" applyFont="1" applyFill="1" applyBorder="1" applyAlignment="1">
      <alignment horizontal="center" vertical="center" wrapText="1"/>
    </xf>
    <xf numFmtId="3" fontId="8" fillId="3" borderId="40" xfId="0" applyNumberFormat="1" applyFont="1" applyFill="1" applyBorder="1" applyAlignment="1">
      <alignment horizontal="center" vertical="center" wrapText="1"/>
    </xf>
    <xf numFmtId="3" fontId="8" fillId="3" borderId="36" xfId="0" applyNumberFormat="1" applyFont="1" applyFill="1" applyBorder="1" applyAlignment="1">
      <alignment horizontal="center" vertical="top" wrapText="1"/>
    </xf>
    <xf numFmtId="0" fontId="8" fillId="3" borderId="37" xfId="0" applyFont="1" applyFill="1" applyBorder="1" applyAlignment="1">
      <alignment horizontal="center" vertical="top" wrapText="1"/>
    </xf>
    <xf numFmtId="0" fontId="8" fillId="6" borderId="32" xfId="40" applyFont="1" applyFill="1" applyBorder="1" applyAlignment="1">
      <alignment horizontal="center" vertical="center"/>
    </xf>
    <xf numFmtId="0" fontId="8" fillId="6" borderId="31" xfId="40" applyFont="1" applyFill="1" applyBorder="1" applyAlignment="1">
      <alignment horizontal="center" vertical="center"/>
    </xf>
    <xf numFmtId="0" fontId="8" fillId="6" borderId="30" xfId="40" applyFont="1" applyFill="1" applyBorder="1" applyAlignment="1">
      <alignment horizontal="center" vertical="center"/>
    </xf>
    <xf numFmtId="0" fontId="8" fillId="6" borderId="10" xfId="40" applyFont="1" applyFill="1" applyBorder="1" applyAlignment="1">
      <alignment horizontal="center" vertical="center"/>
    </xf>
    <xf numFmtId="0" fontId="8" fillId="6" borderId="29" xfId="40" applyFont="1" applyFill="1" applyBorder="1" applyAlignment="1">
      <alignment horizontal="center" vertical="center"/>
    </xf>
    <xf numFmtId="0" fontId="5" fillId="6" borderId="32" xfId="40" applyFont="1" applyFill="1" applyBorder="1" applyAlignment="1">
      <alignment horizontal="center" vertical="center" wrapText="1"/>
    </xf>
    <xf numFmtId="0" fontId="5" fillId="6" borderId="31" xfId="40" applyFont="1" applyFill="1" applyBorder="1" applyAlignment="1">
      <alignment horizontal="center" vertical="center" wrapText="1"/>
    </xf>
    <xf numFmtId="0" fontId="4" fillId="6" borderId="32" xfId="40" applyFont="1" applyFill="1" applyBorder="1" applyAlignment="1">
      <alignment horizontal="center" vertical="center"/>
    </xf>
    <xf numFmtId="0" fontId="4" fillId="6" borderId="79" xfId="40" applyFont="1" applyFill="1" applyBorder="1" applyAlignment="1">
      <alignment horizontal="center" vertical="center"/>
    </xf>
    <xf numFmtId="0" fontId="8" fillId="6" borderId="30" xfId="40" applyFont="1" applyFill="1" applyBorder="1" applyAlignment="1">
      <alignment horizontal="center" vertical="center" wrapText="1"/>
    </xf>
    <xf numFmtId="0" fontId="8" fillId="6" borderId="10" xfId="40" applyFont="1" applyFill="1" applyBorder="1" applyAlignment="1">
      <alignment horizontal="center" vertical="center" wrapText="1"/>
    </xf>
    <xf numFmtId="0" fontId="8" fillId="6" borderId="29" xfId="40" applyFont="1" applyFill="1" applyBorder="1" applyAlignment="1">
      <alignment horizontal="center" vertical="center" wrapText="1"/>
    </xf>
    <xf numFmtId="0" fontId="5" fillId="6" borderId="30" xfId="40" applyFont="1" applyFill="1" applyBorder="1" applyAlignment="1">
      <alignment horizontal="center" vertical="center"/>
    </xf>
    <xf numFmtId="0" fontId="5" fillId="6" borderId="29" xfId="40" applyFont="1" applyFill="1" applyBorder="1" applyAlignment="1">
      <alignment horizontal="center" vertical="center"/>
    </xf>
    <xf numFmtId="0" fontId="8" fillId="6" borderId="30" xfId="42" applyFont="1" applyFill="1" applyBorder="1" applyAlignment="1">
      <alignment horizontal="center" vertical="center"/>
    </xf>
    <xf numFmtId="0" fontId="8" fillId="6" borderId="10" xfId="42" applyFont="1" applyFill="1" applyBorder="1" applyAlignment="1">
      <alignment horizontal="center" vertical="center"/>
    </xf>
    <xf numFmtId="0" fontId="8" fillId="6" borderId="29" xfId="42" applyFont="1" applyFill="1" applyBorder="1" applyAlignment="1">
      <alignment horizontal="center" vertical="center"/>
    </xf>
    <xf numFmtId="0" fontId="8" fillId="6" borderId="30" xfId="42" applyFont="1" applyFill="1" applyBorder="1" applyAlignment="1">
      <alignment horizontal="center" vertical="center" wrapText="1"/>
    </xf>
    <xf numFmtId="0" fontId="8" fillId="6" borderId="29" xfId="42" applyFont="1" applyFill="1" applyBorder="1" applyAlignment="1">
      <alignment horizontal="center" vertical="center" wrapText="1"/>
    </xf>
    <xf numFmtId="0" fontId="4" fillId="2" borderId="0" xfId="40" applyFont="1" applyFill="1" applyAlignment="1">
      <alignment horizontal="left" vertical="center"/>
    </xf>
    <xf numFmtId="0" fontId="8" fillId="6" borderId="10" xfId="42" applyFont="1" applyFill="1" applyBorder="1" applyAlignment="1">
      <alignment horizontal="center" vertical="center" wrapText="1"/>
    </xf>
    <xf numFmtId="15" fontId="8" fillId="6" borderId="39" xfId="80" applyNumberFormat="1" applyFont="1" applyFill="1" applyBorder="1" applyAlignment="1">
      <alignment horizontal="center" vertical="center"/>
    </xf>
    <xf numFmtId="0" fontId="8" fillId="6" borderId="32" xfId="42" applyFont="1" applyFill="1" applyBorder="1" applyAlignment="1">
      <alignment horizontal="center" vertical="center"/>
    </xf>
    <xf numFmtId="0" fontId="8" fillId="6" borderId="31" xfId="42" applyFont="1" applyFill="1" applyBorder="1" applyAlignment="1">
      <alignment horizontal="center" vertical="center"/>
    </xf>
    <xf numFmtId="0" fontId="8" fillId="6" borderId="45" xfId="42" applyFont="1" applyFill="1" applyBorder="1" applyAlignment="1">
      <alignment horizontal="center" vertical="center"/>
    </xf>
    <xf numFmtId="0" fontId="8" fillId="6" borderId="44" xfId="42" applyFont="1" applyFill="1" applyBorder="1" applyAlignment="1">
      <alignment horizontal="center" vertical="center"/>
    </xf>
    <xf numFmtId="15" fontId="8" fillId="6" borderId="30" xfId="42" applyNumberFormat="1" applyFont="1" applyFill="1" applyBorder="1" applyAlignment="1">
      <alignment horizontal="center" vertical="center"/>
    </xf>
    <xf numFmtId="15" fontId="8" fillId="6" borderId="29" xfId="42" applyNumberFormat="1" applyFont="1" applyFill="1" applyBorder="1" applyAlignment="1">
      <alignment horizontal="center" vertical="center"/>
    </xf>
    <xf numFmtId="15" fontId="8" fillId="6" borderId="30" xfId="80" applyNumberFormat="1" applyFont="1" applyFill="1" applyBorder="1" applyAlignment="1">
      <alignment horizontal="center" vertical="center"/>
    </xf>
    <xf numFmtId="15" fontId="8" fillId="6" borderId="10" xfId="80" applyNumberFormat="1" applyFont="1" applyFill="1" applyBorder="1" applyAlignment="1">
      <alignment horizontal="center" vertical="center"/>
    </xf>
    <xf numFmtId="0" fontId="8" fillId="6" borderId="79" xfId="40" applyFont="1" applyFill="1" applyBorder="1" applyAlignment="1">
      <alignment horizontal="center" vertical="center"/>
    </xf>
    <xf numFmtId="0" fontId="17" fillId="2" borderId="0" xfId="40" applyFont="1" applyFill="1" applyAlignment="1">
      <alignment horizontal="left" vertical="center"/>
    </xf>
    <xf numFmtId="166" fontId="8" fillId="6" borderId="39" xfId="42" applyNumberFormat="1" applyFont="1" applyFill="1" applyBorder="1" applyAlignment="1">
      <alignment horizontal="center" vertical="center"/>
    </xf>
    <xf numFmtId="0" fontId="8" fillId="3" borderId="61" xfId="40" applyFont="1" applyFill="1" applyBorder="1" applyAlignment="1">
      <alignment horizontal="center" vertical="center"/>
    </xf>
    <xf numFmtId="0" fontId="8" fillId="3" borderId="19" xfId="40" applyFont="1" applyFill="1" applyBorder="1" applyAlignment="1">
      <alignment horizontal="center" vertical="center"/>
    </xf>
    <xf numFmtId="0" fontId="8" fillId="23" borderId="149" xfId="47" applyFont="1" applyFill="1" applyBorder="1" applyAlignment="1">
      <alignment horizontal="center" vertical="center" wrapText="1"/>
    </xf>
    <xf numFmtId="0" fontId="8" fillId="23" borderId="48" xfId="47" applyFont="1" applyFill="1" applyBorder="1" applyAlignment="1">
      <alignment horizontal="center" vertical="center" wrapText="1"/>
    </xf>
    <xf numFmtId="0" fontId="8" fillId="23" borderId="49" xfId="47" applyFont="1" applyFill="1" applyBorder="1" applyAlignment="1">
      <alignment horizontal="center" vertical="center" wrapText="1"/>
    </xf>
    <xf numFmtId="0" fontId="8" fillId="23" borderId="122" xfId="47" applyFont="1" applyFill="1" applyBorder="1" applyAlignment="1">
      <alignment horizontal="center" vertical="center" wrapText="1"/>
    </xf>
    <xf numFmtId="0" fontId="8" fillId="23" borderId="4" xfId="47" applyFont="1" applyFill="1" applyBorder="1" applyAlignment="1">
      <alignment horizontal="center" vertical="center" wrapText="1"/>
    </xf>
    <xf numFmtId="0" fontId="8" fillId="23" borderId="37" xfId="47" applyFont="1" applyFill="1" applyBorder="1" applyAlignment="1">
      <alignment horizontal="center" vertical="center" wrapText="1"/>
    </xf>
    <xf numFmtId="0" fontId="8" fillId="23" borderId="123" xfId="47" applyFont="1" applyFill="1" applyBorder="1" applyAlignment="1">
      <alignment horizontal="center" vertical="center" wrapText="1"/>
    </xf>
    <xf numFmtId="0" fontId="8" fillId="23" borderId="41" xfId="47" applyFont="1" applyFill="1" applyBorder="1" applyAlignment="1">
      <alignment horizontal="center" vertical="center" wrapText="1"/>
    </xf>
    <xf numFmtId="0" fontId="8" fillId="23" borderId="40" xfId="47" applyFont="1" applyFill="1" applyBorder="1" applyAlignment="1">
      <alignment horizontal="center" vertical="center" wrapText="1"/>
    </xf>
    <xf numFmtId="0" fontId="17" fillId="2" borderId="0" xfId="47" applyFont="1" applyFill="1" applyAlignment="1">
      <alignment horizontal="left" vertical="center"/>
    </xf>
    <xf numFmtId="0" fontId="8" fillId="6" borderId="148" xfId="14" applyFont="1" applyFill="1" applyBorder="1" applyAlignment="1">
      <alignment horizontal="center" vertical="center"/>
    </xf>
    <xf numFmtId="0" fontId="8" fillId="6" borderId="57" xfId="14" applyFont="1" applyFill="1" applyBorder="1" applyAlignment="1">
      <alignment horizontal="center" vertical="center"/>
    </xf>
    <xf numFmtId="0" fontId="8" fillId="6" borderId="58" xfId="14" applyFont="1" applyFill="1" applyBorder="1" applyAlignment="1">
      <alignment horizontal="center" vertical="center"/>
    </xf>
    <xf numFmtId="0" fontId="8" fillId="6" borderId="248" xfId="14" applyFont="1" applyFill="1" applyBorder="1" applyAlignment="1">
      <alignment horizontal="center" vertical="center"/>
    </xf>
    <xf numFmtId="0" fontId="8" fillId="6" borderId="77" xfId="14" applyFont="1" applyFill="1" applyBorder="1" applyAlignment="1">
      <alignment horizontal="center" vertical="center"/>
    </xf>
    <xf numFmtId="0" fontId="8" fillId="6" borderId="155" xfId="14" applyFont="1" applyFill="1" applyBorder="1" applyAlignment="1">
      <alignment horizontal="center" vertical="center"/>
    </xf>
    <xf numFmtId="0" fontId="8" fillId="6" borderId="12" xfId="14" applyFont="1" applyFill="1" applyBorder="1" applyAlignment="1">
      <alignment horizontal="center" vertical="center"/>
    </xf>
    <xf numFmtId="0" fontId="8" fillId="6" borderId="44" xfId="14" applyFont="1" applyFill="1" applyBorder="1" applyAlignment="1">
      <alignment horizontal="center" vertical="center"/>
    </xf>
    <xf numFmtId="0" fontId="30" fillId="6" borderId="253" xfId="14" applyFont="1" applyFill="1" applyBorder="1" applyAlignment="1">
      <alignment horizontal="center" vertical="center"/>
    </xf>
    <xf numFmtId="0" fontId="30" fillId="6" borderId="254" xfId="14" applyFont="1" applyFill="1" applyBorder="1" applyAlignment="1">
      <alignment horizontal="center" vertical="center"/>
    </xf>
    <xf numFmtId="0" fontId="30" fillId="6" borderId="239" xfId="14" applyFont="1" applyFill="1" applyBorder="1" applyAlignment="1">
      <alignment horizontal="center" vertical="center"/>
    </xf>
    <xf numFmtId="0" fontId="30" fillId="6" borderId="240" xfId="14" applyFont="1" applyFill="1" applyBorder="1" applyAlignment="1">
      <alignment horizontal="center" vertical="center"/>
    </xf>
    <xf numFmtId="0" fontId="30" fillId="6" borderId="255" xfId="14" applyFont="1" applyFill="1" applyBorder="1" applyAlignment="1">
      <alignment horizontal="center" vertical="center"/>
    </xf>
    <xf numFmtId="0" fontId="8" fillId="3" borderId="265" xfId="14" applyFont="1" applyFill="1" applyBorder="1" applyAlignment="1">
      <alignment horizontal="center" vertical="center"/>
    </xf>
    <xf numFmtId="0" fontId="8" fillId="3" borderId="77" xfId="14" applyFont="1" applyFill="1" applyBorder="1" applyAlignment="1">
      <alignment horizontal="center" vertical="center"/>
    </xf>
    <xf numFmtId="0" fontId="8" fillId="3" borderId="8" xfId="14" applyFont="1" applyFill="1" applyBorder="1" applyAlignment="1">
      <alignment horizontal="center" vertical="center"/>
    </xf>
    <xf numFmtId="0" fontId="8" fillId="3" borderId="25" xfId="14" applyFont="1" applyFill="1" applyBorder="1" applyAlignment="1">
      <alignment horizontal="center" vertical="center"/>
    </xf>
    <xf numFmtId="0" fontId="8" fillId="3" borderId="14" xfId="14" applyFont="1" applyFill="1" applyBorder="1" applyAlignment="1">
      <alignment horizontal="center" vertical="center"/>
    </xf>
    <xf numFmtId="0" fontId="25" fillId="3" borderId="45" xfId="14" applyFont="1" applyFill="1" applyBorder="1" applyAlignment="1">
      <alignment horizontal="center" vertical="center"/>
    </xf>
    <xf numFmtId="0" fontId="25" fillId="3" borderId="15" xfId="14" applyFont="1" applyFill="1" applyBorder="1" applyAlignment="1">
      <alignment horizontal="center" vertical="center"/>
    </xf>
    <xf numFmtId="204" fontId="11" fillId="2" borderId="206" xfId="14" applyNumberFormat="1" applyFont="1" applyFill="1" applyBorder="1" applyAlignment="1">
      <alignment horizontal="center" vertical="center"/>
    </xf>
    <xf numFmtId="204" fontId="11" fillId="2" borderId="207" xfId="14" applyNumberFormat="1" applyFont="1" applyFill="1" applyBorder="1" applyAlignment="1">
      <alignment horizontal="center" vertical="center"/>
    </xf>
    <xf numFmtId="2" fontId="11" fillId="2" borderId="202" xfId="14" applyNumberFormat="1" applyFont="1" applyFill="1" applyBorder="1" applyAlignment="1">
      <alignment horizontal="center" vertical="center"/>
    </xf>
    <xf numFmtId="2" fontId="11" fillId="2" borderId="203" xfId="14" applyNumberFormat="1" applyFont="1" applyFill="1" applyBorder="1" applyAlignment="1">
      <alignment horizontal="center" vertical="center"/>
    </xf>
    <xf numFmtId="2" fontId="11" fillId="2" borderId="25" xfId="14" applyNumberFormat="1" applyFont="1" applyFill="1" applyBorder="1" applyAlignment="1">
      <alignment horizontal="center" vertical="center"/>
    </xf>
    <xf numFmtId="2" fontId="11" fillId="2" borderId="14" xfId="14" applyNumberFormat="1" applyFont="1" applyFill="1" applyBorder="1" applyAlignment="1">
      <alignment horizontal="center" vertical="center"/>
    </xf>
    <xf numFmtId="204" fontId="11" fillId="2" borderId="25" xfId="14" applyNumberFormat="1" applyFont="1" applyFill="1" applyBorder="1" applyAlignment="1">
      <alignment horizontal="center" vertical="center"/>
    </xf>
    <xf numFmtId="204" fontId="11" fillId="2" borderId="14" xfId="14" applyNumberFormat="1" applyFont="1" applyFill="1" applyBorder="1" applyAlignment="1">
      <alignment horizontal="center" vertical="center"/>
    </xf>
    <xf numFmtId="204" fontId="11" fillId="2" borderId="196" xfId="14" applyNumberFormat="1" applyFont="1" applyFill="1" applyBorder="1" applyAlignment="1">
      <alignment horizontal="center" vertical="center"/>
    </xf>
    <xf numFmtId="204" fontId="11" fillId="2" borderId="21" xfId="14" applyNumberFormat="1" applyFont="1" applyFill="1" applyBorder="1" applyAlignment="1">
      <alignment horizontal="center" vertical="center"/>
    </xf>
    <xf numFmtId="0" fontId="25" fillId="3" borderId="274" xfId="42" applyFont="1" applyFill="1" applyBorder="1" applyAlignment="1">
      <alignment horizontal="center" vertical="center" wrapText="1"/>
    </xf>
    <xf numFmtId="0" fontId="25" fillId="3" borderId="275" xfId="42" applyFont="1" applyFill="1" applyBorder="1" applyAlignment="1">
      <alignment horizontal="center" vertical="center" wrapText="1"/>
    </xf>
    <xf numFmtId="0" fontId="8" fillId="3" borderId="36" xfId="42" applyFont="1" applyFill="1" applyBorder="1" applyAlignment="1">
      <alignment horizontal="center" vertical="center"/>
    </xf>
    <xf numFmtId="0" fontId="8" fillId="3" borderId="4" xfId="42" applyFont="1" applyFill="1" applyBorder="1" applyAlignment="1">
      <alignment horizontal="center" vertical="center"/>
    </xf>
    <xf numFmtId="0" fontId="8" fillId="3" borderId="37" xfId="42" applyFont="1" applyFill="1" applyBorder="1" applyAlignment="1">
      <alignment horizontal="center" vertical="center"/>
    </xf>
    <xf numFmtId="0" fontId="8" fillId="3" borderId="124" xfId="42" applyFont="1" applyFill="1" applyBorder="1" applyAlignment="1">
      <alignment horizontal="center" vertical="center"/>
    </xf>
    <xf numFmtId="0" fontId="8" fillId="3" borderId="3" xfId="42" applyFont="1" applyFill="1" applyBorder="1" applyAlignment="1">
      <alignment horizontal="center" vertical="center"/>
    </xf>
    <xf numFmtId="0" fontId="8" fillId="3" borderId="99" xfId="42" applyFont="1" applyFill="1" applyBorder="1" applyAlignment="1">
      <alignment horizontal="center" vertical="center"/>
    </xf>
    <xf numFmtId="0" fontId="8" fillId="3" borderId="268" xfId="42" applyFont="1" applyFill="1" applyBorder="1" applyAlignment="1">
      <alignment horizontal="center" vertical="center"/>
    </xf>
    <xf numFmtId="0" fontId="8" fillId="3" borderId="269" xfId="42" applyFont="1" applyFill="1" applyBorder="1" applyAlignment="1">
      <alignment horizontal="center" vertical="center"/>
    </xf>
    <xf numFmtId="0" fontId="8" fillId="3" borderId="270" xfId="42" applyFont="1" applyFill="1" applyBorder="1" applyAlignment="1">
      <alignment horizontal="center" vertical="center"/>
    </xf>
    <xf numFmtId="0" fontId="8" fillId="3" borderId="271" xfId="42" applyFont="1" applyFill="1" applyBorder="1" applyAlignment="1">
      <alignment horizontal="center" vertical="center"/>
    </xf>
    <xf numFmtId="0" fontId="25" fillId="3" borderId="4" xfId="42" applyFont="1" applyFill="1" applyBorder="1" applyAlignment="1">
      <alignment horizontal="center" vertical="center" wrapText="1"/>
    </xf>
    <xf numFmtId="0" fontId="25" fillId="3" borderId="37" xfId="42" applyFont="1" applyFill="1" applyBorder="1" applyAlignment="1">
      <alignment horizontal="center" vertical="center" wrapText="1"/>
    </xf>
    <xf numFmtId="0" fontId="25" fillId="3" borderId="25" xfId="42" applyFont="1" applyFill="1" applyBorder="1" applyAlignment="1">
      <alignment horizontal="center" vertical="center" wrapText="1"/>
    </xf>
    <xf numFmtId="0" fontId="25" fillId="3" borderId="45" xfId="42" applyFont="1" applyFill="1" applyBorder="1" applyAlignment="1">
      <alignment horizontal="center" vertical="center" wrapText="1"/>
    </xf>
    <xf numFmtId="0" fontId="25" fillId="3" borderId="273" xfId="42" applyFont="1" applyFill="1" applyBorder="1" applyAlignment="1">
      <alignment horizontal="center" vertical="center" wrapText="1"/>
    </xf>
    <xf numFmtId="0" fontId="25" fillId="3" borderId="276" xfId="42" applyFont="1" applyFill="1" applyBorder="1" applyAlignment="1">
      <alignment horizontal="center" vertical="center" wrapText="1"/>
    </xf>
    <xf numFmtId="0" fontId="8" fillId="3" borderId="39" xfId="81" applyFont="1" applyFill="1" applyBorder="1" applyAlignment="1">
      <alignment horizontal="center" vertical="center"/>
    </xf>
    <xf numFmtId="0" fontId="8" fillId="3" borderId="282" xfId="81" applyFont="1" applyFill="1" applyBorder="1" applyAlignment="1">
      <alignment horizontal="center" vertical="center"/>
    </xf>
    <xf numFmtId="0" fontId="8" fillId="3" borderId="122" xfId="81" applyFont="1" applyFill="1" applyBorder="1" applyAlignment="1">
      <alignment horizontal="center" vertical="center"/>
    </xf>
    <xf numFmtId="0" fontId="8" fillId="3" borderId="37" xfId="81" applyFont="1" applyFill="1" applyBorder="1" applyAlignment="1">
      <alignment horizontal="center" vertical="center"/>
    </xf>
    <xf numFmtId="15" fontId="8" fillId="3" borderId="122" xfId="81" applyNumberFormat="1" applyFont="1" applyFill="1" applyBorder="1" applyAlignment="1">
      <alignment horizontal="center" vertical="center"/>
    </xf>
    <xf numFmtId="0" fontId="8" fillId="3" borderId="123" xfId="81" applyFont="1" applyFill="1" applyBorder="1" applyAlignment="1">
      <alignment horizontal="center" vertical="center"/>
    </xf>
    <xf numFmtId="0" fontId="8" fillId="3" borderId="40" xfId="81" applyFont="1" applyFill="1" applyBorder="1" applyAlignment="1">
      <alignment horizontal="center" vertical="center"/>
    </xf>
    <xf numFmtId="17" fontId="8" fillId="3" borderId="122" xfId="49" applyNumberFormat="1" applyFont="1" applyFill="1" applyBorder="1" applyAlignment="1">
      <alignment horizontal="center" vertical="center" wrapText="1"/>
    </xf>
    <xf numFmtId="0" fontId="78" fillId="0" borderId="37" xfId="50" applyFont="1" applyBorder="1" applyAlignment="1">
      <alignment horizontal="center" vertical="center" wrapText="1"/>
    </xf>
    <xf numFmtId="17" fontId="8" fillId="3" borderId="7" xfId="49" applyNumberFormat="1" applyFont="1" applyFill="1" applyBorder="1" applyAlignment="1">
      <alignment horizontal="center" vertical="center" wrapText="1"/>
    </xf>
    <xf numFmtId="0" fontId="78" fillId="0" borderId="12" xfId="50" applyFont="1" applyBorder="1" applyAlignment="1">
      <alignment horizontal="center" vertical="center" wrapText="1"/>
    </xf>
    <xf numFmtId="17" fontId="8" fillId="3" borderId="122" xfId="49" applyNumberFormat="1" applyFont="1" applyFill="1" applyBorder="1" applyAlignment="1">
      <alignment horizontal="center" vertical="center"/>
    </xf>
    <xf numFmtId="0" fontId="78" fillId="0" borderId="37" xfId="50" applyFont="1" applyBorder="1" applyAlignment="1">
      <alignment horizontal="center" vertical="center"/>
    </xf>
    <xf numFmtId="17" fontId="8" fillId="3" borderId="37" xfId="49" applyNumberFormat="1" applyFont="1" applyFill="1" applyBorder="1" applyAlignment="1">
      <alignment horizontal="center" vertical="center"/>
    </xf>
    <xf numFmtId="17" fontId="8" fillId="3" borderId="37" xfId="49" applyNumberFormat="1" applyFont="1" applyFill="1" applyBorder="1" applyAlignment="1">
      <alignment horizontal="center" vertical="center" wrapText="1"/>
    </xf>
    <xf numFmtId="0" fontId="8" fillId="3" borderId="22" xfId="42" applyFont="1" applyFill="1" applyBorder="1" applyAlignment="1">
      <alignment horizontal="center" vertical="center"/>
    </xf>
    <xf numFmtId="0" fontId="8" fillId="3" borderId="24" xfId="42" applyFont="1" applyFill="1" applyBorder="1" applyAlignment="1">
      <alignment horizontal="center" vertical="center"/>
    </xf>
    <xf numFmtId="0" fontId="8" fillId="3" borderId="23" xfId="42" applyFont="1" applyFill="1" applyBorder="1" applyAlignment="1">
      <alignment horizontal="center" vertical="center"/>
    </xf>
    <xf numFmtId="0" fontId="17" fillId="2" borderId="0" xfId="51" applyFont="1" applyFill="1" applyAlignment="1">
      <alignment horizontal="left" wrapText="1" readingOrder="1"/>
    </xf>
    <xf numFmtId="0" fontId="4" fillId="2" borderId="20" xfId="51" applyFont="1" applyFill="1" applyBorder="1" applyAlignment="1">
      <alignment horizontal="left" wrapText="1"/>
    </xf>
    <xf numFmtId="0" fontId="8" fillId="3" borderId="22" xfId="51" applyFont="1" applyFill="1" applyBorder="1" applyAlignment="1">
      <alignment horizontal="center" vertical="center" wrapText="1"/>
    </xf>
    <xf numFmtId="0" fontId="8" fillId="3" borderId="27" xfId="51" applyFont="1" applyFill="1" applyBorder="1" applyAlignment="1">
      <alignment horizontal="center" vertical="center" wrapText="1"/>
    </xf>
    <xf numFmtId="0" fontId="8" fillId="3" borderId="35" xfId="51" applyFont="1" applyFill="1" applyBorder="1" applyAlignment="1">
      <alignment horizontal="center"/>
    </xf>
    <xf numFmtId="0" fontId="8" fillId="3" borderId="98" xfId="51" applyFont="1" applyFill="1" applyBorder="1" applyAlignment="1">
      <alignment horizontal="center"/>
    </xf>
    <xf numFmtId="0" fontId="8" fillId="3" borderId="78" xfId="51" applyFont="1" applyFill="1" applyBorder="1" applyAlignment="1">
      <alignment horizontal="center"/>
    </xf>
    <xf numFmtId="0" fontId="8" fillId="3" borderId="28" xfId="51" applyFont="1" applyFill="1" applyBorder="1" applyAlignment="1">
      <alignment horizontal="center"/>
    </xf>
    <xf numFmtId="0" fontId="8" fillId="3" borderId="61" xfId="51" applyFont="1" applyFill="1" applyBorder="1" applyAlignment="1">
      <alignment horizontal="center" vertical="center" wrapText="1"/>
    </xf>
    <xf numFmtId="0" fontId="0" fillId="0" borderId="19" xfId="0" applyFont="1" applyBorder="1" applyAlignment="1">
      <alignment horizontal="center" vertical="center" wrapText="1"/>
    </xf>
    <xf numFmtId="0" fontId="8" fillId="3" borderId="7" xfId="51" applyFont="1" applyFill="1" applyBorder="1" applyAlignment="1">
      <alignment horizontal="center"/>
    </xf>
    <xf numFmtId="0" fontId="8" fillId="3" borderId="77" xfId="51" applyFont="1" applyFill="1" applyBorder="1" applyAlignment="1">
      <alignment horizontal="center"/>
    </xf>
    <xf numFmtId="0" fontId="8" fillId="3" borderId="75" xfId="51" applyFont="1" applyFill="1" applyBorder="1" applyAlignment="1">
      <alignment horizontal="center"/>
    </xf>
    <xf numFmtId="0" fontId="8" fillId="3" borderId="8" xfId="51" applyFont="1" applyFill="1" applyBorder="1" applyAlignment="1">
      <alignment horizontal="center"/>
    </xf>
    <xf numFmtId="0" fontId="8" fillId="3" borderId="22" xfId="0" applyFont="1" applyFill="1" applyBorder="1" applyAlignment="1">
      <alignment horizontal="center" vertical="center"/>
    </xf>
    <xf numFmtId="0" fontId="8" fillId="3" borderId="78"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83" xfId="0" applyFont="1" applyFill="1" applyBorder="1" applyAlignment="1">
      <alignment horizontal="center" vertical="center" wrapText="1"/>
    </xf>
    <xf numFmtId="0" fontId="8" fillId="3" borderId="12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17" fillId="0" borderId="20" xfId="0" applyFont="1" applyBorder="1" applyAlignment="1">
      <alignment horizontal="right" vertical="center"/>
    </xf>
    <xf numFmtId="195" fontId="8" fillId="3" borderId="296" xfId="0" applyNumberFormat="1" applyFont="1" applyFill="1" applyBorder="1" applyAlignment="1">
      <alignment horizontal="center"/>
    </xf>
    <xf numFmtId="195" fontId="8" fillId="3" borderId="295" xfId="0" applyNumberFormat="1" applyFont="1" applyFill="1" applyBorder="1" applyAlignment="1">
      <alignment horizontal="center"/>
    </xf>
    <xf numFmtId="0" fontId="8" fillId="3" borderId="124" xfId="0" applyFont="1" applyFill="1" applyBorder="1" applyAlignment="1">
      <alignment horizontal="center" vertical="center" wrapText="1"/>
    </xf>
    <xf numFmtId="0" fontId="8" fillId="3" borderId="99" xfId="0" applyFont="1" applyFill="1" applyBorder="1" applyAlignment="1">
      <alignment horizontal="center" vertical="center" wrapText="1"/>
    </xf>
    <xf numFmtId="195" fontId="8" fillId="3" borderId="294" xfId="0" applyNumberFormat="1" applyFont="1" applyFill="1" applyBorder="1" applyAlignment="1">
      <alignment horizontal="center"/>
    </xf>
    <xf numFmtId="195" fontId="8" fillId="3" borderId="2" xfId="0" applyNumberFormat="1" applyFont="1" applyFill="1" applyBorder="1" applyAlignment="1">
      <alignment horizontal="center"/>
    </xf>
    <xf numFmtId="166" fontId="17" fillId="2" borderId="0" xfId="0" applyNumberFormat="1" applyFont="1" applyFill="1" applyAlignment="1">
      <alignment horizontal="center"/>
    </xf>
    <xf numFmtId="166" fontId="17" fillId="2" borderId="20" xfId="0" applyNumberFormat="1" applyFont="1" applyFill="1" applyBorder="1" applyAlignment="1">
      <alignment horizontal="right"/>
    </xf>
    <xf numFmtId="195" fontId="8" fillId="3" borderId="64" xfId="0" applyNumberFormat="1" applyFont="1" applyFill="1" applyBorder="1" applyAlignment="1">
      <alignment horizontal="center" vertical="center"/>
    </xf>
    <xf numFmtId="195" fontId="8" fillId="3" borderId="42" xfId="0" applyNumberFormat="1" applyFont="1" applyFill="1" applyBorder="1" applyAlignment="1">
      <alignment horizontal="center"/>
    </xf>
    <xf numFmtId="195" fontId="8" fillId="3" borderId="1" xfId="0" applyNumberFormat="1" applyFont="1" applyFill="1" applyBorder="1" applyAlignment="1">
      <alignment horizontal="center" vertical="center"/>
    </xf>
    <xf numFmtId="195" fontId="8" fillId="3" borderId="28" xfId="0" applyNumberFormat="1" applyFont="1" applyFill="1" applyBorder="1" applyAlignment="1">
      <alignment horizontal="center" vertical="center"/>
    </xf>
    <xf numFmtId="175" fontId="8" fillId="3" borderId="1" xfId="0" applyNumberFormat="1" applyFont="1" applyFill="1" applyBorder="1" applyAlignment="1">
      <alignment horizontal="center" vertical="center"/>
    </xf>
    <xf numFmtId="175" fontId="8" fillId="3" borderId="28" xfId="0" applyNumberFormat="1" applyFont="1" applyFill="1" applyBorder="1" applyAlignment="1">
      <alignment horizontal="center" vertical="center"/>
    </xf>
    <xf numFmtId="195" fontId="8" fillId="3" borderId="99" xfId="0" applyNumberFormat="1" applyFont="1" applyFill="1" applyBorder="1" applyAlignment="1">
      <alignment horizontal="center"/>
    </xf>
    <xf numFmtId="195" fontId="8" fillId="3" borderId="12" xfId="0" applyNumberFormat="1" applyFont="1" applyFill="1" applyBorder="1" applyAlignment="1">
      <alignment horizontal="center"/>
    </xf>
    <xf numFmtId="195" fontId="8" fillId="3" borderId="15" xfId="0" applyNumberFormat="1" applyFont="1" applyFill="1" applyBorder="1" applyAlignment="1">
      <alignment horizontal="center"/>
    </xf>
    <xf numFmtId="0" fontId="8" fillId="3" borderId="22" xfId="53" applyFont="1" applyFill="1"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8" fillId="3" borderId="35" xfId="53" applyFont="1" applyFill="1" applyBorder="1" applyAlignment="1">
      <alignment horizontal="center" vertical="center"/>
    </xf>
    <xf numFmtId="0" fontId="8" fillId="3" borderId="28" xfId="53" applyFont="1" applyFill="1" applyBorder="1" applyAlignment="1">
      <alignment horizontal="center" vertical="center"/>
    </xf>
    <xf numFmtId="0" fontId="8" fillId="3" borderId="39" xfId="53" applyFont="1" applyFill="1" applyBorder="1" applyAlignment="1">
      <alignment horizontal="center" vertical="center"/>
    </xf>
    <xf numFmtId="0" fontId="8" fillId="3" borderId="282" xfId="53" applyFont="1" applyFill="1" applyBorder="1" applyAlignment="1">
      <alignment horizontal="center" vertical="center"/>
    </xf>
    <xf numFmtId="0" fontId="16" fillId="2" borderId="0" xfId="53" applyFont="1" applyFill="1" applyAlignment="1">
      <alignment horizontal="left" vertical="top" wrapText="1"/>
    </xf>
    <xf numFmtId="0" fontId="16" fillId="2" borderId="0" xfId="53" applyFont="1" applyFill="1" applyAlignment="1">
      <alignment horizontal="left" wrapText="1"/>
    </xf>
    <xf numFmtId="0" fontId="8" fillId="3" borderId="126" xfId="4" applyFont="1" applyFill="1" applyBorder="1" applyAlignment="1">
      <alignment horizontal="center" vertical="center"/>
    </xf>
    <xf numFmtId="0" fontId="8" fillId="3" borderId="28" xfId="4" applyFont="1" applyFill="1" applyBorder="1" applyAlignment="1">
      <alignment horizontal="center" vertical="center"/>
    </xf>
    <xf numFmtId="0" fontId="8" fillId="3" borderId="149" xfId="4" applyFont="1" applyFill="1" applyBorder="1" applyAlignment="1">
      <alignment horizontal="center" vertical="center"/>
    </xf>
    <xf numFmtId="0" fontId="8" fillId="3" borderId="304" xfId="4" applyFont="1" applyFill="1" applyBorder="1" applyAlignment="1">
      <alignment horizontal="center" vertical="center"/>
    </xf>
    <xf numFmtId="0" fontId="8" fillId="3" borderId="77" xfId="4" applyFont="1" applyFill="1" applyBorder="1" applyAlignment="1">
      <alignment horizontal="center" vertical="center"/>
    </xf>
    <xf numFmtId="0" fontId="17" fillId="2" borderId="7" xfId="2" applyFont="1" applyFill="1" applyBorder="1" applyAlignment="1">
      <alignment horizontal="left" vertical="center" wrapText="1"/>
    </xf>
    <xf numFmtId="0" fontId="8" fillId="3" borderId="31" xfId="4" applyFont="1" applyFill="1" applyBorder="1" applyAlignment="1">
      <alignment horizontal="center" vertical="top" wrapText="1"/>
    </xf>
    <xf numFmtId="0" fontId="8" fillId="3" borderId="33" xfId="4" applyFont="1" applyFill="1" applyBorder="1" applyAlignment="1">
      <alignment horizontal="center" vertical="top" wrapText="1"/>
    </xf>
    <xf numFmtId="0" fontId="8" fillId="3" borderId="34" xfId="4" applyFont="1" applyFill="1" applyBorder="1" applyAlignment="1">
      <alignment horizontal="center" vertical="top" wrapText="1"/>
    </xf>
    <xf numFmtId="0" fontId="8" fillId="3" borderId="46" xfId="4" applyFont="1" applyFill="1" applyBorder="1" applyAlignment="1">
      <alignment horizontal="center" vertical="center" wrapText="1"/>
    </xf>
    <xf numFmtId="0" fontId="8" fillId="3" borderId="47" xfId="4" applyFont="1" applyFill="1" applyBorder="1" applyAlignment="1">
      <alignment horizontal="center" vertical="center" wrapText="1"/>
    </xf>
    <xf numFmtId="0" fontId="8" fillId="3" borderId="128" xfId="4" applyFont="1" applyFill="1" applyBorder="1" applyAlignment="1">
      <alignment horizontal="center" vertical="top" wrapText="1"/>
    </xf>
    <xf numFmtId="0" fontId="8" fillId="3" borderId="48" xfId="4" applyFont="1" applyFill="1" applyBorder="1" applyAlignment="1">
      <alignment horizontal="center" vertical="top" wrapText="1"/>
    </xf>
    <xf numFmtId="0" fontId="8" fillId="3" borderId="59" xfId="4" applyFont="1" applyFill="1" applyBorder="1" applyAlignment="1">
      <alignment horizontal="center" vertical="top" wrapText="1"/>
    </xf>
    <xf numFmtId="0" fontId="8" fillId="3" borderId="38" xfId="4" applyFont="1" applyFill="1" applyBorder="1" applyAlignment="1">
      <alignment horizontal="center" vertical="center" wrapText="1"/>
    </xf>
    <xf numFmtId="0" fontId="8" fillId="3" borderId="41" xfId="4" applyFont="1" applyFill="1" applyBorder="1" applyAlignment="1">
      <alignment horizontal="center" vertical="center" wrapText="1"/>
    </xf>
    <xf numFmtId="0" fontId="25" fillId="3" borderId="37" xfId="14" applyFont="1" applyFill="1" applyBorder="1" applyAlignment="1">
      <alignment horizontal="center" vertical="center"/>
    </xf>
    <xf numFmtId="0" fontId="134" fillId="2" borderId="0" xfId="14" applyFont="1" applyFill="1" applyAlignment="1">
      <alignment horizontal="left" vertical="center" wrapText="1"/>
    </xf>
    <xf numFmtId="0" fontId="8" fillId="3" borderId="122" xfId="14" applyFont="1" applyFill="1" applyBorder="1" applyAlignment="1">
      <alignment horizontal="center" vertical="center"/>
    </xf>
    <xf numFmtId="0" fontId="8" fillId="3" borderId="122" xfId="14" applyFont="1" applyFill="1" applyBorder="1" applyAlignment="1">
      <alignment horizontal="center" vertical="center" wrapText="1"/>
    </xf>
    <xf numFmtId="0" fontId="5" fillId="3" borderId="4" xfId="80" applyFont="1" applyFill="1" applyBorder="1" applyAlignment="1">
      <alignment horizontal="center" vertical="center" wrapText="1"/>
    </xf>
    <xf numFmtId="0" fontId="5" fillId="3" borderId="37" xfId="80" applyFont="1" applyFill="1" applyBorder="1" applyAlignment="1">
      <alignment horizontal="center" vertical="center" wrapText="1"/>
    </xf>
    <xf numFmtId="0" fontId="8" fillId="3" borderId="123" xfId="14" applyFont="1" applyFill="1" applyBorder="1" applyAlignment="1">
      <alignment horizontal="center" vertical="center" wrapText="1"/>
    </xf>
    <xf numFmtId="0" fontId="5" fillId="3" borderId="41" xfId="80" applyFont="1" applyFill="1" applyBorder="1" applyAlignment="1">
      <alignment horizontal="center" vertical="center" wrapText="1"/>
    </xf>
    <xf numFmtId="0" fontId="5" fillId="3" borderId="40" xfId="80" applyFont="1" applyFill="1" applyBorder="1" applyAlignment="1">
      <alignment horizontal="center" vertical="center" wrapText="1"/>
    </xf>
    <xf numFmtId="0" fontId="8" fillId="3" borderId="4" xfId="14" applyFont="1" applyFill="1" applyBorder="1" applyAlignment="1">
      <alignment horizontal="center" vertical="center"/>
    </xf>
    <xf numFmtId="49" fontId="8" fillId="3" borderId="1" xfId="52" applyNumberFormat="1" applyFont="1" applyFill="1" applyBorder="1" applyAlignment="1">
      <alignment horizontal="center" vertical="center" wrapText="1"/>
    </xf>
    <xf numFmtId="49" fontId="8" fillId="3" borderId="98" xfId="52" applyNumberFormat="1" applyFont="1" applyFill="1" applyBorder="1" applyAlignment="1">
      <alignment horizontal="center" vertical="center" wrapText="1"/>
    </xf>
    <xf numFmtId="0" fontId="8" fillId="2" borderId="0" xfId="52" applyFont="1" applyFill="1" applyAlignment="1">
      <alignment horizontal="left" wrapText="1"/>
    </xf>
    <xf numFmtId="187" fontId="8" fillId="3" borderId="5" xfId="19" applyNumberFormat="1" applyFont="1" applyFill="1" applyBorder="1" applyAlignment="1">
      <alignment horizontal="center" vertical="center" wrapText="1"/>
    </xf>
    <xf numFmtId="187" fontId="8" fillId="3" borderId="34" xfId="19" applyNumberFormat="1" applyFont="1" applyFill="1" applyBorder="1" applyAlignment="1">
      <alignment horizontal="center" vertical="center" wrapText="1"/>
    </xf>
    <xf numFmtId="0" fontId="17" fillId="2" borderId="7" xfId="24" applyFont="1" applyFill="1" applyBorder="1" applyAlignment="1">
      <alignment vertical="center" wrapText="1"/>
    </xf>
    <xf numFmtId="0" fontId="17" fillId="2" borderId="0" xfId="24" applyFont="1" applyFill="1" applyBorder="1" applyAlignment="1">
      <alignment vertical="center" wrapText="1"/>
    </xf>
    <xf numFmtId="0" fontId="17" fillId="2" borderId="0" xfId="24" applyFont="1" applyFill="1" applyBorder="1" applyAlignment="1">
      <alignment horizontal="left" vertical="top" wrapText="1"/>
    </xf>
    <xf numFmtId="0" fontId="16" fillId="2" borderId="0" xfId="24" applyFont="1" applyFill="1" applyAlignment="1">
      <alignment horizontal="left" vertical="top" wrapText="1"/>
    </xf>
    <xf numFmtId="0" fontId="16" fillId="2" borderId="0" xfId="24" applyFont="1" applyFill="1" applyAlignment="1">
      <alignment vertical="top" wrapText="1"/>
    </xf>
    <xf numFmtId="0" fontId="17" fillId="2" borderId="0" xfId="52" applyFont="1" applyFill="1" applyBorder="1" applyAlignment="1">
      <alignment horizontal="left" vertical="center" wrapText="1"/>
    </xf>
    <xf numFmtId="0" fontId="78" fillId="0" borderId="0" xfId="68" applyFont="1" applyAlignment="1">
      <alignment wrapText="1"/>
    </xf>
    <xf numFmtId="0" fontId="5" fillId="3" borderId="24" xfId="24" applyFont="1" applyFill="1" applyBorder="1" applyAlignment="1">
      <alignment horizontal="left" vertical="center"/>
    </xf>
    <xf numFmtId="0" fontId="5" fillId="3" borderId="4" xfId="24" applyFont="1" applyFill="1" applyBorder="1" applyAlignment="1">
      <alignment horizontal="left" vertical="center"/>
    </xf>
    <xf numFmtId="0" fontId="17" fillId="2" borderId="0" xfId="24" applyFont="1" applyFill="1" applyAlignment="1">
      <alignment vertical="top"/>
    </xf>
    <xf numFmtId="0" fontId="8" fillId="3" borderId="27" xfId="24" applyFont="1" applyFill="1" applyBorder="1" applyAlignment="1">
      <alignment horizontal="left" vertical="center"/>
    </xf>
    <xf numFmtId="0" fontId="8" fillId="3" borderId="6" xfId="24" applyFont="1" applyFill="1" applyBorder="1" applyAlignment="1">
      <alignment horizontal="left" vertical="center"/>
    </xf>
    <xf numFmtId="0" fontId="17" fillId="2" borderId="7" xfId="24" applyFont="1" applyFill="1" applyBorder="1" applyAlignment="1">
      <alignment wrapText="1"/>
    </xf>
    <xf numFmtId="0" fontId="8" fillId="3" borderId="3" xfId="52" applyFont="1" applyFill="1" applyBorder="1" applyAlignment="1">
      <alignment horizontal="left" vertical="center"/>
    </xf>
    <xf numFmtId="0" fontId="8" fillId="3" borderId="33" xfId="52" applyFont="1" applyFill="1" applyBorder="1" applyAlignment="1">
      <alignment horizontal="left" vertical="center"/>
    </xf>
    <xf numFmtId="0" fontId="8" fillId="2" borderId="0" xfId="52" applyFont="1" applyFill="1" applyAlignment="1">
      <alignment horizontal="left" vertical="center" wrapText="1"/>
    </xf>
    <xf numFmtId="0" fontId="78" fillId="0" borderId="0" xfId="60" applyFont="1" applyAlignment="1">
      <alignment vertical="center" wrapText="1"/>
    </xf>
    <xf numFmtId="0" fontId="8" fillId="2" borderId="3" xfId="52" applyFont="1" applyFill="1" applyBorder="1" applyAlignment="1">
      <alignment horizontal="left" vertical="center" wrapText="1"/>
    </xf>
    <xf numFmtId="0" fontId="8" fillId="3" borderId="319" xfId="52" applyFont="1" applyFill="1" applyBorder="1" applyAlignment="1">
      <alignment horizontal="center" vertical="center"/>
    </xf>
    <xf numFmtId="0" fontId="8" fillId="3" borderId="239" xfId="52" applyFont="1" applyFill="1" applyBorder="1" applyAlignment="1">
      <alignment horizontal="center" vertical="center"/>
    </xf>
    <xf numFmtId="0" fontId="17" fillId="2" borderId="0" xfId="24" applyFont="1" applyFill="1" applyAlignment="1">
      <alignment vertical="center" wrapText="1"/>
    </xf>
    <xf numFmtId="0" fontId="78" fillId="0" borderId="0" xfId="60" applyFont="1" applyAlignment="1">
      <alignment horizontal="left" vertical="center" wrapText="1"/>
    </xf>
    <xf numFmtId="0" fontId="8" fillId="3" borderId="89" xfId="52" applyFont="1" applyFill="1" applyBorder="1" applyAlignment="1">
      <alignment horizontal="left" vertical="center"/>
    </xf>
    <xf numFmtId="0" fontId="134" fillId="2" borderId="0" xfId="56" applyFont="1" applyFill="1" applyAlignment="1">
      <alignment horizontal="left" vertical="center" wrapText="1"/>
    </xf>
    <xf numFmtId="0" fontId="134" fillId="2" borderId="0" xfId="56" applyFont="1" applyFill="1" applyAlignment="1">
      <alignment horizontal="left" wrapText="1"/>
    </xf>
    <xf numFmtId="0" fontId="36" fillId="2" borderId="0" xfId="56" applyFont="1" applyFill="1" applyAlignment="1">
      <alignment horizontal="left" vertical="center" wrapText="1"/>
    </xf>
    <xf numFmtId="0" fontId="4" fillId="2" borderId="0" xfId="56" applyFont="1" applyFill="1" applyAlignment="1">
      <alignment horizontal="left" vertical="center" wrapText="1"/>
    </xf>
    <xf numFmtId="0" fontId="134" fillId="2" borderId="7" xfId="56" applyFont="1" applyFill="1" applyBorder="1" applyAlignment="1">
      <alignment horizontal="left" vertical="center" wrapText="1"/>
    </xf>
    <xf numFmtId="43" fontId="26" fillId="3" borderId="60" xfId="59" applyFont="1" applyFill="1" applyBorder="1" applyAlignment="1">
      <alignment horizontal="center"/>
    </xf>
    <xf numFmtId="43" fontId="26" fillId="3" borderId="362" xfId="59" applyFont="1" applyFill="1" applyBorder="1" applyAlignment="1">
      <alignment horizontal="center"/>
    </xf>
    <xf numFmtId="0" fontId="36" fillId="2" borderId="0" xfId="24" applyFont="1" applyFill="1" applyBorder="1" applyAlignment="1">
      <alignment horizontal="left" wrapText="1"/>
    </xf>
    <xf numFmtId="0" fontId="36" fillId="2" borderId="0" xfId="60" applyFont="1" applyFill="1" applyBorder="1" applyAlignment="1">
      <alignment horizontal="left" vertical="center" wrapText="1"/>
    </xf>
    <xf numFmtId="0" fontId="4" fillId="2" borderId="0" xfId="0" applyFont="1" applyFill="1" applyBorder="1" applyAlignment="1">
      <alignment horizontal="left" vertical="center" wrapText="1"/>
    </xf>
    <xf numFmtId="0" fontId="8" fillId="3" borderId="66" xfId="0" applyFont="1" applyFill="1" applyBorder="1" applyAlignment="1">
      <alignment horizontal="center" vertical="center" wrapText="1"/>
    </xf>
    <xf numFmtId="0" fontId="8" fillId="3" borderId="363" xfId="0" applyFont="1" applyFill="1" applyBorder="1" applyAlignment="1">
      <alignment horizontal="center" vertical="center" wrapText="1"/>
    </xf>
    <xf numFmtId="0" fontId="8" fillId="3" borderId="212" xfId="0" applyFont="1" applyFill="1" applyBorder="1" applyAlignment="1">
      <alignment horizontal="center" vertical="center" wrapText="1"/>
    </xf>
    <xf numFmtId="0" fontId="17" fillId="2" borderId="0" xfId="0" applyFont="1" applyFill="1" applyBorder="1" applyAlignment="1">
      <alignment horizontal="left" vertical="center" wrapText="1"/>
    </xf>
    <xf numFmtId="164" fontId="104" fillId="2" borderId="0" xfId="1" applyNumberFormat="1" applyFont="1" applyFill="1" applyAlignment="1">
      <alignment horizontal="center"/>
    </xf>
    <xf numFmtId="0" fontId="8" fillId="3" borderId="364" xfId="14" applyFont="1" applyFill="1" applyBorder="1" applyAlignment="1">
      <alignment horizontal="center" vertical="top" wrapText="1"/>
    </xf>
    <xf numFmtId="0" fontId="8" fillId="3" borderId="365" xfId="14" applyFont="1" applyFill="1" applyBorder="1" applyAlignment="1">
      <alignment horizontal="center" vertical="top" wrapText="1"/>
    </xf>
    <xf numFmtId="0" fontId="8" fillId="3" borderId="366" xfId="14" applyFont="1" applyFill="1" applyBorder="1" applyAlignment="1">
      <alignment horizontal="center" vertical="top" wrapText="1"/>
    </xf>
    <xf numFmtId="0" fontId="169" fillId="2" borderId="0" xfId="14" applyFont="1" applyFill="1" applyAlignment="1">
      <alignment horizontal="center"/>
    </xf>
    <xf numFmtId="0" fontId="8" fillId="2" borderId="0" xfId="61" applyFont="1" applyFill="1" applyBorder="1" applyAlignment="1">
      <alignment horizontal="left" vertical="center" wrapText="1"/>
    </xf>
    <xf numFmtId="167" fontId="163" fillId="2" borderId="0" xfId="0" applyNumberFormat="1" applyFont="1" applyFill="1" applyAlignment="1">
      <alignment horizontal="center"/>
    </xf>
    <xf numFmtId="167" fontId="165" fillId="2" borderId="0" xfId="0" applyNumberFormat="1" applyFont="1" applyFill="1" applyAlignment="1">
      <alignment horizontal="center"/>
    </xf>
    <xf numFmtId="0" fontId="8" fillId="2" borderId="0" xfId="31" applyFont="1" applyFill="1" applyAlignment="1">
      <alignment horizontal="left" vertical="center" wrapText="1"/>
    </xf>
    <xf numFmtId="0" fontId="8" fillId="3" borderId="396" xfId="12" applyFont="1" applyFill="1" applyBorder="1" applyAlignment="1">
      <alignment horizontal="center"/>
    </xf>
    <xf numFmtId="0" fontId="8" fillId="3" borderId="398" xfId="12" applyFont="1" applyFill="1" applyBorder="1" applyAlignment="1">
      <alignment horizontal="center"/>
    </xf>
    <xf numFmtId="0" fontId="31" fillId="3" borderId="396" xfId="12" applyFont="1" applyFill="1" applyBorder="1" applyAlignment="1">
      <alignment horizontal="center"/>
    </xf>
    <xf numFmtId="0" fontId="31" fillId="3" borderId="397" xfId="12" applyFont="1" applyFill="1" applyBorder="1" applyAlignment="1">
      <alignment horizontal="center"/>
    </xf>
    <xf numFmtId="0" fontId="8" fillId="3" borderId="397" xfId="12" applyFont="1" applyFill="1" applyBorder="1" applyAlignment="1">
      <alignment horizontal="center"/>
    </xf>
  </cellXfs>
  <cellStyles count="88">
    <cellStyle name="]_x000d__x000a_Width=797_x000d__x000a_Height=554_x000d__x000a__x000d__x000a_[Code]_x000d__x000a_Code0=/nyf50_x000d__x000a_Code1=4500000136_x000d__x000a_Code2=ME23_x000d__x000a_Code3=4500002322_x000d__x000a_Code4=#_x000d__x000a_Code5=MB01_x000d__x000a_" xfId="34" xr:uid="{00000000-0005-0000-0000-000000000000}"/>
    <cellStyle name="Comma" xfId="1" builtinId="3"/>
    <cellStyle name="Comma 14 2" xfId="19" xr:uid="{00000000-0005-0000-0000-000002000000}"/>
    <cellStyle name="Comma 2" xfId="69" xr:uid="{00000000-0005-0000-0000-000003000000}"/>
    <cellStyle name="Comma 2 2" xfId="3" xr:uid="{00000000-0005-0000-0000-000004000000}"/>
    <cellStyle name="Comma 2 2 2" xfId="37" xr:uid="{00000000-0005-0000-0000-000005000000}"/>
    <cellStyle name="Comma 2 2 2 2" xfId="62" xr:uid="{00000000-0005-0000-0000-000006000000}"/>
    <cellStyle name="Comma 2 2 2 2 2" xfId="82" xr:uid="{00000000-0005-0000-0000-000007000000}"/>
    <cellStyle name="Comma 2 2 2 3" xfId="75" xr:uid="{00000000-0005-0000-0000-000008000000}"/>
    <cellStyle name="Comma 2 2 2 3 2" xfId="84" xr:uid="{00000000-0005-0000-0000-000009000000}"/>
    <cellStyle name="Comma 2 3 2" xfId="57" xr:uid="{00000000-0005-0000-0000-00000A000000}"/>
    <cellStyle name="Comma 2 3 3" xfId="48" xr:uid="{00000000-0005-0000-0000-00000B000000}"/>
    <cellStyle name="Comma 2 3 4" xfId="55" xr:uid="{00000000-0005-0000-0000-00000C000000}"/>
    <cellStyle name="Comma 2 5" xfId="58" xr:uid="{00000000-0005-0000-0000-00000D000000}"/>
    <cellStyle name="Comma 282" xfId="7" xr:uid="{00000000-0005-0000-0000-00000E000000}"/>
    <cellStyle name="Comma 282 2" xfId="8" xr:uid="{00000000-0005-0000-0000-00000F000000}"/>
    <cellStyle name="Comma 283" xfId="30" xr:uid="{00000000-0005-0000-0000-000010000000}"/>
    <cellStyle name="Comma 285 2" xfId="54" xr:uid="{00000000-0005-0000-0000-000011000000}"/>
    <cellStyle name="Comma 3 2" xfId="6" xr:uid="{00000000-0005-0000-0000-000012000000}"/>
    <cellStyle name="Comma 3 3" xfId="39" xr:uid="{00000000-0005-0000-0000-000013000000}"/>
    <cellStyle name="Comma 3 3 2 2" xfId="26" xr:uid="{00000000-0005-0000-0000-000014000000}"/>
    <cellStyle name="Comma 4 2" xfId="27" xr:uid="{00000000-0005-0000-0000-000015000000}"/>
    <cellStyle name="Comma 4 3 2" xfId="44" xr:uid="{00000000-0005-0000-0000-000016000000}"/>
    <cellStyle name="Comma 5" xfId="18" xr:uid="{00000000-0005-0000-0000-000017000000}"/>
    <cellStyle name="Comma 5 2" xfId="63" xr:uid="{00000000-0005-0000-0000-000018000000}"/>
    <cellStyle name="Comma 6" xfId="43" xr:uid="{00000000-0005-0000-0000-000019000000}"/>
    <cellStyle name="Comma 7" xfId="59" xr:uid="{00000000-0005-0000-0000-00001A000000}"/>
    <cellStyle name="Comma_Table 1 2" xfId="5" xr:uid="{00000000-0005-0000-0000-00001B000000}"/>
    <cellStyle name="Comma_Table 41a-41b" xfId="83" xr:uid="{00000000-0005-0000-0000-00001C000000}"/>
    <cellStyle name="Hyperlink" xfId="64" builtinId="8"/>
    <cellStyle name="Hyperlink 2" xfId="87" xr:uid="{00000000-0005-0000-0000-00001E000000}"/>
    <cellStyle name="Normal" xfId="0" builtinId="0"/>
    <cellStyle name="Normal 10" xfId="32" xr:uid="{00000000-0005-0000-0000-000020000000}"/>
    <cellStyle name="Normal 10 10 6" xfId="36" xr:uid="{00000000-0005-0000-0000-000021000000}"/>
    <cellStyle name="Normal 10 10 6 3" xfId="81" xr:uid="{00000000-0005-0000-0000-000022000000}"/>
    <cellStyle name="Normal 10 10 8 2 2 2 5" xfId="51" xr:uid="{00000000-0005-0000-0000-000023000000}"/>
    <cellStyle name="Normal 10 10 8 3 2 5" xfId="49" xr:uid="{00000000-0005-0000-0000-000024000000}"/>
    <cellStyle name="Normal 139" xfId="35" xr:uid="{00000000-0005-0000-0000-000025000000}"/>
    <cellStyle name="Normal 139 2" xfId="80" xr:uid="{00000000-0005-0000-0000-000026000000}"/>
    <cellStyle name="Normal 143" xfId="12" xr:uid="{00000000-0005-0000-0000-000027000000}"/>
    <cellStyle name="Normal 144 2 2" xfId="24" xr:uid="{00000000-0005-0000-0000-000028000000}"/>
    <cellStyle name="Normal 145" xfId="47" xr:uid="{00000000-0005-0000-0000-000029000000}"/>
    <cellStyle name="Normal 146" xfId="41" xr:uid="{00000000-0005-0000-0000-00002A000000}"/>
    <cellStyle name="Normal 146 3" xfId="53" xr:uid="{00000000-0005-0000-0000-00002B000000}"/>
    <cellStyle name="Normal 2" xfId="65" xr:uid="{00000000-0005-0000-0000-00002C000000}"/>
    <cellStyle name="Normal 2 10 2" xfId="14" xr:uid="{00000000-0005-0000-0000-00002D000000}"/>
    <cellStyle name="Normal 2 2" xfId="68" xr:uid="{00000000-0005-0000-0000-00002E000000}"/>
    <cellStyle name="Normal 2 2 2" xfId="10" xr:uid="{00000000-0005-0000-0000-00002F000000}"/>
    <cellStyle name="Normal 2 2 3" xfId="50" xr:uid="{00000000-0005-0000-0000-000030000000}"/>
    <cellStyle name="Normal 2 3 2 2" xfId="11" xr:uid="{00000000-0005-0000-0000-000031000000}"/>
    <cellStyle name="Normal 2 3 3 2" xfId="52" xr:uid="{00000000-0005-0000-0000-000032000000}"/>
    <cellStyle name="Normal 3" xfId="15" xr:uid="{00000000-0005-0000-0000-000033000000}"/>
    <cellStyle name="Normal 3 10" xfId="4" xr:uid="{00000000-0005-0000-0000-000034000000}"/>
    <cellStyle name="Normal 3 10 2" xfId="9" xr:uid="{00000000-0005-0000-0000-000035000000}"/>
    <cellStyle name="Normal 3 2 2" xfId="61" xr:uid="{00000000-0005-0000-0000-000036000000}"/>
    <cellStyle name="Normal 4" xfId="17" xr:uid="{00000000-0005-0000-0000-000037000000}"/>
    <cellStyle name="Normal 4 2" xfId="28" xr:uid="{00000000-0005-0000-0000-000038000000}"/>
    <cellStyle name="Normal 4 2 2" xfId="60" xr:uid="{00000000-0005-0000-0000-000039000000}"/>
    <cellStyle name="Normal 4 3" xfId="77" xr:uid="{00000000-0005-0000-0000-00003A000000}"/>
    <cellStyle name="Normal 5" xfId="56" xr:uid="{00000000-0005-0000-0000-00003B000000}"/>
    <cellStyle name="Normal 5 10 2" xfId="31" xr:uid="{00000000-0005-0000-0000-00003C000000}"/>
    <cellStyle name="Normal 5 12" xfId="42" xr:uid="{00000000-0005-0000-0000-00003D000000}"/>
    <cellStyle name="Normal 5 2" xfId="40" xr:uid="{00000000-0005-0000-0000-00003E000000}"/>
    <cellStyle name="Normal 5 3" xfId="46" xr:uid="{00000000-0005-0000-0000-00003F000000}"/>
    <cellStyle name="Normal 6" xfId="66" xr:uid="{00000000-0005-0000-0000-000040000000}"/>
    <cellStyle name="Normal 6 2" xfId="45" xr:uid="{00000000-0005-0000-0000-000041000000}"/>
    <cellStyle name="Normal 6 3" xfId="72" xr:uid="{00000000-0005-0000-0000-000042000000}"/>
    <cellStyle name="Normal 90" xfId="38" xr:uid="{00000000-0005-0000-0000-000043000000}"/>
    <cellStyle name="Normal_Book1" xfId="76" xr:uid="{00000000-0005-0000-0000-000044000000}"/>
    <cellStyle name="Normal_CGDD-Jan-09" xfId="71" xr:uid="{00000000-0005-0000-0000-000045000000}"/>
    <cellStyle name="Normal_GF98.xlw" xfId="70" xr:uid="{00000000-0005-0000-0000-000046000000}"/>
    <cellStyle name="Normal_ODCS" xfId="20" xr:uid="{00000000-0005-0000-0000-000047000000}"/>
    <cellStyle name="Normal_Quarterly BOP 2001" xfId="85" xr:uid="{00000000-0005-0000-0000-000048000000}"/>
    <cellStyle name="Normal_RHABMCPC010731" xfId="25" xr:uid="{00000000-0005-0000-0000-000049000000}"/>
    <cellStyle name="Normal_Sheet1" xfId="16" xr:uid="{00000000-0005-0000-0000-00004A000000}"/>
    <cellStyle name="Normal_TAB2.11" xfId="79" xr:uid="{00000000-0005-0000-0000-00004B000000}"/>
    <cellStyle name="Normal_Tab2.3" xfId="78" xr:uid="{00000000-0005-0000-0000-00004C000000}"/>
    <cellStyle name="Normal_Table 1 2" xfId="2" xr:uid="{00000000-0005-0000-0000-00004D000000}"/>
    <cellStyle name="Normal_Table 20-21" xfId="74" xr:uid="{00000000-0005-0000-0000-00004E000000}"/>
    <cellStyle name="Normal_Table 25f 2 2" xfId="21" xr:uid="{00000000-0005-0000-0000-00004F000000}"/>
    <cellStyle name="Normal_Table 25f 3" xfId="67" xr:uid="{00000000-0005-0000-0000-000050000000}"/>
    <cellStyle name="Normal_Table 30" xfId="29" xr:uid="{00000000-0005-0000-0000-000051000000}"/>
    <cellStyle name="Normal_Template" xfId="86" xr:uid="{00000000-0005-0000-0000-000052000000}"/>
    <cellStyle name="Percent" xfId="73" builtinId="5"/>
    <cellStyle name="Percent 10" xfId="33" xr:uid="{00000000-0005-0000-0000-000054000000}"/>
    <cellStyle name="Percent 2 2" xfId="22" xr:uid="{00000000-0005-0000-0000-000055000000}"/>
    <cellStyle name="Percent 2 2 2" xfId="23" xr:uid="{00000000-0005-0000-0000-000056000000}"/>
    <cellStyle name="Percent 2 3" xfId="13" xr:uid="{00000000-0005-0000-0000-00005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42</xdr:row>
      <xdr:rowOff>66675</xdr:rowOff>
    </xdr:from>
    <xdr:to>
      <xdr:col>0</xdr:col>
      <xdr:colOff>1371600</xdr:colOff>
      <xdr:row>44</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DB3E545-12AE-4F39-AC53-3CF580825FF2}"/>
            </a:ext>
          </a:extLst>
        </xdr:cNvPr>
        <xdr:cNvSpPr/>
      </xdr:nvSpPr>
      <xdr:spPr>
        <a:xfrm>
          <a:off x="66674" y="108013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CE8DBD3-79E8-4EFF-8908-D6334D51E8FC}"/>
            </a:ext>
          </a:extLst>
        </xdr:cNvPr>
        <xdr:cNvSpPr/>
      </xdr:nvSpPr>
      <xdr:spPr>
        <a:xfrm>
          <a:off x="0" y="72485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7D8EA29-105F-40A9-BE3C-0710A5187294}"/>
            </a:ext>
          </a:extLst>
        </xdr:cNvPr>
        <xdr:cNvSpPr/>
      </xdr:nvSpPr>
      <xdr:spPr>
        <a:xfrm>
          <a:off x="0" y="6315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182</xdr:row>
      <xdr:rowOff>0</xdr:rowOff>
    </xdr:from>
    <xdr:to>
      <xdr:col>1</xdr:col>
      <xdr:colOff>400051</xdr:colOff>
      <xdr:row>184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D4B3709-B171-4BF9-9D80-8FEBE61F8F63}"/>
            </a:ext>
          </a:extLst>
        </xdr:cNvPr>
        <xdr:cNvSpPr/>
      </xdr:nvSpPr>
      <xdr:spPr>
        <a:xfrm>
          <a:off x="0" y="34290000"/>
          <a:ext cx="1009651"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44</xdr:row>
      <xdr:rowOff>171450</xdr:rowOff>
    </xdr:from>
    <xdr:to>
      <xdr:col>0</xdr:col>
      <xdr:colOff>1304926</xdr:colOff>
      <xdr:row>47</xdr:row>
      <xdr:rowOff>66675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A0E11949-8058-41FA-8DEC-ED5463D6E8B8}"/>
            </a:ext>
          </a:extLst>
        </xdr:cNvPr>
        <xdr:cNvSpPr/>
      </xdr:nvSpPr>
      <xdr:spPr>
        <a:xfrm>
          <a:off x="0" y="6696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0</xdr:rowOff>
    </xdr:from>
    <xdr:to>
      <xdr:col>0</xdr:col>
      <xdr:colOff>1304926</xdr:colOff>
      <xdr:row>49</xdr:row>
      <xdr:rowOff>171450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F61FFC6-6414-4AF8-8738-46A8B7BB8796}"/>
            </a:ext>
          </a:extLst>
        </xdr:cNvPr>
        <xdr:cNvSpPr/>
      </xdr:nvSpPr>
      <xdr:spPr>
        <a:xfrm>
          <a:off x="0" y="11096625"/>
          <a:ext cx="1304926" cy="400050"/>
        </a:xfrm>
        <a:prstGeom prst="leftArrow">
          <a:avLst>
            <a:gd name="adj1" fmla="val 50000"/>
            <a:gd name="adj2" fmla="val 49184"/>
          </a:avLst>
        </a:prstGeom>
        <a:solidFill>
          <a:schemeClr val="accent1">
            <a:lumMod val="20000"/>
            <a:lumOff val="80000"/>
          </a:schemeClr>
        </a:solidFill>
        <a:ln w="12700"/>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DF69571-8273-47E9-B7DD-90BDE79B2090}"/>
            </a:ext>
          </a:extLst>
        </xdr:cNvPr>
        <xdr:cNvSpPr/>
      </xdr:nvSpPr>
      <xdr:spPr>
        <a:xfrm>
          <a:off x="0" y="137731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A8F9FF-B2D4-4E61-A26F-06D7EBF3D945}"/>
            </a:ext>
          </a:extLst>
        </xdr:cNvPr>
        <xdr:cNvSpPr/>
      </xdr:nvSpPr>
      <xdr:spPr>
        <a:xfrm>
          <a:off x="0" y="9363075"/>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32C30F5-4EE0-4D6B-8350-01B654843BBD}"/>
            </a:ext>
          </a:extLst>
        </xdr:cNvPr>
        <xdr:cNvSpPr/>
      </xdr:nvSpPr>
      <xdr:spPr>
        <a:xfrm>
          <a:off x="0" y="12858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B4281D8-2D86-4187-B484-CE7931620032}"/>
            </a:ext>
          </a:extLst>
        </xdr:cNvPr>
        <xdr:cNvSpPr/>
      </xdr:nvSpPr>
      <xdr:spPr>
        <a:xfrm>
          <a:off x="0" y="12849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7A1593C-D5C3-460F-9124-A92AB87C9278}"/>
            </a:ext>
          </a:extLst>
        </xdr:cNvPr>
        <xdr:cNvSpPr/>
      </xdr:nvSpPr>
      <xdr:spPr>
        <a:xfrm>
          <a:off x="0" y="12649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49</xdr:row>
      <xdr:rowOff>0</xdr:rowOff>
    </xdr:from>
    <xdr:to>
      <xdr:col>1</xdr:col>
      <xdr:colOff>590551</xdr:colOff>
      <xdr:row>50</xdr:row>
      <xdr:rowOff>152400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77AB6E3-9099-438E-BE45-D23C7FD47B3E}"/>
            </a:ext>
          </a:extLst>
        </xdr:cNvPr>
        <xdr:cNvSpPr/>
      </xdr:nvSpPr>
      <xdr:spPr>
        <a:xfrm>
          <a:off x="0" y="6238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1304926</xdr:colOff>
      <xdr:row>54</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747DB34-D8BA-4337-BEFB-4FE28FF49CE3}"/>
            </a:ext>
          </a:extLst>
        </xdr:cNvPr>
        <xdr:cNvSpPr/>
      </xdr:nvSpPr>
      <xdr:spPr>
        <a:xfrm>
          <a:off x="0" y="111061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9706DBF-D2D7-4CA4-9352-B1AB45EC3FA6}"/>
            </a:ext>
          </a:extLst>
        </xdr:cNvPr>
        <xdr:cNvSpPr/>
      </xdr:nvSpPr>
      <xdr:spPr>
        <a:xfrm>
          <a:off x="0" y="10325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65</xdr:row>
      <xdr:rowOff>19050</xdr:rowOff>
    </xdr:from>
    <xdr:to>
      <xdr:col>0</xdr:col>
      <xdr:colOff>1304926</xdr:colOff>
      <xdr:row>67</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5AA200D-CCDF-4005-BEB5-4FB9CBCEFA85}"/>
            </a:ext>
          </a:extLst>
        </xdr:cNvPr>
        <xdr:cNvSpPr/>
      </xdr:nvSpPr>
      <xdr:spPr>
        <a:xfrm>
          <a:off x="0" y="137160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0075170-B3DA-4CDD-BECF-4A2249581079}"/>
            </a:ext>
          </a:extLst>
        </xdr:cNvPr>
        <xdr:cNvSpPr/>
      </xdr:nvSpPr>
      <xdr:spPr>
        <a:xfrm>
          <a:off x="0" y="2739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85D0E420-09AC-45FC-897D-40EDFB0000F8}"/>
            </a:ext>
          </a:extLst>
        </xdr:cNvPr>
        <xdr:cNvSpPr/>
      </xdr:nvSpPr>
      <xdr:spPr>
        <a:xfrm>
          <a:off x="0" y="27965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B68470D-5C38-4BD0-A90F-2BB65B845867}"/>
            </a:ext>
          </a:extLst>
        </xdr:cNvPr>
        <xdr:cNvSpPr/>
      </xdr:nvSpPr>
      <xdr:spPr>
        <a:xfrm>
          <a:off x="0" y="56864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30A46A4-BAB3-4345-8AF7-455860B50773}"/>
            </a:ext>
          </a:extLst>
        </xdr:cNvPr>
        <xdr:cNvSpPr/>
      </xdr:nvSpPr>
      <xdr:spPr>
        <a:xfrm>
          <a:off x="0" y="2665095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201</xdr:row>
      <xdr:rowOff>0</xdr:rowOff>
    </xdr:from>
    <xdr:to>
      <xdr:col>1</xdr:col>
      <xdr:colOff>553509</xdr:colOff>
      <xdr:row>203</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F8E133E-E763-499C-9948-0C04E97A5068}"/>
            </a:ext>
          </a:extLst>
        </xdr:cNvPr>
        <xdr:cNvSpPr/>
      </xdr:nvSpPr>
      <xdr:spPr>
        <a:xfrm>
          <a:off x="0" y="12125325"/>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37</xdr:row>
      <xdr:rowOff>74083</xdr:rowOff>
    </xdr:from>
    <xdr:to>
      <xdr:col>0</xdr:col>
      <xdr:colOff>1304926</xdr:colOff>
      <xdr:row>38</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1E3D584-2FA5-4772-9BE0-CFEB2F01414A}"/>
            </a:ext>
          </a:extLst>
        </xdr:cNvPr>
        <xdr:cNvSpPr/>
      </xdr:nvSpPr>
      <xdr:spPr>
        <a:xfrm>
          <a:off x="0" y="12837583"/>
          <a:ext cx="1304926" cy="40428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38</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3076017-3872-4506-9E22-EEDE27F56309}"/>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92</xdr:row>
      <xdr:rowOff>0</xdr:rowOff>
    </xdr:from>
    <xdr:to>
      <xdr:col>0</xdr:col>
      <xdr:colOff>1304926</xdr:colOff>
      <xdr:row>94</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8EAFC22-C784-4216-BEFF-1D1F6B02265B}"/>
            </a:ext>
          </a:extLst>
        </xdr:cNvPr>
        <xdr:cNvSpPr/>
      </xdr:nvSpPr>
      <xdr:spPr>
        <a:xfrm>
          <a:off x="0" y="10182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0</xdr:rowOff>
    </xdr:from>
    <xdr:to>
      <xdr:col>0</xdr:col>
      <xdr:colOff>1304926</xdr:colOff>
      <xdr:row>24</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4DDEBE2-9186-45E6-9E7C-9D2E66152587}"/>
            </a:ext>
          </a:extLst>
        </xdr:cNvPr>
        <xdr:cNvSpPr/>
      </xdr:nvSpPr>
      <xdr:spPr>
        <a:xfrm>
          <a:off x="0" y="4914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22E0332-170D-4911-ABA1-D6A32B656C0F}"/>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4580DFF-4900-4C2D-A50E-A6D1261638DD}"/>
            </a:ext>
          </a:extLst>
        </xdr:cNvPr>
        <xdr:cNvSpPr/>
      </xdr:nvSpPr>
      <xdr:spPr>
        <a:xfrm>
          <a:off x="0" y="12496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5BCA5AD-42F3-457B-8457-41C8B855EA5F}"/>
            </a:ext>
          </a:extLst>
        </xdr:cNvPr>
        <xdr:cNvSpPr/>
      </xdr:nvSpPr>
      <xdr:spPr>
        <a:xfrm>
          <a:off x="0" y="9315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22412</xdr:colOff>
      <xdr:row>120</xdr:row>
      <xdr:rowOff>87158</xdr:rowOff>
    </xdr:from>
    <xdr:to>
      <xdr:col>1</xdr:col>
      <xdr:colOff>343088</xdr:colOff>
      <xdr:row>122</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26F5ED0-EB9F-4BD0-BA17-546252D5C904}"/>
            </a:ext>
          </a:extLst>
        </xdr:cNvPr>
        <xdr:cNvSpPr/>
      </xdr:nvSpPr>
      <xdr:spPr>
        <a:xfrm>
          <a:off x="22412" y="934545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A937272-AE1B-45AA-A808-5C227B188A2D}"/>
            </a:ext>
          </a:extLst>
        </xdr:cNvPr>
        <xdr:cNvSpPr/>
      </xdr:nvSpPr>
      <xdr:spPr>
        <a:xfrm>
          <a:off x="0" y="6562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1304926</xdr:colOff>
      <xdr:row>62</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7F8A031-89AF-4C96-87E1-8CA1E48249DD}"/>
            </a:ext>
          </a:extLst>
        </xdr:cNvPr>
        <xdr:cNvSpPr/>
      </xdr:nvSpPr>
      <xdr:spPr>
        <a:xfrm>
          <a:off x="0" y="10106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177</xdr:row>
      <xdr:rowOff>0</xdr:rowOff>
    </xdr:from>
    <xdr:to>
      <xdr:col>1</xdr:col>
      <xdr:colOff>476251</xdr:colOff>
      <xdr:row>178</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5140B16-253C-4E83-BAE4-B5E96894CF51}"/>
            </a:ext>
          </a:extLst>
        </xdr:cNvPr>
        <xdr:cNvSpPr/>
      </xdr:nvSpPr>
      <xdr:spPr>
        <a:xfrm>
          <a:off x="0" y="66389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135</xdr:row>
      <xdr:rowOff>0</xdr:rowOff>
    </xdr:from>
    <xdr:to>
      <xdr:col>1</xdr:col>
      <xdr:colOff>351099</xdr:colOff>
      <xdr:row>136</xdr:row>
      <xdr:rowOff>183417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C3BE147-C7A2-4EC0-A483-8681E188AEB6}"/>
            </a:ext>
          </a:extLst>
        </xdr:cNvPr>
        <xdr:cNvSpPr/>
      </xdr:nvSpPr>
      <xdr:spPr>
        <a:xfrm>
          <a:off x="0" y="8181975"/>
          <a:ext cx="1275024" cy="3929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xdr:colOff>
      <xdr:row>137</xdr:row>
      <xdr:rowOff>81643</xdr:rowOff>
    </xdr:from>
    <xdr:to>
      <xdr:col>1</xdr:col>
      <xdr:colOff>325793</xdr:colOff>
      <xdr:row>139</xdr:row>
      <xdr:rowOff>64774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559380D-3CF0-4444-9E50-26A7EB241E8A}"/>
            </a:ext>
          </a:extLst>
        </xdr:cNvPr>
        <xdr:cNvSpPr/>
      </xdr:nvSpPr>
      <xdr:spPr>
        <a:xfrm>
          <a:off x="38100" y="9416143"/>
          <a:ext cx="1268768"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91</xdr:row>
      <xdr:rowOff>0</xdr:rowOff>
    </xdr:from>
    <xdr:to>
      <xdr:col>1</xdr:col>
      <xdr:colOff>66676</xdr:colOff>
      <xdr:row>92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0" y="11649075"/>
          <a:ext cx="1666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34018</xdr:colOff>
      <xdr:row>133</xdr:row>
      <xdr:rowOff>101600</xdr:rowOff>
    </xdr:from>
    <xdr:to>
      <xdr:col>1</xdr:col>
      <xdr:colOff>407393</xdr:colOff>
      <xdr:row>135</xdr:row>
      <xdr:rowOff>73100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ECEA991-DAF5-461C-A9A2-7B9DD27AFB99}"/>
            </a:ext>
          </a:extLst>
        </xdr:cNvPr>
        <xdr:cNvSpPr/>
      </xdr:nvSpPr>
      <xdr:spPr>
        <a:xfrm>
          <a:off x="34018" y="8864600"/>
          <a:ext cx="1268725" cy="3810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4277474-DA81-456F-ADCE-DF5D7975F440}"/>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CAD28530-9F49-4808-B6B2-05EF3867A011}"/>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30956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B840494-33D9-4926-AC02-18DC2E59F3EA}"/>
            </a:ext>
          </a:extLst>
        </xdr:cNvPr>
        <xdr:cNvSpPr/>
      </xdr:nvSpPr>
      <xdr:spPr>
        <a:xfrm>
          <a:off x="0" y="5972175"/>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2E1A5DF-EA48-4A49-AA95-30520C804A53}"/>
            </a:ext>
          </a:extLst>
        </xdr:cNvPr>
        <xdr:cNvSpPr/>
      </xdr:nvSpPr>
      <xdr:spPr>
        <a:xfrm>
          <a:off x="0" y="63722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34814B71-12A6-452C-97DC-9FBBB864B4FE}"/>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46</xdr:row>
      <xdr:rowOff>133350</xdr:rowOff>
    </xdr:from>
    <xdr:to>
      <xdr:col>1</xdr:col>
      <xdr:colOff>941907</xdr:colOff>
      <xdr:row>48</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CCDDDCE-82B1-4BA7-8DC8-3BE5B94311F3}"/>
            </a:ext>
          </a:extLst>
        </xdr:cNvPr>
        <xdr:cNvSpPr/>
      </xdr:nvSpPr>
      <xdr:spPr>
        <a:xfrm>
          <a:off x="0" y="1078230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36979</xdr:colOff>
      <xdr:row>32</xdr:row>
      <xdr:rowOff>0</xdr:rowOff>
    </xdr:from>
    <xdr:to>
      <xdr:col>1</xdr:col>
      <xdr:colOff>956475</xdr:colOff>
      <xdr:row>33</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1700281-40AD-41DD-9B1A-A19C3AEFB794}"/>
            </a:ext>
          </a:extLst>
        </xdr:cNvPr>
        <xdr:cNvSpPr/>
      </xdr:nvSpPr>
      <xdr:spPr>
        <a:xfrm>
          <a:off x="36979" y="7924800"/>
          <a:ext cx="1262396" cy="3454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55412009-4944-4AA0-9CF7-FE0148DA9BD1}"/>
            </a:ext>
          </a:extLst>
        </xdr:cNvPr>
        <xdr:cNvSpPr/>
      </xdr:nvSpPr>
      <xdr:spPr>
        <a:xfrm>
          <a:off x="19050" y="2808814"/>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19050</xdr:colOff>
      <xdr:row>34</xdr:row>
      <xdr:rowOff>87584</xdr:rowOff>
    </xdr:from>
    <xdr:to>
      <xdr:col>1</xdr:col>
      <xdr:colOff>971603</xdr:colOff>
      <xdr:row>36</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C5A8DBD-D1E7-43FD-A4B8-441EE4AF6217}"/>
            </a:ext>
          </a:extLst>
        </xdr:cNvPr>
        <xdr:cNvSpPr/>
      </xdr:nvSpPr>
      <xdr:spPr>
        <a:xfrm>
          <a:off x="19050" y="8698184"/>
          <a:ext cx="1266878" cy="46355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38100</xdr:colOff>
      <xdr:row>19</xdr:row>
      <xdr:rowOff>16329</xdr:rowOff>
    </xdr:from>
    <xdr:to>
      <xdr:col>2</xdr:col>
      <xdr:colOff>1016000</xdr:colOff>
      <xdr:row>20</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3A52C0B-0C0D-46FF-8C9D-F44DAA274CDE}"/>
            </a:ext>
          </a:extLst>
        </xdr:cNvPr>
        <xdr:cNvSpPr/>
      </xdr:nvSpPr>
      <xdr:spPr>
        <a:xfrm>
          <a:off x="38100" y="4721679"/>
          <a:ext cx="1397000" cy="4127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78</xdr:row>
      <xdr:rowOff>0</xdr:rowOff>
    </xdr:from>
    <xdr:to>
      <xdr:col>1</xdr:col>
      <xdr:colOff>482768</xdr:colOff>
      <xdr:row>79</xdr:row>
      <xdr:rowOff>199524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7508350-202B-4258-87DC-C93F076E28C9}"/>
            </a:ext>
          </a:extLst>
        </xdr:cNvPr>
        <xdr:cNvSpPr/>
      </xdr:nvSpPr>
      <xdr:spPr>
        <a:xfrm>
          <a:off x="0" y="11344275"/>
          <a:ext cx="1301918" cy="3995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B8F332F-C184-4801-892C-7CF2CBCB0038}"/>
            </a:ext>
          </a:extLst>
        </xdr:cNvPr>
        <xdr:cNvSpPr/>
      </xdr:nvSpPr>
      <xdr:spPr>
        <a:xfrm>
          <a:off x="114300" y="38195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28575</xdr:colOff>
      <xdr:row>13</xdr:row>
      <xdr:rowOff>0</xdr:rowOff>
    </xdr:from>
    <xdr:to>
      <xdr:col>1</xdr:col>
      <xdr:colOff>923978</xdr:colOff>
      <xdr:row>14</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188CDE1-6482-42DF-9AB0-602AAE3EBB9D}"/>
            </a:ext>
          </a:extLst>
        </xdr:cNvPr>
        <xdr:cNvSpPr/>
      </xdr:nvSpPr>
      <xdr:spPr>
        <a:xfrm>
          <a:off x="28575" y="321945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255232</xdr:colOff>
      <xdr:row>52</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EDEC2E9-91E4-4280-8521-A7070BFA9C2C}"/>
            </a:ext>
          </a:extLst>
        </xdr:cNvPr>
        <xdr:cNvSpPr/>
      </xdr:nvSpPr>
      <xdr:spPr>
        <a:xfrm>
          <a:off x="0" y="1072515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28</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AC869D4-09F2-4019-A360-4836EA54900E}"/>
            </a:ext>
          </a:extLst>
        </xdr:cNvPr>
        <xdr:cNvSpPr/>
      </xdr:nvSpPr>
      <xdr:spPr>
        <a:xfrm>
          <a:off x="0" y="668655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1266878</xdr:colOff>
      <xdr:row>14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7297F7C-30C7-4495-BE94-A909AC85B424}"/>
            </a:ext>
          </a:extLst>
        </xdr:cNvPr>
        <xdr:cNvSpPr/>
      </xdr:nvSpPr>
      <xdr:spPr>
        <a:xfrm>
          <a:off x="0" y="321945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161978</xdr:colOff>
      <xdr:row>34</xdr:row>
      <xdr:rowOff>165799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720717A-A74F-4E70-A674-6ABC47DAA7A4}"/>
            </a:ext>
          </a:extLst>
        </xdr:cNvPr>
        <xdr:cNvSpPr/>
      </xdr:nvSpPr>
      <xdr:spPr>
        <a:xfrm>
          <a:off x="0" y="742950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277</xdr:row>
      <xdr:rowOff>38100</xdr:rowOff>
    </xdr:from>
    <xdr:to>
      <xdr:col>1</xdr:col>
      <xdr:colOff>19103</xdr:colOff>
      <xdr:row>278</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ED0370A-3BC6-4489-8465-6897E0EB0124}"/>
            </a:ext>
          </a:extLst>
        </xdr:cNvPr>
        <xdr:cNvSpPr/>
      </xdr:nvSpPr>
      <xdr:spPr>
        <a:xfrm>
          <a:off x="0" y="10687050"/>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84</xdr:row>
      <xdr:rowOff>0</xdr:rowOff>
    </xdr:from>
    <xdr:to>
      <xdr:col>1</xdr:col>
      <xdr:colOff>85778</xdr:colOff>
      <xdr:row>86</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DBE620B-BD8F-4FC3-B5CE-5C0A27837569}"/>
            </a:ext>
          </a:extLst>
        </xdr:cNvPr>
        <xdr:cNvSpPr/>
      </xdr:nvSpPr>
      <xdr:spPr>
        <a:xfrm>
          <a:off x="0" y="13258800"/>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219</xdr:row>
      <xdr:rowOff>0</xdr:rowOff>
    </xdr:from>
    <xdr:to>
      <xdr:col>0</xdr:col>
      <xdr:colOff>1266878</xdr:colOff>
      <xdr:row>221</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10B86A0-BD0D-4EA3-AAC7-32590D9BBB84}"/>
            </a:ext>
          </a:extLst>
        </xdr:cNvPr>
        <xdr:cNvSpPr/>
      </xdr:nvSpPr>
      <xdr:spPr>
        <a:xfrm>
          <a:off x="0" y="94392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151</xdr:row>
      <xdr:rowOff>0</xdr:rowOff>
    </xdr:from>
    <xdr:to>
      <xdr:col>1</xdr:col>
      <xdr:colOff>371528</xdr:colOff>
      <xdr:row>165</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2FE2D20F-319A-4C27-B567-6B2077FFDC57}"/>
            </a:ext>
          </a:extLst>
        </xdr:cNvPr>
        <xdr:cNvSpPr/>
      </xdr:nvSpPr>
      <xdr:spPr>
        <a:xfrm>
          <a:off x="0" y="1014412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76</xdr:row>
      <xdr:rowOff>0</xdr:rowOff>
    </xdr:from>
    <xdr:to>
      <xdr:col>1</xdr:col>
      <xdr:colOff>485776</xdr:colOff>
      <xdr:row>78</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95A13EC-B5FF-4475-AE70-F5CCF1FA8C23}"/>
            </a:ext>
          </a:extLst>
        </xdr:cNvPr>
        <xdr:cNvSpPr/>
      </xdr:nvSpPr>
      <xdr:spPr>
        <a:xfrm>
          <a:off x="0" y="11315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571501</xdr:colOff>
      <xdr:row>113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E4F6905-513C-44FA-A5E6-F345CF5EC171}"/>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B259EFB0-6405-4112-9B25-25DE41F7267C}"/>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F3D173F-E1E2-4678-9A50-CFF8267D0313}"/>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E6EAA669-97E8-4A1B-B5C2-0FE7324E4DAA}"/>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42</xdr:row>
      <xdr:rowOff>94284</xdr:rowOff>
    </xdr:from>
    <xdr:to>
      <xdr:col>5</xdr:col>
      <xdr:colOff>98534</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66E54D8-69CA-42E2-9A11-E5AEFC97A6F5}"/>
            </a:ext>
          </a:extLst>
        </xdr:cNvPr>
        <xdr:cNvSpPr/>
      </xdr:nvSpPr>
      <xdr:spPr>
        <a:xfrm>
          <a:off x="0" y="11362359"/>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63</xdr:row>
      <xdr:rowOff>158749</xdr:rowOff>
    </xdr:from>
    <xdr:to>
      <xdr:col>1</xdr:col>
      <xdr:colOff>590603</xdr:colOff>
      <xdr:row>65</xdr:row>
      <xdr:rowOff>130037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5CFE001-40EC-44AA-AE1D-2D01D3EED5E8}"/>
            </a:ext>
          </a:extLst>
        </xdr:cNvPr>
        <xdr:cNvSpPr/>
      </xdr:nvSpPr>
      <xdr:spPr>
        <a:xfrm>
          <a:off x="0" y="5054599"/>
          <a:ext cx="1552628" cy="3903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31</xdr:row>
      <xdr:rowOff>107154</xdr:rowOff>
    </xdr:from>
    <xdr:to>
      <xdr:col>1</xdr:col>
      <xdr:colOff>364074</xdr:colOff>
      <xdr:row>33</xdr:row>
      <xdr:rowOff>135225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981B4B2-19F6-4EDA-AF56-554FD035C752}"/>
            </a:ext>
          </a:extLst>
        </xdr:cNvPr>
        <xdr:cNvSpPr/>
      </xdr:nvSpPr>
      <xdr:spPr>
        <a:xfrm>
          <a:off x="0" y="7193754"/>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32</xdr:row>
      <xdr:rowOff>20409</xdr:rowOff>
    </xdr:from>
    <xdr:to>
      <xdr:col>1</xdr:col>
      <xdr:colOff>362003</xdr:colOff>
      <xdr:row>34</xdr:row>
      <xdr:rowOff>63664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E322990-0895-431C-8254-58E898663B95}"/>
            </a:ext>
          </a:extLst>
        </xdr:cNvPr>
        <xdr:cNvSpPr/>
      </xdr:nvSpPr>
      <xdr:spPr>
        <a:xfrm>
          <a:off x="0" y="7287984"/>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121</xdr:row>
      <xdr:rowOff>73269</xdr:rowOff>
    </xdr:from>
    <xdr:to>
      <xdr:col>1</xdr:col>
      <xdr:colOff>590603</xdr:colOff>
      <xdr:row>123</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0CE80AD-C5B7-4A54-9DD7-A00EC68D6F11}"/>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8C485BE-A56E-4FA3-8B75-1C8AFB6BB31A}"/>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386</xdr:row>
      <xdr:rowOff>0</xdr:rowOff>
    </xdr:from>
    <xdr:to>
      <xdr:col>1</xdr:col>
      <xdr:colOff>342901</xdr:colOff>
      <xdr:row>388</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49E7A057-7ADD-43E6-8531-036C6FFC6D81}"/>
            </a:ext>
          </a:extLst>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55</xdr:row>
      <xdr:rowOff>0</xdr:rowOff>
    </xdr:from>
    <xdr:to>
      <xdr:col>1</xdr:col>
      <xdr:colOff>485776</xdr:colOff>
      <xdr:row>57</xdr:row>
      <xdr:rowOff>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E1D916A3-C279-4FF4-A549-5E3E3BE06D0F}"/>
            </a:ext>
          </a:extLst>
        </xdr:cNvPr>
        <xdr:cNvSpPr/>
      </xdr:nvSpPr>
      <xdr:spPr>
        <a:xfrm>
          <a:off x="0" y="11315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23</xdr:row>
      <xdr:rowOff>0</xdr:rowOff>
    </xdr:from>
    <xdr:to>
      <xdr:col>3</xdr:col>
      <xdr:colOff>228653</xdr:colOff>
      <xdr:row>25</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84B2469-5EDB-49E1-A2AA-7A67E82F0380}"/>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6183896C-E05A-4353-BBBD-5E7196488BE5}"/>
            </a:ext>
          </a:extLst>
        </xdr:cNvPr>
        <xdr:cNvSpPr/>
      </xdr:nvSpPr>
      <xdr:spPr>
        <a:xfrm>
          <a:off x="0" y="5019675"/>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126</xdr:row>
      <xdr:rowOff>67236</xdr:rowOff>
    </xdr:from>
    <xdr:to>
      <xdr:col>1</xdr:col>
      <xdr:colOff>476250</xdr:colOff>
      <xdr:row>128</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18DD1B28-C796-49C0-85CC-E47DEE12C5DB}"/>
            </a:ext>
          </a:extLst>
        </xdr:cNvPr>
        <xdr:cNvSpPr/>
      </xdr:nvSpPr>
      <xdr:spPr>
        <a:xfrm>
          <a:off x="0" y="118496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126</xdr:row>
      <xdr:rowOff>67236</xdr:rowOff>
    </xdr:from>
    <xdr:to>
      <xdr:col>1</xdr:col>
      <xdr:colOff>476250</xdr:colOff>
      <xdr:row>128</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36764003-B7E5-4D37-9A6E-C3835217BDF5}"/>
            </a:ext>
          </a:extLst>
        </xdr:cNvPr>
        <xdr:cNvSpPr/>
      </xdr:nvSpPr>
      <xdr:spPr>
        <a:xfrm>
          <a:off x="0" y="118496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126</xdr:row>
      <xdr:rowOff>67236</xdr:rowOff>
    </xdr:from>
    <xdr:to>
      <xdr:col>1</xdr:col>
      <xdr:colOff>476250</xdr:colOff>
      <xdr:row>128</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FC832919-B926-4B92-8E5D-61420EEE184F}"/>
            </a:ext>
          </a:extLst>
        </xdr:cNvPr>
        <xdr:cNvSpPr/>
      </xdr:nvSpPr>
      <xdr:spPr>
        <a:xfrm>
          <a:off x="0" y="118496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74</xdr:row>
      <xdr:rowOff>48610</xdr:rowOff>
    </xdr:from>
    <xdr:to>
      <xdr:col>1</xdr:col>
      <xdr:colOff>963083</xdr:colOff>
      <xdr:row>76</xdr:row>
      <xdr:rowOff>95251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9F62EF33-D948-4387-97F2-D047EC5D1F57}"/>
            </a:ext>
          </a:extLst>
        </xdr:cNvPr>
        <xdr:cNvSpPr/>
      </xdr:nvSpPr>
      <xdr:spPr>
        <a:xfrm>
          <a:off x="0" y="18965260"/>
          <a:ext cx="1553633" cy="4657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72</xdr:row>
      <xdr:rowOff>48610</xdr:rowOff>
    </xdr:from>
    <xdr:to>
      <xdr:col>1</xdr:col>
      <xdr:colOff>963083</xdr:colOff>
      <xdr:row>74</xdr:row>
      <xdr:rowOff>95251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D91CE7C-F16C-4808-9282-E0E54B46F47C}"/>
            </a:ext>
          </a:extLst>
        </xdr:cNvPr>
        <xdr:cNvSpPr/>
      </xdr:nvSpPr>
      <xdr:spPr>
        <a:xfrm>
          <a:off x="0" y="17136460"/>
          <a:ext cx="1553633" cy="437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319F4227-67CE-4DA5-9ECA-4271B07F51EA}"/>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A16F0429-E64B-48B1-9632-A375D8CDAE5E}"/>
            </a:ext>
          </a:extLst>
        </xdr:cNvPr>
        <xdr:cNvSpPr/>
      </xdr:nvSpPr>
      <xdr:spPr>
        <a:xfrm>
          <a:off x="0" y="9839325"/>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B67C263-F1B8-49D7-9F9C-4E482C515025}"/>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430AA23-472C-4337-93DC-15F511FE87B1}"/>
            </a:ext>
          </a:extLst>
        </xdr:cNvPr>
        <xdr:cNvSpPr/>
      </xdr:nvSpPr>
      <xdr:spPr>
        <a:xfrm>
          <a:off x="0" y="546735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6893352-58F1-490D-80B9-AFD3611CE21E}"/>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3F40A3EE-873E-4ABA-9F30-16DCEDCEF3EF}"/>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39EC8822-41D7-44E3-A16F-E85285167391}"/>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076E13DF-F994-4D50-8F43-06D5679763EC}"/>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149</xdr:row>
      <xdr:rowOff>0</xdr:rowOff>
    </xdr:from>
    <xdr:to>
      <xdr:col>0</xdr:col>
      <xdr:colOff>1266878</xdr:colOff>
      <xdr:row>150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7B372827-96B1-4933-A898-5E65BF29E2CD}"/>
            </a:ext>
          </a:extLst>
        </xdr:cNvPr>
        <xdr:cNvSpPr/>
      </xdr:nvSpPr>
      <xdr:spPr>
        <a:xfrm>
          <a:off x="0" y="299466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73179BDA-1E7C-4269-969A-28F05DA30FAD}"/>
            </a:ext>
          </a:extLst>
        </xdr:cNvPr>
        <xdr:cNvSpPr/>
      </xdr:nvSpPr>
      <xdr:spPr>
        <a:xfrm>
          <a:off x="0" y="299466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149</xdr:row>
      <xdr:rowOff>0</xdr:rowOff>
    </xdr:from>
    <xdr:to>
      <xdr:col>0</xdr:col>
      <xdr:colOff>1266878</xdr:colOff>
      <xdr:row>150</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5EB9C968-923F-45BC-A7F2-FCA2CF2AE05D}"/>
            </a:ext>
          </a:extLst>
        </xdr:cNvPr>
        <xdr:cNvSpPr/>
      </xdr:nvSpPr>
      <xdr:spPr>
        <a:xfrm>
          <a:off x="0" y="299466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184</xdr:row>
      <xdr:rowOff>0</xdr:rowOff>
    </xdr:from>
    <xdr:to>
      <xdr:col>0</xdr:col>
      <xdr:colOff>1266878</xdr:colOff>
      <xdr:row>185</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C01FA43E-E0B6-41EB-AE4A-0DF948E76E7F}"/>
            </a:ext>
          </a:extLst>
        </xdr:cNvPr>
        <xdr:cNvSpPr/>
      </xdr:nvSpPr>
      <xdr:spPr>
        <a:xfrm>
          <a:off x="0" y="346900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D13EE594-7215-47AD-954F-B8233EF33D84}"/>
            </a:ext>
          </a:extLst>
        </xdr:cNvPr>
        <xdr:cNvSpPr/>
      </xdr:nvSpPr>
      <xdr:spPr>
        <a:xfrm>
          <a:off x="0" y="417195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106</xdr:row>
      <xdr:rowOff>0</xdr:rowOff>
    </xdr:from>
    <xdr:to>
      <xdr:col>2</xdr:col>
      <xdr:colOff>416380</xdr:colOff>
      <xdr:row>108</xdr:row>
      <xdr:rowOff>46264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F9E7C52C-6F6C-47D2-B5F8-C472C7FC9525}"/>
            </a:ext>
          </a:extLst>
        </xdr:cNvPr>
        <xdr:cNvSpPr/>
      </xdr:nvSpPr>
      <xdr:spPr>
        <a:xfrm>
          <a:off x="0" y="9058275"/>
          <a:ext cx="1302205" cy="40821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628672B8-26A1-42C9-BFFD-64B6DD228506}"/>
            </a:ext>
          </a:extLst>
        </xdr:cNvPr>
        <xdr:cNvSpPr/>
      </xdr:nvSpPr>
      <xdr:spPr>
        <a:xfrm>
          <a:off x="0" y="6076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
  <sheetViews>
    <sheetView tabSelected="1" zoomScaleNormal="100" workbookViewId="0"/>
  </sheetViews>
  <sheetFormatPr defaultRowHeight="15.75" x14ac:dyDescent="0.3"/>
  <cols>
    <col min="1" max="1" width="129.28515625" style="3583" customWidth="1"/>
    <col min="2" max="16384" width="9.140625" style="3579"/>
  </cols>
  <sheetData>
    <row r="1" spans="1:1" ht="30.75" x14ac:dyDescent="0.55000000000000004">
      <c r="A1" s="3578" t="s">
        <v>5344</v>
      </c>
    </row>
    <row r="2" spans="1:1" s="3581" customFormat="1" ht="35.25" customHeight="1" x14ac:dyDescent="0.3">
      <c r="A2" s="3580" t="s">
        <v>5345</v>
      </c>
    </row>
    <row r="3" spans="1:1" s="3581" customFormat="1" ht="35.25" customHeight="1" x14ac:dyDescent="0.3">
      <c r="A3" s="3580" t="s">
        <v>5346</v>
      </c>
    </row>
    <row r="4" spans="1:1" s="3581" customFormat="1" ht="35.25" customHeight="1" x14ac:dyDescent="0.3">
      <c r="A4" s="3580" t="s">
        <v>5347</v>
      </c>
    </row>
    <row r="5" spans="1:1" s="3581" customFormat="1" ht="35.25" customHeight="1" x14ac:dyDescent="0.3">
      <c r="A5" s="3580" t="s">
        <v>5348</v>
      </c>
    </row>
    <row r="6" spans="1:1" s="3581" customFormat="1" ht="35.25" customHeight="1" x14ac:dyDescent="0.3">
      <c r="A6" s="3580" t="s">
        <v>5349</v>
      </c>
    </row>
    <row r="7" spans="1:1" s="3581" customFormat="1" ht="35.25" customHeight="1" x14ac:dyDescent="0.3">
      <c r="A7" s="3580" t="s">
        <v>5350</v>
      </c>
    </row>
    <row r="8" spans="1:1" s="3581" customFormat="1" ht="35.25" customHeight="1" x14ac:dyDescent="0.3">
      <c r="A8" s="3580" t="s">
        <v>5351</v>
      </c>
    </row>
    <row r="9" spans="1:1" s="3581" customFormat="1" ht="35.25" customHeight="1" x14ac:dyDescent="0.3">
      <c r="A9" s="3580" t="s">
        <v>5352</v>
      </c>
    </row>
    <row r="10" spans="1:1" s="3581" customFormat="1" ht="35.25" customHeight="1" x14ac:dyDescent="0.3">
      <c r="A10" s="3580" t="s">
        <v>5353</v>
      </c>
    </row>
    <row r="11" spans="1:1" s="3581" customFormat="1" ht="35.25" customHeight="1" x14ac:dyDescent="0.3">
      <c r="A11" s="3580" t="s">
        <v>5354</v>
      </c>
    </row>
    <row r="12" spans="1:1" s="3581" customFormat="1" ht="35.25" customHeight="1" x14ac:dyDescent="0.3">
      <c r="A12" s="3580" t="s">
        <v>5355</v>
      </c>
    </row>
    <row r="13" spans="1:1" s="3581" customFormat="1" ht="35.25" customHeight="1" x14ac:dyDescent="0.3">
      <c r="A13" s="3580" t="s">
        <v>5356</v>
      </c>
    </row>
    <row r="14" spans="1:1" s="3581" customFormat="1" ht="35.25" customHeight="1" x14ac:dyDescent="0.3">
      <c r="A14" s="3580" t="s">
        <v>5357</v>
      </c>
    </row>
    <row r="15" spans="1:1" s="3581" customFormat="1" ht="35.25" customHeight="1" x14ac:dyDescent="0.3">
      <c r="A15" s="3580" t="s">
        <v>5358</v>
      </c>
    </row>
    <row r="16" spans="1:1" s="3581" customFormat="1" ht="35.25" customHeight="1" x14ac:dyDescent="0.3">
      <c r="A16" s="3580" t="s">
        <v>5359</v>
      </c>
    </row>
    <row r="17" spans="1:1" s="3581" customFormat="1" ht="35.25" customHeight="1" x14ac:dyDescent="0.3">
      <c r="A17" s="3580" t="s">
        <v>5360</v>
      </c>
    </row>
    <row r="18" spans="1:1" s="3581" customFormat="1" ht="35.25" customHeight="1" x14ac:dyDescent="0.3">
      <c r="A18" s="3580" t="s">
        <v>5361</v>
      </c>
    </row>
    <row r="19" spans="1:1" s="3581" customFormat="1" ht="35.25" customHeight="1" x14ac:dyDescent="0.3">
      <c r="A19" s="3580" t="s">
        <v>5362</v>
      </c>
    </row>
    <row r="20" spans="1:1" s="3581" customFormat="1" ht="35.25" customHeight="1" x14ac:dyDescent="0.3">
      <c r="A20" s="3580" t="s">
        <v>5363</v>
      </c>
    </row>
    <row r="21" spans="1:1" s="3581" customFormat="1" ht="35.25" customHeight="1" x14ac:dyDescent="0.3">
      <c r="A21" s="3580" t="s">
        <v>5364</v>
      </c>
    </row>
    <row r="22" spans="1:1" s="3581" customFormat="1" ht="35.25" customHeight="1" x14ac:dyDescent="0.3">
      <c r="A22" s="3580" t="s">
        <v>5365</v>
      </c>
    </row>
    <row r="23" spans="1:1" s="3581" customFormat="1" ht="35.25" customHeight="1" x14ac:dyDescent="0.3">
      <c r="A23" s="3580" t="s">
        <v>5366</v>
      </c>
    </row>
    <row r="24" spans="1:1" s="3581" customFormat="1" ht="35.25" customHeight="1" x14ac:dyDescent="0.3">
      <c r="A24" s="3580" t="s">
        <v>5367</v>
      </c>
    </row>
    <row r="25" spans="1:1" s="3581" customFormat="1" ht="35.25" customHeight="1" x14ac:dyDescent="0.3">
      <c r="A25" s="3580" t="s">
        <v>5368</v>
      </c>
    </row>
    <row r="26" spans="1:1" s="3581" customFormat="1" ht="35.25" customHeight="1" x14ac:dyDescent="0.3">
      <c r="A26" s="3580" t="s">
        <v>5369</v>
      </c>
    </row>
    <row r="27" spans="1:1" s="3581" customFormat="1" ht="35.25" customHeight="1" x14ac:dyDescent="0.3">
      <c r="A27" s="3580" t="s">
        <v>5370</v>
      </c>
    </row>
    <row r="28" spans="1:1" s="3581" customFormat="1" ht="35.25" customHeight="1" x14ac:dyDescent="0.3">
      <c r="A28" s="3580" t="s">
        <v>5371</v>
      </c>
    </row>
    <row r="29" spans="1:1" s="3581" customFormat="1" ht="35.25" customHeight="1" x14ac:dyDescent="0.3">
      <c r="A29" s="3580" t="s">
        <v>5372</v>
      </c>
    </row>
    <row r="30" spans="1:1" s="3581" customFormat="1" ht="35.25" customHeight="1" x14ac:dyDescent="0.3">
      <c r="A30" s="3580" t="s">
        <v>5373</v>
      </c>
    </row>
    <row r="31" spans="1:1" s="3581" customFormat="1" ht="35.25" customHeight="1" x14ac:dyDescent="0.3">
      <c r="A31" s="3580" t="s">
        <v>5374</v>
      </c>
    </row>
    <row r="32" spans="1:1" s="3581" customFormat="1" ht="35.25" customHeight="1" x14ac:dyDescent="0.3">
      <c r="A32" s="3580" t="s">
        <v>5375</v>
      </c>
    </row>
    <row r="33" spans="1:1" s="3581" customFormat="1" ht="35.25" customHeight="1" x14ac:dyDescent="0.3">
      <c r="A33" s="3580" t="s">
        <v>5376</v>
      </c>
    </row>
    <row r="34" spans="1:1" s="3581" customFormat="1" ht="35.25" customHeight="1" x14ac:dyDescent="0.3">
      <c r="A34" s="3580" t="s">
        <v>5377</v>
      </c>
    </row>
    <row r="35" spans="1:1" s="3581" customFormat="1" ht="35.25" customHeight="1" x14ac:dyDescent="0.3">
      <c r="A35" s="3580" t="s">
        <v>5378</v>
      </c>
    </row>
    <row r="36" spans="1:1" s="3581" customFormat="1" ht="35.25" customHeight="1" x14ac:dyDescent="0.3">
      <c r="A36" s="3580" t="s">
        <v>5379</v>
      </c>
    </row>
    <row r="37" spans="1:1" s="3581" customFormat="1" ht="35.25" customHeight="1" x14ac:dyDescent="0.3">
      <c r="A37" s="3580" t="s">
        <v>5380</v>
      </c>
    </row>
    <row r="38" spans="1:1" s="3581" customFormat="1" ht="35.25" customHeight="1" x14ac:dyDescent="0.3">
      <c r="A38" s="3580" t="s">
        <v>5381</v>
      </c>
    </row>
    <row r="39" spans="1:1" s="3581" customFormat="1" ht="35.25" customHeight="1" x14ac:dyDescent="0.3">
      <c r="A39" s="3580" t="s">
        <v>5382</v>
      </c>
    </row>
    <row r="40" spans="1:1" s="3581" customFormat="1" ht="35.25" customHeight="1" x14ac:dyDescent="0.3">
      <c r="A40" s="3580" t="s">
        <v>5383</v>
      </c>
    </row>
    <row r="41" spans="1:1" s="3581" customFormat="1" ht="35.25" customHeight="1" x14ac:dyDescent="0.3">
      <c r="A41" s="3580" t="s">
        <v>5384</v>
      </c>
    </row>
    <row r="42" spans="1:1" s="3581" customFormat="1" ht="35.25" customHeight="1" x14ac:dyDescent="0.3">
      <c r="A42" s="3580" t="s">
        <v>5385</v>
      </c>
    </row>
    <row r="43" spans="1:1" s="3581" customFormat="1" ht="35.25" customHeight="1" x14ac:dyDescent="0.3">
      <c r="A43" s="3580" t="s">
        <v>5386</v>
      </c>
    </row>
    <row r="44" spans="1:1" s="3581" customFormat="1" ht="35.25" customHeight="1" x14ac:dyDescent="0.3">
      <c r="A44" s="3580" t="s">
        <v>5387</v>
      </c>
    </row>
    <row r="45" spans="1:1" s="3581" customFormat="1" ht="35.25" customHeight="1" x14ac:dyDescent="0.3">
      <c r="A45" s="3580" t="s">
        <v>5388</v>
      </c>
    </row>
    <row r="46" spans="1:1" s="3581" customFormat="1" ht="35.25" customHeight="1" x14ac:dyDescent="0.3">
      <c r="A46" s="3580" t="s">
        <v>5389</v>
      </c>
    </row>
    <row r="47" spans="1:1" s="3581" customFormat="1" ht="35.25" customHeight="1" x14ac:dyDescent="0.3">
      <c r="A47" s="3580" t="s">
        <v>5390</v>
      </c>
    </row>
    <row r="48" spans="1:1" s="3581" customFormat="1" ht="35.25" customHeight="1" x14ac:dyDescent="0.3">
      <c r="A48" s="3580" t="s">
        <v>5391</v>
      </c>
    </row>
    <row r="49" spans="1:1" s="3581" customFormat="1" ht="35.25" customHeight="1" x14ac:dyDescent="0.3">
      <c r="A49" s="3580" t="s">
        <v>5392</v>
      </c>
    </row>
    <row r="50" spans="1:1" s="3581" customFormat="1" ht="35.25" customHeight="1" x14ac:dyDescent="0.3">
      <c r="A50" s="3580" t="s">
        <v>5393</v>
      </c>
    </row>
    <row r="51" spans="1:1" s="3581" customFormat="1" ht="35.25" customHeight="1" x14ac:dyDescent="0.3">
      <c r="A51" s="3580" t="s">
        <v>5394</v>
      </c>
    </row>
    <row r="52" spans="1:1" s="3581" customFormat="1" ht="35.25" customHeight="1" x14ac:dyDescent="0.3">
      <c r="A52" s="3580" t="s">
        <v>5395</v>
      </c>
    </row>
    <row r="53" spans="1:1" s="3581" customFormat="1" ht="35.25" customHeight="1" x14ac:dyDescent="0.3">
      <c r="A53" s="3580" t="s">
        <v>5396</v>
      </c>
    </row>
    <row r="54" spans="1:1" s="3581" customFormat="1" ht="35.25" customHeight="1" x14ac:dyDescent="0.3">
      <c r="A54" s="3580" t="s">
        <v>5397</v>
      </c>
    </row>
    <row r="55" spans="1:1" s="3581" customFormat="1" ht="35.25" customHeight="1" x14ac:dyDescent="0.3">
      <c r="A55" s="3580" t="s">
        <v>5398</v>
      </c>
    </row>
    <row r="56" spans="1:1" s="3581" customFormat="1" ht="35.25" customHeight="1" x14ac:dyDescent="0.3">
      <c r="A56" s="3580" t="s">
        <v>5399</v>
      </c>
    </row>
    <row r="57" spans="1:1" s="3581" customFormat="1" ht="35.25" customHeight="1" x14ac:dyDescent="0.3">
      <c r="A57" s="3580" t="s">
        <v>5400</v>
      </c>
    </row>
    <row r="58" spans="1:1" s="3581" customFormat="1" ht="35.25" customHeight="1" x14ac:dyDescent="0.3">
      <c r="A58" s="3580" t="s">
        <v>5401</v>
      </c>
    </row>
    <row r="59" spans="1:1" s="3581" customFormat="1" ht="35.25" customHeight="1" x14ac:dyDescent="0.3">
      <c r="A59" s="3580" t="s">
        <v>5402</v>
      </c>
    </row>
    <row r="60" spans="1:1" s="3581" customFormat="1" ht="35.25" customHeight="1" x14ac:dyDescent="0.3">
      <c r="A60" s="3580" t="s">
        <v>5403</v>
      </c>
    </row>
    <row r="61" spans="1:1" s="3581" customFormat="1" ht="35.25" customHeight="1" x14ac:dyDescent="0.3">
      <c r="A61" s="3580" t="s">
        <v>5404</v>
      </c>
    </row>
    <row r="62" spans="1:1" s="3581" customFormat="1" ht="35.25" customHeight="1" x14ac:dyDescent="0.3">
      <c r="A62" s="3580" t="s">
        <v>5405</v>
      </c>
    </row>
    <row r="63" spans="1:1" s="3581" customFormat="1" ht="35.25" customHeight="1" x14ac:dyDescent="0.3">
      <c r="A63" s="3580" t="s">
        <v>5406</v>
      </c>
    </row>
    <row r="64" spans="1:1" s="3581" customFormat="1" ht="35.25" customHeight="1" x14ac:dyDescent="0.3">
      <c r="A64" s="3580" t="s">
        <v>5407</v>
      </c>
    </row>
    <row r="65" spans="1:1" s="3581" customFormat="1" ht="35.25" customHeight="1" x14ac:dyDescent="0.3">
      <c r="A65" s="3580" t="s">
        <v>5408</v>
      </c>
    </row>
    <row r="66" spans="1:1" s="3581" customFormat="1" ht="35.25" customHeight="1" x14ac:dyDescent="0.3">
      <c r="A66" s="3580" t="s">
        <v>5409</v>
      </c>
    </row>
    <row r="67" spans="1:1" s="3581" customFormat="1" ht="35.25" customHeight="1" x14ac:dyDescent="0.3">
      <c r="A67" s="3580" t="s">
        <v>5410</v>
      </c>
    </row>
    <row r="68" spans="1:1" s="3581" customFormat="1" ht="35.25" customHeight="1" x14ac:dyDescent="0.3">
      <c r="A68" s="3580" t="s">
        <v>5411</v>
      </c>
    </row>
    <row r="69" spans="1:1" s="3581" customFormat="1" ht="35.25" customHeight="1" x14ac:dyDescent="0.3">
      <c r="A69" s="3580" t="s">
        <v>5412</v>
      </c>
    </row>
    <row r="70" spans="1:1" s="3581" customFormat="1" ht="35.25" customHeight="1" x14ac:dyDescent="0.3">
      <c r="A70" s="3580" t="s">
        <v>5413</v>
      </c>
    </row>
    <row r="71" spans="1:1" s="3581" customFormat="1" ht="35.25" customHeight="1" x14ac:dyDescent="0.3">
      <c r="A71" s="3580" t="s">
        <v>5414</v>
      </c>
    </row>
    <row r="72" spans="1:1" s="3581" customFormat="1" ht="35.25" customHeight="1" x14ac:dyDescent="0.3">
      <c r="A72" s="3580" t="s">
        <v>5415</v>
      </c>
    </row>
    <row r="73" spans="1:1" s="3581" customFormat="1" ht="35.25" customHeight="1" x14ac:dyDescent="0.3">
      <c r="A73" s="3580" t="s">
        <v>5416</v>
      </c>
    </row>
    <row r="74" spans="1:1" s="3581" customFormat="1" ht="35.25" customHeight="1" x14ac:dyDescent="0.3">
      <c r="A74" s="3580" t="s">
        <v>5417</v>
      </c>
    </row>
    <row r="75" spans="1:1" s="3581" customFormat="1" ht="35.25" customHeight="1" x14ac:dyDescent="0.3">
      <c r="A75" s="3580" t="s">
        <v>5418</v>
      </c>
    </row>
    <row r="76" spans="1:1" s="3581" customFormat="1" ht="35.25" customHeight="1" x14ac:dyDescent="0.3">
      <c r="A76" s="3580" t="s">
        <v>5419</v>
      </c>
    </row>
    <row r="77" spans="1:1" s="3581" customFormat="1" ht="35.25" customHeight="1" x14ac:dyDescent="0.3">
      <c r="A77" s="3580" t="s">
        <v>5420</v>
      </c>
    </row>
    <row r="78" spans="1:1" s="3581" customFormat="1" ht="35.25" customHeight="1" x14ac:dyDescent="0.3">
      <c r="A78" s="3580" t="s">
        <v>5421</v>
      </c>
    </row>
    <row r="79" spans="1:1" s="3581" customFormat="1" ht="35.25" customHeight="1" x14ac:dyDescent="0.3">
      <c r="A79" s="3580" t="s">
        <v>5422</v>
      </c>
    </row>
    <row r="80" spans="1:1" s="3581" customFormat="1" ht="35.25" customHeight="1" x14ac:dyDescent="0.3">
      <c r="A80" s="3580" t="s">
        <v>5423</v>
      </c>
    </row>
    <row r="81" spans="1:1" s="3581" customFormat="1" ht="35.25" customHeight="1" x14ac:dyDescent="0.3">
      <c r="A81" s="3580" t="s">
        <v>5424</v>
      </c>
    </row>
    <row r="82" spans="1:1" s="3581" customFormat="1" ht="35.25" customHeight="1" x14ac:dyDescent="0.3">
      <c r="A82" s="3580" t="s">
        <v>5425</v>
      </c>
    </row>
    <row r="83" spans="1:1" s="3581" customFormat="1" ht="35.25" customHeight="1" x14ac:dyDescent="0.3">
      <c r="A83" s="3580" t="s">
        <v>5426</v>
      </c>
    </row>
    <row r="84" spans="1:1" s="3581" customFormat="1" ht="35.25" customHeight="1" x14ac:dyDescent="0.3">
      <c r="A84" s="3580" t="s">
        <v>5427</v>
      </c>
    </row>
    <row r="85" spans="1:1" s="3581" customFormat="1" ht="35.25" customHeight="1" x14ac:dyDescent="0.3">
      <c r="A85" s="3580" t="s">
        <v>5428</v>
      </c>
    </row>
    <row r="86" spans="1:1" s="3581" customFormat="1" ht="35.25" customHeight="1" x14ac:dyDescent="0.3">
      <c r="A86" s="3580" t="s">
        <v>5429</v>
      </c>
    </row>
    <row r="87" spans="1:1" s="3581" customFormat="1" ht="35.25" customHeight="1" x14ac:dyDescent="0.3">
      <c r="A87" s="3580" t="s">
        <v>5430</v>
      </c>
    </row>
    <row r="88" spans="1:1" s="3581" customFormat="1" ht="35.25" customHeight="1" x14ac:dyDescent="0.3">
      <c r="A88" s="3580" t="s">
        <v>5431</v>
      </c>
    </row>
    <row r="89" spans="1:1" s="3581" customFormat="1" ht="35.25" customHeight="1" x14ac:dyDescent="0.3">
      <c r="A89" s="3580" t="s">
        <v>5432</v>
      </c>
    </row>
    <row r="90" spans="1:1" s="3581" customFormat="1" ht="35.25" customHeight="1" x14ac:dyDescent="0.3">
      <c r="A90" s="3580" t="s">
        <v>5433</v>
      </c>
    </row>
    <row r="91" spans="1:1" s="3581" customFormat="1" ht="35.25" customHeight="1" x14ac:dyDescent="0.3">
      <c r="A91" s="3580" t="s">
        <v>5434</v>
      </c>
    </row>
    <row r="92" spans="1:1" s="3581" customFormat="1" ht="35.25" customHeight="1" x14ac:dyDescent="0.3">
      <c r="A92" s="3580" t="s">
        <v>5435</v>
      </c>
    </row>
    <row r="93" spans="1:1" s="3581" customFormat="1" ht="35.25" customHeight="1" x14ac:dyDescent="0.3">
      <c r="A93" s="3580" t="s">
        <v>5436</v>
      </c>
    </row>
    <row r="94" spans="1:1" s="3581" customFormat="1" ht="35.25" customHeight="1" x14ac:dyDescent="0.3">
      <c r="A94" s="3580" t="s">
        <v>5437</v>
      </c>
    </row>
    <row r="95" spans="1:1" s="3581" customFormat="1" ht="35.25" customHeight="1" x14ac:dyDescent="0.3">
      <c r="A95" s="3580" t="s">
        <v>5438</v>
      </c>
    </row>
    <row r="96" spans="1:1" s="3581" customFormat="1" ht="35.25" customHeight="1" x14ac:dyDescent="0.3">
      <c r="A96" s="3580" t="s">
        <v>5439</v>
      </c>
    </row>
    <row r="97" spans="1:1" s="3581" customFormat="1" ht="35.25" customHeight="1" x14ac:dyDescent="0.3">
      <c r="A97" s="3580" t="s">
        <v>5440</v>
      </c>
    </row>
    <row r="98" spans="1:1" s="3581" customFormat="1" ht="35.25" customHeight="1" x14ac:dyDescent="0.3">
      <c r="A98" s="3580" t="s">
        <v>5441</v>
      </c>
    </row>
    <row r="99" spans="1:1" s="3581" customFormat="1" ht="26.1" customHeight="1" x14ac:dyDescent="0.3">
      <c r="A99" s="3582"/>
    </row>
    <row r="100" spans="1:1" s="3581" customFormat="1" ht="26.1" customHeight="1" x14ac:dyDescent="0.3">
      <c r="A100" s="3582"/>
    </row>
  </sheetData>
  <hyperlinks>
    <hyperlink ref="A2" location="'1'!A1" display="1. Selected Economic Indicators of Mauritius: 2010 to 2020 " xr:uid="{00000000-0004-0000-0000-000000000000}"/>
    <hyperlink ref="A3" location="'2'!A1" display="2. Selected Trading Partners' Real GDP Growth and Inflation Rates: 2017 to 2021 (Annual) and 2017Q1 to 2021Q1 (Quarterly) " xr:uid="{00000000-0004-0000-0000-000001000000}"/>
    <hyperlink ref="A4" location="'3'!A1" display="3. Selected Global Stock Market Indices: 2017 to 2020 (Annual) and January 2017 to May 2021 (Monthly)" xr:uid="{00000000-0004-0000-0000-000002000000}"/>
    <hyperlink ref="A5" location="'4'!A1" display="4. FAO Food Price Indices and Oil Prices: 2016 to 2020 (Annual) and January 2018 to May 2021 (Monthly)" xr:uid="{00000000-0004-0000-0000-000003000000}"/>
    <hyperlink ref="A6" location="'5'!A1" display="5. GDP and Expenditure Components at Current Market Prices, 2016 to 2020 (Annual) and Real Growth Rates, 2016Q1 to 2020Q4 (Quarterly)" xr:uid="{00000000-0004-0000-0000-000004000000}"/>
    <hyperlink ref="A7" location="'6'!A1" display="6. Gross Value Added by Industry Group at Current Basic Prices, 2016 to 2020 (Annual) and Sectoral Growth Rates, 2016Q1 to 2020Q4 (Quarterly)" xr:uid="{00000000-0004-0000-0000-000005000000}"/>
    <hyperlink ref="A8" location="'7'!A1" display="7. Labour Force and Unemployment Rate: 2017 to 2020 (Annual), 2017Q1 to 2020Q1 (Quarterly) and May 2020 to December 2020" xr:uid="{00000000-0004-0000-0000-000006000000}"/>
    <hyperlink ref="A9" location="'8  '!A1" display="8. Exports and Imports by Product Group: 2017 to 2020 (Annual) and January 2017 to March 2021 (Monthly)" xr:uid="{00000000-0004-0000-0000-000007000000}"/>
    <hyperlink ref="A10" location="'9'!A1" display="9. Monthly Statement of Budgetary Central Government Operations: July 2020 to January 2021" xr:uid="{00000000-0004-0000-0000-000008000000}"/>
    <hyperlink ref="A11" location="'10'!A1" display="10. Outstanding Public Sector Debt: March 2020 to March 2021" xr:uid="{00000000-0004-0000-0000-000009000000}"/>
    <hyperlink ref="A12" location="'11'!A1" display="11. Consumer Price Index (CPI) and Inflation Rates: January 2017 to May 2021" xr:uid="{00000000-0004-0000-0000-00000A000000}"/>
    <hyperlink ref="A13" location="'12'!A1" display="12. Headline and Core Inflation Rates: May 2019 to May 2021" xr:uid="{00000000-0004-0000-0000-00000B000000}"/>
    <hyperlink ref="A14" location="'13'!A1" display="13. Selected Price Indicators: 2017 to 2020 (Annual) and 2017Q1 to 2021Q1 (Quarterly)" xr:uid="{00000000-0004-0000-0000-00000C000000}"/>
    <hyperlink ref="A15" location="'14'!A1" display="14. Bank of Mauritius Statement of Financial Position as at end May 2021" xr:uid="{00000000-0004-0000-0000-00000D000000}"/>
    <hyperlink ref="A16" location="'15'!A1" display="15. Sectoral Balance Sheet of Bank of Mauritius: May 2020 to May 2021" xr:uid="{00000000-0004-0000-0000-00000E000000}"/>
    <hyperlink ref="A17" location="'16'!A1" display="16. Central Bank Survey: May 2020 to May 2021" xr:uid="{00000000-0004-0000-0000-00000F000000}"/>
    <hyperlink ref="A18" location="'17'!A1" display="17. Sectoral Balance Sheet of Banks: April 2020 to April 2021 " xr:uid="{00000000-0004-0000-0000-000010000000}"/>
    <hyperlink ref="A19" location="'18'!A1" display="18. Sectoral Balance Sheet of Non-Bank Deposit Taking Institutions: April 2020 to April 2021 " xr:uid="{00000000-0004-0000-0000-000011000000}"/>
    <hyperlink ref="A20" location="'19'!A1" display="19. Sectoral Balance Sheet of Other Depository Corporations: April 2020 to April 2021" xr:uid="{00000000-0004-0000-0000-000012000000}"/>
    <hyperlink ref="A21" location="'20'!A1" display="20. Other Depository Corporations Survey: April 2020 to April 2021" xr:uid="{00000000-0004-0000-0000-000013000000}"/>
    <hyperlink ref="A22" location="'21'!A1" display="21. Depository Corporations Survey: April 2020 to April 2021" xr:uid="{00000000-0004-0000-0000-000014000000}"/>
    <hyperlink ref="A23" location="'22a-b'!A1" display="22a. Components and Sources of Monetary Base: April 2020 to April 2021" xr:uid="{00000000-0004-0000-0000-000015000000}"/>
    <hyperlink ref="A25" location="'23'!A1" display="23. Bank Loans to Other Nonfinancial Corporations, Households and Other Sectors as at end-April 2021" xr:uid="{00000000-0004-0000-0000-000016000000}"/>
    <hyperlink ref="A26" location="'24'!A1" display="24. Bank Loans to Other Nonfinancial Corporations, Households and Other Sectors: April 2020 to April 2021" xr:uid="{00000000-0004-0000-0000-000017000000}"/>
    <hyperlink ref="A27" location="'25a'!A1" display="25a. Banks' Interest Rates on New Rupee Deposits: April 2020 to April 2021" xr:uid="{00000000-0004-0000-0000-000018000000}"/>
    <hyperlink ref="A29" location="'26'!A1" display="26. Banks' Principal Interest Rates and Other Interest Rates: April 2018 to April 2021" xr:uid="{00000000-0004-0000-0000-000019000000}"/>
    <hyperlink ref="A30" location="'27 '!A1" display="27. NBDTIs Loans to Other Nonfinancial Corporations, Households and Other Sectors as at end-April 2021" xr:uid="{00000000-0004-0000-0000-00001A000000}"/>
    <hyperlink ref="A31" location="'28'!A1" display="28. NBDTIs Loans to Other Nonfinancial Corporations, Households and Other Sectors: April 2020 to April 2021" xr:uid="{00000000-0004-0000-0000-00001B000000}"/>
    <hyperlink ref="A32" location="'29'!A1" display="29. NBDTIs Interest Rates on New Rupee Deposits: April 2020 to April 2021" xr:uid="{00000000-0004-0000-0000-00001C000000}"/>
    <hyperlink ref="A33" location="'30'!A1" display="30. NBDTIs Interest Rates on New Rupee Loans to Other Nonfinancial Corporations, Households and Other Sectors: April 2020 to April 2021" xr:uid="{00000000-0004-0000-0000-00001D000000}"/>
    <hyperlink ref="A34" location="'31'!A1" display="31. ODCs Loans to Other Nonfinancial Corporations, Households and Other Sectors as at end-April 2021" xr:uid="{00000000-0004-0000-0000-00001E000000}"/>
    <hyperlink ref="A35" location="'32'!A1" display="32. ODCs Loans to Other Nonfinancial Corporations, Households and Other Sectors: April 2020 to April 2021" xr:uid="{00000000-0004-0000-0000-00001F000000}"/>
    <hyperlink ref="A36" location="'33'!A1" display="33. Maintenance of Cash Reserve Ratio (CRR) by Banks: 04 June 2020 to 03 June 2021" xr:uid="{00000000-0004-0000-0000-000020000000}"/>
    <hyperlink ref="A37" location="'34'!A1" display="34. Maturity Pattern of Banks' Foreign Currency Deposits: As at end-March 2021" xr:uid="{00000000-0004-0000-0000-000021000000}"/>
    <hyperlink ref="A38" location="'35'!A1" display="35. Financial Soundness Indicators of Other Depository Corporations: December 2018 to December 2020" xr:uid="{00000000-0004-0000-0000-000022000000}"/>
    <hyperlink ref="A39" location="'36'!A1" display="36. Currency in Circulation: May 2020 to May 2021" xr:uid="{00000000-0004-0000-0000-000023000000}"/>
    <hyperlink ref="A40" location="'37'!A1" display="37. Cheque Clearance: January 2018 to May 2021" xr:uid="{00000000-0004-0000-0000-000024000000}"/>
    <hyperlink ref="A41" location="'38a'!A1" display="38a. Mauritius Automated Clearing and Settlement System (MACSS) Rupee Transactions: January 2018 to May 2021" xr:uid="{00000000-0004-0000-0000-000025000000}"/>
    <hyperlink ref="A42" location="'38b'!A1" display="38b. Mauritius Automated Clearing and Settlement System (MACSS) Foreign Currency Transactions: January 2018 to May 2021" xr:uid="{00000000-0004-0000-0000-000026000000}"/>
    <hyperlink ref="A43" location="'39-40-41'!A1" display="39. Card Transactions: June 2020 to June 2021" xr:uid="{00000000-0004-0000-0000-000027000000}"/>
    <hyperlink ref="A46" location="'42'!A1" display="42. Assets and Liabilities of Non-Bank Deposit Taking Leasing Companies: April 2020 to April 2021" xr:uid="{00000000-0004-0000-0000-000028000000}"/>
    <hyperlink ref="A44" location="'39-40-41'!A23" display="40. Internet Banking Transactions: June 2020 to June 2021" xr:uid="{00000000-0004-0000-0000-000029000000}"/>
    <hyperlink ref="A45" location="'39-40-41'!A34" display="41. Mobile Banking and Mobile Payments: June 2020 to June 2021" xr:uid="{00000000-0004-0000-0000-00002A000000}"/>
    <hyperlink ref="A47" location="'43'!A1" display="43. Consolidated Quarterly Profit and Loss Statement of Non-Bank Deposit Taking Leasing Companies: December 2014 to March 2021" xr:uid="{00000000-0004-0000-0000-00002B000000}"/>
    <hyperlink ref="A48" location="'44'!A1" display="44. Sectorwise Distribution of Credit to Non-Residents: March 2021" xr:uid="{00000000-0004-0000-0000-00002C000000}"/>
    <hyperlink ref="A49" location="'45a-c'!A1" display="45a. Auctions of Government of Mauritius Treasury Bills: May 2021 and June 2021 " xr:uid="{00000000-0004-0000-0000-00002D000000}"/>
    <hyperlink ref="A50" location="'45a-c'!A16" display="45b. Auctions of Government of Mauritius Treasury Bills: May 2020 to May 2021" xr:uid="{00000000-0004-0000-0000-00002E000000}"/>
    <hyperlink ref="A51" location="'45a-c'!A38" display="45c. Weighted Average Yields on Government of Mauritius Treasury Bills/Bank of Mauritius Bills: May 2020 to May 2021" xr:uid="{00000000-0004-0000-0000-00002F000000}"/>
    <hyperlink ref="A52" location="'46a-b'!A1" display="46a. Auctions of Bank of Mauritius Bills: April 2021 and May 2021" xr:uid="{00000000-0004-0000-0000-000030000000}"/>
    <hyperlink ref="A53" location="'46a-b'!A15" display="46b. Auctions of Bank of Mauritius Bills: May 2020 to May 2021" xr:uid="{00000000-0004-0000-0000-000031000000}"/>
    <hyperlink ref="A54" location="'47'!A1" display="47. Weighted Average Yields on Government of Mauritius Treasury Bills/Bank of Mauritius Bills: May 2021" xr:uid="{00000000-0004-0000-0000-000032000000}"/>
    <hyperlink ref="A55" location="'48a-b'!A1" display="48a. Auctions of Government of Mauritius Notes and Bonds" xr:uid="{00000000-0004-0000-0000-000033000000}"/>
    <hyperlink ref="A56" location="'48a-b'!A23" display="48b. Auctions of Fifteen-Year Inflation-Indexed Government of Mauritius Bonds" xr:uid="{00000000-0004-0000-0000-000034000000}"/>
    <hyperlink ref="A57" location="'49a '!A1" display="49a. Issue of Bank of Mauritius Notes and Bonds" xr:uid="{00000000-0004-0000-0000-000035000000}"/>
    <hyperlink ref="A58" location="'49b'!A1" display="49b. Auctions of 28-Day Bank of Mauritius Bills: February 2020 and March 2020" xr:uid="{00000000-0004-0000-0000-000036000000}"/>
    <hyperlink ref="A59" location="'50'!A1" display="50. Buyback Auction of Government of Mauritius Securities: October 2019 and November 2019" xr:uid="{00000000-0004-0000-0000-000037000000}"/>
    <hyperlink ref="A60" location="'51-52'!A1" display="51. Outstanding Government of Mauritius Securities: May 2020 to May 2021" xr:uid="{00000000-0004-0000-0000-000038000000}"/>
    <hyperlink ref="A61" location="'51-52'!A21" display="52. Maturity Structure of Government of Mauritius Securities Outstanding at end-May 2021" xr:uid="{00000000-0004-0000-0000-000039000000}"/>
    <hyperlink ref="A62" location="'53a-b'!A1" display="53a. Secondary Market Transactions by Counterparty: May 2021" xr:uid="{00000000-0004-0000-0000-00003A000000}"/>
    <hyperlink ref="A63" location="'53a-b'!A17" display="53b. Weekly Secondary Market Transactions: May 2021" xr:uid="{00000000-0004-0000-0000-00003B000000}"/>
    <hyperlink ref="A64" location="'53c'!A1" display="53c. Secondary Market Yields by Residual Days to Maturity: May 2021" xr:uid="{00000000-0004-0000-0000-00003C000000}"/>
    <hyperlink ref="A65" location="'54'!A1" display="54. Secondary Market Activity: May 2020 to May 2021" xr:uid="{00000000-0004-0000-0000-00003D000000}"/>
    <hyperlink ref="A66" location="'55a'!A1" display="55a. Transactions on the Interbank Money Market: May 2019 to May 2021" xr:uid="{00000000-0004-0000-0000-00003E000000}"/>
    <hyperlink ref="A67" location="'55b'!A1" display="55b. Repo Transactions on the Interbank Money Market: May 2019 to May 2021" xr:uid="{00000000-0004-0000-0000-00003F000000}"/>
    <hyperlink ref="A68" location="'56'!A1" display="56. Transactions on the Interbank Foreign Exchange Market: May 2019 to May 2021" xr:uid="{00000000-0004-0000-0000-000040000000}"/>
    <hyperlink ref="A69" location="'57a-b'!A1" display="57a. Intervention by the Bank of Mauritius on the Domestic Foreign Exchange Market: May 2020 to May 2021" xr:uid="{00000000-0004-0000-0000-000041000000}"/>
    <hyperlink ref="A70" location="'57a-b'!A75" display="57b. Purchases and Sales of Foreign Currency by the Bank of Mauritius from Government and Other Institutions: May 2020 to May 2021" xr:uid="{00000000-0004-0000-0000-000042000000}"/>
    <hyperlink ref="A71" location="'58a'!A1" display="58a. Weighted Average Dealt Selling Rates of the Rupee against the USD, EUR and GBP: May 2020 to May 2021" xr:uid="{00000000-0004-0000-0000-000043000000}"/>
    <hyperlink ref="A72" location="'58b-c'!A1" display="58b. Exchange Rate of the Rupee (End of Period): May 2020 to May 2021" xr:uid="{00000000-0004-0000-0000-000044000000}"/>
    <hyperlink ref="A73" location="'58b-c'!A21" display="58c. Exchange Rate of the Rupee (Period Average): May 2020 to May 2021" xr:uid="{00000000-0004-0000-0000-000045000000}"/>
    <hyperlink ref="A74" location="'58d'!A1" display="58d. Average Exchange Rate of the Rupee vis-à-vis Major Trading Partner Currencies: May 2020 and May 2021" xr:uid="{00000000-0004-0000-0000-000046000000}"/>
    <hyperlink ref="A75" location="'59-60'!A1" display="59. Monthly Average Exchange Rates of Selected Currencies vis-à-vis the US Dollar: January 2019 to May 2021" xr:uid="{00000000-0004-0000-0000-000047000000}"/>
    <hyperlink ref="A76" location="'59-60'!A19" display="60. Mauritius Exchange Rate Index (MERI): January 2019 to May 2021" xr:uid="{00000000-0004-0000-0000-000048000000}"/>
    <hyperlink ref="A28" location="'25b'!A1" display="25b. Banks' Interest Rates on New Rupee Loans to Other Nonfinancial Corporations, Households and Other Sectors: April 2020 to April 2021" xr:uid="{00000000-0004-0000-0000-000049000000}"/>
    <hyperlink ref="A24" location="'22a-b'!A26" display="22b. Components and Sources of Broad Money Liabilities: April 2020 to April 2021" xr:uid="{00000000-0004-0000-0000-00004A000000}"/>
    <hyperlink ref="A77" location="'61'!A1" display="61. Foreign Currency Transactions: May 2020 to May 2021" xr:uid="{00000000-0004-0000-0000-00004B000000}"/>
    <hyperlink ref="A78" location="'62a'!A1" display="62a. Foreign Currency Purchases by Sector: May 2020 to May 2021" xr:uid="{00000000-0004-0000-0000-00004C000000}"/>
    <hyperlink ref="A79" location="'62b'!A1" display="62b. Foreign Currency Sales by Sector: May 2020 to May 2021" xr:uid="{00000000-0004-0000-0000-00004D000000}"/>
    <hyperlink ref="A80" location="'63a-b'!A1" display="63a. Foreign Currency Purchases by Major Currencies: May 2020 to May 2021" xr:uid="{00000000-0004-0000-0000-00004E000000}"/>
    <hyperlink ref="A81" location="'63a-b'!A58" display="63b. Foreign Currency Sales by Major Currencies: May 2020 to May 2021" xr:uid="{00000000-0004-0000-0000-00004F000000}"/>
    <hyperlink ref="A82" location="'64'!A1" display="64. Swap Transactions by Sector in Major Currencies: March 2021 to May 2021" xr:uid="{00000000-0004-0000-0000-000050000000}"/>
    <hyperlink ref="A83" location="'65a-b'!A1" display="65a. Transactions on the Stock Exchange of Mauritius: May 2020 to May 2021" xr:uid="{00000000-0004-0000-0000-000051000000}"/>
    <hyperlink ref="A84" location="'65a-b'!A239" display="65b. Transactions by Non-Residents on the Stock Exchange of Mauritius: May 2020 to May 2021" xr:uid="{00000000-0004-0000-0000-000052000000}"/>
    <hyperlink ref="A85" location="'66 '!A1" display="66. Tourist Arrivals: January 2017 to July 2021 and Gross Tourism Earnings: January 2017 to June 2021" xr:uid="{00000000-0004-0000-0000-000053000000}"/>
    <hyperlink ref="A86" location="'67'!A1" display="67. Gross Official International Reserves: May 2018 to May 2021" xr:uid="{00000000-0004-0000-0000-000054000000}"/>
    <hyperlink ref="A87" location="'68a-b '!A1" display="68a. Gross Direct Investment Flows in Mauritius (Excluding Global Business) by Sector: 2012 to 2019 (Annual) and First Three Quarters of 2020" xr:uid="{00000000-0004-0000-0000-000055000000}"/>
    <hyperlink ref="A88" location="'68a-b '!A31" display="68b. Gross Direct Investment Flows in Mauritius (Excluding Global Business) by Geographical Origin: 2012 to 2019 (Annual) and First Three Quarters of 2020" xr:uid="{00000000-0004-0000-0000-000056000000}"/>
    <hyperlink ref="A89" location="'69a-b '!A1" display="69a. Gross Direct Investment Flows Abroad (Excluding Global Business) by Sector: 2012 to 2019 (Annual) and First Three Quarters of 2020" xr:uid="{00000000-0004-0000-0000-000057000000}"/>
    <hyperlink ref="A90" location="'69a-b '!A29" display="69b. Gross Direct Investment Flows Abroad (Excluding Global Business) by Geographical Destination: 2012 to 2019 (Annual) and First Three Quarters of 2020" xr:uid="{00000000-0004-0000-0000-000058000000}"/>
    <hyperlink ref="A91" location="'70a-c '!A1" display="70a. Inward Workers' Remittances, Top 10 Source Countries: 2018Q1 to 2021Q1" xr:uid="{00000000-0004-0000-0000-000059000000}"/>
    <hyperlink ref="A92" location="'70a-c '!A19" display="70b. Outward Workers' Remittances, Top 5 Destination Countries: 2018Q1 to 2021Q1" xr:uid="{00000000-0004-0000-0000-00005A000000}"/>
    <hyperlink ref="A93" location="'70a-c '!A32" display="70c. Remittance Cost: 2018Q1 to 2021Q1" xr:uid="{00000000-0004-0000-0000-00005B000000}"/>
    <hyperlink ref="A94" location="'70d'!A1" display="70d. Outward Workers' Remittances by Domestic Remitter's Sector of Activity: 2017Q1 to 2020Q4" xr:uid="{00000000-0004-0000-0000-00005C000000}"/>
    <hyperlink ref="A95" location="'71'!A1" display="71. Coordinated Direct Investment Survey - Position data for Mauritius as at end-2019 vis-à-vis Top 10 Counterpart Economies" xr:uid="{00000000-0004-0000-0000-00005D000000}"/>
    <hyperlink ref="A96" location="'72'!A1" display="72. Balance of Payments - Fourth Quarter of 2019 and 2020" xr:uid="{00000000-0004-0000-0000-00005E000000}"/>
    <hyperlink ref="A97" location="'73'!A1" display="73. International Investment Position: External Assets and Liabilities at end-December 2016, 2017, 2018 and 2019" xr:uid="{00000000-0004-0000-0000-00005F000000}"/>
    <hyperlink ref="A98" location="'74'!A1" display="74. Leasing Facilities to Households and Corporates: December 2019 to December 2020" xr:uid="{00000000-0004-0000-0000-000060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BP39"/>
  <sheetViews>
    <sheetView showGridLines="0" zoomScaleNormal="100" zoomScaleSheetLayoutView="100" workbookViewId="0"/>
  </sheetViews>
  <sheetFormatPr defaultColWidth="10.140625" defaultRowHeight="14.25" x14ac:dyDescent="0.25"/>
  <cols>
    <col min="1" max="1" width="49.28515625" style="716" customWidth="1"/>
    <col min="2" max="2" width="7.5703125" style="653" hidden="1" customWidth="1"/>
    <col min="3" max="3" width="9.140625" style="653" hidden="1" customWidth="1"/>
    <col min="4" max="4" width="8.7109375" style="653" hidden="1" customWidth="1"/>
    <col min="5" max="5" width="8.5703125" style="653" hidden="1" customWidth="1"/>
    <col min="6" max="6" width="9.28515625" style="653" hidden="1" customWidth="1"/>
    <col min="7" max="7" width="8.7109375" style="653" hidden="1" customWidth="1"/>
    <col min="8" max="8" width="8.42578125" style="716" hidden="1" customWidth="1"/>
    <col min="9" max="9" width="8.5703125" style="716" hidden="1" customWidth="1"/>
    <col min="10" max="10" width="9.140625" style="716" hidden="1" customWidth="1"/>
    <col min="11" max="11" width="8.7109375" style="716" hidden="1" customWidth="1"/>
    <col min="12" max="12" width="9.5703125" style="716" hidden="1" customWidth="1"/>
    <col min="13" max="13" width="8.42578125" style="716" hidden="1" customWidth="1"/>
    <col min="14" max="14" width="8.5703125" style="716" hidden="1" customWidth="1"/>
    <col min="15" max="15" width="10.140625" style="716" hidden="1" customWidth="1"/>
    <col min="16" max="16" width="9.5703125" style="716" hidden="1" customWidth="1"/>
    <col min="17" max="17" width="9.28515625" style="716" hidden="1" customWidth="1"/>
    <col min="18" max="18" width="10.140625" style="716" hidden="1" customWidth="1"/>
    <col min="19" max="19" width="9.7109375" style="716" hidden="1" customWidth="1"/>
    <col min="20" max="20" width="9.28515625" style="716" hidden="1" customWidth="1"/>
    <col min="21" max="21" width="9.5703125" style="716" hidden="1" customWidth="1"/>
    <col min="22" max="22" width="9.85546875" style="716" hidden="1" customWidth="1"/>
    <col min="23" max="23" width="9.7109375" style="716" hidden="1" customWidth="1"/>
    <col min="24" max="24" width="10.28515625" style="716" hidden="1" customWidth="1"/>
    <col min="25" max="25" width="9.5703125" style="716" hidden="1" customWidth="1"/>
    <col min="26" max="26" width="11.42578125" style="716" hidden="1" customWidth="1"/>
    <col min="27" max="61" width="11.85546875" style="716" hidden="1" customWidth="1"/>
    <col min="62" max="68" width="11.85546875" style="716" customWidth="1"/>
    <col min="69" max="178" width="10.140625" style="716"/>
    <col min="179" max="179" width="9.7109375" style="716" customWidth="1"/>
    <col min="180" max="180" width="2.85546875" style="716" customWidth="1"/>
    <col min="181" max="181" width="2.140625" style="716" customWidth="1"/>
    <col min="182" max="182" width="38.140625" style="716" customWidth="1"/>
    <col min="183" max="187" width="12.5703125" style="716" customWidth="1"/>
    <col min="188" max="199" width="9.7109375" style="716" customWidth="1"/>
    <col min="200" max="434" width="10.140625" style="716"/>
    <col min="435" max="435" width="9.7109375" style="716" customWidth="1"/>
    <col min="436" max="436" width="2.85546875" style="716" customWidth="1"/>
    <col min="437" max="437" width="2.140625" style="716" customWidth="1"/>
    <col min="438" max="438" width="38.140625" style="716" customWidth="1"/>
    <col min="439" max="443" width="12.5703125" style="716" customWidth="1"/>
    <col min="444" max="455" width="9.7109375" style="716" customWidth="1"/>
    <col min="456" max="690" width="10.140625" style="716"/>
    <col min="691" max="691" width="9.7109375" style="716" customWidth="1"/>
    <col min="692" max="692" width="2.85546875" style="716" customWidth="1"/>
    <col min="693" max="693" width="2.140625" style="716" customWidth="1"/>
    <col min="694" max="694" width="38.140625" style="716" customWidth="1"/>
    <col min="695" max="699" width="12.5703125" style="716" customWidth="1"/>
    <col min="700" max="711" width="9.7109375" style="716" customWidth="1"/>
    <col min="712" max="946" width="10.140625" style="716"/>
    <col min="947" max="947" width="9.7109375" style="716" customWidth="1"/>
    <col min="948" max="948" width="2.85546875" style="716" customWidth="1"/>
    <col min="949" max="949" width="2.140625" style="716" customWidth="1"/>
    <col min="950" max="950" width="38.140625" style="716" customWidth="1"/>
    <col min="951" max="955" width="12.5703125" style="716" customWidth="1"/>
    <col min="956" max="967" width="9.7109375" style="716" customWidth="1"/>
    <col min="968" max="1202" width="10.140625" style="716"/>
    <col min="1203" max="1203" width="9.7109375" style="716" customWidth="1"/>
    <col min="1204" max="1204" width="2.85546875" style="716" customWidth="1"/>
    <col min="1205" max="1205" width="2.140625" style="716" customWidth="1"/>
    <col min="1206" max="1206" width="38.140625" style="716" customWidth="1"/>
    <col min="1207" max="1211" width="12.5703125" style="716" customWidth="1"/>
    <col min="1212" max="1223" width="9.7109375" style="716" customWidth="1"/>
    <col min="1224" max="1458" width="10.140625" style="716"/>
    <col min="1459" max="1459" width="9.7109375" style="716" customWidth="1"/>
    <col min="1460" max="1460" width="2.85546875" style="716" customWidth="1"/>
    <col min="1461" max="1461" width="2.140625" style="716" customWidth="1"/>
    <col min="1462" max="1462" width="38.140625" style="716" customWidth="1"/>
    <col min="1463" max="1467" width="12.5703125" style="716" customWidth="1"/>
    <col min="1468" max="1479" width="9.7109375" style="716" customWidth="1"/>
    <col min="1480" max="1714" width="10.140625" style="716"/>
    <col min="1715" max="1715" width="9.7109375" style="716" customWidth="1"/>
    <col min="1716" max="1716" width="2.85546875" style="716" customWidth="1"/>
    <col min="1717" max="1717" width="2.140625" style="716" customWidth="1"/>
    <col min="1718" max="1718" width="38.140625" style="716" customWidth="1"/>
    <col min="1719" max="1723" width="12.5703125" style="716" customWidth="1"/>
    <col min="1724" max="1735" width="9.7109375" style="716" customWidth="1"/>
    <col min="1736" max="1970" width="10.140625" style="716"/>
    <col min="1971" max="1971" width="9.7109375" style="716" customWidth="1"/>
    <col min="1972" max="1972" width="2.85546875" style="716" customWidth="1"/>
    <col min="1973" max="1973" width="2.140625" style="716" customWidth="1"/>
    <col min="1974" max="1974" width="38.140625" style="716" customWidth="1"/>
    <col min="1975" max="1979" width="12.5703125" style="716" customWidth="1"/>
    <col min="1980" max="1991" width="9.7109375" style="716" customWidth="1"/>
    <col min="1992" max="2226" width="10.140625" style="716"/>
    <col min="2227" max="2227" width="9.7109375" style="716" customWidth="1"/>
    <col min="2228" max="2228" width="2.85546875" style="716" customWidth="1"/>
    <col min="2229" max="2229" width="2.140625" style="716" customWidth="1"/>
    <col min="2230" max="2230" width="38.140625" style="716" customWidth="1"/>
    <col min="2231" max="2235" width="12.5703125" style="716" customWidth="1"/>
    <col min="2236" max="2247" width="9.7109375" style="716" customWidth="1"/>
    <col min="2248" max="2482" width="10.140625" style="716"/>
    <col min="2483" max="2483" width="9.7109375" style="716" customWidth="1"/>
    <col min="2484" max="2484" width="2.85546875" style="716" customWidth="1"/>
    <col min="2485" max="2485" width="2.140625" style="716" customWidth="1"/>
    <col min="2486" max="2486" width="38.140625" style="716" customWidth="1"/>
    <col min="2487" max="2491" width="12.5703125" style="716" customWidth="1"/>
    <col min="2492" max="2503" width="9.7109375" style="716" customWidth="1"/>
    <col min="2504" max="2738" width="10.140625" style="716"/>
    <col min="2739" max="2739" width="9.7109375" style="716" customWidth="1"/>
    <col min="2740" max="2740" width="2.85546875" style="716" customWidth="1"/>
    <col min="2741" max="2741" width="2.140625" style="716" customWidth="1"/>
    <col min="2742" max="2742" width="38.140625" style="716" customWidth="1"/>
    <col min="2743" max="2747" width="12.5703125" style="716" customWidth="1"/>
    <col min="2748" max="2759" width="9.7109375" style="716" customWidth="1"/>
    <col min="2760" max="2994" width="10.140625" style="716"/>
    <col min="2995" max="2995" width="9.7109375" style="716" customWidth="1"/>
    <col min="2996" max="2996" width="2.85546875" style="716" customWidth="1"/>
    <col min="2997" max="2997" width="2.140625" style="716" customWidth="1"/>
    <col min="2998" max="2998" width="38.140625" style="716" customWidth="1"/>
    <col min="2999" max="3003" width="12.5703125" style="716" customWidth="1"/>
    <col min="3004" max="3015" width="9.7109375" style="716" customWidth="1"/>
    <col min="3016" max="3250" width="10.140625" style="716"/>
    <col min="3251" max="3251" width="9.7109375" style="716" customWidth="1"/>
    <col min="3252" max="3252" width="2.85546875" style="716" customWidth="1"/>
    <col min="3253" max="3253" width="2.140625" style="716" customWidth="1"/>
    <col min="3254" max="3254" width="38.140625" style="716" customWidth="1"/>
    <col min="3255" max="3259" width="12.5703125" style="716" customWidth="1"/>
    <col min="3260" max="3271" width="9.7109375" style="716" customWidth="1"/>
    <col min="3272" max="3506" width="10.140625" style="716"/>
    <col min="3507" max="3507" width="9.7109375" style="716" customWidth="1"/>
    <col min="3508" max="3508" width="2.85546875" style="716" customWidth="1"/>
    <col min="3509" max="3509" width="2.140625" style="716" customWidth="1"/>
    <col min="3510" max="3510" width="38.140625" style="716" customWidth="1"/>
    <col min="3511" max="3515" width="12.5703125" style="716" customWidth="1"/>
    <col min="3516" max="3527" width="9.7109375" style="716" customWidth="1"/>
    <col min="3528" max="3762" width="10.140625" style="716"/>
    <col min="3763" max="3763" width="9.7109375" style="716" customWidth="1"/>
    <col min="3764" max="3764" width="2.85546875" style="716" customWidth="1"/>
    <col min="3765" max="3765" width="2.140625" style="716" customWidth="1"/>
    <col min="3766" max="3766" width="38.140625" style="716" customWidth="1"/>
    <col min="3767" max="3771" width="12.5703125" style="716" customWidth="1"/>
    <col min="3772" max="3783" width="9.7109375" style="716" customWidth="1"/>
    <col min="3784" max="4018" width="10.140625" style="716"/>
    <col min="4019" max="4019" width="9.7109375" style="716" customWidth="1"/>
    <col min="4020" max="4020" width="2.85546875" style="716" customWidth="1"/>
    <col min="4021" max="4021" width="2.140625" style="716" customWidth="1"/>
    <col min="4022" max="4022" width="38.140625" style="716" customWidth="1"/>
    <col min="4023" max="4027" width="12.5703125" style="716" customWidth="1"/>
    <col min="4028" max="4039" width="9.7109375" style="716" customWidth="1"/>
    <col min="4040" max="4274" width="10.140625" style="716"/>
    <col min="4275" max="4275" width="9.7109375" style="716" customWidth="1"/>
    <col min="4276" max="4276" width="2.85546875" style="716" customWidth="1"/>
    <col min="4277" max="4277" width="2.140625" style="716" customWidth="1"/>
    <col min="4278" max="4278" width="38.140625" style="716" customWidth="1"/>
    <col min="4279" max="4283" width="12.5703125" style="716" customWidth="1"/>
    <col min="4284" max="4295" width="9.7109375" style="716" customWidth="1"/>
    <col min="4296" max="4530" width="10.140625" style="716"/>
    <col min="4531" max="4531" width="9.7109375" style="716" customWidth="1"/>
    <col min="4532" max="4532" width="2.85546875" style="716" customWidth="1"/>
    <col min="4533" max="4533" width="2.140625" style="716" customWidth="1"/>
    <col min="4534" max="4534" width="38.140625" style="716" customWidth="1"/>
    <col min="4535" max="4539" width="12.5703125" style="716" customWidth="1"/>
    <col min="4540" max="4551" width="9.7109375" style="716" customWidth="1"/>
    <col min="4552" max="4786" width="10.140625" style="716"/>
    <col min="4787" max="4787" width="9.7109375" style="716" customWidth="1"/>
    <col min="4788" max="4788" width="2.85546875" style="716" customWidth="1"/>
    <col min="4789" max="4789" width="2.140625" style="716" customWidth="1"/>
    <col min="4790" max="4790" width="38.140625" style="716" customWidth="1"/>
    <col min="4791" max="4795" width="12.5703125" style="716" customWidth="1"/>
    <col min="4796" max="4807" width="9.7109375" style="716" customWidth="1"/>
    <col min="4808" max="5042" width="10.140625" style="716"/>
    <col min="5043" max="5043" width="9.7109375" style="716" customWidth="1"/>
    <col min="5044" max="5044" width="2.85546875" style="716" customWidth="1"/>
    <col min="5045" max="5045" width="2.140625" style="716" customWidth="1"/>
    <col min="5046" max="5046" width="38.140625" style="716" customWidth="1"/>
    <col min="5047" max="5051" width="12.5703125" style="716" customWidth="1"/>
    <col min="5052" max="5063" width="9.7109375" style="716" customWidth="1"/>
    <col min="5064" max="5298" width="10.140625" style="716"/>
    <col min="5299" max="5299" width="9.7109375" style="716" customWidth="1"/>
    <col min="5300" max="5300" width="2.85546875" style="716" customWidth="1"/>
    <col min="5301" max="5301" width="2.140625" style="716" customWidth="1"/>
    <col min="5302" max="5302" width="38.140625" style="716" customWidth="1"/>
    <col min="5303" max="5307" width="12.5703125" style="716" customWidth="1"/>
    <col min="5308" max="5319" width="9.7109375" style="716" customWidth="1"/>
    <col min="5320" max="5554" width="10.140625" style="716"/>
    <col min="5555" max="5555" width="9.7109375" style="716" customWidth="1"/>
    <col min="5556" max="5556" width="2.85546875" style="716" customWidth="1"/>
    <col min="5557" max="5557" width="2.140625" style="716" customWidth="1"/>
    <col min="5558" max="5558" width="38.140625" style="716" customWidth="1"/>
    <col min="5559" max="5563" width="12.5703125" style="716" customWidth="1"/>
    <col min="5564" max="5575" width="9.7109375" style="716" customWidth="1"/>
    <col min="5576" max="5810" width="10.140625" style="716"/>
    <col min="5811" max="5811" width="9.7109375" style="716" customWidth="1"/>
    <col min="5812" max="5812" width="2.85546875" style="716" customWidth="1"/>
    <col min="5813" max="5813" width="2.140625" style="716" customWidth="1"/>
    <col min="5814" max="5814" width="38.140625" style="716" customWidth="1"/>
    <col min="5815" max="5819" width="12.5703125" style="716" customWidth="1"/>
    <col min="5820" max="5831" width="9.7109375" style="716" customWidth="1"/>
    <col min="5832" max="6066" width="10.140625" style="716"/>
    <col min="6067" max="6067" width="9.7109375" style="716" customWidth="1"/>
    <col min="6068" max="6068" width="2.85546875" style="716" customWidth="1"/>
    <col min="6069" max="6069" width="2.140625" style="716" customWidth="1"/>
    <col min="6070" max="6070" width="38.140625" style="716" customWidth="1"/>
    <col min="6071" max="6075" width="12.5703125" style="716" customWidth="1"/>
    <col min="6076" max="6087" width="9.7109375" style="716" customWidth="1"/>
    <col min="6088" max="6322" width="10.140625" style="716"/>
    <col min="6323" max="6323" width="9.7109375" style="716" customWidth="1"/>
    <col min="6324" max="6324" width="2.85546875" style="716" customWidth="1"/>
    <col min="6325" max="6325" width="2.140625" style="716" customWidth="1"/>
    <col min="6326" max="6326" width="38.140625" style="716" customWidth="1"/>
    <col min="6327" max="6331" width="12.5703125" style="716" customWidth="1"/>
    <col min="6332" max="6343" width="9.7109375" style="716" customWidth="1"/>
    <col min="6344" max="6578" width="10.140625" style="716"/>
    <col min="6579" max="6579" width="9.7109375" style="716" customWidth="1"/>
    <col min="6580" max="6580" width="2.85546875" style="716" customWidth="1"/>
    <col min="6581" max="6581" width="2.140625" style="716" customWidth="1"/>
    <col min="6582" max="6582" width="38.140625" style="716" customWidth="1"/>
    <col min="6583" max="6587" width="12.5703125" style="716" customWidth="1"/>
    <col min="6588" max="6599" width="9.7109375" style="716" customWidth="1"/>
    <col min="6600" max="6834" width="10.140625" style="716"/>
    <col min="6835" max="6835" width="9.7109375" style="716" customWidth="1"/>
    <col min="6836" max="6836" width="2.85546875" style="716" customWidth="1"/>
    <col min="6837" max="6837" width="2.140625" style="716" customWidth="1"/>
    <col min="6838" max="6838" width="38.140625" style="716" customWidth="1"/>
    <col min="6839" max="6843" width="12.5703125" style="716" customWidth="1"/>
    <col min="6844" max="6855" width="9.7109375" style="716" customWidth="1"/>
    <col min="6856" max="7090" width="10.140625" style="716"/>
    <col min="7091" max="7091" width="9.7109375" style="716" customWidth="1"/>
    <col min="7092" max="7092" width="2.85546875" style="716" customWidth="1"/>
    <col min="7093" max="7093" width="2.140625" style="716" customWidth="1"/>
    <col min="7094" max="7094" width="38.140625" style="716" customWidth="1"/>
    <col min="7095" max="7099" width="12.5703125" style="716" customWidth="1"/>
    <col min="7100" max="7111" width="9.7109375" style="716" customWidth="1"/>
    <col min="7112" max="7346" width="10.140625" style="716"/>
    <col min="7347" max="7347" width="9.7109375" style="716" customWidth="1"/>
    <col min="7348" max="7348" width="2.85546875" style="716" customWidth="1"/>
    <col min="7349" max="7349" width="2.140625" style="716" customWidth="1"/>
    <col min="7350" max="7350" width="38.140625" style="716" customWidth="1"/>
    <col min="7351" max="7355" width="12.5703125" style="716" customWidth="1"/>
    <col min="7356" max="7367" width="9.7109375" style="716" customWidth="1"/>
    <col min="7368" max="7602" width="10.140625" style="716"/>
    <col min="7603" max="7603" width="9.7109375" style="716" customWidth="1"/>
    <col min="7604" max="7604" width="2.85546875" style="716" customWidth="1"/>
    <col min="7605" max="7605" width="2.140625" style="716" customWidth="1"/>
    <col min="7606" max="7606" width="38.140625" style="716" customWidth="1"/>
    <col min="7607" max="7611" width="12.5703125" style="716" customWidth="1"/>
    <col min="7612" max="7623" width="9.7109375" style="716" customWidth="1"/>
    <col min="7624" max="7858" width="10.140625" style="716"/>
    <col min="7859" max="7859" width="9.7109375" style="716" customWidth="1"/>
    <col min="7860" max="7860" width="2.85546875" style="716" customWidth="1"/>
    <col min="7861" max="7861" width="2.140625" style="716" customWidth="1"/>
    <col min="7862" max="7862" width="38.140625" style="716" customWidth="1"/>
    <col min="7863" max="7867" width="12.5703125" style="716" customWidth="1"/>
    <col min="7868" max="7879" width="9.7109375" style="716" customWidth="1"/>
    <col min="7880" max="8114" width="10.140625" style="716"/>
    <col min="8115" max="8115" width="9.7109375" style="716" customWidth="1"/>
    <col min="8116" max="8116" width="2.85546875" style="716" customWidth="1"/>
    <col min="8117" max="8117" width="2.140625" style="716" customWidth="1"/>
    <col min="8118" max="8118" width="38.140625" style="716" customWidth="1"/>
    <col min="8119" max="8123" width="12.5703125" style="716" customWidth="1"/>
    <col min="8124" max="8135" width="9.7109375" style="716" customWidth="1"/>
    <col min="8136" max="8370" width="10.140625" style="716"/>
    <col min="8371" max="8371" width="9.7109375" style="716" customWidth="1"/>
    <col min="8372" max="8372" width="2.85546875" style="716" customWidth="1"/>
    <col min="8373" max="8373" width="2.140625" style="716" customWidth="1"/>
    <col min="8374" max="8374" width="38.140625" style="716" customWidth="1"/>
    <col min="8375" max="8379" width="12.5703125" style="716" customWidth="1"/>
    <col min="8380" max="8391" width="9.7109375" style="716" customWidth="1"/>
    <col min="8392" max="8626" width="10.140625" style="716"/>
    <col min="8627" max="8627" width="9.7109375" style="716" customWidth="1"/>
    <col min="8628" max="8628" width="2.85546875" style="716" customWidth="1"/>
    <col min="8629" max="8629" width="2.140625" style="716" customWidth="1"/>
    <col min="8630" max="8630" width="38.140625" style="716" customWidth="1"/>
    <col min="8631" max="8635" width="12.5703125" style="716" customWidth="1"/>
    <col min="8636" max="8647" width="9.7109375" style="716" customWidth="1"/>
    <col min="8648" max="8882" width="10.140625" style="716"/>
    <col min="8883" max="8883" width="9.7109375" style="716" customWidth="1"/>
    <col min="8884" max="8884" width="2.85546875" style="716" customWidth="1"/>
    <col min="8885" max="8885" width="2.140625" style="716" customWidth="1"/>
    <col min="8886" max="8886" width="38.140625" style="716" customWidth="1"/>
    <col min="8887" max="8891" width="12.5703125" style="716" customWidth="1"/>
    <col min="8892" max="8903" width="9.7109375" style="716" customWidth="1"/>
    <col min="8904" max="9138" width="10.140625" style="716"/>
    <col min="9139" max="9139" width="9.7109375" style="716" customWidth="1"/>
    <col min="9140" max="9140" width="2.85546875" style="716" customWidth="1"/>
    <col min="9141" max="9141" width="2.140625" style="716" customWidth="1"/>
    <col min="9142" max="9142" width="38.140625" style="716" customWidth="1"/>
    <col min="9143" max="9147" width="12.5703125" style="716" customWidth="1"/>
    <col min="9148" max="9159" width="9.7109375" style="716" customWidth="1"/>
    <col min="9160" max="9394" width="10.140625" style="716"/>
    <col min="9395" max="9395" width="9.7109375" style="716" customWidth="1"/>
    <col min="9396" max="9396" width="2.85546875" style="716" customWidth="1"/>
    <col min="9397" max="9397" width="2.140625" style="716" customWidth="1"/>
    <col min="9398" max="9398" width="38.140625" style="716" customWidth="1"/>
    <col min="9399" max="9403" width="12.5703125" style="716" customWidth="1"/>
    <col min="9404" max="9415" width="9.7109375" style="716" customWidth="1"/>
    <col min="9416" max="9650" width="10.140625" style="716"/>
    <col min="9651" max="9651" width="9.7109375" style="716" customWidth="1"/>
    <col min="9652" max="9652" width="2.85546875" style="716" customWidth="1"/>
    <col min="9653" max="9653" width="2.140625" style="716" customWidth="1"/>
    <col min="9654" max="9654" width="38.140625" style="716" customWidth="1"/>
    <col min="9655" max="9659" width="12.5703125" style="716" customWidth="1"/>
    <col min="9660" max="9671" width="9.7109375" style="716" customWidth="1"/>
    <col min="9672" max="9906" width="10.140625" style="716"/>
    <col min="9907" max="9907" width="9.7109375" style="716" customWidth="1"/>
    <col min="9908" max="9908" width="2.85546875" style="716" customWidth="1"/>
    <col min="9909" max="9909" width="2.140625" style="716" customWidth="1"/>
    <col min="9910" max="9910" width="38.140625" style="716" customWidth="1"/>
    <col min="9911" max="9915" width="12.5703125" style="716" customWidth="1"/>
    <col min="9916" max="9927" width="9.7109375" style="716" customWidth="1"/>
    <col min="9928" max="10162" width="10.140625" style="716"/>
    <col min="10163" max="10163" width="9.7109375" style="716" customWidth="1"/>
    <col min="10164" max="10164" width="2.85546875" style="716" customWidth="1"/>
    <col min="10165" max="10165" width="2.140625" style="716" customWidth="1"/>
    <col min="10166" max="10166" width="38.140625" style="716" customWidth="1"/>
    <col min="10167" max="10171" width="12.5703125" style="716" customWidth="1"/>
    <col min="10172" max="10183" width="9.7109375" style="716" customWidth="1"/>
    <col min="10184" max="10418" width="10.140625" style="716"/>
    <col min="10419" max="10419" width="9.7109375" style="716" customWidth="1"/>
    <col min="10420" max="10420" width="2.85546875" style="716" customWidth="1"/>
    <col min="10421" max="10421" width="2.140625" style="716" customWidth="1"/>
    <col min="10422" max="10422" width="38.140625" style="716" customWidth="1"/>
    <col min="10423" max="10427" width="12.5703125" style="716" customWidth="1"/>
    <col min="10428" max="10439" width="9.7109375" style="716" customWidth="1"/>
    <col min="10440" max="10674" width="10.140625" style="716"/>
    <col min="10675" max="10675" width="9.7109375" style="716" customWidth="1"/>
    <col min="10676" max="10676" width="2.85546875" style="716" customWidth="1"/>
    <col min="10677" max="10677" width="2.140625" style="716" customWidth="1"/>
    <col min="10678" max="10678" width="38.140625" style="716" customWidth="1"/>
    <col min="10679" max="10683" width="12.5703125" style="716" customWidth="1"/>
    <col min="10684" max="10695" width="9.7109375" style="716" customWidth="1"/>
    <col min="10696" max="10930" width="10.140625" style="716"/>
    <col min="10931" max="10931" width="9.7109375" style="716" customWidth="1"/>
    <col min="10932" max="10932" width="2.85546875" style="716" customWidth="1"/>
    <col min="10933" max="10933" width="2.140625" style="716" customWidth="1"/>
    <col min="10934" max="10934" width="38.140625" style="716" customWidth="1"/>
    <col min="10935" max="10939" width="12.5703125" style="716" customWidth="1"/>
    <col min="10940" max="10951" width="9.7109375" style="716" customWidth="1"/>
    <col min="10952" max="11186" width="10.140625" style="716"/>
    <col min="11187" max="11187" width="9.7109375" style="716" customWidth="1"/>
    <col min="11188" max="11188" width="2.85546875" style="716" customWidth="1"/>
    <col min="11189" max="11189" width="2.140625" style="716" customWidth="1"/>
    <col min="11190" max="11190" width="38.140625" style="716" customWidth="1"/>
    <col min="11191" max="11195" width="12.5703125" style="716" customWidth="1"/>
    <col min="11196" max="11207" width="9.7109375" style="716" customWidth="1"/>
    <col min="11208" max="11442" width="10.140625" style="716"/>
    <col min="11443" max="11443" width="9.7109375" style="716" customWidth="1"/>
    <col min="11444" max="11444" width="2.85546875" style="716" customWidth="1"/>
    <col min="11445" max="11445" width="2.140625" style="716" customWidth="1"/>
    <col min="11446" max="11446" width="38.140625" style="716" customWidth="1"/>
    <col min="11447" max="11451" width="12.5703125" style="716" customWidth="1"/>
    <col min="11452" max="11463" width="9.7109375" style="716" customWidth="1"/>
    <col min="11464" max="11698" width="10.140625" style="716"/>
    <col min="11699" max="11699" width="9.7109375" style="716" customWidth="1"/>
    <col min="11700" max="11700" width="2.85546875" style="716" customWidth="1"/>
    <col min="11701" max="11701" width="2.140625" style="716" customWidth="1"/>
    <col min="11702" max="11702" width="38.140625" style="716" customWidth="1"/>
    <col min="11703" max="11707" width="12.5703125" style="716" customWidth="1"/>
    <col min="11708" max="11719" width="9.7109375" style="716" customWidth="1"/>
    <col min="11720" max="11954" width="10.140625" style="716"/>
    <col min="11955" max="11955" width="9.7109375" style="716" customWidth="1"/>
    <col min="11956" max="11956" width="2.85546875" style="716" customWidth="1"/>
    <col min="11957" max="11957" width="2.140625" style="716" customWidth="1"/>
    <col min="11958" max="11958" width="38.140625" style="716" customWidth="1"/>
    <col min="11959" max="11963" width="12.5703125" style="716" customWidth="1"/>
    <col min="11964" max="11975" width="9.7109375" style="716" customWidth="1"/>
    <col min="11976" max="12210" width="10.140625" style="716"/>
    <col min="12211" max="12211" width="9.7109375" style="716" customWidth="1"/>
    <col min="12212" max="12212" width="2.85546875" style="716" customWidth="1"/>
    <col min="12213" max="12213" width="2.140625" style="716" customWidth="1"/>
    <col min="12214" max="12214" width="38.140625" style="716" customWidth="1"/>
    <col min="12215" max="12219" width="12.5703125" style="716" customWidth="1"/>
    <col min="12220" max="12231" width="9.7109375" style="716" customWidth="1"/>
    <col min="12232" max="12466" width="10.140625" style="716"/>
    <col min="12467" max="12467" width="9.7109375" style="716" customWidth="1"/>
    <col min="12468" max="12468" width="2.85546875" style="716" customWidth="1"/>
    <col min="12469" max="12469" width="2.140625" style="716" customWidth="1"/>
    <col min="12470" max="12470" width="38.140625" style="716" customWidth="1"/>
    <col min="12471" max="12475" width="12.5703125" style="716" customWidth="1"/>
    <col min="12476" max="12487" width="9.7109375" style="716" customWidth="1"/>
    <col min="12488" max="12722" width="10.140625" style="716"/>
    <col min="12723" max="12723" width="9.7109375" style="716" customWidth="1"/>
    <col min="12724" max="12724" width="2.85546875" style="716" customWidth="1"/>
    <col min="12725" max="12725" width="2.140625" style="716" customWidth="1"/>
    <col min="12726" max="12726" width="38.140625" style="716" customWidth="1"/>
    <col min="12727" max="12731" width="12.5703125" style="716" customWidth="1"/>
    <col min="12732" max="12743" width="9.7109375" style="716" customWidth="1"/>
    <col min="12744" max="12978" width="10.140625" style="716"/>
    <col min="12979" max="12979" width="9.7109375" style="716" customWidth="1"/>
    <col min="12980" max="12980" width="2.85546875" style="716" customWidth="1"/>
    <col min="12981" max="12981" width="2.140625" style="716" customWidth="1"/>
    <col min="12982" max="12982" width="38.140625" style="716" customWidth="1"/>
    <col min="12983" max="12987" width="12.5703125" style="716" customWidth="1"/>
    <col min="12988" max="12999" width="9.7109375" style="716" customWidth="1"/>
    <col min="13000" max="13234" width="10.140625" style="716"/>
    <col min="13235" max="13235" width="9.7109375" style="716" customWidth="1"/>
    <col min="13236" max="13236" width="2.85546875" style="716" customWidth="1"/>
    <col min="13237" max="13237" width="2.140625" style="716" customWidth="1"/>
    <col min="13238" max="13238" width="38.140625" style="716" customWidth="1"/>
    <col min="13239" max="13243" width="12.5703125" style="716" customWidth="1"/>
    <col min="13244" max="13255" width="9.7109375" style="716" customWidth="1"/>
    <col min="13256" max="13490" width="10.140625" style="716"/>
    <col min="13491" max="13491" width="9.7109375" style="716" customWidth="1"/>
    <col min="13492" max="13492" width="2.85546875" style="716" customWidth="1"/>
    <col min="13493" max="13493" width="2.140625" style="716" customWidth="1"/>
    <col min="13494" max="13494" width="38.140625" style="716" customWidth="1"/>
    <col min="13495" max="13499" width="12.5703125" style="716" customWidth="1"/>
    <col min="13500" max="13511" width="9.7109375" style="716" customWidth="1"/>
    <col min="13512" max="13746" width="10.140625" style="716"/>
    <col min="13747" max="13747" width="9.7109375" style="716" customWidth="1"/>
    <col min="13748" max="13748" width="2.85546875" style="716" customWidth="1"/>
    <col min="13749" max="13749" width="2.140625" style="716" customWidth="1"/>
    <col min="13750" max="13750" width="38.140625" style="716" customWidth="1"/>
    <col min="13751" max="13755" width="12.5703125" style="716" customWidth="1"/>
    <col min="13756" max="13767" width="9.7109375" style="716" customWidth="1"/>
    <col min="13768" max="14002" width="10.140625" style="716"/>
    <col min="14003" max="14003" width="9.7109375" style="716" customWidth="1"/>
    <col min="14004" max="14004" width="2.85546875" style="716" customWidth="1"/>
    <col min="14005" max="14005" width="2.140625" style="716" customWidth="1"/>
    <col min="14006" max="14006" width="38.140625" style="716" customWidth="1"/>
    <col min="14007" max="14011" width="12.5703125" style="716" customWidth="1"/>
    <col min="14012" max="14023" width="9.7109375" style="716" customWidth="1"/>
    <col min="14024" max="14258" width="10.140625" style="716"/>
    <col min="14259" max="14259" width="9.7109375" style="716" customWidth="1"/>
    <col min="14260" max="14260" width="2.85546875" style="716" customWidth="1"/>
    <col min="14261" max="14261" width="2.140625" style="716" customWidth="1"/>
    <col min="14262" max="14262" width="38.140625" style="716" customWidth="1"/>
    <col min="14263" max="14267" width="12.5703125" style="716" customWidth="1"/>
    <col min="14268" max="14279" width="9.7109375" style="716" customWidth="1"/>
    <col min="14280" max="14514" width="10.140625" style="716"/>
    <col min="14515" max="14515" width="9.7109375" style="716" customWidth="1"/>
    <col min="14516" max="14516" width="2.85546875" style="716" customWidth="1"/>
    <col min="14517" max="14517" width="2.140625" style="716" customWidth="1"/>
    <col min="14518" max="14518" width="38.140625" style="716" customWidth="1"/>
    <col min="14519" max="14523" width="12.5703125" style="716" customWidth="1"/>
    <col min="14524" max="14535" width="9.7109375" style="716" customWidth="1"/>
    <col min="14536" max="14770" width="10.140625" style="716"/>
    <col min="14771" max="14771" width="9.7109375" style="716" customWidth="1"/>
    <col min="14772" max="14772" width="2.85546875" style="716" customWidth="1"/>
    <col min="14773" max="14773" width="2.140625" style="716" customWidth="1"/>
    <col min="14774" max="14774" width="38.140625" style="716" customWidth="1"/>
    <col min="14775" max="14779" width="12.5703125" style="716" customWidth="1"/>
    <col min="14780" max="14791" width="9.7109375" style="716" customWidth="1"/>
    <col min="14792" max="15026" width="10.140625" style="716"/>
    <col min="15027" max="15027" width="9.7109375" style="716" customWidth="1"/>
    <col min="15028" max="15028" width="2.85546875" style="716" customWidth="1"/>
    <col min="15029" max="15029" width="2.140625" style="716" customWidth="1"/>
    <col min="15030" max="15030" width="38.140625" style="716" customWidth="1"/>
    <col min="15031" max="15035" width="12.5703125" style="716" customWidth="1"/>
    <col min="15036" max="15047" width="9.7109375" style="716" customWidth="1"/>
    <col min="15048" max="15282" width="10.140625" style="716"/>
    <col min="15283" max="15283" width="9.7109375" style="716" customWidth="1"/>
    <col min="15284" max="15284" width="2.85546875" style="716" customWidth="1"/>
    <col min="15285" max="15285" width="2.140625" style="716" customWidth="1"/>
    <col min="15286" max="15286" width="38.140625" style="716" customWidth="1"/>
    <col min="15287" max="15291" width="12.5703125" style="716" customWidth="1"/>
    <col min="15292" max="15303" width="9.7109375" style="716" customWidth="1"/>
    <col min="15304" max="15538" width="10.140625" style="716"/>
    <col min="15539" max="15539" width="9.7109375" style="716" customWidth="1"/>
    <col min="15540" max="15540" width="2.85546875" style="716" customWidth="1"/>
    <col min="15541" max="15541" width="2.140625" style="716" customWidth="1"/>
    <col min="15542" max="15542" width="38.140625" style="716" customWidth="1"/>
    <col min="15543" max="15547" width="12.5703125" style="716" customWidth="1"/>
    <col min="15548" max="15559" width="9.7109375" style="716" customWidth="1"/>
    <col min="15560" max="15794" width="10.140625" style="716"/>
    <col min="15795" max="15795" width="9.7109375" style="716" customWidth="1"/>
    <col min="15796" max="15796" width="2.85546875" style="716" customWidth="1"/>
    <col min="15797" max="15797" width="2.140625" style="716" customWidth="1"/>
    <col min="15798" max="15798" width="38.140625" style="716" customWidth="1"/>
    <col min="15799" max="15803" width="12.5703125" style="716" customWidth="1"/>
    <col min="15804" max="15815" width="9.7109375" style="716" customWidth="1"/>
    <col min="15816" max="16050" width="10.140625" style="716"/>
    <col min="16051" max="16051" width="9.7109375" style="716" customWidth="1"/>
    <col min="16052" max="16052" width="2.85546875" style="716" customWidth="1"/>
    <col min="16053" max="16053" width="2.140625" style="716" customWidth="1"/>
    <col min="16054" max="16054" width="38.140625" style="716" customWidth="1"/>
    <col min="16055" max="16059" width="12.5703125" style="716" customWidth="1"/>
    <col min="16060" max="16071" width="9.7109375" style="716" customWidth="1"/>
    <col min="16072" max="16384" width="10.140625" style="716"/>
  </cols>
  <sheetData>
    <row r="1" spans="1:68" s="53" customFormat="1" ht="24.75" customHeight="1" x14ac:dyDescent="0.3">
      <c r="A1" s="699" t="s">
        <v>1185</v>
      </c>
      <c r="B1" s="700"/>
      <c r="C1" s="700"/>
      <c r="D1" s="700"/>
      <c r="E1" s="700"/>
      <c r="F1" s="700"/>
      <c r="G1" s="700"/>
      <c r="H1" s="700"/>
      <c r="I1" s="700"/>
      <c r="J1" s="700"/>
      <c r="K1" s="700"/>
      <c r="L1" s="700"/>
      <c r="M1" s="700"/>
      <c r="N1" s="700"/>
      <c r="O1" s="700"/>
      <c r="P1" s="700"/>
      <c r="Q1" s="700"/>
      <c r="R1" s="700"/>
      <c r="S1" s="700"/>
      <c r="T1" s="700"/>
    </row>
    <row r="2" spans="1:68" s="701" customFormat="1" ht="16.5" customHeight="1" thickBot="1" x14ac:dyDescent="0.3">
      <c r="A2" s="3669" t="s">
        <v>8</v>
      </c>
      <c r="B2" s="3669"/>
      <c r="C2" s="3669"/>
      <c r="D2" s="3669"/>
      <c r="E2" s="3669"/>
      <c r="F2" s="3669"/>
      <c r="G2" s="3669"/>
      <c r="H2" s="3669"/>
      <c r="I2" s="3669"/>
      <c r="J2" s="3669"/>
      <c r="K2" s="3669"/>
      <c r="L2" s="3669"/>
      <c r="M2" s="3669"/>
      <c r="N2" s="3669"/>
      <c r="O2" s="3669"/>
      <c r="P2" s="3669"/>
      <c r="Q2" s="3669"/>
      <c r="R2" s="3669"/>
      <c r="S2" s="3669"/>
      <c r="T2" s="3669"/>
      <c r="U2" s="3669"/>
      <c r="V2" s="3669"/>
      <c r="W2" s="3669"/>
      <c r="X2" s="3669"/>
      <c r="Y2" s="3669"/>
      <c r="Z2" s="3669"/>
      <c r="AA2" s="3669"/>
      <c r="AB2" s="3669"/>
      <c r="AC2" s="3669"/>
      <c r="AD2" s="3669"/>
      <c r="AE2" s="3669"/>
      <c r="AF2" s="3669"/>
      <c r="AG2" s="3669"/>
      <c r="AH2" s="3669"/>
      <c r="AI2" s="3669"/>
      <c r="AJ2" s="3669"/>
      <c r="AK2" s="3669"/>
      <c r="AL2" s="3669"/>
      <c r="AM2" s="3669"/>
      <c r="AN2" s="3669"/>
      <c r="AO2" s="3669"/>
      <c r="AP2" s="3669"/>
      <c r="AQ2" s="3669"/>
      <c r="AR2" s="3669"/>
      <c r="AS2" s="3669"/>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c r="BP2" s="3669"/>
    </row>
    <row r="3" spans="1:68" s="708" customFormat="1" ht="18" thickTop="1" thickBot="1" x14ac:dyDescent="0.35">
      <c r="A3" s="702"/>
      <c r="B3" s="703">
        <v>42186</v>
      </c>
      <c r="C3" s="704">
        <v>42217</v>
      </c>
      <c r="D3" s="704">
        <v>42248</v>
      </c>
      <c r="E3" s="704">
        <v>42278</v>
      </c>
      <c r="F3" s="704">
        <v>42309</v>
      </c>
      <c r="G3" s="704">
        <v>42339</v>
      </c>
      <c r="H3" s="704">
        <v>42370</v>
      </c>
      <c r="I3" s="704">
        <v>42401</v>
      </c>
      <c r="J3" s="704">
        <v>42430</v>
      </c>
      <c r="K3" s="704">
        <v>42461</v>
      </c>
      <c r="L3" s="704">
        <v>42491</v>
      </c>
      <c r="M3" s="704">
        <v>42522</v>
      </c>
      <c r="N3" s="705">
        <v>42552</v>
      </c>
      <c r="O3" s="706">
        <v>42583</v>
      </c>
      <c r="P3" s="706">
        <v>42614</v>
      </c>
      <c r="Q3" s="706">
        <v>42644</v>
      </c>
      <c r="R3" s="706">
        <v>42675</v>
      </c>
      <c r="S3" s="706">
        <v>42705</v>
      </c>
      <c r="T3" s="706">
        <v>42736</v>
      </c>
      <c r="U3" s="706">
        <v>42767</v>
      </c>
      <c r="V3" s="706">
        <v>42795</v>
      </c>
      <c r="W3" s="706">
        <v>42826</v>
      </c>
      <c r="X3" s="706">
        <v>42856</v>
      </c>
      <c r="Y3" s="706">
        <v>42887</v>
      </c>
      <c r="Z3" s="706">
        <v>42917</v>
      </c>
      <c r="AA3" s="706">
        <v>42948</v>
      </c>
      <c r="AB3" s="706">
        <v>42979</v>
      </c>
      <c r="AC3" s="706">
        <v>43009</v>
      </c>
      <c r="AD3" s="706">
        <v>43040</v>
      </c>
      <c r="AE3" s="706">
        <v>43070</v>
      </c>
      <c r="AF3" s="706">
        <v>43101</v>
      </c>
      <c r="AG3" s="706">
        <v>43132</v>
      </c>
      <c r="AH3" s="706">
        <v>43160</v>
      </c>
      <c r="AI3" s="706">
        <v>43191</v>
      </c>
      <c r="AJ3" s="706">
        <v>43221</v>
      </c>
      <c r="AK3" s="707">
        <v>43252</v>
      </c>
      <c r="AL3" s="707">
        <v>43282</v>
      </c>
      <c r="AM3" s="707">
        <v>43313</v>
      </c>
      <c r="AN3" s="707">
        <v>43344</v>
      </c>
      <c r="AO3" s="707">
        <v>43374</v>
      </c>
      <c r="AP3" s="707">
        <v>43405</v>
      </c>
      <c r="AQ3" s="707">
        <v>43435</v>
      </c>
      <c r="AR3" s="707">
        <v>43466</v>
      </c>
      <c r="AS3" s="707">
        <v>43497</v>
      </c>
      <c r="AT3" s="707">
        <v>43525</v>
      </c>
      <c r="AU3" s="707">
        <v>43556</v>
      </c>
      <c r="AV3" s="707">
        <v>43586</v>
      </c>
      <c r="AW3" s="707">
        <v>43617</v>
      </c>
      <c r="AX3" s="707">
        <v>43647</v>
      </c>
      <c r="AY3" s="707">
        <v>43678</v>
      </c>
      <c r="AZ3" s="707">
        <v>43709</v>
      </c>
      <c r="BA3" s="707">
        <v>43739</v>
      </c>
      <c r="BB3" s="707">
        <v>43770</v>
      </c>
      <c r="BC3" s="707">
        <v>43800</v>
      </c>
      <c r="BD3" s="707">
        <v>43831</v>
      </c>
      <c r="BE3" s="707">
        <v>43862</v>
      </c>
      <c r="BF3" s="707">
        <v>43891</v>
      </c>
      <c r="BG3" s="707">
        <v>43922</v>
      </c>
      <c r="BH3" s="707">
        <v>43952</v>
      </c>
      <c r="BI3" s="707">
        <v>43983</v>
      </c>
      <c r="BJ3" s="707">
        <v>44013</v>
      </c>
      <c r="BK3" s="707">
        <v>44044</v>
      </c>
      <c r="BL3" s="707">
        <v>44075</v>
      </c>
      <c r="BM3" s="707">
        <v>44105</v>
      </c>
      <c r="BN3" s="707">
        <v>44136</v>
      </c>
      <c r="BO3" s="707">
        <v>44166</v>
      </c>
      <c r="BP3" s="707">
        <v>44197</v>
      </c>
    </row>
    <row r="4" spans="1:68" ht="17.25" thickTop="1" x14ac:dyDescent="0.3">
      <c r="A4" s="709" t="s">
        <v>1186</v>
      </c>
      <c r="B4" s="710">
        <f t="shared" ref="B4:M4" si="0">B5+B6+B7+B8</f>
        <v>7132.8199999999988</v>
      </c>
      <c r="C4" s="711">
        <f t="shared" si="0"/>
        <v>5344.9499999999989</v>
      </c>
      <c r="D4" s="711">
        <f t="shared" si="0"/>
        <v>6745.9800000000005</v>
      </c>
      <c r="E4" s="711">
        <f t="shared" si="0"/>
        <v>6231.8499999999995</v>
      </c>
      <c r="F4" s="711">
        <f t="shared" si="0"/>
        <v>7144.5427565599994</v>
      </c>
      <c r="G4" s="711">
        <f t="shared" si="0"/>
        <v>11421.06</v>
      </c>
      <c r="H4" s="712">
        <f t="shared" si="0"/>
        <v>6945.98</v>
      </c>
      <c r="I4" s="712">
        <f t="shared" si="0"/>
        <v>6469.3300000000008</v>
      </c>
      <c r="J4" s="712">
        <f t="shared" si="0"/>
        <v>7346.420000000001</v>
      </c>
      <c r="K4" s="712">
        <f t="shared" si="0"/>
        <v>5173.2</v>
      </c>
      <c r="L4" s="712">
        <f t="shared" si="0"/>
        <v>7092.09</v>
      </c>
      <c r="M4" s="712">
        <f t="shared" si="0"/>
        <v>11187.77</v>
      </c>
      <c r="N4" s="713">
        <v>5949.91</v>
      </c>
      <c r="O4" s="714">
        <v>6836.4699999999993</v>
      </c>
      <c r="P4" s="714">
        <v>6707.3199999999988</v>
      </c>
      <c r="Q4" s="714">
        <v>6308.01</v>
      </c>
      <c r="R4" s="714">
        <v>7078.7599999999993</v>
      </c>
      <c r="S4" s="714">
        <v>13132.510000000002</v>
      </c>
      <c r="T4" s="714">
        <v>7406.08</v>
      </c>
      <c r="U4" s="714">
        <v>5706.5399999999991</v>
      </c>
      <c r="V4" s="714">
        <v>7741.64</v>
      </c>
      <c r="W4" s="714">
        <v>5896.52</v>
      </c>
      <c r="X4" s="714">
        <v>7674.36</v>
      </c>
      <c r="Y4" s="714">
        <v>13589.52</v>
      </c>
      <c r="Z4" s="714">
        <v>6739.35</v>
      </c>
      <c r="AA4" s="714">
        <v>6350.165</v>
      </c>
      <c r="AB4" s="714">
        <v>7854.4369999999999</v>
      </c>
      <c r="AC4" s="714">
        <v>8765.76</v>
      </c>
      <c r="AD4" s="714">
        <v>11508.195000000002</v>
      </c>
      <c r="AE4" s="714">
        <v>13819.180999999999</v>
      </c>
      <c r="AF4" s="714">
        <v>6944.57</v>
      </c>
      <c r="AG4" s="714">
        <v>7430.8559999999989</v>
      </c>
      <c r="AH4" s="714">
        <v>6956.4539999999997</v>
      </c>
      <c r="AI4" s="714">
        <v>7963.152</v>
      </c>
      <c r="AJ4" s="714">
        <v>7684.7529999999997</v>
      </c>
      <c r="AK4" s="715">
        <v>13649.036</v>
      </c>
      <c r="AL4" s="715">
        <v>8264.7950000000001</v>
      </c>
      <c r="AM4" s="715">
        <v>6643.2929999999997</v>
      </c>
      <c r="AN4" s="715">
        <v>7019.9219999999996</v>
      </c>
      <c r="AO4" s="715">
        <v>10782.191999999999</v>
      </c>
      <c r="AP4" s="715">
        <v>7908.2220000000007</v>
      </c>
      <c r="AQ4" s="715">
        <v>13019.743</v>
      </c>
      <c r="AR4" s="715">
        <v>8691.7710000000006</v>
      </c>
      <c r="AS4" s="715">
        <v>6759.898000000001</v>
      </c>
      <c r="AT4" s="715">
        <v>7336.2580000000007</v>
      </c>
      <c r="AU4" s="715">
        <v>8958.5120000000006</v>
      </c>
      <c r="AV4" s="715">
        <v>8133.362000000001</v>
      </c>
      <c r="AW4" s="715">
        <v>14747.235000000001</v>
      </c>
      <c r="AX4" s="715">
        <v>8750.2690000000002</v>
      </c>
      <c r="AY4" s="715">
        <v>7190.5759999999991</v>
      </c>
      <c r="AZ4" s="715">
        <v>10317.550000000001</v>
      </c>
      <c r="BA4" s="715">
        <v>9089.7519999999986</v>
      </c>
      <c r="BB4" s="715">
        <v>7109.0170000000007</v>
      </c>
      <c r="BC4" s="715">
        <v>31594.151000000002</v>
      </c>
      <c r="BD4" s="715">
        <v>9624.7389999999996</v>
      </c>
      <c r="BE4" s="715">
        <v>7173.9989999999998</v>
      </c>
      <c r="BF4" s="715">
        <v>6913.5019999999986</v>
      </c>
      <c r="BG4" s="715">
        <v>3590.0249999999992</v>
      </c>
      <c r="BH4" s="715">
        <v>4986.7539999999999</v>
      </c>
      <c r="BI4" s="715">
        <v>15597.708999999999</v>
      </c>
      <c r="BJ4" s="715">
        <v>6233.2940000000008</v>
      </c>
      <c r="BK4" s="715">
        <v>46283.125</v>
      </c>
      <c r="BL4" s="715">
        <v>28728.720000000001</v>
      </c>
      <c r="BM4" s="715">
        <v>7928.3770000000004</v>
      </c>
      <c r="BN4" s="715">
        <v>8891.5419999999976</v>
      </c>
      <c r="BO4" s="715">
        <v>11675.615000000002</v>
      </c>
      <c r="BP4" s="715">
        <v>5990.5459999999994</v>
      </c>
    </row>
    <row r="5" spans="1:68" ht="16.5" x14ac:dyDescent="0.3">
      <c r="A5" s="54" t="s">
        <v>1187</v>
      </c>
      <c r="B5" s="717">
        <v>5801.5199999999995</v>
      </c>
      <c r="C5" s="718">
        <v>5034.0599999999995</v>
      </c>
      <c r="D5" s="718">
        <v>6360.62</v>
      </c>
      <c r="E5" s="718">
        <v>5226.45</v>
      </c>
      <c r="F5" s="718">
        <v>6179.6863854099993</v>
      </c>
      <c r="G5" s="718">
        <v>10325.790000000001</v>
      </c>
      <c r="H5" s="719">
        <v>5080.3899999999994</v>
      </c>
      <c r="I5" s="719">
        <v>6179.38</v>
      </c>
      <c r="J5" s="719">
        <v>6418.27</v>
      </c>
      <c r="K5" s="719">
        <v>4819.13</v>
      </c>
      <c r="L5" s="719">
        <v>6712.88</v>
      </c>
      <c r="M5" s="719">
        <v>10085.52</v>
      </c>
      <c r="N5" s="720">
        <v>4869.28</v>
      </c>
      <c r="O5" s="721">
        <v>6164.01</v>
      </c>
      <c r="P5" s="721">
        <v>6239.2799999999988</v>
      </c>
      <c r="Q5" s="721">
        <v>5998.81</v>
      </c>
      <c r="R5" s="721">
        <v>6241.3399999999992</v>
      </c>
      <c r="S5" s="721">
        <v>10936.900000000001</v>
      </c>
      <c r="T5" s="721">
        <v>7119.97</v>
      </c>
      <c r="U5" s="721">
        <v>5393.369999999999</v>
      </c>
      <c r="V5" s="721">
        <v>7345.76</v>
      </c>
      <c r="W5" s="721">
        <v>5340.94</v>
      </c>
      <c r="X5" s="721">
        <v>7296.86</v>
      </c>
      <c r="Y5" s="721">
        <v>11262.7</v>
      </c>
      <c r="Z5" s="721">
        <v>5687.72</v>
      </c>
      <c r="AA5" s="721">
        <v>6031.875</v>
      </c>
      <c r="AB5" s="721">
        <v>6476.6170000000002</v>
      </c>
      <c r="AC5" s="721">
        <v>8323.66</v>
      </c>
      <c r="AD5" s="721">
        <v>6754.295000000001</v>
      </c>
      <c r="AE5" s="721">
        <v>11546.109999999999</v>
      </c>
      <c r="AF5" s="721">
        <v>6383.77</v>
      </c>
      <c r="AG5" s="721">
        <v>6780.7259999999997</v>
      </c>
      <c r="AH5" s="721">
        <v>6486.183</v>
      </c>
      <c r="AI5" s="721">
        <v>7447.8780000000006</v>
      </c>
      <c r="AJ5" s="721">
        <v>7317.7420000000002</v>
      </c>
      <c r="AK5" s="722">
        <v>12251.291999999999</v>
      </c>
      <c r="AL5" s="722">
        <v>7345.0450000000001</v>
      </c>
      <c r="AM5" s="722">
        <v>6040.9359999999997</v>
      </c>
      <c r="AN5" s="722">
        <v>6666.5959999999995</v>
      </c>
      <c r="AO5" s="722">
        <v>9827.2780000000002</v>
      </c>
      <c r="AP5" s="722">
        <v>7309.0510000000004</v>
      </c>
      <c r="AQ5" s="722">
        <v>11614.393</v>
      </c>
      <c r="AR5" s="722">
        <v>8340.2390000000014</v>
      </c>
      <c r="AS5" s="722">
        <v>6335.5140000000001</v>
      </c>
      <c r="AT5" s="722">
        <v>6928.8630000000003</v>
      </c>
      <c r="AU5" s="722">
        <v>8061.4490000000005</v>
      </c>
      <c r="AV5" s="722">
        <v>7601.1910000000007</v>
      </c>
      <c r="AW5" s="722">
        <v>12229.69</v>
      </c>
      <c r="AX5" s="722">
        <v>6404.5289999999995</v>
      </c>
      <c r="AY5" s="722">
        <v>6182.5869999999986</v>
      </c>
      <c r="AZ5" s="722">
        <v>9615.6150000000016</v>
      </c>
      <c r="BA5" s="722">
        <v>8351.5559999999987</v>
      </c>
      <c r="BB5" s="722">
        <v>6603.5660000000007</v>
      </c>
      <c r="BC5" s="722">
        <v>12416.895000000002</v>
      </c>
      <c r="BD5" s="722">
        <v>8922.8860000000004</v>
      </c>
      <c r="BE5" s="722">
        <v>5721.2439999999997</v>
      </c>
      <c r="BF5" s="722">
        <v>6507.0869999999986</v>
      </c>
      <c r="BG5" s="722">
        <v>3421.2099999999996</v>
      </c>
      <c r="BH5" s="722">
        <v>4007.6949999999997</v>
      </c>
      <c r="BI5" s="722">
        <v>13696.850999999999</v>
      </c>
      <c r="BJ5" s="722">
        <v>5547.1210000000001</v>
      </c>
      <c r="BK5" s="722">
        <v>5693.7669999999998</v>
      </c>
      <c r="BL5" s="722">
        <v>8115.6859999999997</v>
      </c>
      <c r="BM5" s="722">
        <v>7169.6149999999998</v>
      </c>
      <c r="BN5" s="722">
        <v>7529.0569999999989</v>
      </c>
      <c r="BO5" s="722">
        <v>10294.877</v>
      </c>
      <c r="BP5" s="722">
        <v>5187.9399999999996</v>
      </c>
    </row>
    <row r="6" spans="1:68" ht="16.5" x14ac:dyDescent="0.3">
      <c r="A6" s="54" t="s">
        <v>1188</v>
      </c>
      <c r="B6" s="717">
        <v>110.74</v>
      </c>
      <c r="C6" s="718">
        <v>108.69</v>
      </c>
      <c r="D6" s="718">
        <v>109.46</v>
      </c>
      <c r="E6" s="718">
        <v>110.15</v>
      </c>
      <c r="F6" s="718">
        <v>110.02637115</v>
      </c>
      <c r="G6" s="718">
        <v>116.14</v>
      </c>
      <c r="H6" s="719">
        <v>110.51</v>
      </c>
      <c r="I6" s="719">
        <v>111.51</v>
      </c>
      <c r="J6" s="719">
        <v>111.64</v>
      </c>
      <c r="K6" s="719">
        <v>110.07</v>
      </c>
      <c r="L6" s="719">
        <v>144.05000000000001</v>
      </c>
      <c r="M6" s="719">
        <v>122.02</v>
      </c>
      <c r="N6" s="720">
        <v>112.31</v>
      </c>
      <c r="O6" s="721">
        <v>113.62</v>
      </c>
      <c r="P6" s="721">
        <v>120.19</v>
      </c>
      <c r="Q6" s="721">
        <v>112.82</v>
      </c>
      <c r="R6" s="721">
        <v>116.22</v>
      </c>
      <c r="S6" s="721">
        <v>113.97</v>
      </c>
      <c r="T6" s="721">
        <v>111.98</v>
      </c>
      <c r="U6" s="721">
        <v>114.43</v>
      </c>
      <c r="V6" s="721">
        <v>114.63</v>
      </c>
      <c r="W6" s="721">
        <v>114.1</v>
      </c>
      <c r="X6" s="721">
        <v>114.89</v>
      </c>
      <c r="Y6" s="721">
        <v>117.99</v>
      </c>
      <c r="Z6" s="721">
        <v>107.09</v>
      </c>
      <c r="AA6" s="721">
        <v>112.38</v>
      </c>
      <c r="AB6" s="721">
        <v>113.37</v>
      </c>
      <c r="AC6" s="721">
        <v>112.59</v>
      </c>
      <c r="AD6" s="721">
        <v>111.3</v>
      </c>
      <c r="AE6" s="721">
        <v>112.756</v>
      </c>
      <c r="AF6" s="721">
        <v>107.99</v>
      </c>
      <c r="AG6" s="721">
        <v>111.23</v>
      </c>
      <c r="AH6" s="721">
        <v>111.84099999999999</v>
      </c>
      <c r="AI6" s="721">
        <v>114.374</v>
      </c>
      <c r="AJ6" s="721">
        <v>112.79600000000001</v>
      </c>
      <c r="AK6" s="722">
        <v>114.73399999999999</v>
      </c>
      <c r="AL6" s="722">
        <v>105.84</v>
      </c>
      <c r="AM6" s="722">
        <v>113.265</v>
      </c>
      <c r="AN6" s="722">
        <v>108.249</v>
      </c>
      <c r="AO6" s="722">
        <v>112.274</v>
      </c>
      <c r="AP6" s="722">
        <v>107.687</v>
      </c>
      <c r="AQ6" s="722">
        <v>110.967</v>
      </c>
      <c r="AR6" s="722">
        <v>111.863</v>
      </c>
      <c r="AS6" s="722">
        <v>109.33199999999999</v>
      </c>
      <c r="AT6" s="722">
        <v>111.051</v>
      </c>
      <c r="AU6" s="722">
        <v>111.843</v>
      </c>
      <c r="AV6" s="722">
        <v>108.16800000000001</v>
      </c>
      <c r="AW6" s="722">
        <v>115.544</v>
      </c>
      <c r="AX6" s="722">
        <v>104.90300000000001</v>
      </c>
      <c r="AY6" s="722">
        <v>108.495</v>
      </c>
      <c r="AZ6" s="722">
        <v>108.739</v>
      </c>
      <c r="BA6" s="722">
        <v>109.05200000000001</v>
      </c>
      <c r="BB6" s="722">
        <v>104.842</v>
      </c>
      <c r="BC6" s="722">
        <v>111.029</v>
      </c>
      <c r="BD6" s="722">
        <v>112.22199999999999</v>
      </c>
      <c r="BE6" s="722">
        <v>110.21</v>
      </c>
      <c r="BF6" s="722">
        <v>111.194</v>
      </c>
      <c r="BG6" s="722">
        <v>107.057</v>
      </c>
      <c r="BH6" s="722">
        <v>177.53700000000001</v>
      </c>
      <c r="BI6" s="722">
        <v>118.857</v>
      </c>
      <c r="BJ6" s="722">
        <v>107.078</v>
      </c>
      <c r="BK6" s="722">
        <v>108.422</v>
      </c>
      <c r="BL6" s="722">
        <v>108.422</v>
      </c>
      <c r="BM6" s="722">
        <v>191.983</v>
      </c>
      <c r="BN6" s="722">
        <v>962.37199999999996</v>
      </c>
      <c r="BO6" s="722">
        <v>868.42200000000003</v>
      </c>
      <c r="BP6" s="722">
        <v>521.17899999999997</v>
      </c>
    </row>
    <row r="7" spans="1:68" ht="16.5" x14ac:dyDescent="0.3">
      <c r="A7" s="54" t="s">
        <v>1189</v>
      </c>
      <c r="B7" s="717">
        <v>103.53</v>
      </c>
      <c r="C7" s="718">
        <v>0</v>
      </c>
      <c r="D7" s="718">
        <v>21.06</v>
      </c>
      <c r="E7" s="718">
        <v>12.41</v>
      </c>
      <c r="F7" s="718">
        <v>466.38</v>
      </c>
      <c r="G7" s="718">
        <v>29.73</v>
      </c>
      <c r="H7" s="719">
        <v>1300</v>
      </c>
      <c r="I7" s="719">
        <v>6.18</v>
      </c>
      <c r="J7" s="719">
        <v>29.79</v>
      </c>
      <c r="K7" s="719">
        <v>8.77</v>
      </c>
      <c r="L7" s="719">
        <v>0</v>
      </c>
      <c r="M7" s="719">
        <v>269.44</v>
      </c>
      <c r="N7" s="720">
        <v>0</v>
      </c>
      <c r="O7" s="721">
        <v>4.07</v>
      </c>
      <c r="P7" s="721">
        <v>3.01</v>
      </c>
      <c r="Q7" s="721">
        <v>0</v>
      </c>
      <c r="R7" s="721">
        <v>101.42</v>
      </c>
      <c r="S7" s="721">
        <v>892.19</v>
      </c>
      <c r="T7" s="721">
        <v>7.89</v>
      </c>
      <c r="U7" s="721">
        <v>0</v>
      </c>
      <c r="V7" s="721">
        <v>30.2</v>
      </c>
      <c r="W7" s="721">
        <v>0</v>
      </c>
      <c r="X7" s="721">
        <v>22.13</v>
      </c>
      <c r="Y7" s="721">
        <v>1837.97</v>
      </c>
      <c r="Z7" s="721">
        <v>0</v>
      </c>
      <c r="AA7" s="721">
        <v>11.73</v>
      </c>
      <c r="AB7" s="721">
        <v>1015.47</v>
      </c>
      <c r="AC7" s="721">
        <v>0.84</v>
      </c>
      <c r="AD7" s="721">
        <v>3842.83</v>
      </c>
      <c r="AE7" s="721">
        <v>1115.0350000000001</v>
      </c>
      <c r="AF7" s="721">
        <v>61.58</v>
      </c>
      <c r="AG7" s="721">
        <v>177.94</v>
      </c>
      <c r="AH7" s="721">
        <v>69.69</v>
      </c>
      <c r="AI7" s="721">
        <v>114.16</v>
      </c>
      <c r="AJ7" s="721">
        <v>6.5250000000000004</v>
      </c>
      <c r="AK7" s="722">
        <v>863.26</v>
      </c>
      <c r="AL7" s="722">
        <v>0</v>
      </c>
      <c r="AM7" s="722">
        <v>134.923</v>
      </c>
      <c r="AN7" s="722">
        <v>0.23400000000000001</v>
      </c>
      <c r="AO7" s="722">
        <v>511.68900000000002</v>
      </c>
      <c r="AP7" s="722">
        <v>116.929</v>
      </c>
      <c r="AQ7" s="722">
        <v>154.13200000000001</v>
      </c>
      <c r="AR7" s="722">
        <v>1.24</v>
      </c>
      <c r="AS7" s="722">
        <v>76.715999999999994</v>
      </c>
      <c r="AT7" s="722">
        <v>42.71</v>
      </c>
      <c r="AU7" s="722">
        <v>429.08699999999999</v>
      </c>
      <c r="AV7" s="722">
        <v>87.68</v>
      </c>
      <c r="AW7" s="722">
        <v>1803.1840000000002</v>
      </c>
      <c r="AX7" s="722">
        <v>1533.556</v>
      </c>
      <c r="AY7" s="722">
        <v>216.24299999999999</v>
      </c>
      <c r="AZ7" s="722">
        <v>220.06100000000001</v>
      </c>
      <c r="BA7" s="722">
        <v>367.65300000000002</v>
      </c>
      <c r="BB7" s="722">
        <v>161.06700000000001</v>
      </c>
      <c r="BC7" s="722">
        <v>9.0340000000000007</v>
      </c>
      <c r="BD7" s="722">
        <v>2.99</v>
      </c>
      <c r="BE7" s="722">
        <v>970.70100000000002</v>
      </c>
      <c r="BF7" s="722">
        <v>3.2890000000000001</v>
      </c>
      <c r="BG7" s="722">
        <v>0</v>
      </c>
      <c r="BH7" s="722">
        <v>0</v>
      </c>
      <c r="BI7" s="722">
        <v>803.28899999999999</v>
      </c>
      <c r="BJ7" s="722">
        <v>0</v>
      </c>
      <c r="BK7" s="722">
        <v>7000</v>
      </c>
      <c r="BL7" s="722">
        <v>20332.824000000001</v>
      </c>
      <c r="BM7" s="722">
        <v>371.67099999999999</v>
      </c>
      <c r="BN7" s="722">
        <v>99.778000000000006</v>
      </c>
      <c r="BO7" s="722">
        <v>251.678</v>
      </c>
      <c r="BP7" s="722">
        <v>64.088999999999999</v>
      </c>
    </row>
    <row r="8" spans="1:68" ht="16.5" x14ac:dyDescent="0.3">
      <c r="A8" s="54" t="s">
        <v>1190</v>
      </c>
      <c r="B8" s="717">
        <v>1117.03</v>
      </c>
      <c r="C8" s="718">
        <v>202.2</v>
      </c>
      <c r="D8" s="718">
        <v>254.84</v>
      </c>
      <c r="E8" s="718">
        <v>882.84</v>
      </c>
      <c r="F8" s="718">
        <v>388.45</v>
      </c>
      <c r="G8" s="718">
        <v>949.4</v>
      </c>
      <c r="H8" s="719">
        <v>455.08</v>
      </c>
      <c r="I8" s="719">
        <v>172.26</v>
      </c>
      <c r="J8" s="719">
        <v>786.72</v>
      </c>
      <c r="K8" s="719">
        <v>235.23</v>
      </c>
      <c r="L8" s="719">
        <v>235.16</v>
      </c>
      <c r="M8" s="719">
        <v>710.79</v>
      </c>
      <c r="N8" s="720">
        <v>968.32</v>
      </c>
      <c r="O8" s="721">
        <v>554.77</v>
      </c>
      <c r="P8" s="721">
        <v>344.84</v>
      </c>
      <c r="Q8" s="721">
        <v>196.38</v>
      </c>
      <c r="R8" s="721">
        <v>619.78</v>
      </c>
      <c r="S8" s="721">
        <v>1189.45</v>
      </c>
      <c r="T8" s="721">
        <v>166.24</v>
      </c>
      <c r="U8" s="721">
        <v>198.74</v>
      </c>
      <c r="V8" s="721">
        <v>251.05</v>
      </c>
      <c r="W8" s="721">
        <v>441.48</v>
      </c>
      <c r="X8" s="721">
        <v>240.48</v>
      </c>
      <c r="Y8" s="721">
        <v>370.86</v>
      </c>
      <c r="Z8" s="721">
        <v>944.54</v>
      </c>
      <c r="AA8" s="721">
        <v>194.18</v>
      </c>
      <c r="AB8" s="721">
        <v>248.98</v>
      </c>
      <c r="AC8" s="721">
        <v>328.67</v>
      </c>
      <c r="AD8" s="721">
        <v>799.77</v>
      </c>
      <c r="AE8" s="721">
        <v>1045.28</v>
      </c>
      <c r="AF8" s="721">
        <v>391.23</v>
      </c>
      <c r="AG8" s="721">
        <v>360.96</v>
      </c>
      <c r="AH8" s="721">
        <v>288.74</v>
      </c>
      <c r="AI8" s="721">
        <v>286.74</v>
      </c>
      <c r="AJ8" s="721">
        <v>247.69</v>
      </c>
      <c r="AK8" s="722">
        <v>419.75</v>
      </c>
      <c r="AL8" s="722">
        <v>813.91</v>
      </c>
      <c r="AM8" s="722">
        <v>354.16899999999998</v>
      </c>
      <c r="AN8" s="722">
        <v>244.84299999999999</v>
      </c>
      <c r="AO8" s="722">
        <v>330.95100000000002</v>
      </c>
      <c r="AP8" s="722">
        <v>374.55500000000001</v>
      </c>
      <c r="AQ8" s="722">
        <v>1140.251</v>
      </c>
      <c r="AR8" s="722">
        <v>238.429</v>
      </c>
      <c r="AS8" s="722">
        <v>238.33600000000001</v>
      </c>
      <c r="AT8" s="722">
        <v>253.63399999999999</v>
      </c>
      <c r="AU8" s="722">
        <v>356.13299999999998</v>
      </c>
      <c r="AV8" s="722">
        <v>336.32299999999998</v>
      </c>
      <c r="AW8" s="722">
        <v>598.81700000000001</v>
      </c>
      <c r="AX8" s="722">
        <v>707.28099999999995</v>
      </c>
      <c r="AY8" s="722">
        <v>683.25099999999998</v>
      </c>
      <c r="AZ8" s="722">
        <v>373.13499999999999</v>
      </c>
      <c r="BA8" s="722">
        <v>261.49099999999999</v>
      </c>
      <c r="BB8" s="722">
        <v>239.542</v>
      </c>
      <c r="BC8" s="722">
        <v>19057.192999999999</v>
      </c>
      <c r="BD8" s="722">
        <v>586.64099999999996</v>
      </c>
      <c r="BE8" s="722">
        <v>371.84399999999999</v>
      </c>
      <c r="BF8" s="722">
        <v>291.93200000000002</v>
      </c>
      <c r="BG8" s="722">
        <v>61.758000000000003</v>
      </c>
      <c r="BH8" s="722">
        <v>801.52200000000005</v>
      </c>
      <c r="BI8" s="722">
        <v>978.71199999999999</v>
      </c>
      <c r="BJ8" s="722">
        <v>579.09500000000003</v>
      </c>
      <c r="BK8" s="722">
        <v>33480.936000000002</v>
      </c>
      <c r="BL8" s="722">
        <v>171.78800000000001</v>
      </c>
      <c r="BM8" s="722">
        <v>195.108</v>
      </c>
      <c r="BN8" s="722">
        <v>300.33499999999998</v>
      </c>
      <c r="BO8" s="722">
        <v>260.63799999999998</v>
      </c>
      <c r="BP8" s="722">
        <v>217.33799999999999</v>
      </c>
    </row>
    <row r="9" spans="1:68" ht="16.5" x14ac:dyDescent="0.3">
      <c r="A9" s="709" t="s">
        <v>1191</v>
      </c>
      <c r="B9" s="710">
        <f t="shared" ref="B9:M9" si="1">B10+B11+B12+B13+B14+B15+B16</f>
        <v>7570.97</v>
      </c>
      <c r="C9" s="711">
        <f t="shared" si="1"/>
        <v>6633.11</v>
      </c>
      <c r="D9" s="711">
        <f t="shared" si="1"/>
        <v>6843.19</v>
      </c>
      <c r="E9" s="711">
        <f t="shared" si="1"/>
        <v>7287.0700000000006</v>
      </c>
      <c r="F9" s="711">
        <f t="shared" si="1"/>
        <v>7021.23</v>
      </c>
      <c r="G9" s="711">
        <f t="shared" si="1"/>
        <v>11453.08</v>
      </c>
      <c r="H9" s="712">
        <f t="shared" si="1"/>
        <v>7158.67</v>
      </c>
      <c r="I9" s="712">
        <f t="shared" si="1"/>
        <v>8239.77</v>
      </c>
      <c r="J9" s="712">
        <f t="shared" si="1"/>
        <v>7408.5300000000007</v>
      </c>
      <c r="K9" s="712">
        <f t="shared" si="1"/>
        <v>7220.07</v>
      </c>
      <c r="L9" s="712">
        <f t="shared" si="1"/>
        <v>8306.34</v>
      </c>
      <c r="M9" s="712">
        <f t="shared" si="1"/>
        <v>12025.03</v>
      </c>
      <c r="N9" s="713">
        <v>7247.12</v>
      </c>
      <c r="O9" s="714">
        <v>7440.3300000000008</v>
      </c>
      <c r="P9" s="714">
        <v>7848.94</v>
      </c>
      <c r="Q9" s="714">
        <v>7937.39</v>
      </c>
      <c r="R9" s="714">
        <v>8179</v>
      </c>
      <c r="S9" s="714">
        <v>12439.23</v>
      </c>
      <c r="T9" s="714">
        <v>8055.96</v>
      </c>
      <c r="U9" s="714">
        <v>8363.26</v>
      </c>
      <c r="V9" s="714">
        <v>8322.2999999999993</v>
      </c>
      <c r="W9" s="714">
        <v>8310.92</v>
      </c>
      <c r="X9" s="714">
        <v>8200.1600000000017</v>
      </c>
      <c r="Y9" s="714">
        <v>10514.529999999999</v>
      </c>
      <c r="Z9" s="714">
        <v>7607.329999999999</v>
      </c>
      <c r="AA9" s="714">
        <v>7947.45</v>
      </c>
      <c r="AB9" s="714">
        <v>7690.16</v>
      </c>
      <c r="AC9" s="714">
        <v>8251.27</v>
      </c>
      <c r="AD9" s="714">
        <v>8645.226999999999</v>
      </c>
      <c r="AE9" s="714">
        <v>12842.177000000001</v>
      </c>
      <c r="AF9" s="714">
        <v>8065.05</v>
      </c>
      <c r="AG9" s="714">
        <v>9582.8240000000005</v>
      </c>
      <c r="AH9" s="714">
        <v>10165.707</v>
      </c>
      <c r="AI9" s="714">
        <v>7311.3120000000008</v>
      </c>
      <c r="AJ9" s="714">
        <v>9413.2279999999992</v>
      </c>
      <c r="AK9" s="715">
        <v>14038.83</v>
      </c>
      <c r="AL9" s="715">
        <v>8200.16</v>
      </c>
      <c r="AM9" s="715">
        <v>8534.7049999999981</v>
      </c>
      <c r="AN9" s="715">
        <v>8235.1139999999996</v>
      </c>
      <c r="AO9" s="715">
        <v>9282.3360000000011</v>
      </c>
      <c r="AP9" s="715">
        <v>9241.3130000000001</v>
      </c>
      <c r="AQ9" s="715">
        <v>13525.558999999999</v>
      </c>
      <c r="AR9" s="715">
        <v>9577.2419999999984</v>
      </c>
      <c r="AS9" s="715">
        <v>9327.2170000000006</v>
      </c>
      <c r="AT9" s="715">
        <v>9176.5030000000006</v>
      </c>
      <c r="AU9" s="715">
        <v>9839.8190000000013</v>
      </c>
      <c r="AV9" s="715">
        <v>9609.0400000000009</v>
      </c>
      <c r="AW9" s="715">
        <v>11759.182999999999</v>
      </c>
      <c r="AX9" s="715">
        <v>8612.33</v>
      </c>
      <c r="AY9" s="715">
        <v>9235.351999999999</v>
      </c>
      <c r="AZ9" s="715">
        <v>9327.1710000000003</v>
      </c>
      <c r="BA9" s="715">
        <v>11259.145</v>
      </c>
      <c r="BB9" s="715">
        <v>7027.0290000000005</v>
      </c>
      <c r="BC9" s="715">
        <v>15275.654999999997</v>
      </c>
      <c r="BD9" s="715">
        <v>10893.63</v>
      </c>
      <c r="BE9" s="715">
        <v>11067.523000000001</v>
      </c>
      <c r="BF9" s="715">
        <v>10608.383</v>
      </c>
      <c r="BG9" s="715">
        <v>10746.953</v>
      </c>
      <c r="BH9" s="715">
        <v>16139.553</v>
      </c>
      <c r="BI9" s="715">
        <v>29975.495000000003</v>
      </c>
      <c r="BJ9" s="715">
        <v>9950.0329999999994</v>
      </c>
      <c r="BK9" s="715">
        <v>10123.140000000001</v>
      </c>
      <c r="BL9" s="715">
        <v>26004.315000000002</v>
      </c>
      <c r="BM9" s="715">
        <v>10452.216999999999</v>
      </c>
      <c r="BN9" s="715">
        <v>10582.5</v>
      </c>
      <c r="BO9" s="715">
        <v>16899.308000000001</v>
      </c>
      <c r="BP9" s="715">
        <v>10498.974000000002</v>
      </c>
    </row>
    <row r="10" spans="1:68" ht="16.5" x14ac:dyDescent="0.3">
      <c r="A10" s="54" t="s">
        <v>1192</v>
      </c>
      <c r="B10" s="717">
        <v>2058.4699999999998</v>
      </c>
      <c r="C10" s="718">
        <v>1857.29</v>
      </c>
      <c r="D10" s="718">
        <v>1898.28</v>
      </c>
      <c r="E10" s="718">
        <v>1844.28</v>
      </c>
      <c r="F10" s="718">
        <v>1893.87</v>
      </c>
      <c r="G10" s="718">
        <v>3289.04</v>
      </c>
      <c r="H10" s="719">
        <v>1953.19</v>
      </c>
      <c r="I10" s="719">
        <v>2598.83</v>
      </c>
      <c r="J10" s="719">
        <v>2085.36</v>
      </c>
      <c r="K10" s="719">
        <v>1934.66</v>
      </c>
      <c r="L10" s="719">
        <v>2478.61</v>
      </c>
      <c r="M10" s="719">
        <v>2316.13</v>
      </c>
      <c r="N10" s="720">
        <v>2179.0700000000002</v>
      </c>
      <c r="O10" s="721">
        <v>2214.7600000000002</v>
      </c>
      <c r="P10" s="721">
        <v>2099.08</v>
      </c>
      <c r="Q10" s="721">
        <v>2127.77</v>
      </c>
      <c r="R10" s="721">
        <v>2198.87</v>
      </c>
      <c r="S10" s="721">
        <v>3592.38</v>
      </c>
      <c r="T10" s="721">
        <v>2048.58</v>
      </c>
      <c r="U10" s="721">
        <v>2829.9</v>
      </c>
      <c r="V10" s="721">
        <v>2288.4899999999998</v>
      </c>
      <c r="W10" s="721">
        <v>2225.89</v>
      </c>
      <c r="X10" s="721">
        <v>2148.31</v>
      </c>
      <c r="Y10" s="721">
        <v>2385.1999999999998</v>
      </c>
      <c r="Z10" s="721">
        <v>2222.5100000000002</v>
      </c>
      <c r="AA10" s="721">
        <v>2199.84</v>
      </c>
      <c r="AB10" s="721">
        <v>2152.71</v>
      </c>
      <c r="AC10" s="721">
        <v>2243.37</v>
      </c>
      <c r="AD10" s="721">
        <v>2195.81</v>
      </c>
      <c r="AE10" s="721">
        <v>3678.357</v>
      </c>
      <c r="AF10" s="721">
        <v>2122.54</v>
      </c>
      <c r="AG10" s="721">
        <v>2900.14</v>
      </c>
      <c r="AH10" s="721">
        <v>2390.0949999999998</v>
      </c>
      <c r="AI10" s="721">
        <v>2412.6750000000002</v>
      </c>
      <c r="AJ10" s="721">
        <v>2330.85</v>
      </c>
      <c r="AK10" s="722">
        <v>2382.14</v>
      </c>
      <c r="AL10" s="722">
        <v>2239.02</v>
      </c>
      <c r="AM10" s="722">
        <v>2295.7179999999998</v>
      </c>
      <c r="AN10" s="722">
        <v>2233.3809999999999</v>
      </c>
      <c r="AO10" s="722">
        <v>2309.5740000000001</v>
      </c>
      <c r="AP10" s="722">
        <v>2373.2139999999999</v>
      </c>
      <c r="AQ10" s="722">
        <v>3843.7570000000001</v>
      </c>
      <c r="AR10" s="722">
        <v>2282.6350000000002</v>
      </c>
      <c r="AS10" s="722">
        <v>3020.3359999999998</v>
      </c>
      <c r="AT10" s="722">
        <v>2386.5100000000002</v>
      </c>
      <c r="AU10" s="722">
        <v>2447.5590000000002</v>
      </c>
      <c r="AV10" s="722">
        <v>2436.6930000000002</v>
      </c>
      <c r="AW10" s="722">
        <v>2412.0360000000001</v>
      </c>
      <c r="AX10" s="722">
        <v>2335.145</v>
      </c>
      <c r="AY10" s="722">
        <v>2331.5419999999999</v>
      </c>
      <c r="AZ10" s="722">
        <v>2295.6170000000002</v>
      </c>
      <c r="BA10" s="722">
        <v>2323.61</v>
      </c>
      <c r="BB10" s="722">
        <v>2332.3530000000001</v>
      </c>
      <c r="BC10" s="722">
        <v>3917.0189999999998</v>
      </c>
      <c r="BD10" s="722">
        <v>2564.8649999999998</v>
      </c>
      <c r="BE10" s="722">
        <v>3142.5439999999999</v>
      </c>
      <c r="BF10" s="722">
        <v>2424.172</v>
      </c>
      <c r="BG10" s="722">
        <v>2098.4639999999999</v>
      </c>
      <c r="BH10" s="722">
        <v>2333.2379999999998</v>
      </c>
      <c r="BI10" s="722">
        <v>2876.6469999999999</v>
      </c>
      <c r="BJ10" s="722">
        <v>2487.4029999999998</v>
      </c>
      <c r="BK10" s="722">
        <v>2683.835</v>
      </c>
      <c r="BL10" s="722">
        <v>2351.5619999999999</v>
      </c>
      <c r="BM10" s="722">
        <v>2384.7579999999998</v>
      </c>
      <c r="BN10" s="722">
        <v>2323.5540000000001</v>
      </c>
      <c r="BO10" s="722">
        <v>4263.5360000000001</v>
      </c>
      <c r="BP10" s="722">
        <v>2398.7649999999999</v>
      </c>
    </row>
    <row r="11" spans="1:68" ht="16.5" x14ac:dyDescent="0.3">
      <c r="A11" s="54" t="s">
        <v>1193</v>
      </c>
      <c r="B11" s="717">
        <v>840.79</v>
      </c>
      <c r="C11" s="718">
        <v>491.45</v>
      </c>
      <c r="D11" s="718">
        <v>680.02</v>
      </c>
      <c r="E11" s="718">
        <v>712.09</v>
      </c>
      <c r="F11" s="718">
        <v>556.96</v>
      </c>
      <c r="G11" s="718">
        <v>667.22</v>
      </c>
      <c r="H11" s="719">
        <v>655.7</v>
      </c>
      <c r="I11" s="719">
        <v>566.05999999999995</v>
      </c>
      <c r="J11" s="719">
        <v>673.68</v>
      </c>
      <c r="K11" s="719">
        <v>736.05</v>
      </c>
      <c r="L11" s="719">
        <v>624.91999999999996</v>
      </c>
      <c r="M11" s="719">
        <v>1158.05</v>
      </c>
      <c r="N11" s="720">
        <v>360.95</v>
      </c>
      <c r="O11" s="721">
        <v>578.66999999999996</v>
      </c>
      <c r="P11" s="721">
        <v>850.65</v>
      </c>
      <c r="Q11" s="721">
        <v>741.78</v>
      </c>
      <c r="R11" s="721">
        <v>738.37</v>
      </c>
      <c r="S11" s="721">
        <v>745.51</v>
      </c>
      <c r="T11" s="721">
        <v>676.64</v>
      </c>
      <c r="U11" s="721">
        <v>635.61</v>
      </c>
      <c r="V11" s="721">
        <v>785.85</v>
      </c>
      <c r="W11" s="721">
        <v>642.78</v>
      </c>
      <c r="X11" s="721">
        <v>756.52</v>
      </c>
      <c r="Y11" s="721">
        <v>1372.7</v>
      </c>
      <c r="Z11" s="721">
        <v>541.21</v>
      </c>
      <c r="AA11" s="721">
        <v>660.6</v>
      </c>
      <c r="AB11" s="721">
        <v>653.95000000000005</v>
      </c>
      <c r="AC11" s="721">
        <v>627.26</v>
      </c>
      <c r="AD11" s="721">
        <v>757.59</v>
      </c>
      <c r="AE11" s="721">
        <v>732.47</v>
      </c>
      <c r="AF11" s="721">
        <v>660.08</v>
      </c>
      <c r="AG11" s="721">
        <v>1066.74</v>
      </c>
      <c r="AH11" s="721">
        <v>721.93299999999999</v>
      </c>
      <c r="AI11" s="721">
        <v>802.75099999999998</v>
      </c>
      <c r="AJ11" s="721">
        <v>930.48</v>
      </c>
      <c r="AK11" s="722">
        <v>1399.71</v>
      </c>
      <c r="AL11" s="722">
        <v>540.29999999999995</v>
      </c>
      <c r="AM11" s="722">
        <v>723.01099999999997</v>
      </c>
      <c r="AN11" s="722">
        <v>678.37</v>
      </c>
      <c r="AO11" s="722">
        <v>858.24</v>
      </c>
      <c r="AP11" s="722">
        <v>653.09900000000005</v>
      </c>
      <c r="AQ11" s="722">
        <v>859.59199999999998</v>
      </c>
      <c r="AR11" s="722">
        <v>794.91300000000001</v>
      </c>
      <c r="AS11" s="722">
        <v>772.00599999999997</v>
      </c>
      <c r="AT11" s="722">
        <v>843.58699999999999</v>
      </c>
      <c r="AU11" s="722">
        <v>913.48500000000001</v>
      </c>
      <c r="AV11" s="722">
        <v>861.55600000000004</v>
      </c>
      <c r="AW11" s="722">
        <v>1517.7629999999999</v>
      </c>
      <c r="AX11" s="722">
        <v>571.75599999999997</v>
      </c>
      <c r="AY11" s="722">
        <v>650.40599999999995</v>
      </c>
      <c r="AZ11" s="722">
        <v>838.58</v>
      </c>
      <c r="BA11" s="722">
        <v>802.096</v>
      </c>
      <c r="BB11" s="722">
        <v>795.77800000000002</v>
      </c>
      <c r="BC11" s="722">
        <v>764.13199999999995</v>
      </c>
      <c r="BD11" s="722">
        <v>1160.845</v>
      </c>
      <c r="BE11" s="722">
        <v>729.476</v>
      </c>
      <c r="BF11" s="722">
        <v>922.64800000000002</v>
      </c>
      <c r="BG11" s="722">
        <v>471.99200000000002</v>
      </c>
      <c r="BH11" s="722">
        <v>746.97</v>
      </c>
      <c r="BI11" s="722">
        <v>3521.9169999999999</v>
      </c>
      <c r="BJ11" s="722">
        <v>530.60299999999995</v>
      </c>
      <c r="BK11" s="722">
        <v>606.18899999999996</v>
      </c>
      <c r="BL11" s="722">
        <v>742.07100000000003</v>
      </c>
      <c r="BM11" s="722">
        <v>949.90700000000004</v>
      </c>
      <c r="BN11" s="722">
        <v>689.99</v>
      </c>
      <c r="BO11" s="722">
        <v>1275.768</v>
      </c>
      <c r="BP11" s="722">
        <v>816.49400000000003</v>
      </c>
    </row>
    <row r="12" spans="1:68" ht="16.5" x14ac:dyDescent="0.3">
      <c r="A12" s="54" t="s">
        <v>1194</v>
      </c>
      <c r="B12" s="717">
        <v>891.84</v>
      </c>
      <c r="C12" s="718">
        <v>788.45</v>
      </c>
      <c r="D12" s="718">
        <v>825.17</v>
      </c>
      <c r="E12" s="718">
        <v>718.58</v>
      </c>
      <c r="F12" s="718">
        <v>907.47</v>
      </c>
      <c r="G12" s="718">
        <v>842.89</v>
      </c>
      <c r="H12" s="719">
        <v>895.73</v>
      </c>
      <c r="I12" s="719">
        <v>759.35</v>
      </c>
      <c r="J12" s="719">
        <v>899.63</v>
      </c>
      <c r="K12" s="719">
        <v>768.04</v>
      </c>
      <c r="L12" s="719">
        <v>972.57</v>
      </c>
      <c r="M12" s="719">
        <v>849.3</v>
      </c>
      <c r="N12" s="720">
        <v>883.3</v>
      </c>
      <c r="O12" s="721">
        <v>954.8</v>
      </c>
      <c r="P12" s="721">
        <v>929.95</v>
      </c>
      <c r="Q12" s="721">
        <v>886.89</v>
      </c>
      <c r="R12" s="721">
        <v>844.38</v>
      </c>
      <c r="S12" s="721">
        <v>897.04</v>
      </c>
      <c r="T12" s="721">
        <v>1040.49</v>
      </c>
      <c r="U12" s="721">
        <v>797.75</v>
      </c>
      <c r="V12" s="721">
        <v>919.26</v>
      </c>
      <c r="W12" s="721">
        <v>835.79</v>
      </c>
      <c r="X12" s="721">
        <v>1003.94</v>
      </c>
      <c r="Y12" s="721">
        <v>964.72</v>
      </c>
      <c r="Z12" s="721">
        <v>937.1</v>
      </c>
      <c r="AA12" s="721">
        <v>862.38</v>
      </c>
      <c r="AB12" s="721">
        <v>884</v>
      </c>
      <c r="AC12" s="721">
        <v>1004.02</v>
      </c>
      <c r="AD12" s="721">
        <v>931.83</v>
      </c>
      <c r="AE12" s="721">
        <v>927.24</v>
      </c>
      <c r="AF12" s="721">
        <v>919.64</v>
      </c>
      <c r="AG12" s="721">
        <v>920.9</v>
      </c>
      <c r="AH12" s="721">
        <v>996.54</v>
      </c>
      <c r="AI12" s="721">
        <v>1033.623</v>
      </c>
      <c r="AJ12" s="721">
        <v>1001.353</v>
      </c>
      <c r="AK12" s="722">
        <v>960.45</v>
      </c>
      <c r="AL12" s="722">
        <v>1036.21</v>
      </c>
      <c r="AM12" s="722">
        <v>1089.3119999999999</v>
      </c>
      <c r="AN12" s="722">
        <v>1038.633</v>
      </c>
      <c r="AO12" s="722">
        <v>1086.2729999999999</v>
      </c>
      <c r="AP12" s="722">
        <v>1058.433</v>
      </c>
      <c r="AQ12" s="722">
        <v>1022.792</v>
      </c>
      <c r="AR12" s="722">
        <v>1120.4739999999999</v>
      </c>
      <c r="AS12" s="722">
        <v>942.07299999999998</v>
      </c>
      <c r="AT12" s="722">
        <v>1134.4190000000001</v>
      </c>
      <c r="AU12" s="722">
        <v>989.58799999999997</v>
      </c>
      <c r="AV12" s="722">
        <v>1097.7639999999999</v>
      </c>
      <c r="AW12" s="722">
        <v>1031.6869999999999</v>
      </c>
      <c r="AX12" s="722">
        <v>1167.2270000000001</v>
      </c>
      <c r="AY12" s="722">
        <v>1122.788</v>
      </c>
      <c r="AZ12" s="722">
        <v>1082.433</v>
      </c>
      <c r="BA12" s="722">
        <v>1168.944</v>
      </c>
      <c r="BB12" s="722">
        <v>1032.8900000000001</v>
      </c>
      <c r="BC12" s="722">
        <v>1184.239</v>
      </c>
      <c r="BD12" s="722">
        <v>1152.684</v>
      </c>
      <c r="BE12" s="722">
        <v>1026.913</v>
      </c>
      <c r="BF12" s="722">
        <v>1176.028</v>
      </c>
      <c r="BG12" s="722">
        <v>1038.5</v>
      </c>
      <c r="BH12" s="722">
        <v>1074.423</v>
      </c>
      <c r="BI12" s="722">
        <v>1138.1489999999999</v>
      </c>
      <c r="BJ12" s="722">
        <v>1109.759</v>
      </c>
      <c r="BK12" s="722">
        <v>1064.979</v>
      </c>
      <c r="BL12" s="722">
        <v>1029.306</v>
      </c>
      <c r="BM12" s="722">
        <v>982.85199999999998</v>
      </c>
      <c r="BN12" s="722">
        <v>1131.376</v>
      </c>
      <c r="BO12" s="722">
        <v>1014.567</v>
      </c>
      <c r="BP12" s="722">
        <v>1009.453</v>
      </c>
    </row>
    <row r="13" spans="1:68" ht="16.5" x14ac:dyDescent="0.3">
      <c r="A13" s="54" t="s">
        <v>1195</v>
      </c>
      <c r="B13" s="717">
        <v>118.87</v>
      </c>
      <c r="C13" s="718">
        <v>106.48</v>
      </c>
      <c r="D13" s="718">
        <v>127.91</v>
      </c>
      <c r="E13" s="718">
        <v>125.64</v>
      </c>
      <c r="F13" s="718">
        <v>107.49</v>
      </c>
      <c r="G13" s="718">
        <v>144.71</v>
      </c>
      <c r="H13" s="719">
        <v>139.43</v>
      </c>
      <c r="I13" s="719">
        <v>114.65</v>
      </c>
      <c r="J13" s="719">
        <v>151.54</v>
      </c>
      <c r="K13" s="719">
        <v>225.36</v>
      </c>
      <c r="L13" s="719">
        <v>117.32</v>
      </c>
      <c r="M13" s="719">
        <v>288.58999999999997</v>
      </c>
      <c r="N13" s="720">
        <v>115.61</v>
      </c>
      <c r="O13" s="721">
        <v>124.26</v>
      </c>
      <c r="P13" s="721">
        <v>112.62</v>
      </c>
      <c r="Q13" s="721">
        <v>124.71</v>
      </c>
      <c r="R13" s="721">
        <v>123.03</v>
      </c>
      <c r="S13" s="721">
        <v>126.18</v>
      </c>
      <c r="T13" s="721">
        <v>120.06</v>
      </c>
      <c r="U13" s="721">
        <v>107.71</v>
      </c>
      <c r="V13" s="721">
        <v>136.01</v>
      </c>
      <c r="W13" s="721">
        <v>126.55</v>
      </c>
      <c r="X13" s="721">
        <v>113.32</v>
      </c>
      <c r="Y13" s="721">
        <v>187.35</v>
      </c>
      <c r="Z13" s="721">
        <v>118.35</v>
      </c>
      <c r="AA13" s="721">
        <v>156.88</v>
      </c>
      <c r="AB13" s="721">
        <v>114.3</v>
      </c>
      <c r="AC13" s="721">
        <v>134.9</v>
      </c>
      <c r="AD13" s="721">
        <v>153.28200000000001</v>
      </c>
      <c r="AE13" s="721">
        <v>130.88</v>
      </c>
      <c r="AF13" s="721">
        <v>140.61000000000001</v>
      </c>
      <c r="AG13" s="721">
        <v>130.88499999999999</v>
      </c>
      <c r="AH13" s="721">
        <v>110.42700000000001</v>
      </c>
      <c r="AI13" s="721">
        <v>139.54</v>
      </c>
      <c r="AJ13" s="721">
        <v>108.94</v>
      </c>
      <c r="AK13" s="722">
        <v>227.87</v>
      </c>
      <c r="AL13" s="722">
        <v>118</v>
      </c>
      <c r="AM13" s="722">
        <v>123.929</v>
      </c>
      <c r="AN13" s="722">
        <v>113.893</v>
      </c>
      <c r="AO13" s="722">
        <v>131.04900000000001</v>
      </c>
      <c r="AP13" s="722">
        <v>117.04300000000001</v>
      </c>
      <c r="AQ13" s="722">
        <v>126.371</v>
      </c>
      <c r="AR13" s="722">
        <v>132.684</v>
      </c>
      <c r="AS13" s="722">
        <v>116.872</v>
      </c>
      <c r="AT13" s="722">
        <v>131.31700000000001</v>
      </c>
      <c r="AU13" s="722">
        <v>114.307</v>
      </c>
      <c r="AV13" s="722">
        <v>113</v>
      </c>
      <c r="AW13" s="722">
        <v>175.19</v>
      </c>
      <c r="AX13" s="722">
        <v>104.946</v>
      </c>
      <c r="AY13" s="722">
        <v>125.476</v>
      </c>
      <c r="AZ13" s="722">
        <v>122.18</v>
      </c>
      <c r="BA13" s="722">
        <v>126.63500000000001</v>
      </c>
      <c r="BB13" s="722">
        <v>115.735</v>
      </c>
      <c r="BC13" s="722">
        <v>112.705</v>
      </c>
      <c r="BD13" s="722">
        <v>157.03700000000001</v>
      </c>
      <c r="BE13" s="722">
        <v>116.542</v>
      </c>
      <c r="BF13" s="722">
        <v>744.22799999999995</v>
      </c>
      <c r="BG13" s="722">
        <v>968.89200000000005</v>
      </c>
      <c r="BH13" s="722">
        <v>5386.4920000000002</v>
      </c>
      <c r="BI13" s="722">
        <v>2016.1510000000001</v>
      </c>
      <c r="BJ13" s="722">
        <v>112.962</v>
      </c>
      <c r="BK13" s="722">
        <v>394.29199999999997</v>
      </c>
      <c r="BL13" s="722">
        <v>1090.7860000000001</v>
      </c>
      <c r="BM13" s="722">
        <v>495.89100000000002</v>
      </c>
      <c r="BN13" s="722">
        <v>907.654</v>
      </c>
      <c r="BO13" s="722">
        <v>621.38300000000004</v>
      </c>
      <c r="BP13" s="722">
        <v>684.53800000000001</v>
      </c>
    </row>
    <row r="14" spans="1:68" ht="16.5" x14ac:dyDescent="0.3">
      <c r="A14" s="54" t="s">
        <v>1189</v>
      </c>
      <c r="B14" s="717">
        <v>1472.61</v>
      </c>
      <c r="C14" s="718">
        <v>1340.84</v>
      </c>
      <c r="D14" s="718">
        <v>1244.44</v>
      </c>
      <c r="E14" s="718">
        <v>1883.25</v>
      </c>
      <c r="F14" s="718">
        <v>1477.58</v>
      </c>
      <c r="G14" s="718">
        <v>2494.0700000000002</v>
      </c>
      <c r="H14" s="719">
        <v>1471.33</v>
      </c>
      <c r="I14" s="719">
        <v>1762.7</v>
      </c>
      <c r="J14" s="719">
        <v>1407.46</v>
      </c>
      <c r="K14" s="719">
        <v>1430.4</v>
      </c>
      <c r="L14" s="719">
        <v>1878.1</v>
      </c>
      <c r="M14" s="719">
        <v>2238.23</v>
      </c>
      <c r="N14" s="720">
        <v>1537.1399999999999</v>
      </c>
      <c r="O14" s="721">
        <v>1262.51</v>
      </c>
      <c r="P14" s="721">
        <v>1597.1</v>
      </c>
      <c r="Q14" s="721">
        <v>1707.53</v>
      </c>
      <c r="R14" s="721">
        <v>1953.81</v>
      </c>
      <c r="S14" s="721">
        <v>2529.9</v>
      </c>
      <c r="T14" s="721">
        <v>1940.1</v>
      </c>
      <c r="U14" s="721">
        <v>1652.36</v>
      </c>
      <c r="V14" s="721">
        <v>1725.03</v>
      </c>
      <c r="W14" s="721">
        <v>1906.45</v>
      </c>
      <c r="X14" s="721">
        <v>1646.6</v>
      </c>
      <c r="Y14" s="721">
        <v>2293.33</v>
      </c>
      <c r="Z14" s="721">
        <v>1452.98</v>
      </c>
      <c r="AA14" s="721">
        <v>1633.52</v>
      </c>
      <c r="AB14" s="721">
        <v>1517.35</v>
      </c>
      <c r="AC14" s="721">
        <v>1769.69</v>
      </c>
      <c r="AD14" s="721">
        <v>1932.4449999999999</v>
      </c>
      <c r="AE14" s="721">
        <v>2740.27</v>
      </c>
      <c r="AF14" s="721">
        <v>1773.58</v>
      </c>
      <c r="AG14" s="721">
        <v>1965.87</v>
      </c>
      <c r="AH14" s="721">
        <v>1661.74</v>
      </c>
      <c r="AI14" s="721">
        <v>1851.96</v>
      </c>
      <c r="AJ14" s="721">
        <v>2131.66</v>
      </c>
      <c r="AK14" s="722">
        <v>4708.16</v>
      </c>
      <c r="AL14" s="722">
        <v>1571.77</v>
      </c>
      <c r="AM14" s="722">
        <v>1614.181</v>
      </c>
      <c r="AN14" s="722">
        <v>1556.5070000000001</v>
      </c>
      <c r="AO14" s="722">
        <v>2092.61</v>
      </c>
      <c r="AP14" s="722">
        <v>2324.7220000000002</v>
      </c>
      <c r="AQ14" s="722">
        <v>2959.846</v>
      </c>
      <c r="AR14" s="722">
        <v>2095.8979999999997</v>
      </c>
      <c r="AS14" s="722">
        <v>1750.3990000000001</v>
      </c>
      <c r="AT14" s="722">
        <v>1956.1470000000002</v>
      </c>
      <c r="AU14" s="722">
        <v>2204.058</v>
      </c>
      <c r="AV14" s="722">
        <v>2140.6489999999999</v>
      </c>
      <c r="AW14" s="722">
        <v>2323.0160000000001</v>
      </c>
      <c r="AX14" s="722">
        <v>1599.837</v>
      </c>
      <c r="AY14" s="722">
        <v>1964.5230000000001</v>
      </c>
      <c r="AZ14" s="722">
        <v>1897.7950000000001</v>
      </c>
      <c r="BA14" s="722">
        <v>1880.729</v>
      </c>
      <c r="BB14" s="722">
        <v>1804.7190000000001</v>
      </c>
      <c r="BC14" s="722">
        <v>2589.5240000000003</v>
      </c>
      <c r="BD14" s="722">
        <v>2218.9549999999999</v>
      </c>
      <c r="BE14" s="722">
        <v>2255.085</v>
      </c>
      <c r="BF14" s="722">
        <v>1732.9770000000001</v>
      </c>
      <c r="BG14" s="722">
        <v>1588.2430000000002</v>
      </c>
      <c r="BH14" s="722">
        <v>1963.912</v>
      </c>
      <c r="BI14" s="722">
        <v>15009.004000000001</v>
      </c>
      <c r="BJ14" s="722">
        <v>1956.8700000000001</v>
      </c>
      <c r="BK14" s="722">
        <v>1620.288</v>
      </c>
      <c r="BL14" s="722">
        <v>16733.602999999999</v>
      </c>
      <c r="BM14" s="722">
        <v>1872.9780000000001</v>
      </c>
      <c r="BN14" s="722">
        <v>1731.751</v>
      </c>
      <c r="BO14" s="722">
        <v>2749.9589999999998</v>
      </c>
      <c r="BP14" s="722">
        <v>1820.654</v>
      </c>
    </row>
    <row r="15" spans="1:68" ht="16.5" x14ac:dyDescent="0.3">
      <c r="A15" s="54" t="s">
        <v>1196</v>
      </c>
      <c r="B15" s="717">
        <v>1864.88</v>
      </c>
      <c r="C15" s="718">
        <v>1824.73</v>
      </c>
      <c r="D15" s="718">
        <v>1813.64</v>
      </c>
      <c r="E15" s="718">
        <v>1822.21</v>
      </c>
      <c r="F15" s="718">
        <v>1892.27</v>
      </c>
      <c r="G15" s="718">
        <v>3541.89</v>
      </c>
      <c r="H15" s="719">
        <v>1812.89</v>
      </c>
      <c r="I15" s="719">
        <v>2001.16</v>
      </c>
      <c r="J15" s="719">
        <v>2041.89</v>
      </c>
      <c r="K15" s="719">
        <v>1992.31</v>
      </c>
      <c r="L15" s="719">
        <v>2070.62</v>
      </c>
      <c r="M15" s="719">
        <v>2344.5</v>
      </c>
      <c r="N15" s="720">
        <v>2039.01</v>
      </c>
      <c r="O15" s="721">
        <v>2065.46</v>
      </c>
      <c r="P15" s="721">
        <v>2062.12</v>
      </c>
      <c r="Q15" s="721">
        <v>2046.34</v>
      </c>
      <c r="R15" s="721">
        <v>1982.96</v>
      </c>
      <c r="S15" s="721">
        <v>3928.65</v>
      </c>
      <c r="T15" s="721">
        <v>2024.24</v>
      </c>
      <c r="U15" s="721">
        <v>2190.35</v>
      </c>
      <c r="V15" s="721">
        <v>2187.15</v>
      </c>
      <c r="W15" s="721">
        <v>2188.63</v>
      </c>
      <c r="X15" s="721">
        <v>2204.19</v>
      </c>
      <c r="Y15" s="721">
        <v>2472.66</v>
      </c>
      <c r="Z15" s="721">
        <v>2143.48</v>
      </c>
      <c r="AA15" s="721">
        <v>2118.6799999999998</v>
      </c>
      <c r="AB15" s="721">
        <v>2130.46</v>
      </c>
      <c r="AC15" s="721">
        <v>2128.5100000000002</v>
      </c>
      <c r="AD15" s="721">
        <v>2134.06</v>
      </c>
      <c r="AE15" s="721">
        <v>4123.1000000000004</v>
      </c>
      <c r="AF15" s="721">
        <v>2198.42</v>
      </c>
      <c r="AG15" s="721">
        <v>2287.3490000000002</v>
      </c>
      <c r="AH15" s="721">
        <v>4042.3519999999999</v>
      </c>
      <c r="AI15" s="721">
        <v>739.57500000000005</v>
      </c>
      <c r="AJ15" s="721">
        <v>2465.96</v>
      </c>
      <c r="AK15" s="722">
        <v>2727.56</v>
      </c>
      <c r="AL15" s="722">
        <v>2357.08</v>
      </c>
      <c r="AM15" s="722">
        <v>2379.1999999999998</v>
      </c>
      <c r="AN15" s="722">
        <v>2290.1129999999998</v>
      </c>
      <c r="AO15" s="722">
        <v>2381.4259999999999</v>
      </c>
      <c r="AP15" s="722">
        <v>2373.7190000000001</v>
      </c>
      <c r="AQ15" s="722">
        <v>4410.817</v>
      </c>
      <c r="AR15" s="722">
        <v>2521.723</v>
      </c>
      <c r="AS15" s="722">
        <v>2459.9720000000002</v>
      </c>
      <c r="AT15" s="722">
        <v>2546.201</v>
      </c>
      <c r="AU15" s="722">
        <v>2644.3629999999998</v>
      </c>
      <c r="AV15" s="722">
        <v>2612.2939999999999</v>
      </c>
      <c r="AW15" s="722">
        <v>2842.64</v>
      </c>
      <c r="AX15" s="722">
        <v>2539.6509999999998</v>
      </c>
      <c r="AY15" s="722">
        <v>2518.547</v>
      </c>
      <c r="AZ15" s="722">
        <v>2515.0360000000001</v>
      </c>
      <c r="BA15" s="722">
        <v>4450.915</v>
      </c>
      <c r="BB15" s="722">
        <v>632.64599999999996</v>
      </c>
      <c r="BC15" s="722">
        <v>6361.317</v>
      </c>
      <c r="BD15" s="722">
        <v>3322.14</v>
      </c>
      <c r="BE15" s="722">
        <v>3329.2849999999999</v>
      </c>
      <c r="BF15" s="722">
        <v>3376.6089999999999</v>
      </c>
      <c r="BG15" s="722">
        <v>4429.674</v>
      </c>
      <c r="BH15" s="722">
        <v>4476.3459999999995</v>
      </c>
      <c r="BI15" s="722">
        <v>3950.7359999999999</v>
      </c>
      <c r="BJ15" s="722">
        <v>3512.4810000000002</v>
      </c>
      <c r="BK15" s="722">
        <v>3533.7440000000001</v>
      </c>
      <c r="BL15" s="722">
        <v>3581.2020000000002</v>
      </c>
      <c r="BM15" s="722">
        <v>3517.0659999999998</v>
      </c>
      <c r="BN15" s="722">
        <v>3435.5329999999999</v>
      </c>
      <c r="BO15" s="722">
        <v>6628.1049999999996</v>
      </c>
      <c r="BP15" s="722">
        <v>3484.585</v>
      </c>
    </row>
    <row r="16" spans="1:68" ht="16.5" x14ac:dyDescent="0.3">
      <c r="A16" s="54" t="s">
        <v>1197</v>
      </c>
      <c r="B16" s="717">
        <v>323.51</v>
      </c>
      <c r="C16" s="718">
        <v>223.87</v>
      </c>
      <c r="D16" s="718">
        <v>253.73</v>
      </c>
      <c r="E16" s="718">
        <v>181.02</v>
      </c>
      <c r="F16" s="718">
        <v>185.59</v>
      </c>
      <c r="G16" s="718">
        <v>473.26</v>
      </c>
      <c r="H16" s="719">
        <v>230.4</v>
      </c>
      <c r="I16" s="719">
        <v>437.02</v>
      </c>
      <c r="J16" s="719">
        <v>148.97</v>
      </c>
      <c r="K16" s="719">
        <v>133.25</v>
      </c>
      <c r="L16" s="719">
        <v>164.2</v>
      </c>
      <c r="M16" s="719">
        <v>2830.23</v>
      </c>
      <c r="N16" s="720">
        <v>132.04</v>
      </c>
      <c r="O16" s="721">
        <v>239.87</v>
      </c>
      <c r="P16" s="721">
        <v>197.42</v>
      </c>
      <c r="Q16" s="721">
        <v>302.37</v>
      </c>
      <c r="R16" s="721">
        <v>337.58</v>
      </c>
      <c r="S16" s="721">
        <v>619.57000000000005</v>
      </c>
      <c r="T16" s="721">
        <v>205.85</v>
      </c>
      <c r="U16" s="721">
        <v>149.58000000000001</v>
      </c>
      <c r="V16" s="721">
        <v>280.51</v>
      </c>
      <c r="W16" s="721">
        <v>384.83</v>
      </c>
      <c r="X16" s="721">
        <v>327.27999999999997</v>
      </c>
      <c r="Y16" s="721">
        <v>838.57</v>
      </c>
      <c r="Z16" s="721">
        <v>191.7</v>
      </c>
      <c r="AA16" s="721">
        <v>315.55</v>
      </c>
      <c r="AB16" s="721">
        <v>237.39</v>
      </c>
      <c r="AC16" s="721">
        <v>343.52</v>
      </c>
      <c r="AD16" s="721">
        <v>540.21</v>
      </c>
      <c r="AE16" s="721">
        <v>509.86</v>
      </c>
      <c r="AF16" s="721">
        <v>250.18</v>
      </c>
      <c r="AG16" s="721">
        <v>310.94</v>
      </c>
      <c r="AH16" s="721">
        <v>242.62</v>
      </c>
      <c r="AI16" s="721">
        <v>331.18799999999999</v>
      </c>
      <c r="AJ16" s="721">
        <v>443.98500000000001</v>
      </c>
      <c r="AK16" s="722">
        <v>1632.94</v>
      </c>
      <c r="AL16" s="722">
        <v>337.78000000000003</v>
      </c>
      <c r="AM16" s="722">
        <v>309.35399999999998</v>
      </c>
      <c r="AN16" s="722">
        <v>324.21699999999998</v>
      </c>
      <c r="AO16" s="722">
        <v>423.16399999999999</v>
      </c>
      <c r="AP16" s="722">
        <v>341.08299999999997</v>
      </c>
      <c r="AQ16" s="722">
        <v>302.38400000000001</v>
      </c>
      <c r="AR16" s="722">
        <v>628.91499999999996</v>
      </c>
      <c r="AS16" s="722">
        <v>265.55899999999997</v>
      </c>
      <c r="AT16" s="722">
        <v>178.322</v>
      </c>
      <c r="AU16" s="722">
        <v>526.45899999999995</v>
      </c>
      <c r="AV16" s="722">
        <v>347.084</v>
      </c>
      <c r="AW16" s="722">
        <v>1456.8510000000001</v>
      </c>
      <c r="AX16" s="722">
        <v>293.76800000000003</v>
      </c>
      <c r="AY16" s="722">
        <v>522.06999999999994</v>
      </c>
      <c r="AZ16" s="722">
        <v>575.53</v>
      </c>
      <c r="BA16" s="722">
        <v>506.21600000000001</v>
      </c>
      <c r="BB16" s="722">
        <v>312.90800000000002</v>
      </c>
      <c r="BC16" s="722">
        <v>346.71899999999999</v>
      </c>
      <c r="BD16" s="722">
        <v>317.10399999999998</v>
      </c>
      <c r="BE16" s="722">
        <v>467.678</v>
      </c>
      <c r="BF16" s="722">
        <v>231.721</v>
      </c>
      <c r="BG16" s="722">
        <v>151.18800000000002</v>
      </c>
      <c r="BH16" s="722">
        <v>158.17200000000003</v>
      </c>
      <c r="BI16" s="722">
        <v>1462.8909999999998</v>
      </c>
      <c r="BJ16" s="722">
        <v>239.95500000000001</v>
      </c>
      <c r="BK16" s="722">
        <v>219.81299999999999</v>
      </c>
      <c r="BL16" s="722">
        <v>475.78500000000003</v>
      </c>
      <c r="BM16" s="722">
        <v>248.76499999999999</v>
      </c>
      <c r="BN16" s="722">
        <v>362.642</v>
      </c>
      <c r="BO16" s="722">
        <v>345.99</v>
      </c>
      <c r="BP16" s="722">
        <v>284.48500000000001</v>
      </c>
    </row>
    <row r="17" spans="1:68" ht="16.5" x14ac:dyDescent="0.3">
      <c r="A17" s="723" t="s">
        <v>1198</v>
      </c>
      <c r="B17" s="710">
        <f t="shared" ref="B17:M17" si="2">B4-B9</f>
        <v>-438.15000000000146</v>
      </c>
      <c r="C17" s="711">
        <f t="shared" si="2"/>
        <v>-1288.1600000000008</v>
      </c>
      <c r="D17" s="711">
        <f t="shared" si="2"/>
        <v>-97.209999999999127</v>
      </c>
      <c r="E17" s="711">
        <f t="shared" si="2"/>
        <v>-1055.2200000000012</v>
      </c>
      <c r="F17" s="711">
        <f t="shared" si="2"/>
        <v>123.3127565599998</v>
      </c>
      <c r="G17" s="711">
        <f t="shared" si="2"/>
        <v>-32.020000000000437</v>
      </c>
      <c r="H17" s="712">
        <f t="shared" si="2"/>
        <v>-212.69000000000051</v>
      </c>
      <c r="I17" s="712">
        <f t="shared" si="2"/>
        <v>-1770.4399999999996</v>
      </c>
      <c r="J17" s="712">
        <f t="shared" si="2"/>
        <v>-62.109999999999673</v>
      </c>
      <c r="K17" s="712">
        <f t="shared" si="2"/>
        <v>-2046.87</v>
      </c>
      <c r="L17" s="712">
        <f t="shared" si="2"/>
        <v>-1214.25</v>
      </c>
      <c r="M17" s="712">
        <f t="shared" si="2"/>
        <v>-837.26000000000022</v>
      </c>
      <c r="N17" s="713">
        <v>-1297.21</v>
      </c>
      <c r="O17" s="714">
        <v>-603.86000000000149</v>
      </c>
      <c r="P17" s="714"/>
      <c r="Q17" s="714">
        <v>-1629.38</v>
      </c>
      <c r="R17" s="714">
        <v>-1100.2400000000007</v>
      </c>
      <c r="S17" s="714">
        <v>693.28000000000247</v>
      </c>
      <c r="T17" s="714">
        <v>-649.88000000000011</v>
      </c>
      <c r="U17" s="714">
        <v>-2656.7200000000012</v>
      </c>
      <c r="V17" s="714">
        <v>-580.65999999999894</v>
      </c>
      <c r="W17" s="714">
        <v>-2414.3999999999996</v>
      </c>
      <c r="X17" s="714">
        <v>-525.800000000002</v>
      </c>
      <c r="Y17" s="714">
        <v>3074.9900000000016</v>
      </c>
      <c r="Z17" s="714">
        <v>-867.97999999999865</v>
      </c>
      <c r="AA17" s="714">
        <v>-1597.2849999999999</v>
      </c>
      <c r="AB17" s="714">
        <v>164.27700000000004</v>
      </c>
      <c r="AC17" s="714">
        <v>514.48999999999978</v>
      </c>
      <c r="AD17" s="714">
        <v>2862.9680000000026</v>
      </c>
      <c r="AE17" s="714">
        <v>977.00399999999718</v>
      </c>
      <c r="AF17" s="714">
        <v>-1120.4800000000005</v>
      </c>
      <c r="AG17" s="714">
        <v>-2151.9680000000017</v>
      </c>
      <c r="AH17" s="714">
        <v>-3209.2530000000006</v>
      </c>
      <c r="AI17" s="714">
        <v>651.83999999999924</v>
      </c>
      <c r="AJ17" s="714">
        <v>-1728.4749999999995</v>
      </c>
      <c r="AK17" s="715">
        <v>-389.79399999999987</v>
      </c>
      <c r="AL17" s="715">
        <v>64.635000000000218</v>
      </c>
      <c r="AM17" s="715">
        <v>-1891.4119999999984</v>
      </c>
      <c r="AN17" s="715">
        <v>-1215.192</v>
      </c>
      <c r="AO17" s="715">
        <v>1499.8559999999979</v>
      </c>
      <c r="AP17" s="715">
        <v>-1333.0909999999994</v>
      </c>
      <c r="AQ17" s="715">
        <v>-505.81599999999889</v>
      </c>
      <c r="AR17" s="715">
        <v>-885.47099999999773</v>
      </c>
      <c r="AS17" s="715">
        <v>-2567.3189999999995</v>
      </c>
      <c r="AT17" s="715">
        <v>-1840.2449999999999</v>
      </c>
      <c r="AU17" s="715">
        <v>-881.3070000000007</v>
      </c>
      <c r="AV17" s="715">
        <v>-1475.6779999999999</v>
      </c>
      <c r="AW17" s="715">
        <v>2988.0520000000015</v>
      </c>
      <c r="AX17" s="715">
        <v>137.93900000000031</v>
      </c>
      <c r="AY17" s="715">
        <v>-2044.7759999999998</v>
      </c>
      <c r="AZ17" s="715">
        <v>990.37900000000081</v>
      </c>
      <c r="BA17" s="715">
        <v>-2169.3930000000018</v>
      </c>
      <c r="BB17" s="715">
        <v>81.988000000000284</v>
      </c>
      <c r="BC17" s="715">
        <v>16318.496000000005</v>
      </c>
      <c r="BD17" s="715">
        <v>-1268.8909999999996</v>
      </c>
      <c r="BE17" s="715">
        <v>-3893.5240000000013</v>
      </c>
      <c r="BF17" s="715">
        <v>-3694.8810000000012</v>
      </c>
      <c r="BG17" s="715">
        <v>-7156.9279999999999</v>
      </c>
      <c r="BH17" s="715">
        <v>-11152.798999999999</v>
      </c>
      <c r="BI17" s="715">
        <v>-14377.786000000004</v>
      </c>
      <c r="BJ17" s="715">
        <v>-3716.7389999999987</v>
      </c>
      <c r="BK17" s="715">
        <v>36159.985000000001</v>
      </c>
      <c r="BL17" s="715">
        <v>2724.4049999999988</v>
      </c>
      <c r="BM17" s="715">
        <v>-2523.8399999999983</v>
      </c>
      <c r="BN17" s="715">
        <v>-1690.9580000000024</v>
      </c>
      <c r="BO17" s="715">
        <v>-5223.6929999999993</v>
      </c>
      <c r="BP17" s="715">
        <v>-4508.4280000000026</v>
      </c>
    </row>
    <row r="18" spans="1:68" ht="16.5" x14ac:dyDescent="0.3">
      <c r="A18" s="709" t="s">
        <v>1199</v>
      </c>
      <c r="B18" s="710">
        <v>468.4</v>
      </c>
      <c r="C18" s="711">
        <v>294.2</v>
      </c>
      <c r="D18" s="711">
        <v>217.60000000000002</v>
      </c>
      <c r="E18" s="711">
        <v>614.20000000000005</v>
      </c>
      <c r="F18" s="711">
        <v>227.4</v>
      </c>
      <c r="G18" s="711">
        <v>501.4</v>
      </c>
      <c r="H18" s="712">
        <v>450.84</v>
      </c>
      <c r="I18" s="712">
        <v>272.11</v>
      </c>
      <c r="J18" s="712">
        <v>444.37</v>
      </c>
      <c r="K18" s="712">
        <v>334.42</v>
      </c>
      <c r="L18" s="712">
        <v>600.34</v>
      </c>
      <c r="M18" s="712">
        <v>1561.71</v>
      </c>
      <c r="N18" s="713">
        <v>305.29000000000002</v>
      </c>
      <c r="O18" s="714">
        <v>275.74</v>
      </c>
      <c r="P18" s="714">
        <v>279.88</v>
      </c>
      <c r="Q18" s="714">
        <v>383.41</v>
      </c>
      <c r="R18" s="714">
        <v>478.4</v>
      </c>
      <c r="S18" s="714">
        <v>802.8</v>
      </c>
      <c r="T18" s="714">
        <v>267.37</v>
      </c>
      <c r="U18" s="714">
        <v>372.56</v>
      </c>
      <c r="V18" s="714">
        <v>332.3</v>
      </c>
      <c r="W18" s="714">
        <v>485.39</v>
      </c>
      <c r="X18" s="714">
        <v>415.18</v>
      </c>
      <c r="Y18" s="714">
        <v>2546.77</v>
      </c>
      <c r="Z18" s="714">
        <v>199.62</v>
      </c>
      <c r="AA18" s="714">
        <v>459.89</v>
      </c>
      <c r="AB18" s="714">
        <v>445.6</v>
      </c>
      <c r="AC18" s="714">
        <v>229.22</v>
      </c>
      <c r="AD18" s="714">
        <v>460.27</v>
      </c>
      <c r="AE18" s="714">
        <v>962.91</v>
      </c>
      <c r="AF18" s="714">
        <v>413.142</v>
      </c>
      <c r="AG18" s="714">
        <v>471.69</v>
      </c>
      <c r="AH18" s="714">
        <v>539.05999999999995</v>
      </c>
      <c r="AI18" s="714">
        <v>868.24</v>
      </c>
      <c r="AJ18" s="714">
        <v>648.495</v>
      </c>
      <c r="AK18" s="715">
        <v>2935.9169999999999</v>
      </c>
      <c r="AL18" s="715">
        <v>198.38</v>
      </c>
      <c r="AM18" s="715">
        <v>273.27300000000002</v>
      </c>
      <c r="AN18" s="715">
        <v>370.19799999999998</v>
      </c>
      <c r="AO18" s="715">
        <v>401.87599999999998</v>
      </c>
      <c r="AP18" s="715">
        <v>532.50400000000002</v>
      </c>
      <c r="AQ18" s="715">
        <v>985.02200000000005</v>
      </c>
      <c r="AR18" s="715">
        <v>498.21300000000002</v>
      </c>
      <c r="AS18" s="715">
        <v>573.72799999999995</v>
      </c>
      <c r="AT18" s="715">
        <v>657.01599999999996</v>
      </c>
      <c r="AU18" s="715">
        <v>630.06500000000005</v>
      </c>
      <c r="AV18" s="715">
        <v>790.83399999999995</v>
      </c>
      <c r="AW18" s="715">
        <v>1636.124</v>
      </c>
      <c r="AX18" s="715">
        <v>295.95800000000003</v>
      </c>
      <c r="AY18" s="715">
        <v>720.17600000000004</v>
      </c>
      <c r="AZ18" s="715">
        <v>481.22800000000001</v>
      </c>
      <c r="BA18" s="715">
        <v>485.39800000000002</v>
      </c>
      <c r="BB18" s="715">
        <v>525.67399999999998</v>
      </c>
      <c r="BC18" s="715">
        <v>410.40800000000002</v>
      </c>
      <c r="BD18" s="715">
        <v>960.51900000000001</v>
      </c>
      <c r="BE18" s="715">
        <v>659.39400000000001</v>
      </c>
      <c r="BF18" s="715">
        <v>377.71800000000002</v>
      </c>
      <c r="BG18" s="715">
        <v>496.42500000000001</v>
      </c>
      <c r="BH18" s="715">
        <v>243.458</v>
      </c>
      <c r="BI18" s="715">
        <v>2507.752</v>
      </c>
      <c r="BJ18" s="715">
        <v>173.76499999999999</v>
      </c>
      <c r="BK18" s="715">
        <v>413.48700000000002</v>
      </c>
      <c r="BL18" s="715">
        <v>476.37099999999998</v>
      </c>
      <c r="BM18" s="715">
        <v>614.78200000000004</v>
      </c>
      <c r="BN18" s="715">
        <v>446.822</v>
      </c>
      <c r="BO18" s="715">
        <v>509.73500000000001</v>
      </c>
      <c r="BP18" s="715">
        <v>308.26</v>
      </c>
    </row>
    <row r="19" spans="1:68" ht="16.5" x14ac:dyDescent="0.3">
      <c r="A19" s="723" t="s">
        <v>1200</v>
      </c>
      <c r="B19" s="710">
        <f t="shared" ref="B19:M19" si="3">B17-B18</f>
        <v>-906.55000000000143</v>
      </c>
      <c r="C19" s="711">
        <f t="shared" si="3"/>
        <v>-1582.3600000000008</v>
      </c>
      <c r="D19" s="711">
        <f t="shared" si="3"/>
        <v>-314.80999999999915</v>
      </c>
      <c r="E19" s="711">
        <f t="shared" si="3"/>
        <v>-1669.4200000000012</v>
      </c>
      <c r="F19" s="711">
        <f t="shared" si="3"/>
        <v>-104.08724344000021</v>
      </c>
      <c r="G19" s="711">
        <f t="shared" si="3"/>
        <v>-533.42000000000041</v>
      </c>
      <c r="H19" s="712">
        <f t="shared" si="3"/>
        <v>-663.53000000000043</v>
      </c>
      <c r="I19" s="712">
        <f t="shared" si="3"/>
        <v>-2042.5499999999997</v>
      </c>
      <c r="J19" s="712">
        <f t="shared" si="3"/>
        <v>-506.47999999999968</v>
      </c>
      <c r="K19" s="712">
        <f t="shared" si="3"/>
        <v>-2381.29</v>
      </c>
      <c r="L19" s="712">
        <f t="shared" si="3"/>
        <v>-1814.5900000000001</v>
      </c>
      <c r="M19" s="712">
        <f t="shared" si="3"/>
        <v>-2398.9700000000003</v>
      </c>
      <c r="N19" s="713">
        <v>-1602.5</v>
      </c>
      <c r="O19" s="714">
        <v>-879.6000000000015</v>
      </c>
      <c r="P19" s="714">
        <v>-1421.5000000000009</v>
      </c>
      <c r="Q19" s="714">
        <v>-2012.7900000000002</v>
      </c>
      <c r="R19" s="714">
        <v>-1578.6400000000008</v>
      </c>
      <c r="S19" s="714">
        <v>-109.51999999999748</v>
      </c>
      <c r="T19" s="714">
        <v>-917.25000000000011</v>
      </c>
      <c r="U19" s="714">
        <v>-3029.2800000000011</v>
      </c>
      <c r="V19" s="714">
        <v>-912.9599999999989</v>
      </c>
      <c r="W19" s="714">
        <v>-2899.7899999999995</v>
      </c>
      <c r="X19" s="714">
        <v>-940.98000000000206</v>
      </c>
      <c r="Y19" s="714">
        <v>528.22000000000162</v>
      </c>
      <c r="Z19" s="714">
        <v>-1067.5999999999985</v>
      </c>
      <c r="AA19" s="714">
        <v>-2057.1749999999997</v>
      </c>
      <c r="AB19" s="714">
        <v>-281.32299999999998</v>
      </c>
      <c r="AC19" s="714">
        <v>285.26999999999975</v>
      </c>
      <c r="AD19" s="714">
        <v>2402.6980000000026</v>
      </c>
      <c r="AE19" s="714">
        <v>14.093999999997209</v>
      </c>
      <c r="AF19" s="714">
        <v>-1533.6220000000005</v>
      </c>
      <c r="AG19" s="714">
        <v>-2623.6580000000017</v>
      </c>
      <c r="AH19" s="714">
        <v>-3748.3130000000006</v>
      </c>
      <c r="AI19" s="714">
        <v>-216.40000000000077</v>
      </c>
      <c r="AJ19" s="714">
        <v>-2376.9699999999993</v>
      </c>
      <c r="AK19" s="715">
        <v>-3325.7109999999998</v>
      </c>
      <c r="AL19" s="715">
        <v>-133.74499999999978</v>
      </c>
      <c r="AM19" s="715">
        <v>-2164.6849999999986</v>
      </c>
      <c r="AN19" s="715">
        <v>-1585.3899999999999</v>
      </c>
      <c r="AO19" s="715">
        <v>1097.979999999998</v>
      </c>
      <c r="AP19" s="715">
        <v>-1865.5949999999993</v>
      </c>
      <c r="AQ19" s="715">
        <v>-1490.8379999999988</v>
      </c>
      <c r="AR19" s="715">
        <v>-1383.6839999999977</v>
      </c>
      <c r="AS19" s="715">
        <v>-3141.0469999999996</v>
      </c>
      <c r="AT19" s="715">
        <v>-2497.261</v>
      </c>
      <c r="AU19" s="715">
        <v>-1511.3720000000008</v>
      </c>
      <c r="AV19" s="715">
        <v>-2266.5119999999997</v>
      </c>
      <c r="AW19" s="715">
        <v>1351.9280000000015</v>
      </c>
      <c r="AX19" s="715">
        <v>-158.01899999999972</v>
      </c>
      <c r="AY19" s="715">
        <v>-2764.9519999999998</v>
      </c>
      <c r="AZ19" s="715">
        <v>509.15100000000081</v>
      </c>
      <c r="BA19" s="715">
        <v>-2654.791000000002</v>
      </c>
      <c r="BB19" s="715">
        <v>-443.68599999999969</v>
      </c>
      <c r="BC19" s="715">
        <v>15908.088000000005</v>
      </c>
      <c r="BD19" s="715">
        <v>-2229.41</v>
      </c>
      <c r="BE19" s="715">
        <v>-4552.9180000000015</v>
      </c>
      <c r="BF19" s="715">
        <v>-4072.5990000000011</v>
      </c>
      <c r="BG19" s="715">
        <v>-7653.3530000000001</v>
      </c>
      <c r="BH19" s="715">
        <v>-11396.257</v>
      </c>
      <c r="BI19" s="715">
        <v>-16885.538000000004</v>
      </c>
      <c r="BJ19" s="715">
        <v>-3890.5039999999985</v>
      </c>
      <c r="BK19" s="715">
        <v>35746.498</v>
      </c>
      <c r="BL19" s="715">
        <v>2248.0339999999987</v>
      </c>
      <c r="BM19" s="715">
        <v>-3138.6219999999985</v>
      </c>
      <c r="BN19" s="715">
        <v>-2137.7800000000025</v>
      </c>
      <c r="BO19" s="715">
        <v>-5733.427999999999</v>
      </c>
      <c r="BP19" s="715">
        <v>-4816.6880000000028</v>
      </c>
    </row>
    <row r="20" spans="1:68" ht="16.5" x14ac:dyDescent="0.3">
      <c r="A20" s="709" t="s">
        <v>1201</v>
      </c>
      <c r="B20" s="710">
        <f t="shared" ref="B20:M20" si="4">B21+B22+B23</f>
        <v>24.4</v>
      </c>
      <c r="C20" s="711">
        <f t="shared" si="4"/>
        <v>81.900000000000006</v>
      </c>
      <c r="D20" s="711">
        <f t="shared" si="4"/>
        <v>-20.399999999999999</v>
      </c>
      <c r="E20" s="711">
        <f t="shared" si="4"/>
        <v>303.78000000000003</v>
      </c>
      <c r="F20" s="711">
        <f t="shared" si="4"/>
        <v>49.71</v>
      </c>
      <c r="G20" s="711">
        <f t="shared" si="4"/>
        <v>-59.29</v>
      </c>
      <c r="H20" s="712">
        <f t="shared" si="4"/>
        <v>312.10000000000002</v>
      </c>
      <c r="I20" s="712">
        <f t="shared" si="4"/>
        <v>96.67</v>
      </c>
      <c r="J20" s="712">
        <f t="shared" si="4"/>
        <v>-63.180000000000007</v>
      </c>
      <c r="K20" s="712">
        <f t="shared" si="4"/>
        <v>28.630000000000003</v>
      </c>
      <c r="L20" s="712">
        <f t="shared" si="4"/>
        <v>-136.06</v>
      </c>
      <c r="M20" s="712">
        <f t="shared" si="4"/>
        <v>-605.27</v>
      </c>
      <c r="N20" s="713">
        <v>-5.54</v>
      </c>
      <c r="O20" s="714">
        <v>-1107.22</v>
      </c>
      <c r="P20" s="714">
        <v>60.53</v>
      </c>
      <c r="Q20" s="714">
        <v>-946.33999999999992</v>
      </c>
      <c r="R20" s="714">
        <v>200.45</v>
      </c>
      <c r="S20" s="714">
        <v>236.82</v>
      </c>
      <c r="T20" s="714">
        <v>98.51</v>
      </c>
      <c r="U20" s="714">
        <v>-55.900000000000006</v>
      </c>
      <c r="V20" s="714">
        <v>20.22</v>
      </c>
      <c r="W20" s="714">
        <v>62.56</v>
      </c>
      <c r="X20" s="714">
        <v>42.6</v>
      </c>
      <c r="Y20" s="714">
        <v>1803.6</v>
      </c>
      <c r="Z20" s="714">
        <v>12.36</v>
      </c>
      <c r="AA20" s="714">
        <v>644.04</v>
      </c>
      <c r="AB20" s="714">
        <v>1653.75</v>
      </c>
      <c r="AC20" s="714">
        <v>74.930000000000007</v>
      </c>
      <c r="AD20" s="714">
        <v>-1860.37</v>
      </c>
      <c r="AE20" s="714">
        <v>-137.88999999999999</v>
      </c>
      <c r="AF20" s="714">
        <v>363.49</v>
      </c>
      <c r="AG20" s="714">
        <v>237.27500000000001</v>
      </c>
      <c r="AH20" s="714">
        <v>295.89</v>
      </c>
      <c r="AI20" s="714">
        <v>-218.238</v>
      </c>
      <c r="AJ20" s="714">
        <v>-320.56</v>
      </c>
      <c r="AK20" s="715">
        <v>1956.56</v>
      </c>
      <c r="AL20" s="715">
        <v>23.651999999999997</v>
      </c>
      <c r="AM20" s="715">
        <v>102.07300000000001</v>
      </c>
      <c r="AN20" s="715">
        <v>-86.429000000000002</v>
      </c>
      <c r="AO20" s="715">
        <v>476.55500000000001</v>
      </c>
      <c r="AP20" s="715">
        <v>758.50599999999997</v>
      </c>
      <c r="AQ20" s="715">
        <v>639.91599999999994</v>
      </c>
      <c r="AR20" s="715">
        <v>1073.02</v>
      </c>
      <c r="AS20" s="715">
        <v>-19.493000000000009</v>
      </c>
      <c r="AT20" s="715">
        <v>973.36400000000003</v>
      </c>
      <c r="AU20" s="715">
        <v>72.072000000000017</v>
      </c>
      <c r="AV20" s="715">
        <v>1144.1309999999999</v>
      </c>
      <c r="AW20" s="715">
        <v>1750.163</v>
      </c>
      <c r="AX20" s="715">
        <v>2676.0970000000002</v>
      </c>
      <c r="AY20" s="715">
        <v>338.79899999999998</v>
      </c>
      <c r="AZ20" s="715">
        <v>1205.242</v>
      </c>
      <c r="BA20" s="715">
        <v>-196.13400000000001</v>
      </c>
      <c r="BB20" s="715">
        <v>272.90600000000001</v>
      </c>
      <c r="BC20" s="715">
        <v>18315.486000000001</v>
      </c>
      <c r="BD20" s="715">
        <v>371.553</v>
      </c>
      <c r="BE20" s="715">
        <v>169.124</v>
      </c>
      <c r="BF20" s="715">
        <v>161.16400000000002</v>
      </c>
      <c r="BG20" s="715">
        <v>-87.57</v>
      </c>
      <c r="BH20" s="715">
        <v>683.327</v>
      </c>
      <c r="BI20" s="715">
        <v>238.12899999999982</v>
      </c>
      <c r="BJ20" s="715">
        <v>177.101</v>
      </c>
      <c r="BK20" s="715">
        <v>12.060999999999998</v>
      </c>
      <c r="BL20" s="715">
        <v>178.65299999999843</v>
      </c>
      <c r="BM20" s="715">
        <v>-265.62199999999996</v>
      </c>
      <c r="BN20" s="715">
        <v>208.20600000000002</v>
      </c>
      <c r="BO20" s="715">
        <v>464.51099999999997</v>
      </c>
      <c r="BP20" s="715">
        <v>362.30100000000004</v>
      </c>
    </row>
    <row r="21" spans="1:68" ht="16.5" x14ac:dyDescent="0.3">
      <c r="A21" s="54" t="s">
        <v>1202</v>
      </c>
      <c r="B21" s="717">
        <v>24.2</v>
      </c>
      <c r="C21" s="718">
        <v>81.900000000000006</v>
      </c>
      <c r="D21" s="718">
        <v>-20.399999999999999</v>
      </c>
      <c r="E21" s="718">
        <v>90.17</v>
      </c>
      <c r="F21" s="718">
        <v>49.71</v>
      </c>
      <c r="G21" s="718">
        <v>-59.29</v>
      </c>
      <c r="H21" s="719">
        <v>307.10000000000002</v>
      </c>
      <c r="I21" s="719">
        <v>96.67</v>
      </c>
      <c r="J21" s="719">
        <v>-195.9</v>
      </c>
      <c r="K21" s="719">
        <v>-1.06</v>
      </c>
      <c r="L21" s="719">
        <v>-136.06</v>
      </c>
      <c r="M21" s="719">
        <v>-667.02</v>
      </c>
      <c r="N21" s="720">
        <v>-0.68</v>
      </c>
      <c r="O21" s="721">
        <v>-1107.22</v>
      </c>
      <c r="P21" s="721">
        <v>60.53</v>
      </c>
      <c r="Q21" s="721">
        <v>-424.95</v>
      </c>
      <c r="R21" s="721">
        <v>200.45</v>
      </c>
      <c r="S21" s="721">
        <v>117.86</v>
      </c>
      <c r="T21" s="721">
        <v>98.51</v>
      </c>
      <c r="U21" s="721">
        <v>182.47</v>
      </c>
      <c r="V21" s="721">
        <v>20.22</v>
      </c>
      <c r="W21" s="721">
        <v>57.56</v>
      </c>
      <c r="X21" s="721">
        <v>42.72</v>
      </c>
      <c r="Y21" s="721">
        <v>1803.57</v>
      </c>
      <c r="Z21" s="721">
        <v>12.36</v>
      </c>
      <c r="AA21" s="721">
        <v>644.04</v>
      </c>
      <c r="AB21" s="721">
        <v>1653.75</v>
      </c>
      <c r="AC21" s="721">
        <v>74.930000000000007</v>
      </c>
      <c r="AD21" s="721">
        <v>-1865.37</v>
      </c>
      <c r="AE21" s="721">
        <v>55.52</v>
      </c>
      <c r="AF21" s="721">
        <v>359.49</v>
      </c>
      <c r="AG21" s="721">
        <v>237.27500000000001</v>
      </c>
      <c r="AH21" s="721">
        <v>295.89</v>
      </c>
      <c r="AI21" s="721">
        <v>-218.238</v>
      </c>
      <c r="AJ21" s="721">
        <v>-320.56</v>
      </c>
      <c r="AK21" s="722">
        <v>1956.56</v>
      </c>
      <c r="AL21" s="722">
        <v>23.651999999999997</v>
      </c>
      <c r="AM21" s="722">
        <v>87.554000000000002</v>
      </c>
      <c r="AN21" s="722">
        <v>-86.429000000000002</v>
      </c>
      <c r="AO21" s="722">
        <v>476.55500000000001</v>
      </c>
      <c r="AP21" s="722">
        <v>758.50599999999997</v>
      </c>
      <c r="AQ21" s="722">
        <v>630.96599999999989</v>
      </c>
      <c r="AR21" s="722">
        <v>1034.752</v>
      </c>
      <c r="AS21" s="722">
        <v>-19.493000000000009</v>
      </c>
      <c r="AT21" s="722">
        <v>963.46400000000006</v>
      </c>
      <c r="AU21" s="722">
        <v>72.072000000000017</v>
      </c>
      <c r="AV21" s="722">
        <v>1144.2059999999999</v>
      </c>
      <c r="AW21" s="722">
        <v>1750.163</v>
      </c>
      <c r="AX21" s="722">
        <v>2528.2920000000004</v>
      </c>
      <c r="AY21" s="722">
        <v>329.69899999999996</v>
      </c>
      <c r="AZ21" s="722">
        <v>1205.242</v>
      </c>
      <c r="BA21" s="722">
        <v>-289.12900000000002</v>
      </c>
      <c r="BB21" s="722">
        <v>272.90600000000001</v>
      </c>
      <c r="BC21" s="722">
        <v>18315.486000000001</v>
      </c>
      <c r="BD21" s="722">
        <v>371.553</v>
      </c>
      <c r="BE21" s="722">
        <v>169.124</v>
      </c>
      <c r="BF21" s="722">
        <v>161.16400000000002</v>
      </c>
      <c r="BG21" s="722">
        <v>-87.57</v>
      </c>
      <c r="BH21" s="722">
        <v>172.684</v>
      </c>
      <c r="BI21" s="722">
        <v>197.00799999999981</v>
      </c>
      <c r="BJ21" s="722">
        <v>177.101</v>
      </c>
      <c r="BK21" s="722">
        <v>12.060999999999998</v>
      </c>
      <c r="BL21" s="722">
        <v>178.65299999999843</v>
      </c>
      <c r="BM21" s="722">
        <v>-273.12199999999996</v>
      </c>
      <c r="BN21" s="722">
        <v>208.20600000000002</v>
      </c>
      <c r="BO21" s="722">
        <v>198.71299999999999</v>
      </c>
      <c r="BP21" s="722">
        <v>362.30100000000004</v>
      </c>
    </row>
    <row r="22" spans="1:68" ht="16.5" x14ac:dyDescent="0.3">
      <c r="A22" s="54" t="s">
        <v>1203</v>
      </c>
      <c r="B22" s="717">
        <v>0</v>
      </c>
      <c r="C22" s="718">
        <v>0</v>
      </c>
      <c r="D22" s="718">
        <v>0</v>
      </c>
      <c r="E22" s="718">
        <v>213.61</v>
      </c>
      <c r="F22" s="718">
        <v>0</v>
      </c>
      <c r="G22" s="718">
        <v>0</v>
      </c>
      <c r="H22" s="719">
        <v>0</v>
      </c>
      <c r="I22" s="719">
        <v>0</v>
      </c>
      <c r="J22" s="719">
        <v>132.72</v>
      </c>
      <c r="K22" s="719">
        <v>86.56</v>
      </c>
      <c r="L22" s="719">
        <v>0</v>
      </c>
      <c r="M22" s="719">
        <v>10.1</v>
      </c>
      <c r="N22" s="720">
        <v>0</v>
      </c>
      <c r="O22" s="721">
        <v>0</v>
      </c>
      <c r="P22" s="721">
        <v>0</v>
      </c>
      <c r="Q22" s="721">
        <v>0</v>
      </c>
      <c r="R22" s="721">
        <v>0</v>
      </c>
      <c r="S22" s="721">
        <v>125.92</v>
      </c>
      <c r="T22" s="721">
        <v>0</v>
      </c>
      <c r="U22" s="721">
        <v>0</v>
      </c>
      <c r="V22" s="721">
        <v>0</v>
      </c>
      <c r="W22" s="721">
        <v>0</v>
      </c>
      <c r="X22" s="721">
        <v>0</v>
      </c>
      <c r="Y22" s="721">
        <v>0</v>
      </c>
      <c r="Z22" s="721">
        <v>0</v>
      </c>
      <c r="AA22" s="721">
        <v>0</v>
      </c>
      <c r="AB22" s="721">
        <v>0</v>
      </c>
      <c r="AC22" s="721">
        <v>0</v>
      </c>
      <c r="AD22" s="721">
        <v>0</v>
      </c>
      <c r="AE22" s="721">
        <v>0</v>
      </c>
      <c r="AF22" s="721">
        <v>0</v>
      </c>
      <c r="AG22" s="721">
        <v>0</v>
      </c>
      <c r="AH22" s="721">
        <v>0</v>
      </c>
      <c r="AI22" s="721">
        <v>0</v>
      </c>
      <c r="AJ22" s="721">
        <v>0</v>
      </c>
      <c r="AK22" s="722">
        <v>0</v>
      </c>
      <c r="AL22" s="722">
        <v>0</v>
      </c>
      <c r="AM22" s="722">
        <v>8.5190000000000001</v>
      </c>
      <c r="AN22" s="722">
        <v>0</v>
      </c>
      <c r="AO22" s="722">
        <v>0</v>
      </c>
      <c r="AP22" s="722">
        <v>0</v>
      </c>
      <c r="AQ22" s="722">
        <v>0</v>
      </c>
      <c r="AR22" s="722">
        <v>38.268000000000001</v>
      </c>
      <c r="AS22" s="722">
        <v>0</v>
      </c>
      <c r="AT22" s="722">
        <v>0</v>
      </c>
      <c r="AU22" s="722">
        <v>0</v>
      </c>
      <c r="AV22" s="722">
        <v>0</v>
      </c>
      <c r="AW22" s="722">
        <v>0</v>
      </c>
      <c r="AX22" s="722">
        <v>0</v>
      </c>
      <c r="AY22" s="722">
        <v>0</v>
      </c>
      <c r="AZ22" s="722">
        <v>0</v>
      </c>
      <c r="BA22" s="722">
        <v>92.995000000000005</v>
      </c>
      <c r="BB22" s="722">
        <v>0</v>
      </c>
      <c r="BC22" s="722">
        <v>0</v>
      </c>
      <c r="BD22" s="722">
        <v>0</v>
      </c>
      <c r="BE22" s="722">
        <v>0</v>
      </c>
      <c r="BF22" s="722">
        <v>0</v>
      </c>
      <c r="BG22" s="722">
        <v>0</v>
      </c>
      <c r="BH22" s="722">
        <v>0</v>
      </c>
      <c r="BI22" s="722">
        <v>32.320999999999998</v>
      </c>
      <c r="BJ22" s="722">
        <v>0</v>
      </c>
      <c r="BK22" s="722">
        <v>0</v>
      </c>
      <c r="BL22" s="722">
        <v>0</v>
      </c>
      <c r="BM22" s="722">
        <v>7.5</v>
      </c>
      <c r="BN22" s="722">
        <v>0</v>
      </c>
      <c r="BO22" s="722">
        <v>265.798</v>
      </c>
      <c r="BP22" s="722">
        <v>0</v>
      </c>
    </row>
    <row r="23" spans="1:68" ht="16.5" x14ac:dyDescent="0.3">
      <c r="A23" s="54" t="s">
        <v>1204</v>
      </c>
      <c r="B23" s="717">
        <v>0.2</v>
      </c>
      <c r="C23" s="718">
        <v>0</v>
      </c>
      <c r="D23" s="718">
        <v>0</v>
      </c>
      <c r="E23" s="718">
        <v>0</v>
      </c>
      <c r="F23" s="718">
        <v>0</v>
      </c>
      <c r="G23" s="718">
        <v>0</v>
      </c>
      <c r="H23" s="719">
        <v>5</v>
      </c>
      <c r="I23" s="719">
        <v>0</v>
      </c>
      <c r="J23" s="719">
        <v>0</v>
      </c>
      <c r="K23" s="719">
        <v>-56.87</v>
      </c>
      <c r="L23" s="719">
        <v>0</v>
      </c>
      <c r="M23" s="719">
        <v>51.65</v>
      </c>
      <c r="N23" s="720">
        <v>-4.8600000000000003</v>
      </c>
      <c r="O23" s="721">
        <v>0</v>
      </c>
      <c r="P23" s="721">
        <v>0</v>
      </c>
      <c r="Q23" s="721">
        <v>-521.39</v>
      </c>
      <c r="R23" s="721">
        <v>0</v>
      </c>
      <c r="S23" s="721">
        <v>-6.96</v>
      </c>
      <c r="T23" s="721">
        <v>0</v>
      </c>
      <c r="U23" s="721">
        <v>-238.37</v>
      </c>
      <c r="V23" s="721">
        <v>0</v>
      </c>
      <c r="W23" s="721">
        <v>5</v>
      </c>
      <c r="X23" s="721">
        <v>-0.12</v>
      </c>
      <c r="Y23" s="721">
        <v>0</v>
      </c>
      <c r="Z23" s="721">
        <v>0</v>
      </c>
      <c r="AA23" s="721">
        <v>0</v>
      </c>
      <c r="AB23" s="721">
        <v>0</v>
      </c>
      <c r="AC23" s="721">
        <v>0</v>
      </c>
      <c r="AD23" s="721">
        <v>5</v>
      </c>
      <c r="AE23" s="721">
        <v>-193.41</v>
      </c>
      <c r="AF23" s="721">
        <v>4</v>
      </c>
      <c r="AG23" s="721">
        <v>0</v>
      </c>
      <c r="AH23" s="721">
        <v>0</v>
      </c>
      <c r="AI23" s="721">
        <v>0</v>
      </c>
      <c r="AJ23" s="721">
        <v>0</v>
      </c>
      <c r="AK23" s="722">
        <v>0</v>
      </c>
      <c r="AL23" s="722">
        <v>0</v>
      </c>
      <c r="AM23" s="722">
        <v>6</v>
      </c>
      <c r="AN23" s="722">
        <v>0</v>
      </c>
      <c r="AO23" s="722">
        <v>0</v>
      </c>
      <c r="AP23" s="722">
        <v>0</v>
      </c>
      <c r="AQ23" s="722">
        <v>8.9499999999999993</v>
      </c>
      <c r="AR23" s="722">
        <v>0</v>
      </c>
      <c r="AS23" s="722">
        <v>0</v>
      </c>
      <c r="AT23" s="722">
        <v>9.9</v>
      </c>
      <c r="AU23" s="722">
        <v>0</v>
      </c>
      <c r="AV23" s="722">
        <v>-7.4999999999999997E-2</v>
      </c>
      <c r="AW23" s="722">
        <v>0</v>
      </c>
      <c r="AX23" s="722">
        <v>147.80500000000001</v>
      </c>
      <c r="AY23" s="722">
        <v>9.1</v>
      </c>
      <c r="AZ23" s="722">
        <v>0</v>
      </c>
      <c r="BA23" s="722">
        <v>0</v>
      </c>
      <c r="BB23" s="722">
        <v>0</v>
      </c>
      <c r="BC23" s="722">
        <v>0</v>
      </c>
      <c r="BD23" s="722">
        <v>0</v>
      </c>
      <c r="BE23" s="722">
        <v>0</v>
      </c>
      <c r="BF23" s="722">
        <v>0</v>
      </c>
      <c r="BG23" s="722">
        <v>0</v>
      </c>
      <c r="BH23" s="722">
        <v>510.64299999999997</v>
      </c>
      <c r="BI23" s="722">
        <v>8.8000000000000007</v>
      </c>
      <c r="BJ23" s="722">
        <v>0</v>
      </c>
      <c r="BK23" s="722">
        <v>0</v>
      </c>
      <c r="BL23" s="722">
        <v>0</v>
      </c>
      <c r="BM23" s="722">
        <v>0</v>
      </c>
      <c r="BN23" s="722">
        <v>0</v>
      </c>
      <c r="BO23" s="722">
        <v>0</v>
      </c>
      <c r="BP23" s="722">
        <v>0</v>
      </c>
    </row>
    <row r="24" spans="1:68" ht="16.5" x14ac:dyDescent="0.3">
      <c r="A24" s="709" t="s">
        <v>1205</v>
      </c>
      <c r="B24" s="710">
        <v>930.97</v>
      </c>
      <c r="C24" s="711">
        <v>1664.23</v>
      </c>
      <c r="D24" s="711">
        <v>294.42</v>
      </c>
      <c r="E24" s="711">
        <v>1973.17</v>
      </c>
      <c r="F24" s="711">
        <v>153.83000000000001</v>
      </c>
      <c r="G24" s="711">
        <v>474.12</v>
      </c>
      <c r="H24" s="712">
        <v>975.62</v>
      </c>
      <c r="I24" s="712">
        <v>2139.2199999999998</v>
      </c>
      <c r="J24" s="712">
        <v>443.32</v>
      </c>
      <c r="K24" s="712">
        <v>2409.91</v>
      </c>
      <c r="L24" s="712">
        <v>1678.52</v>
      </c>
      <c r="M24" s="712">
        <v>1791.68</v>
      </c>
      <c r="N24" s="713">
        <v>1596.96</v>
      </c>
      <c r="O24" s="714">
        <v>-227.63</v>
      </c>
      <c r="P24" s="714">
        <v>1482.0100000000002</v>
      </c>
      <c r="Q24" s="714">
        <v>1066.45</v>
      </c>
      <c r="R24" s="714">
        <v>1779.0800000000002</v>
      </c>
      <c r="S24" s="714">
        <v>346.69</v>
      </c>
      <c r="T24" s="714">
        <v>1015.7300000000005</v>
      </c>
      <c r="U24" s="714">
        <v>2973.37</v>
      </c>
      <c r="V24" s="714">
        <v>933.18</v>
      </c>
      <c r="W24" s="714">
        <v>2962.3599999999997</v>
      </c>
      <c r="X24" s="714">
        <v>983.56000000000006</v>
      </c>
      <c r="Y24" s="714">
        <v>1189.94</v>
      </c>
      <c r="Z24" s="714">
        <v>1080.24</v>
      </c>
      <c r="AA24" s="714">
        <v>2701.25</v>
      </c>
      <c r="AB24" s="714">
        <v>2015.1799999999998</v>
      </c>
      <c r="AC24" s="714">
        <v>-210.32</v>
      </c>
      <c r="AD24" s="714">
        <v>-4262.9859999999999</v>
      </c>
      <c r="AE24" s="714">
        <v>-151.98000000000002</v>
      </c>
      <c r="AF24" s="714">
        <v>1897.0950000000003</v>
      </c>
      <c r="AG24" s="714">
        <v>2860.93</v>
      </c>
      <c r="AH24" s="714">
        <v>4044.2040000000006</v>
      </c>
      <c r="AI24" s="714">
        <v>-1.8489999999999895</v>
      </c>
      <c r="AJ24" s="714">
        <v>2056.4049999999997</v>
      </c>
      <c r="AK24" s="715">
        <v>5282.25</v>
      </c>
      <c r="AL24" s="715">
        <v>157.41999999999996</v>
      </c>
      <c r="AM24" s="715">
        <v>2266.7579999999998</v>
      </c>
      <c r="AN24" s="715">
        <v>1498.962</v>
      </c>
      <c r="AO24" s="715">
        <v>-621.42200000000003</v>
      </c>
      <c r="AP24" s="715">
        <v>2624.1020000000003</v>
      </c>
      <c r="AQ24" s="715">
        <v>2130.7570000000001</v>
      </c>
      <c r="AR24" s="715">
        <v>2456.7330000000002</v>
      </c>
      <c r="AS24" s="715">
        <v>3121.5540000000001</v>
      </c>
      <c r="AT24" s="715">
        <v>3470.6250000000005</v>
      </c>
      <c r="AU24" s="715">
        <v>1583.444</v>
      </c>
      <c r="AV24" s="715">
        <v>3410.6019999999999</v>
      </c>
      <c r="AW24" s="715">
        <v>398.23599999999999</v>
      </c>
      <c r="AX24" s="715">
        <v>2834.114</v>
      </c>
      <c r="AY24" s="715">
        <v>3103.7539999999999</v>
      </c>
      <c r="AZ24" s="715">
        <v>696.09199999999998</v>
      </c>
      <c r="BA24" s="715">
        <v>2458.6559999999999</v>
      </c>
      <c r="BB24" s="715">
        <v>716.59199999999998</v>
      </c>
      <c r="BC24" s="715">
        <v>2407.4009999999998</v>
      </c>
      <c r="BD24" s="715">
        <v>2600.9610000000002</v>
      </c>
      <c r="BE24" s="715">
        <v>4722.0409999999993</v>
      </c>
      <c r="BF24" s="715">
        <v>4233.7639999999992</v>
      </c>
      <c r="BG24" s="715">
        <v>7565.7820000000002</v>
      </c>
      <c r="BH24" s="715">
        <v>12079.583000000001</v>
      </c>
      <c r="BI24" s="715">
        <v>17123.665000000001</v>
      </c>
      <c r="BJ24" s="715">
        <v>4067.6039999999994</v>
      </c>
      <c r="BK24" s="715">
        <v>-35734.415999999997</v>
      </c>
      <c r="BL24" s="715">
        <v>-2069.3809999999999</v>
      </c>
      <c r="BM24" s="715">
        <v>2872.9989999999998</v>
      </c>
      <c r="BN24" s="715">
        <v>2345.9860000000003</v>
      </c>
      <c r="BO24" s="715">
        <v>6197.9380000000001</v>
      </c>
      <c r="BP24" s="715">
        <v>5178.9890000000005</v>
      </c>
    </row>
    <row r="25" spans="1:68" ht="16.5" x14ac:dyDescent="0.3">
      <c r="A25" s="54" t="s">
        <v>1202</v>
      </c>
      <c r="B25" s="717">
        <v>1061.53</v>
      </c>
      <c r="C25" s="718">
        <v>1692.77</v>
      </c>
      <c r="D25" s="718">
        <v>923.88</v>
      </c>
      <c r="E25" s="718">
        <v>1889.87</v>
      </c>
      <c r="F25" s="718">
        <v>271.89999999999998</v>
      </c>
      <c r="G25" s="718">
        <v>265.57</v>
      </c>
      <c r="H25" s="719">
        <v>1054.76</v>
      </c>
      <c r="I25" s="719">
        <v>2090.1</v>
      </c>
      <c r="J25" s="719">
        <v>1094.68</v>
      </c>
      <c r="K25" s="719">
        <v>2458.36</v>
      </c>
      <c r="L25" s="719">
        <v>2048.9499999999998</v>
      </c>
      <c r="M25" s="719">
        <v>1375.65</v>
      </c>
      <c r="N25" s="720">
        <v>1658.7</v>
      </c>
      <c r="O25" s="721">
        <v>-127.6</v>
      </c>
      <c r="P25" s="721">
        <v>1624.88</v>
      </c>
      <c r="Q25" s="721">
        <v>976.88</v>
      </c>
      <c r="R25" s="721">
        <v>1767.91</v>
      </c>
      <c r="S25" s="721">
        <v>356.98</v>
      </c>
      <c r="T25" s="721">
        <v>5375.3</v>
      </c>
      <c r="U25" s="721">
        <v>2985.94</v>
      </c>
      <c r="V25" s="721">
        <v>1580.34</v>
      </c>
      <c r="W25" s="721">
        <v>3057.22</v>
      </c>
      <c r="X25" s="721">
        <v>1033.19</v>
      </c>
      <c r="Y25" s="721">
        <v>1318.923</v>
      </c>
      <c r="Z25" s="721">
        <v>1241.77</v>
      </c>
      <c r="AA25" s="721">
        <v>2871.87</v>
      </c>
      <c r="AB25" s="721">
        <v>2816.31</v>
      </c>
      <c r="AC25" s="721">
        <v>-702.76</v>
      </c>
      <c r="AD25" s="721">
        <v>-4127.2960000000003</v>
      </c>
      <c r="AE25" s="721">
        <v>26.54</v>
      </c>
      <c r="AF25" s="721">
        <v>2153.5100000000002</v>
      </c>
      <c r="AG25" s="721">
        <v>2966.71</v>
      </c>
      <c r="AH25" s="721">
        <v>4856.3500000000004</v>
      </c>
      <c r="AI25" s="721">
        <v>-215.49299999999999</v>
      </c>
      <c r="AJ25" s="721">
        <v>2191.703</v>
      </c>
      <c r="AK25" s="722">
        <v>5483.2359999999999</v>
      </c>
      <c r="AL25" s="722">
        <v>322.77999999999997</v>
      </c>
      <c r="AM25" s="722">
        <v>2871.9189999999999</v>
      </c>
      <c r="AN25" s="722">
        <v>2360.875</v>
      </c>
      <c r="AO25" s="722">
        <v>-569.30700000000002</v>
      </c>
      <c r="AP25" s="722">
        <v>2761.63</v>
      </c>
      <c r="AQ25" s="722">
        <v>2310.2460000000001</v>
      </c>
      <c r="AR25" s="722">
        <v>3122.9</v>
      </c>
      <c r="AS25" s="722">
        <v>3272.5650000000001</v>
      </c>
      <c r="AT25" s="722">
        <v>4206.1540000000005</v>
      </c>
      <c r="AU25" s="722">
        <v>1639.894</v>
      </c>
      <c r="AV25" s="722">
        <v>3530.9989999999998</v>
      </c>
      <c r="AW25" s="722">
        <v>641.99199999999996</v>
      </c>
      <c r="AX25" s="722">
        <v>3011.9969999999998</v>
      </c>
      <c r="AY25" s="722">
        <v>3735.6469999999999</v>
      </c>
      <c r="AZ25" s="722">
        <v>1211.0119999999999</v>
      </c>
      <c r="BA25" s="722">
        <v>2522.7979999999998</v>
      </c>
      <c r="BB25" s="722">
        <v>849.11599999999999</v>
      </c>
      <c r="BC25" s="722">
        <v>2719.549</v>
      </c>
      <c r="BD25" s="722">
        <v>9686.2340000000004</v>
      </c>
      <c r="BE25" s="722">
        <v>4822.6859999999997</v>
      </c>
      <c r="BF25" s="722">
        <v>4862.5649999999996</v>
      </c>
      <c r="BG25" s="722">
        <v>7624.9009999999998</v>
      </c>
      <c r="BH25" s="722">
        <v>12211.339</v>
      </c>
      <c r="BI25" s="722">
        <v>8288.3799999999992</v>
      </c>
      <c r="BJ25" s="722">
        <v>-15902.771000000001</v>
      </c>
      <c r="BK25" s="722">
        <v>-35863.296999999999</v>
      </c>
      <c r="BL25" s="722">
        <v>-4550.4679999999998</v>
      </c>
      <c r="BM25" s="722">
        <v>3180.5459999999998</v>
      </c>
      <c r="BN25" s="722">
        <v>2364.9250000000002</v>
      </c>
      <c r="BO25" s="722">
        <v>6548.0129999999999</v>
      </c>
      <c r="BP25" s="722">
        <v>5893.2160000000003</v>
      </c>
    </row>
    <row r="26" spans="1:68" ht="17.25" thickBot="1" x14ac:dyDescent="0.35">
      <c r="A26" s="55" t="s">
        <v>1203</v>
      </c>
      <c r="B26" s="724">
        <v>-130.57</v>
      </c>
      <c r="C26" s="725">
        <v>-28.54</v>
      </c>
      <c r="D26" s="725">
        <v>-629.46</v>
      </c>
      <c r="E26" s="725">
        <v>83.3</v>
      </c>
      <c r="F26" s="725">
        <v>-118.06</v>
      </c>
      <c r="G26" s="725">
        <v>208.55</v>
      </c>
      <c r="H26" s="726">
        <v>-79.14</v>
      </c>
      <c r="I26" s="726">
        <v>49.12</v>
      </c>
      <c r="J26" s="726">
        <v>-651.35</v>
      </c>
      <c r="K26" s="726">
        <v>-48.45</v>
      </c>
      <c r="L26" s="726">
        <v>-370.43</v>
      </c>
      <c r="M26" s="726">
        <v>416.03</v>
      </c>
      <c r="N26" s="727">
        <v>-61.74</v>
      </c>
      <c r="O26" s="728">
        <v>-100.03</v>
      </c>
      <c r="P26" s="728">
        <v>-142.87</v>
      </c>
      <c r="Q26" s="728">
        <v>89.57</v>
      </c>
      <c r="R26" s="728">
        <v>11.17</v>
      </c>
      <c r="S26" s="728">
        <v>-10.29</v>
      </c>
      <c r="T26" s="728">
        <v>-4359.57</v>
      </c>
      <c r="U26" s="728">
        <v>-12.57</v>
      </c>
      <c r="V26" s="728">
        <v>-647.16</v>
      </c>
      <c r="W26" s="728">
        <v>-94.86</v>
      </c>
      <c r="X26" s="728">
        <v>-49.63</v>
      </c>
      <c r="Y26" s="728">
        <v>-128.983</v>
      </c>
      <c r="Z26" s="728">
        <v>-161.53</v>
      </c>
      <c r="AA26" s="728">
        <v>-170.62</v>
      </c>
      <c r="AB26" s="728">
        <v>-801.13</v>
      </c>
      <c r="AC26" s="728">
        <v>492.44</v>
      </c>
      <c r="AD26" s="728">
        <v>-135.69</v>
      </c>
      <c r="AE26" s="728">
        <v>-178.52</v>
      </c>
      <c r="AF26" s="728">
        <v>-256.41500000000002</v>
      </c>
      <c r="AG26" s="728">
        <v>-105.78</v>
      </c>
      <c r="AH26" s="728">
        <v>-812.14599999999996</v>
      </c>
      <c r="AI26" s="728">
        <v>213.64400000000001</v>
      </c>
      <c r="AJ26" s="728">
        <v>-135.298</v>
      </c>
      <c r="AK26" s="729">
        <v>-200.98599999999999</v>
      </c>
      <c r="AL26" s="729">
        <v>-165.36</v>
      </c>
      <c r="AM26" s="729">
        <v>-605.16099999999994</v>
      </c>
      <c r="AN26" s="729">
        <v>-861.91300000000001</v>
      </c>
      <c r="AO26" s="729">
        <v>-52.115000000000002</v>
      </c>
      <c r="AP26" s="729">
        <v>-137.52799999999999</v>
      </c>
      <c r="AQ26" s="729">
        <v>-179.489</v>
      </c>
      <c r="AR26" s="729">
        <v>-666.16700000000003</v>
      </c>
      <c r="AS26" s="729">
        <v>-151.011</v>
      </c>
      <c r="AT26" s="729">
        <v>-735.529</v>
      </c>
      <c r="AU26" s="729">
        <v>-56.45</v>
      </c>
      <c r="AV26" s="729">
        <v>-120.39700000000001</v>
      </c>
      <c r="AW26" s="729">
        <v>-243.756</v>
      </c>
      <c r="AX26" s="729">
        <v>-177.88300000000001</v>
      </c>
      <c r="AY26" s="729">
        <v>-631.89300000000003</v>
      </c>
      <c r="AZ26" s="729">
        <v>-514.91999999999996</v>
      </c>
      <c r="BA26" s="729">
        <v>-64.141999999999996</v>
      </c>
      <c r="BB26" s="729">
        <v>-132.524</v>
      </c>
      <c r="BC26" s="729">
        <v>-312.14800000000002</v>
      </c>
      <c r="BD26" s="729">
        <v>-7085.2730000000001</v>
      </c>
      <c r="BE26" s="729">
        <v>-100.645</v>
      </c>
      <c r="BF26" s="729">
        <v>-628.80100000000004</v>
      </c>
      <c r="BG26" s="729">
        <v>-59.119</v>
      </c>
      <c r="BH26" s="729">
        <v>-131.756</v>
      </c>
      <c r="BI26" s="729">
        <v>8835.2849999999999</v>
      </c>
      <c r="BJ26" s="729">
        <v>19970.375</v>
      </c>
      <c r="BK26" s="729">
        <v>128.881</v>
      </c>
      <c r="BL26" s="729">
        <v>2481.087</v>
      </c>
      <c r="BM26" s="729">
        <v>-307.54700000000003</v>
      </c>
      <c r="BN26" s="729">
        <v>-18.939</v>
      </c>
      <c r="BO26" s="729">
        <v>-350.07499999999999</v>
      </c>
      <c r="BP26" s="729">
        <v>-714.22699999999998</v>
      </c>
    </row>
    <row r="27" spans="1:68" ht="5.25" customHeight="1" thickTop="1" x14ac:dyDescent="0.3">
      <c r="A27" s="730"/>
      <c r="B27" s="731"/>
      <c r="C27" s="731"/>
      <c r="D27" s="731"/>
      <c r="E27" s="731"/>
      <c r="F27" s="731"/>
      <c r="G27" s="731"/>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row>
    <row r="28" spans="1:68" s="735" customFormat="1" ht="16.5" x14ac:dyDescent="0.25">
      <c r="A28" s="733" t="s">
        <v>1145</v>
      </c>
      <c r="B28" s="734"/>
      <c r="C28" s="734"/>
      <c r="D28" s="734"/>
      <c r="E28" s="734"/>
      <c r="F28" s="734"/>
      <c r="G28" s="734"/>
    </row>
    <row r="29" spans="1:68" s="736" customFormat="1" ht="16.5" x14ac:dyDescent="0.3">
      <c r="B29" s="737"/>
      <c r="C29" s="737"/>
      <c r="D29" s="737"/>
      <c r="E29" s="737"/>
      <c r="F29" s="737"/>
      <c r="G29" s="737"/>
      <c r="N29" s="738"/>
      <c r="O29" s="738"/>
      <c r="P29" s="738"/>
      <c r="Q29" s="738"/>
      <c r="R29" s="738"/>
      <c r="S29" s="738"/>
      <c r="T29" s="738"/>
      <c r="U29" s="738"/>
      <c r="V29" s="738"/>
      <c r="W29" s="738"/>
    </row>
    <row r="30" spans="1:68" s="736" customFormat="1" ht="16.5" x14ac:dyDescent="0.3">
      <c r="B30" s="737"/>
      <c r="C30" s="737"/>
      <c r="D30" s="737"/>
      <c r="E30" s="737"/>
      <c r="F30" s="737"/>
      <c r="G30" s="737"/>
      <c r="N30" s="738"/>
      <c r="O30" s="738"/>
      <c r="P30" s="738"/>
      <c r="Q30" s="738"/>
      <c r="R30" s="738"/>
      <c r="S30" s="738"/>
      <c r="T30" s="738"/>
      <c r="U30" s="738"/>
      <c r="V30" s="738"/>
      <c r="W30" s="738"/>
      <c r="X30" s="738"/>
      <c r="Y30" s="738"/>
      <c r="Z30" s="738"/>
      <c r="AA30" s="738"/>
      <c r="AB30" s="738"/>
      <c r="AC30" s="738"/>
      <c r="AD30" s="738"/>
      <c r="AE30" s="738"/>
      <c r="AF30" s="738"/>
      <c r="AG30" s="738"/>
      <c r="AH30" s="738"/>
      <c r="AI30" s="738"/>
      <c r="AJ30" s="738"/>
      <c r="AK30" s="738"/>
      <c r="AL30" s="738"/>
      <c r="AM30" s="738"/>
      <c r="AN30" s="738"/>
      <c r="AO30" s="738"/>
      <c r="AP30" s="738"/>
      <c r="AQ30" s="738"/>
      <c r="AR30" s="738"/>
      <c r="AS30" s="738"/>
      <c r="AT30" s="738"/>
      <c r="AU30" s="738"/>
      <c r="AV30" s="738"/>
    </row>
    <row r="31" spans="1:68" s="736" customFormat="1" ht="16.5" x14ac:dyDescent="0.3">
      <c r="B31" s="737"/>
      <c r="C31" s="737"/>
      <c r="D31" s="737"/>
      <c r="E31" s="737"/>
      <c r="F31" s="737"/>
      <c r="G31" s="737"/>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738"/>
      <c r="AM31" s="738"/>
      <c r="AN31" s="738"/>
      <c r="AO31" s="738"/>
      <c r="AP31" s="738"/>
      <c r="AQ31" s="738"/>
      <c r="AR31" s="738"/>
      <c r="AS31" s="738"/>
      <c r="AT31" s="738"/>
      <c r="AU31" s="738"/>
      <c r="AV31" s="738"/>
    </row>
    <row r="32" spans="1:68" s="736" customFormat="1" ht="16.5" x14ac:dyDescent="0.3">
      <c r="B32" s="737"/>
      <c r="C32" s="737"/>
      <c r="D32" s="737"/>
      <c r="E32" s="737"/>
      <c r="F32" s="737"/>
      <c r="G32" s="737"/>
    </row>
    <row r="33" spans="2:7" s="736" customFormat="1" ht="16.5" x14ac:dyDescent="0.3">
      <c r="B33" s="737"/>
      <c r="C33" s="737"/>
      <c r="D33" s="737"/>
      <c r="E33" s="737"/>
      <c r="F33" s="737"/>
      <c r="G33" s="737"/>
    </row>
    <row r="34" spans="2:7" s="736" customFormat="1" ht="16.5" x14ac:dyDescent="0.3">
      <c r="B34" s="737"/>
      <c r="C34" s="737"/>
      <c r="D34" s="737"/>
      <c r="E34" s="737"/>
      <c r="F34" s="737"/>
      <c r="G34" s="737"/>
    </row>
    <row r="35" spans="2:7" s="736" customFormat="1" ht="16.5" x14ac:dyDescent="0.3">
      <c r="B35" s="737"/>
      <c r="C35" s="737"/>
      <c r="D35" s="737"/>
      <c r="E35" s="737"/>
      <c r="F35" s="737"/>
      <c r="G35" s="737"/>
    </row>
    <row r="36" spans="2:7" s="736" customFormat="1" ht="16.5" x14ac:dyDescent="0.3">
      <c r="B36" s="737"/>
      <c r="C36" s="737"/>
      <c r="D36" s="737"/>
      <c r="E36" s="737"/>
      <c r="F36" s="737"/>
      <c r="G36" s="737"/>
    </row>
    <row r="37" spans="2:7" s="736" customFormat="1" ht="16.5" x14ac:dyDescent="0.3">
      <c r="B37" s="737"/>
      <c r="C37" s="737"/>
      <c r="D37" s="737"/>
      <c r="E37" s="737"/>
      <c r="F37" s="737"/>
      <c r="G37" s="737"/>
    </row>
    <row r="38" spans="2:7" s="736" customFormat="1" ht="16.5" x14ac:dyDescent="0.3">
      <c r="B38" s="737"/>
      <c r="C38" s="737"/>
      <c r="D38" s="737"/>
      <c r="E38" s="737"/>
      <c r="F38" s="737"/>
      <c r="G38" s="737"/>
    </row>
    <row r="39" spans="2:7" s="736" customFormat="1" ht="16.5" x14ac:dyDescent="0.3">
      <c r="B39" s="737"/>
      <c r="C39" s="737"/>
      <c r="D39" s="737"/>
      <c r="E39" s="737"/>
      <c r="F39" s="737"/>
      <c r="G39" s="737"/>
    </row>
  </sheetData>
  <mergeCells count="1">
    <mergeCell ref="A2:BP2"/>
  </mergeCells>
  <pageMargins left="0.75" right="0.75" top="0.75" bottom="0.75" header="0.3" footer="0"/>
  <pageSetup paperSize="9" scale="9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XCM147"/>
  <sheetViews>
    <sheetView showGridLines="0" zoomScaleNormal="100" zoomScaleSheetLayoutView="85" workbookViewId="0">
      <pane xSplit="1" ySplit="4" topLeftCell="R5" activePane="bottomRight" state="frozen"/>
      <selection activeCell="K39" sqref="K39"/>
      <selection pane="topRight" activeCell="K39" sqref="K39"/>
      <selection pane="bottomLeft" activeCell="K39" sqref="K39"/>
      <selection pane="bottomRight" activeCell="A28" sqref="A28"/>
    </sheetView>
  </sheetViews>
  <sheetFormatPr defaultColWidth="10.42578125" defaultRowHeight="15" customHeight="1" x14ac:dyDescent="0.25"/>
  <cols>
    <col min="1" max="1" width="76" style="786" customWidth="1"/>
    <col min="2" max="2" width="17.85546875" style="789" hidden="1" customWidth="1"/>
    <col min="3" max="5" width="14.42578125" style="789" hidden="1" customWidth="1"/>
    <col min="6" max="16" width="14.42578125" style="786" hidden="1" customWidth="1"/>
    <col min="17" max="17" width="14.7109375" style="786" hidden="1" customWidth="1"/>
    <col min="18" max="23" width="14.7109375" style="786" customWidth="1"/>
    <col min="24" max="184" width="6.42578125" style="786" customWidth="1"/>
    <col min="185" max="185" width="56.140625" style="786" customWidth="1"/>
    <col min="186" max="188" width="10.42578125" style="786" hidden="1" customWidth="1"/>
    <col min="189" max="189" width="56.140625" style="786" customWidth="1"/>
    <col min="190" max="193" width="13.7109375" style="786" customWidth="1"/>
    <col min="194" max="194" width="5.140625" style="786" customWidth="1"/>
    <col min="195" max="195" width="3.42578125" style="786" customWidth="1"/>
    <col min="196" max="200" width="12.42578125" style="786" bestFit="1" customWidth="1"/>
    <col min="201" max="201" width="16" style="786" bestFit="1" customWidth="1"/>
    <col min="202" max="225" width="10.42578125" style="786" hidden="1" customWidth="1"/>
    <col min="226" max="226" width="6.42578125" style="786" customWidth="1"/>
    <col min="227" max="227" width="7" style="786" bestFit="1" customWidth="1"/>
    <col min="228" max="440" width="6.42578125" style="786" customWidth="1"/>
    <col min="441" max="441" width="56.140625" style="786" customWidth="1"/>
    <col min="442" max="444" width="10.42578125" style="786" hidden="1" customWidth="1"/>
    <col min="445" max="445" width="56.140625" style="786" customWidth="1"/>
    <col min="446" max="449" width="13.7109375" style="786" customWidth="1"/>
    <col min="450" max="450" width="5.140625" style="786" customWidth="1"/>
    <col min="451" max="451" width="3.42578125" style="786" customWidth="1"/>
    <col min="452" max="456" width="12.42578125" style="786" bestFit="1" customWidth="1"/>
    <col min="457" max="457" width="16" style="786" bestFit="1" customWidth="1"/>
    <col min="458" max="481" width="10.42578125" style="786" hidden="1" customWidth="1"/>
    <col min="482" max="482" width="6.42578125" style="786" customWidth="1"/>
    <col min="483" max="483" width="7" style="786" bestFit="1" customWidth="1"/>
    <col min="484" max="696" width="6.42578125" style="786" customWidth="1"/>
    <col min="697" max="697" width="56.140625" style="786" customWidth="1"/>
    <col min="698" max="700" width="10.42578125" style="786" hidden="1" customWidth="1"/>
    <col min="701" max="701" width="56.140625" style="786" customWidth="1"/>
    <col min="702" max="705" width="13.7109375" style="786" customWidth="1"/>
    <col min="706" max="706" width="5.140625" style="786" customWidth="1"/>
    <col min="707" max="707" width="3.42578125" style="786" customWidth="1"/>
    <col min="708" max="712" width="12.42578125" style="786" bestFit="1" customWidth="1"/>
    <col min="713" max="713" width="16" style="786" bestFit="1" customWidth="1"/>
    <col min="714" max="737" width="10.42578125" style="786" hidden="1" customWidth="1"/>
    <col min="738" max="738" width="6.42578125" style="786" customWidth="1"/>
    <col min="739" max="739" width="7" style="786" bestFit="1" customWidth="1"/>
    <col min="740" max="952" width="6.42578125" style="786" customWidth="1"/>
    <col min="953" max="953" width="56.140625" style="786" customWidth="1"/>
    <col min="954" max="956" width="10.42578125" style="786" hidden="1" customWidth="1"/>
    <col min="957" max="957" width="56.140625" style="786" customWidth="1"/>
    <col min="958" max="961" width="13.7109375" style="786" customWidth="1"/>
    <col min="962" max="962" width="5.140625" style="786" customWidth="1"/>
    <col min="963" max="963" width="3.42578125" style="786" customWidth="1"/>
    <col min="964" max="968" width="12.42578125" style="786" bestFit="1" customWidth="1"/>
    <col min="969" max="969" width="16" style="786" bestFit="1" customWidth="1"/>
    <col min="970" max="993" width="10.42578125" style="786" hidden="1" customWidth="1"/>
    <col min="994" max="994" width="6.42578125" style="786" customWidth="1"/>
    <col min="995" max="995" width="7" style="786" bestFit="1" customWidth="1"/>
    <col min="996" max="1208" width="6.42578125" style="786" customWidth="1"/>
    <col min="1209" max="1209" width="56.140625" style="786" customWidth="1"/>
    <col min="1210" max="1212" width="10.42578125" style="786" hidden="1" customWidth="1"/>
    <col min="1213" max="1213" width="56.140625" style="786" customWidth="1"/>
    <col min="1214" max="1217" width="13.7109375" style="786" customWidth="1"/>
    <col min="1218" max="1218" width="5.140625" style="786" customWidth="1"/>
    <col min="1219" max="1219" width="3.42578125" style="786" customWidth="1"/>
    <col min="1220" max="1224" width="12.42578125" style="786" bestFit="1" customWidth="1"/>
    <col min="1225" max="1225" width="16" style="786" bestFit="1" customWidth="1"/>
    <col min="1226" max="1249" width="10.42578125" style="786" hidden="1" customWidth="1"/>
    <col min="1250" max="1250" width="6.42578125" style="786" customWidth="1"/>
    <col min="1251" max="1251" width="7" style="786" bestFit="1" customWidth="1"/>
    <col min="1252" max="1464" width="6.42578125" style="786" customWidth="1"/>
    <col min="1465" max="1465" width="56.140625" style="786" customWidth="1"/>
    <col min="1466" max="1468" width="10.42578125" style="786" hidden="1" customWidth="1"/>
    <col min="1469" max="1469" width="56.140625" style="786" customWidth="1"/>
    <col min="1470" max="1473" width="13.7109375" style="786" customWidth="1"/>
    <col min="1474" max="1474" width="5.140625" style="786" customWidth="1"/>
    <col min="1475" max="1475" width="3.42578125" style="786" customWidth="1"/>
    <col min="1476" max="1480" width="12.42578125" style="786" bestFit="1" customWidth="1"/>
    <col min="1481" max="1481" width="16" style="786" bestFit="1" customWidth="1"/>
    <col min="1482" max="1505" width="10.42578125" style="786" hidden="1" customWidth="1"/>
    <col min="1506" max="1506" width="6.42578125" style="786" customWidth="1"/>
    <col min="1507" max="1507" width="7" style="786" bestFit="1" customWidth="1"/>
    <col min="1508" max="1720" width="6.42578125" style="786" customWidth="1"/>
    <col min="1721" max="1721" width="56.140625" style="786" customWidth="1"/>
    <col min="1722" max="1724" width="10.42578125" style="786" hidden="1" customWidth="1"/>
    <col min="1725" max="1725" width="56.140625" style="786" customWidth="1"/>
    <col min="1726" max="1729" width="13.7109375" style="786" customWidth="1"/>
    <col min="1730" max="1730" width="5.140625" style="786" customWidth="1"/>
    <col min="1731" max="1731" width="3.42578125" style="786" customWidth="1"/>
    <col min="1732" max="1736" width="12.42578125" style="786" bestFit="1" customWidth="1"/>
    <col min="1737" max="1737" width="16" style="786" bestFit="1" customWidth="1"/>
    <col min="1738" max="1761" width="10.42578125" style="786" hidden="1" customWidth="1"/>
    <col min="1762" max="1762" width="6.42578125" style="786" customWidth="1"/>
    <col min="1763" max="1763" width="7" style="786" bestFit="1" customWidth="1"/>
    <col min="1764" max="1976" width="6.42578125" style="786" customWidth="1"/>
    <col min="1977" max="1977" width="56.140625" style="786" customWidth="1"/>
    <col min="1978" max="1980" width="10.42578125" style="786" hidden="1" customWidth="1"/>
    <col min="1981" max="1981" width="56.140625" style="786" customWidth="1"/>
    <col min="1982" max="1985" width="13.7109375" style="786" customWidth="1"/>
    <col min="1986" max="1986" width="5.140625" style="786" customWidth="1"/>
    <col min="1987" max="1987" width="3.42578125" style="786" customWidth="1"/>
    <col min="1988" max="1992" width="12.42578125" style="786" bestFit="1" customWidth="1"/>
    <col min="1993" max="1993" width="16" style="786" bestFit="1" customWidth="1"/>
    <col min="1994" max="2017" width="10.42578125" style="786" hidden="1" customWidth="1"/>
    <col min="2018" max="2018" width="6.42578125" style="786" customWidth="1"/>
    <col min="2019" max="2019" width="7" style="786" bestFit="1" customWidth="1"/>
    <col min="2020" max="2232" width="6.42578125" style="786" customWidth="1"/>
    <col min="2233" max="2233" width="56.140625" style="786" customWidth="1"/>
    <col min="2234" max="2236" width="10.42578125" style="786" hidden="1" customWidth="1"/>
    <col min="2237" max="2237" width="56.140625" style="786" customWidth="1"/>
    <col min="2238" max="2241" width="13.7109375" style="786" customWidth="1"/>
    <col min="2242" max="2242" width="5.140625" style="786" customWidth="1"/>
    <col min="2243" max="2243" width="3.42578125" style="786" customWidth="1"/>
    <col min="2244" max="2248" width="12.42578125" style="786" bestFit="1" customWidth="1"/>
    <col min="2249" max="2249" width="16" style="786" bestFit="1" customWidth="1"/>
    <col min="2250" max="2273" width="10.42578125" style="786" hidden="1" customWidth="1"/>
    <col min="2274" max="2274" width="6.42578125" style="786" customWidth="1"/>
    <col min="2275" max="2275" width="7" style="786" bestFit="1" customWidth="1"/>
    <col min="2276" max="2488" width="6.42578125" style="786" customWidth="1"/>
    <col min="2489" max="2489" width="56.140625" style="786" customWidth="1"/>
    <col min="2490" max="2492" width="10.42578125" style="786" hidden="1" customWidth="1"/>
    <col min="2493" max="2493" width="56.140625" style="786" customWidth="1"/>
    <col min="2494" max="2497" width="13.7109375" style="786" customWidth="1"/>
    <col min="2498" max="2498" width="5.140625" style="786" customWidth="1"/>
    <col min="2499" max="2499" width="3.42578125" style="786" customWidth="1"/>
    <col min="2500" max="2504" width="12.42578125" style="786" bestFit="1" customWidth="1"/>
    <col min="2505" max="2505" width="16" style="786" bestFit="1" customWidth="1"/>
    <col min="2506" max="2529" width="10.42578125" style="786" hidden="1" customWidth="1"/>
    <col min="2530" max="2530" width="6.42578125" style="786" customWidth="1"/>
    <col min="2531" max="2531" width="7" style="786" bestFit="1" customWidth="1"/>
    <col min="2532" max="2744" width="6.42578125" style="786" customWidth="1"/>
    <col min="2745" max="2745" width="56.140625" style="786" customWidth="1"/>
    <col min="2746" max="2748" width="10.42578125" style="786" hidden="1" customWidth="1"/>
    <col min="2749" max="2749" width="56.140625" style="786" customWidth="1"/>
    <col min="2750" max="2753" width="13.7109375" style="786" customWidth="1"/>
    <col min="2754" max="2754" width="5.140625" style="786" customWidth="1"/>
    <col min="2755" max="2755" width="3.42578125" style="786" customWidth="1"/>
    <col min="2756" max="2760" width="12.42578125" style="786" bestFit="1" customWidth="1"/>
    <col min="2761" max="2761" width="16" style="786" bestFit="1" customWidth="1"/>
    <col min="2762" max="2785" width="10.42578125" style="786" hidden="1" customWidth="1"/>
    <col min="2786" max="2786" width="6.42578125" style="786" customWidth="1"/>
    <col min="2787" max="2787" width="7" style="786" bestFit="1" customWidth="1"/>
    <col min="2788" max="3000" width="6.42578125" style="786" customWidth="1"/>
    <col min="3001" max="3001" width="56.140625" style="786" customWidth="1"/>
    <col min="3002" max="3004" width="10.42578125" style="786" hidden="1" customWidth="1"/>
    <col min="3005" max="3005" width="56.140625" style="786" customWidth="1"/>
    <col min="3006" max="3009" width="13.7109375" style="786" customWidth="1"/>
    <col min="3010" max="3010" width="5.140625" style="786" customWidth="1"/>
    <col min="3011" max="3011" width="3.42578125" style="786" customWidth="1"/>
    <col min="3012" max="3016" width="12.42578125" style="786" bestFit="1" customWidth="1"/>
    <col min="3017" max="3017" width="16" style="786" bestFit="1" customWidth="1"/>
    <col min="3018" max="3041" width="10.42578125" style="786" hidden="1" customWidth="1"/>
    <col min="3042" max="3042" width="6.42578125" style="786" customWidth="1"/>
    <col min="3043" max="3043" width="7" style="786" bestFit="1" customWidth="1"/>
    <col min="3044" max="3256" width="6.42578125" style="786" customWidth="1"/>
    <col min="3257" max="3257" width="56.140625" style="786" customWidth="1"/>
    <col min="3258" max="3260" width="10.42578125" style="786" hidden="1" customWidth="1"/>
    <col min="3261" max="3261" width="56.140625" style="786" customWidth="1"/>
    <col min="3262" max="3265" width="13.7109375" style="786" customWidth="1"/>
    <col min="3266" max="3266" width="5.140625" style="786" customWidth="1"/>
    <col min="3267" max="3267" width="3.42578125" style="786" customWidth="1"/>
    <col min="3268" max="3272" width="12.42578125" style="786" bestFit="1" customWidth="1"/>
    <col min="3273" max="3273" width="16" style="786" bestFit="1" customWidth="1"/>
    <col min="3274" max="3297" width="10.42578125" style="786" hidden="1" customWidth="1"/>
    <col min="3298" max="3298" width="6.42578125" style="786" customWidth="1"/>
    <col min="3299" max="3299" width="7" style="786" bestFit="1" customWidth="1"/>
    <col min="3300" max="3512" width="6.42578125" style="786" customWidth="1"/>
    <col min="3513" max="3513" width="56.140625" style="786" customWidth="1"/>
    <col min="3514" max="3516" width="10.42578125" style="786" hidden="1" customWidth="1"/>
    <col min="3517" max="3517" width="56.140625" style="786" customWidth="1"/>
    <col min="3518" max="3521" width="13.7109375" style="786" customWidth="1"/>
    <col min="3522" max="3522" width="5.140625" style="786" customWidth="1"/>
    <col min="3523" max="3523" width="3.42578125" style="786" customWidth="1"/>
    <col min="3524" max="3528" width="12.42578125" style="786" bestFit="1" customWidth="1"/>
    <col min="3529" max="3529" width="16" style="786" bestFit="1" customWidth="1"/>
    <col min="3530" max="3553" width="10.42578125" style="786" hidden="1" customWidth="1"/>
    <col min="3554" max="3554" width="6.42578125" style="786" customWidth="1"/>
    <col min="3555" max="3555" width="7" style="786" bestFit="1" customWidth="1"/>
    <col min="3556" max="3768" width="6.42578125" style="786" customWidth="1"/>
    <col min="3769" max="3769" width="56.140625" style="786" customWidth="1"/>
    <col min="3770" max="3772" width="10.42578125" style="786" hidden="1" customWidth="1"/>
    <col min="3773" max="3773" width="56.140625" style="786" customWidth="1"/>
    <col min="3774" max="3777" width="13.7109375" style="786" customWidth="1"/>
    <col min="3778" max="3778" width="5.140625" style="786" customWidth="1"/>
    <col min="3779" max="3779" width="3.42578125" style="786" customWidth="1"/>
    <col min="3780" max="3784" width="12.42578125" style="786" bestFit="1" customWidth="1"/>
    <col min="3785" max="3785" width="16" style="786" bestFit="1" customWidth="1"/>
    <col min="3786" max="3809" width="10.42578125" style="786" hidden="1" customWidth="1"/>
    <col min="3810" max="3810" width="6.42578125" style="786" customWidth="1"/>
    <col min="3811" max="3811" width="7" style="786" bestFit="1" customWidth="1"/>
    <col min="3812" max="4024" width="6.42578125" style="786" customWidth="1"/>
    <col min="4025" max="4025" width="56.140625" style="786" customWidth="1"/>
    <col min="4026" max="4028" width="10.42578125" style="786" hidden="1" customWidth="1"/>
    <col min="4029" max="4029" width="56.140625" style="786" customWidth="1"/>
    <col min="4030" max="4033" width="13.7109375" style="786" customWidth="1"/>
    <col min="4034" max="4034" width="5.140625" style="786" customWidth="1"/>
    <col min="4035" max="4035" width="3.42578125" style="786" customWidth="1"/>
    <col min="4036" max="4040" width="12.42578125" style="786" bestFit="1" customWidth="1"/>
    <col min="4041" max="4041" width="16" style="786" bestFit="1" customWidth="1"/>
    <col min="4042" max="4065" width="10.42578125" style="786" hidden="1" customWidth="1"/>
    <col min="4066" max="4066" width="6.42578125" style="786" customWidth="1"/>
    <col min="4067" max="4067" width="7" style="786" bestFit="1" customWidth="1"/>
    <col min="4068" max="4280" width="6.42578125" style="786" customWidth="1"/>
    <col min="4281" max="4281" width="56.140625" style="786" customWidth="1"/>
    <col min="4282" max="4284" width="10.42578125" style="786" hidden="1" customWidth="1"/>
    <col min="4285" max="4285" width="56.140625" style="786" customWidth="1"/>
    <col min="4286" max="4289" width="13.7109375" style="786" customWidth="1"/>
    <col min="4290" max="4290" width="5.140625" style="786" customWidth="1"/>
    <col min="4291" max="4291" width="3.42578125" style="786" customWidth="1"/>
    <col min="4292" max="4296" width="12.42578125" style="786" bestFit="1" customWidth="1"/>
    <col min="4297" max="4297" width="16" style="786" bestFit="1" customWidth="1"/>
    <col min="4298" max="4321" width="10.42578125" style="786" hidden="1" customWidth="1"/>
    <col min="4322" max="4322" width="6.42578125" style="786" customWidth="1"/>
    <col min="4323" max="4323" width="7" style="786" bestFit="1" customWidth="1"/>
    <col min="4324" max="4536" width="6.42578125" style="786" customWidth="1"/>
    <col min="4537" max="4537" width="56.140625" style="786" customWidth="1"/>
    <col min="4538" max="4540" width="10.42578125" style="786" hidden="1" customWidth="1"/>
    <col min="4541" max="4541" width="56.140625" style="786" customWidth="1"/>
    <col min="4542" max="4545" width="13.7109375" style="786" customWidth="1"/>
    <col min="4546" max="4546" width="5.140625" style="786" customWidth="1"/>
    <col min="4547" max="4547" width="3.42578125" style="786" customWidth="1"/>
    <col min="4548" max="4552" width="12.42578125" style="786" bestFit="1" customWidth="1"/>
    <col min="4553" max="4553" width="16" style="786" bestFit="1" customWidth="1"/>
    <col min="4554" max="4577" width="10.42578125" style="786" hidden="1" customWidth="1"/>
    <col min="4578" max="4578" width="6.42578125" style="786" customWidth="1"/>
    <col min="4579" max="4579" width="7" style="786" bestFit="1" customWidth="1"/>
    <col min="4580" max="4792" width="6.42578125" style="786" customWidth="1"/>
    <col min="4793" max="4793" width="56.140625" style="786" customWidth="1"/>
    <col min="4794" max="4796" width="10.42578125" style="786" hidden="1" customWidth="1"/>
    <col min="4797" max="4797" width="56.140625" style="786" customWidth="1"/>
    <col min="4798" max="4801" width="13.7109375" style="786" customWidth="1"/>
    <col min="4802" max="4802" width="5.140625" style="786" customWidth="1"/>
    <col min="4803" max="4803" width="3.42578125" style="786" customWidth="1"/>
    <col min="4804" max="4808" width="12.42578125" style="786" bestFit="1" customWidth="1"/>
    <col min="4809" max="4809" width="16" style="786" bestFit="1" customWidth="1"/>
    <col min="4810" max="4833" width="10.42578125" style="786" hidden="1" customWidth="1"/>
    <col min="4834" max="4834" width="6.42578125" style="786" customWidth="1"/>
    <col min="4835" max="4835" width="7" style="786" bestFit="1" customWidth="1"/>
    <col min="4836" max="5048" width="6.42578125" style="786" customWidth="1"/>
    <col min="5049" max="5049" width="56.140625" style="786" customWidth="1"/>
    <col min="5050" max="5052" width="10.42578125" style="786" hidden="1" customWidth="1"/>
    <col min="5053" max="5053" width="56.140625" style="786" customWidth="1"/>
    <col min="5054" max="5057" width="13.7109375" style="786" customWidth="1"/>
    <col min="5058" max="5058" width="5.140625" style="786" customWidth="1"/>
    <col min="5059" max="5059" width="3.42578125" style="786" customWidth="1"/>
    <col min="5060" max="5064" width="12.42578125" style="786" bestFit="1" customWidth="1"/>
    <col min="5065" max="5065" width="16" style="786" bestFit="1" customWidth="1"/>
    <col min="5066" max="5089" width="10.42578125" style="786" hidden="1" customWidth="1"/>
    <col min="5090" max="5090" width="6.42578125" style="786" customWidth="1"/>
    <col min="5091" max="5091" width="7" style="786" bestFit="1" customWidth="1"/>
    <col min="5092" max="5304" width="6.42578125" style="786" customWidth="1"/>
    <col min="5305" max="5305" width="56.140625" style="786" customWidth="1"/>
    <col min="5306" max="5308" width="10.42578125" style="786" hidden="1" customWidth="1"/>
    <col min="5309" max="5309" width="56.140625" style="786" customWidth="1"/>
    <col min="5310" max="5313" width="13.7109375" style="786" customWidth="1"/>
    <col min="5314" max="5314" width="5.140625" style="786" customWidth="1"/>
    <col min="5315" max="5315" width="3.42578125" style="786" customWidth="1"/>
    <col min="5316" max="5320" width="12.42578125" style="786" bestFit="1" customWidth="1"/>
    <col min="5321" max="5321" width="16" style="786" bestFit="1" customWidth="1"/>
    <col min="5322" max="5345" width="10.42578125" style="786" hidden="1" customWidth="1"/>
    <col min="5346" max="5346" width="6.42578125" style="786" customWidth="1"/>
    <col min="5347" max="5347" width="7" style="786" bestFit="1" customWidth="1"/>
    <col min="5348" max="5560" width="6.42578125" style="786" customWidth="1"/>
    <col min="5561" max="5561" width="56.140625" style="786" customWidth="1"/>
    <col min="5562" max="5564" width="10.42578125" style="786" hidden="1" customWidth="1"/>
    <col min="5565" max="5565" width="56.140625" style="786" customWidth="1"/>
    <col min="5566" max="5569" width="13.7109375" style="786" customWidth="1"/>
    <col min="5570" max="5570" width="5.140625" style="786" customWidth="1"/>
    <col min="5571" max="5571" width="3.42578125" style="786" customWidth="1"/>
    <col min="5572" max="5576" width="12.42578125" style="786" bestFit="1" customWidth="1"/>
    <col min="5577" max="5577" width="16" style="786" bestFit="1" customWidth="1"/>
    <col min="5578" max="5601" width="10.42578125" style="786" hidden="1" customWidth="1"/>
    <col min="5602" max="5602" width="6.42578125" style="786" customWidth="1"/>
    <col min="5603" max="5603" width="7" style="786" bestFit="1" customWidth="1"/>
    <col min="5604" max="5816" width="6.42578125" style="786" customWidth="1"/>
    <col min="5817" max="5817" width="56.140625" style="786" customWidth="1"/>
    <col min="5818" max="5820" width="10.42578125" style="786" hidden="1" customWidth="1"/>
    <col min="5821" max="5821" width="56.140625" style="786" customWidth="1"/>
    <col min="5822" max="5825" width="13.7109375" style="786" customWidth="1"/>
    <col min="5826" max="5826" width="5.140625" style="786" customWidth="1"/>
    <col min="5827" max="5827" width="3.42578125" style="786" customWidth="1"/>
    <col min="5828" max="5832" width="12.42578125" style="786" bestFit="1" customWidth="1"/>
    <col min="5833" max="5833" width="16" style="786" bestFit="1" customWidth="1"/>
    <col min="5834" max="5857" width="10.42578125" style="786" hidden="1" customWidth="1"/>
    <col min="5858" max="5858" width="6.42578125" style="786" customWidth="1"/>
    <col min="5859" max="5859" width="7" style="786" bestFit="1" customWidth="1"/>
    <col min="5860" max="6072" width="6.42578125" style="786" customWidth="1"/>
    <col min="6073" max="6073" width="56.140625" style="786" customWidth="1"/>
    <col min="6074" max="6076" width="10.42578125" style="786" hidden="1" customWidth="1"/>
    <col min="6077" max="6077" width="56.140625" style="786" customWidth="1"/>
    <col min="6078" max="6081" width="13.7109375" style="786" customWidth="1"/>
    <col min="6082" max="6082" width="5.140625" style="786" customWidth="1"/>
    <col min="6083" max="6083" width="3.42578125" style="786" customWidth="1"/>
    <col min="6084" max="6088" width="12.42578125" style="786" bestFit="1" customWidth="1"/>
    <col min="6089" max="6089" width="16" style="786" bestFit="1" customWidth="1"/>
    <col min="6090" max="6113" width="10.42578125" style="786" hidden="1" customWidth="1"/>
    <col min="6114" max="6114" width="6.42578125" style="786" customWidth="1"/>
    <col min="6115" max="6115" width="7" style="786" bestFit="1" customWidth="1"/>
    <col min="6116" max="6328" width="6.42578125" style="786" customWidth="1"/>
    <col min="6329" max="6329" width="56.140625" style="786" customWidth="1"/>
    <col min="6330" max="6332" width="10.42578125" style="786" hidden="1" customWidth="1"/>
    <col min="6333" max="6333" width="56.140625" style="786" customWidth="1"/>
    <col min="6334" max="6337" width="13.7109375" style="786" customWidth="1"/>
    <col min="6338" max="6338" width="5.140625" style="786" customWidth="1"/>
    <col min="6339" max="6339" width="3.42578125" style="786" customWidth="1"/>
    <col min="6340" max="6344" width="12.42578125" style="786" bestFit="1" customWidth="1"/>
    <col min="6345" max="6345" width="16" style="786" bestFit="1" customWidth="1"/>
    <col min="6346" max="6369" width="10.42578125" style="786" hidden="1" customWidth="1"/>
    <col min="6370" max="6370" width="6.42578125" style="786" customWidth="1"/>
    <col min="6371" max="6371" width="7" style="786" bestFit="1" customWidth="1"/>
    <col min="6372" max="6584" width="6.42578125" style="786" customWidth="1"/>
    <col min="6585" max="6585" width="56.140625" style="786" customWidth="1"/>
    <col min="6586" max="6588" width="10.42578125" style="786" hidden="1" customWidth="1"/>
    <col min="6589" max="6589" width="56.140625" style="786" customWidth="1"/>
    <col min="6590" max="6593" width="13.7109375" style="786" customWidth="1"/>
    <col min="6594" max="6594" width="5.140625" style="786" customWidth="1"/>
    <col min="6595" max="6595" width="3.42578125" style="786" customWidth="1"/>
    <col min="6596" max="6600" width="12.42578125" style="786" bestFit="1" customWidth="1"/>
    <col min="6601" max="6601" width="16" style="786" bestFit="1" customWidth="1"/>
    <col min="6602" max="6625" width="10.42578125" style="786" hidden="1" customWidth="1"/>
    <col min="6626" max="6626" width="6.42578125" style="786" customWidth="1"/>
    <col min="6627" max="6627" width="7" style="786" bestFit="1" customWidth="1"/>
    <col min="6628" max="6840" width="6.42578125" style="786" customWidth="1"/>
    <col min="6841" max="6841" width="56.140625" style="786" customWidth="1"/>
    <col min="6842" max="6844" width="10.42578125" style="786" hidden="1" customWidth="1"/>
    <col min="6845" max="6845" width="56.140625" style="786" customWidth="1"/>
    <col min="6846" max="6849" width="13.7109375" style="786" customWidth="1"/>
    <col min="6850" max="6850" width="5.140625" style="786" customWidth="1"/>
    <col min="6851" max="6851" width="3.42578125" style="786" customWidth="1"/>
    <col min="6852" max="6856" width="12.42578125" style="786" bestFit="1" customWidth="1"/>
    <col min="6857" max="6857" width="16" style="786" bestFit="1" customWidth="1"/>
    <col min="6858" max="6881" width="10.42578125" style="786" hidden="1" customWidth="1"/>
    <col min="6882" max="6882" width="6.42578125" style="786" customWidth="1"/>
    <col min="6883" max="6883" width="7" style="786" bestFit="1" customWidth="1"/>
    <col min="6884" max="7096" width="6.42578125" style="786" customWidth="1"/>
    <col min="7097" max="7097" width="56.140625" style="786" customWidth="1"/>
    <col min="7098" max="7100" width="10.42578125" style="786" hidden="1" customWidth="1"/>
    <col min="7101" max="7101" width="56.140625" style="786" customWidth="1"/>
    <col min="7102" max="7105" width="13.7109375" style="786" customWidth="1"/>
    <col min="7106" max="7106" width="5.140625" style="786" customWidth="1"/>
    <col min="7107" max="7107" width="3.42578125" style="786" customWidth="1"/>
    <col min="7108" max="7112" width="12.42578125" style="786" bestFit="1" customWidth="1"/>
    <col min="7113" max="7113" width="16" style="786" bestFit="1" customWidth="1"/>
    <col min="7114" max="7137" width="10.42578125" style="786" hidden="1" customWidth="1"/>
    <col min="7138" max="7138" width="6.42578125" style="786" customWidth="1"/>
    <col min="7139" max="7139" width="7" style="786" bestFit="1" customWidth="1"/>
    <col min="7140" max="7352" width="6.42578125" style="786" customWidth="1"/>
    <col min="7353" max="7353" width="56.140625" style="786" customWidth="1"/>
    <col min="7354" max="7356" width="10.42578125" style="786" hidden="1" customWidth="1"/>
    <col min="7357" max="7357" width="56.140625" style="786" customWidth="1"/>
    <col min="7358" max="7361" width="13.7109375" style="786" customWidth="1"/>
    <col min="7362" max="7362" width="5.140625" style="786" customWidth="1"/>
    <col min="7363" max="7363" width="3.42578125" style="786" customWidth="1"/>
    <col min="7364" max="7368" width="12.42578125" style="786" bestFit="1" customWidth="1"/>
    <col min="7369" max="7369" width="16" style="786" bestFit="1" customWidth="1"/>
    <col min="7370" max="7393" width="10.42578125" style="786" hidden="1" customWidth="1"/>
    <col min="7394" max="7394" width="6.42578125" style="786" customWidth="1"/>
    <col min="7395" max="7395" width="7" style="786" bestFit="1" customWidth="1"/>
    <col min="7396" max="7608" width="6.42578125" style="786" customWidth="1"/>
    <col min="7609" max="7609" width="56.140625" style="786" customWidth="1"/>
    <col min="7610" max="7612" width="10.42578125" style="786" hidden="1" customWidth="1"/>
    <col min="7613" max="7613" width="56.140625" style="786" customWidth="1"/>
    <col min="7614" max="7617" width="13.7109375" style="786" customWidth="1"/>
    <col min="7618" max="7618" width="5.140625" style="786" customWidth="1"/>
    <col min="7619" max="7619" width="3.42578125" style="786" customWidth="1"/>
    <col min="7620" max="7624" width="12.42578125" style="786" bestFit="1" customWidth="1"/>
    <col min="7625" max="7625" width="16" style="786" bestFit="1" customWidth="1"/>
    <col min="7626" max="7649" width="10.42578125" style="786" hidden="1" customWidth="1"/>
    <col min="7650" max="7650" width="6.42578125" style="786" customWidth="1"/>
    <col min="7651" max="7651" width="7" style="786" bestFit="1" customWidth="1"/>
    <col min="7652" max="7864" width="6.42578125" style="786" customWidth="1"/>
    <col min="7865" max="7865" width="56.140625" style="786" customWidth="1"/>
    <col min="7866" max="7868" width="10.42578125" style="786" hidden="1" customWidth="1"/>
    <col min="7869" max="7869" width="56.140625" style="786" customWidth="1"/>
    <col min="7870" max="7873" width="13.7109375" style="786" customWidth="1"/>
    <col min="7874" max="7874" width="5.140625" style="786" customWidth="1"/>
    <col min="7875" max="7875" width="3.42578125" style="786" customWidth="1"/>
    <col min="7876" max="7880" width="12.42578125" style="786" bestFit="1" customWidth="1"/>
    <col min="7881" max="7881" width="16" style="786" bestFit="1" customWidth="1"/>
    <col min="7882" max="7905" width="10.42578125" style="786" hidden="1" customWidth="1"/>
    <col min="7906" max="7906" width="6.42578125" style="786" customWidth="1"/>
    <col min="7907" max="7907" width="7" style="786" bestFit="1" customWidth="1"/>
    <col min="7908" max="8120" width="6.42578125" style="786" customWidth="1"/>
    <col min="8121" max="8121" width="56.140625" style="786" customWidth="1"/>
    <col min="8122" max="8124" width="10.42578125" style="786" hidden="1" customWidth="1"/>
    <col min="8125" max="8125" width="56.140625" style="786" customWidth="1"/>
    <col min="8126" max="8129" width="13.7109375" style="786" customWidth="1"/>
    <col min="8130" max="8130" width="5.140625" style="786" customWidth="1"/>
    <col min="8131" max="8131" width="3.42578125" style="786" customWidth="1"/>
    <col min="8132" max="8136" width="12.42578125" style="786" bestFit="1" customWidth="1"/>
    <col min="8137" max="8137" width="16" style="786" bestFit="1" customWidth="1"/>
    <col min="8138" max="8161" width="10.42578125" style="786" hidden="1" customWidth="1"/>
    <col min="8162" max="8162" width="6.42578125" style="786" customWidth="1"/>
    <col min="8163" max="8163" width="7" style="786" bestFit="1" customWidth="1"/>
    <col min="8164" max="8376" width="6.42578125" style="786" customWidth="1"/>
    <col min="8377" max="8377" width="56.140625" style="786" customWidth="1"/>
    <col min="8378" max="8380" width="10.42578125" style="786" hidden="1" customWidth="1"/>
    <col min="8381" max="8381" width="56.140625" style="786" customWidth="1"/>
    <col min="8382" max="8385" width="13.7109375" style="786" customWidth="1"/>
    <col min="8386" max="8386" width="5.140625" style="786" customWidth="1"/>
    <col min="8387" max="8387" width="3.42578125" style="786" customWidth="1"/>
    <col min="8388" max="8392" width="12.42578125" style="786" bestFit="1" customWidth="1"/>
    <col min="8393" max="8393" width="16" style="786" bestFit="1" customWidth="1"/>
    <col min="8394" max="8417" width="10.42578125" style="786" hidden="1" customWidth="1"/>
    <col min="8418" max="8418" width="6.42578125" style="786" customWidth="1"/>
    <col min="8419" max="8419" width="7" style="786" bestFit="1" customWidth="1"/>
    <col min="8420" max="8632" width="6.42578125" style="786" customWidth="1"/>
    <col min="8633" max="8633" width="56.140625" style="786" customWidth="1"/>
    <col min="8634" max="8636" width="10.42578125" style="786" hidden="1" customWidth="1"/>
    <col min="8637" max="8637" width="56.140625" style="786" customWidth="1"/>
    <col min="8638" max="8641" width="13.7109375" style="786" customWidth="1"/>
    <col min="8642" max="8642" width="5.140625" style="786" customWidth="1"/>
    <col min="8643" max="8643" width="3.42578125" style="786" customWidth="1"/>
    <col min="8644" max="8648" width="12.42578125" style="786" bestFit="1" customWidth="1"/>
    <col min="8649" max="8649" width="16" style="786" bestFit="1" customWidth="1"/>
    <col min="8650" max="8673" width="10.42578125" style="786" hidden="1" customWidth="1"/>
    <col min="8674" max="8674" width="6.42578125" style="786" customWidth="1"/>
    <col min="8675" max="8675" width="7" style="786" bestFit="1" customWidth="1"/>
    <col min="8676" max="8888" width="6.42578125" style="786" customWidth="1"/>
    <col min="8889" max="8889" width="56.140625" style="786" customWidth="1"/>
    <col min="8890" max="8892" width="10.42578125" style="786" hidden="1" customWidth="1"/>
    <col min="8893" max="8893" width="56.140625" style="786" customWidth="1"/>
    <col min="8894" max="8897" width="13.7109375" style="786" customWidth="1"/>
    <col min="8898" max="8898" width="5.140625" style="786" customWidth="1"/>
    <col min="8899" max="8899" width="3.42578125" style="786" customWidth="1"/>
    <col min="8900" max="8904" width="12.42578125" style="786" bestFit="1" customWidth="1"/>
    <col min="8905" max="8905" width="16" style="786" bestFit="1" customWidth="1"/>
    <col min="8906" max="8929" width="10.42578125" style="786" hidden="1" customWidth="1"/>
    <col min="8930" max="8930" width="6.42578125" style="786" customWidth="1"/>
    <col min="8931" max="8931" width="7" style="786" bestFit="1" customWidth="1"/>
    <col min="8932" max="9144" width="6.42578125" style="786" customWidth="1"/>
    <col min="9145" max="9145" width="56.140625" style="786" customWidth="1"/>
    <col min="9146" max="9148" width="10.42578125" style="786" hidden="1" customWidth="1"/>
    <col min="9149" max="9149" width="56.140625" style="786" customWidth="1"/>
    <col min="9150" max="9153" width="13.7109375" style="786" customWidth="1"/>
    <col min="9154" max="9154" width="5.140625" style="786" customWidth="1"/>
    <col min="9155" max="9155" width="3.42578125" style="786" customWidth="1"/>
    <col min="9156" max="9160" width="12.42578125" style="786" bestFit="1" customWidth="1"/>
    <col min="9161" max="9161" width="16" style="786" bestFit="1" customWidth="1"/>
    <col min="9162" max="9185" width="10.42578125" style="786" hidden="1" customWidth="1"/>
    <col min="9186" max="9186" width="6.42578125" style="786" customWidth="1"/>
    <col min="9187" max="9187" width="7" style="786" bestFit="1" customWidth="1"/>
    <col min="9188" max="9400" width="6.42578125" style="786" customWidth="1"/>
    <col min="9401" max="9401" width="56.140625" style="786" customWidth="1"/>
    <col min="9402" max="9404" width="10.42578125" style="786" hidden="1" customWidth="1"/>
    <col min="9405" max="9405" width="56.140625" style="786" customWidth="1"/>
    <col min="9406" max="9409" width="13.7109375" style="786" customWidth="1"/>
    <col min="9410" max="9410" width="5.140625" style="786" customWidth="1"/>
    <col min="9411" max="9411" width="3.42578125" style="786" customWidth="1"/>
    <col min="9412" max="9416" width="12.42578125" style="786" bestFit="1" customWidth="1"/>
    <col min="9417" max="9417" width="16" style="786" bestFit="1" customWidth="1"/>
    <col min="9418" max="9441" width="10.42578125" style="786" hidden="1" customWidth="1"/>
    <col min="9442" max="9442" width="6.42578125" style="786" customWidth="1"/>
    <col min="9443" max="9443" width="7" style="786" bestFit="1" customWidth="1"/>
    <col min="9444" max="9656" width="6.42578125" style="786" customWidth="1"/>
    <col min="9657" max="9657" width="56.140625" style="786" customWidth="1"/>
    <col min="9658" max="9660" width="10.42578125" style="786" hidden="1" customWidth="1"/>
    <col min="9661" max="9661" width="56.140625" style="786" customWidth="1"/>
    <col min="9662" max="9665" width="13.7109375" style="786" customWidth="1"/>
    <col min="9666" max="9666" width="5.140625" style="786" customWidth="1"/>
    <col min="9667" max="9667" width="3.42578125" style="786" customWidth="1"/>
    <col min="9668" max="9672" width="12.42578125" style="786" bestFit="1" customWidth="1"/>
    <col min="9673" max="9673" width="16" style="786" bestFit="1" customWidth="1"/>
    <col min="9674" max="9697" width="10.42578125" style="786" hidden="1" customWidth="1"/>
    <col min="9698" max="9698" width="6.42578125" style="786" customWidth="1"/>
    <col min="9699" max="9699" width="7" style="786" bestFit="1" customWidth="1"/>
    <col min="9700" max="9912" width="6.42578125" style="786" customWidth="1"/>
    <col min="9913" max="9913" width="56.140625" style="786" customWidth="1"/>
    <col min="9914" max="9916" width="10.42578125" style="786" hidden="1" customWidth="1"/>
    <col min="9917" max="9917" width="56.140625" style="786" customWidth="1"/>
    <col min="9918" max="9921" width="13.7109375" style="786" customWidth="1"/>
    <col min="9922" max="9922" width="5.140625" style="786" customWidth="1"/>
    <col min="9923" max="9923" width="3.42578125" style="786" customWidth="1"/>
    <col min="9924" max="9928" width="12.42578125" style="786" bestFit="1" customWidth="1"/>
    <col min="9929" max="9929" width="16" style="786" bestFit="1" customWidth="1"/>
    <col min="9930" max="9953" width="10.42578125" style="786" hidden="1" customWidth="1"/>
    <col min="9954" max="9954" width="6.42578125" style="786" customWidth="1"/>
    <col min="9955" max="9955" width="7" style="786" bestFit="1" customWidth="1"/>
    <col min="9956" max="10168" width="6.42578125" style="786" customWidth="1"/>
    <col min="10169" max="10169" width="56.140625" style="786" customWidth="1"/>
    <col min="10170" max="10172" width="10.42578125" style="786" hidden="1" customWidth="1"/>
    <col min="10173" max="10173" width="56.140625" style="786" customWidth="1"/>
    <col min="10174" max="10177" width="13.7109375" style="786" customWidth="1"/>
    <col min="10178" max="10178" width="5.140625" style="786" customWidth="1"/>
    <col min="10179" max="10179" width="3.42578125" style="786" customWidth="1"/>
    <col min="10180" max="10184" width="12.42578125" style="786" bestFit="1" customWidth="1"/>
    <col min="10185" max="10185" width="16" style="786" bestFit="1" customWidth="1"/>
    <col min="10186" max="10209" width="10.42578125" style="786" hidden="1" customWidth="1"/>
    <col min="10210" max="10210" width="6.42578125" style="786" customWidth="1"/>
    <col min="10211" max="10211" width="7" style="786" bestFit="1" customWidth="1"/>
    <col min="10212" max="10424" width="6.42578125" style="786" customWidth="1"/>
    <col min="10425" max="10425" width="56.140625" style="786" customWidth="1"/>
    <col min="10426" max="10428" width="10.42578125" style="786" hidden="1" customWidth="1"/>
    <col min="10429" max="10429" width="56.140625" style="786" customWidth="1"/>
    <col min="10430" max="10433" width="13.7109375" style="786" customWidth="1"/>
    <col min="10434" max="10434" width="5.140625" style="786" customWidth="1"/>
    <col min="10435" max="10435" width="3.42578125" style="786" customWidth="1"/>
    <col min="10436" max="10440" width="12.42578125" style="786" bestFit="1" customWidth="1"/>
    <col min="10441" max="10441" width="16" style="786" bestFit="1" customWidth="1"/>
    <col min="10442" max="10465" width="10.42578125" style="786" hidden="1" customWidth="1"/>
    <col min="10466" max="10466" width="6.42578125" style="786" customWidth="1"/>
    <col min="10467" max="10467" width="7" style="786" bestFit="1" customWidth="1"/>
    <col min="10468" max="10680" width="6.42578125" style="786" customWidth="1"/>
    <col min="10681" max="10681" width="56.140625" style="786" customWidth="1"/>
    <col min="10682" max="10684" width="10.42578125" style="786" hidden="1" customWidth="1"/>
    <col min="10685" max="10685" width="56.140625" style="786" customWidth="1"/>
    <col min="10686" max="10689" width="13.7109375" style="786" customWidth="1"/>
    <col min="10690" max="10690" width="5.140625" style="786" customWidth="1"/>
    <col min="10691" max="10691" width="3.42578125" style="786" customWidth="1"/>
    <col min="10692" max="10696" width="12.42578125" style="786" bestFit="1" customWidth="1"/>
    <col min="10697" max="10697" width="16" style="786" bestFit="1" customWidth="1"/>
    <col min="10698" max="10721" width="10.42578125" style="786" hidden="1" customWidth="1"/>
    <col min="10722" max="10722" width="6.42578125" style="786" customWidth="1"/>
    <col min="10723" max="10723" width="7" style="786" bestFit="1" customWidth="1"/>
    <col min="10724" max="10936" width="6.42578125" style="786" customWidth="1"/>
    <col min="10937" max="10937" width="56.140625" style="786" customWidth="1"/>
    <col min="10938" max="10940" width="10.42578125" style="786" hidden="1" customWidth="1"/>
    <col min="10941" max="10941" width="56.140625" style="786" customWidth="1"/>
    <col min="10942" max="10945" width="13.7109375" style="786" customWidth="1"/>
    <col min="10946" max="10946" width="5.140625" style="786" customWidth="1"/>
    <col min="10947" max="10947" width="3.42578125" style="786" customWidth="1"/>
    <col min="10948" max="10952" width="12.42578125" style="786" bestFit="1" customWidth="1"/>
    <col min="10953" max="10953" width="16" style="786" bestFit="1" customWidth="1"/>
    <col min="10954" max="10977" width="10.42578125" style="786" hidden="1" customWidth="1"/>
    <col min="10978" max="10978" width="6.42578125" style="786" customWidth="1"/>
    <col min="10979" max="10979" width="7" style="786" bestFit="1" customWidth="1"/>
    <col min="10980" max="11192" width="6.42578125" style="786" customWidth="1"/>
    <col min="11193" max="11193" width="56.140625" style="786" customWidth="1"/>
    <col min="11194" max="11196" width="10.42578125" style="786" hidden="1" customWidth="1"/>
    <col min="11197" max="11197" width="56.140625" style="786" customWidth="1"/>
    <col min="11198" max="11201" width="13.7109375" style="786" customWidth="1"/>
    <col min="11202" max="11202" width="5.140625" style="786" customWidth="1"/>
    <col min="11203" max="11203" width="3.42578125" style="786" customWidth="1"/>
    <col min="11204" max="11208" width="12.42578125" style="786" bestFit="1" customWidth="1"/>
    <col min="11209" max="11209" width="16" style="786" bestFit="1" customWidth="1"/>
    <col min="11210" max="11233" width="10.42578125" style="786" hidden="1" customWidth="1"/>
    <col min="11234" max="11234" width="6.42578125" style="786" customWidth="1"/>
    <col min="11235" max="11235" width="7" style="786" bestFit="1" customWidth="1"/>
    <col min="11236" max="11448" width="6.42578125" style="786" customWidth="1"/>
    <col min="11449" max="11449" width="56.140625" style="786" customWidth="1"/>
    <col min="11450" max="11452" width="10.42578125" style="786" hidden="1" customWidth="1"/>
    <col min="11453" max="11453" width="56.140625" style="786" customWidth="1"/>
    <col min="11454" max="11457" width="13.7109375" style="786" customWidth="1"/>
    <col min="11458" max="11458" width="5.140625" style="786" customWidth="1"/>
    <col min="11459" max="11459" width="3.42578125" style="786" customWidth="1"/>
    <col min="11460" max="11464" width="12.42578125" style="786" bestFit="1" customWidth="1"/>
    <col min="11465" max="11465" width="16" style="786" bestFit="1" customWidth="1"/>
    <col min="11466" max="11489" width="10.42578125" style="786" hidden="1" customWidth="1"/>
    <col min="11490" max="11490" width="6.42578125" style="786" customWidth="1"/>
    <col min="11491" max="11491" width="7" style="786" bestFit="1" customWidth="1"/>
    <col min="11492" max="11704" width="6.42578125" style="786" customWidth="1"/>
    <col min="11705" max="11705" width="56.140625" style="786" customWidth="1"/>
    <col min="11706" max="11708" width="10.42578125" style="786" hidden="1" customWidth="1"/>
    <col min="11709" max="11709" width="56.140625" style="786" customWidth="1"/>
    <col min="11710" max="11713" width="13.7109375" style="786" customWidth="1"/>
    <col min="11714" max="11714" width="5.140625" style="786" customWidth="1"/>
    <col min="11715" max="11715" width="3.42578125" style="786" customWidth="1"/>
    <col min="11716" max="11720" width="12.42578125" style="786" bestFit="1" customWidth="1"/>
    <col min="11721" max="11721" width="16" style="786" bestFit="1" customWidth="1"/>
    <col min="11722" max="11745" width="10.42578125" style="786" hidden="1" customWidth="1"/>
    <col min="11746" max="11746" width="6.42578125" style="786" customWidth="1"/>
    <col min="11747" max="11747" width="7" style="786" bestFit="1" customWidth="1"/>
    <col min="11748" max="11960" width="6.42578125" style="786" customWidth="1"/>
    <col min="11961" max="11961" width="56.140625" style="786" customWidth="1"/>
    <col min="11962" max="11964" width="10.42578125" style="786" hidden="1" customWidth="1"/>
    <col min="11965" max="11965" width="56.140625" style="786" customWidth="1"/>
    <col min="11966" max="11969" width="13.7109375" style="786" customWidth="1"/>
    <col min="11970" max="11970" width="5.140625" style="786" customWidth="1"/>
    <col min="11971" max="11971" width="3.42578125" style="786" customWidth="1"/>
    <col min="11972" max="11976" width="12.42578125" style="786" bestFit="1" customWidth="1"/>
    <col min="11977" max="11977" width="16" style="786" bestFit="1" customWidth="1"/>
    <col min="11978" max="12001" width="10.42578125" style="786" hidden="1" customWidth="1"/>
    <col min="12002" max="12002" width="6.42578125" style="786" customWidth="1"/>
    <col min="12003" max="12003" width="7" style="786" bestFit="1" customWidth="1"/>
    <col min="12004" max="12216" width="6.42578125" style="786" customWidth="1"/>
    <col min="12217" max="12217" width="56.140625" style="786" customWidth="1"/>
    <col min="12218" max="12220" width="10.42578125" style="786" hidden="1" customWidth="1"/>
    <col min="12221" max="12221" width="56.140625" style="786" customWidth="1"/>
    <col min="12222" max="12225" width="13.7109375" style="786" customWidth="1"/>
    <col min="12226" max="12226" width="5.140625" style="786" customWidth="1"/>
    <col min="12227" max="12227" width="3.42578125" style="786" customWidth="1"/>
    <col min="12228" max="12232" width="12.42578125" style="786" bestFit="1" customWidth="1"/>
    <col min="12233" max="12233" width="16" style="786" bestFit="1" customWidth="1"/>
    <col min="12234" max="12257" width="10.42578125" style="786" hidden="1" customWidth="1"/>
    <col min="12258" max="12258" width="6.42578125" style="786" customWidth="1"/>
    <col min="12259" max="12259" width="7" style="786" bestFit="1" customWidth="1"/>
    <col min="12260" max="12472" width="6.42578125" style="786" customWidth="1"/>
    <col min="12473" max="12473" width="56.140625" style="786" customWidth="1"/>
    <col min="12474" max="12476" width="10.42578125" style="786" hidden="1" customWidth="1"/>
    <col min="12477" max="12477" width="56.140625" style="786" customWidth="1"/>
    <col min="12478" max="12481" width="13.7109375" style="786" customWidth="1"/>
    <col min="12482" max="12482" width="5.140625" style="786" customWidth="1"/>
    <col min="12483" max="12483" width="3.42578125" style="786" customWidth="1"/>
    <col min="12484" max="12488" width="12.42578125" style="786" bestFit="1" customWidth="1"/>
    <col min="12489" max="12489" width="16" style="786" bestFit="1" customWidth="1"/>
    <col min="12490" max="12513" width="10.42578125" style="786" hidden="1" customWidth="1"/>
    <col min="12514" max="12514" width="6.42578125" style="786" customWidth="1"/>
    <col min="12515" max="12515" width="7" style="786" bestFit="1" customWidth="1"/>
    <col min="12516" max="12728" width="6.42578125" style="786" customWidth="1"/>
    <col min="12729" max="12729" width="56.140625" style="786" customWidth="1"/>
    <col min="12730" max="12732" width="10.42578125" style="786" hidden="1" customWidth="1"/>
    <col min="12733" max="12733" width="56.140625" style="786" customWidth="1"/>
    <col min="12734" max="12737" width="13.7109375" style="786" customWidth="1"/>
    <col min="12738" max="12738" width="5.140625" style="786" customWidth="1"/>
    <col min="12739" max="12739" width="3.42578125" style="786" customWidth="1"/>
    <col min="12740" max="12744" width="12.42578125" style="786" bestFit="1" customWidth="1"/>
    <col min="12745" max="12745" width="16" style="786" bestFit="1" customWidth="1"/>
    <col min="12746" max="12769" width="10.42578125" style="786" hidden="1" customWidth="1"/>
    <col min="12770" max="12770" width="6.42578125" style="786" customWidth="1"/>
    <col min="12771" max="12771" width="7" style="786" bestFit="1" customWidth="1"/>
    <col min="12772" max="12984" width="6.42578125" style="786" customWidth="1"/>
    <col min="12985" max="12985" width="56.140625" style="786" customWidth="1"/>
    <col min="12986" max="12988" width="10.42578125" style="786" hidden="1" customWidth="1"/>
    <col min="12989" max="12989" width="56.140625" style="786" customWidth="1"/>
    <col min="12990" max="12993" width="13.7109375" style="786" customWidth="1"/>
    <col min="12994" max="12994" width="5.140625" style="786" customWidth="1"/>
    <col min="12995" max="12995" width="3.42578125" style="786" customWidth="1"/>
    <col min="12996" max="13000" width="12.42578125" style="786" bestFit="1" customWidth="1"/>
    <col min="13001" max="13001" width="16" style="786" bestFit="1" customWidth="1"/>
    <col min="13002" max="13025" width="10.42578125" style="786" hidden="1" customWidth="1"/>
    <col min="13026" max="13026" width="6.42578125" style="786" customWidth="1"/>
    <col min="13027" max="13027" width="7" style="786" bestFit="1" customWidth="1"/>
    <col min="13028" max="13240" width="6.42578125" style="786" customWidth="1"/>
    <col min="13241" max="13241" width="56.140625" style="786" customWidth="1"/>
    <col min="13242" max="13244" width="10.42578125" style="786" hidden="1" customWidth="1"/>
    <col min="13245" max="13245" width="56.140625" style="786" customWidth="1"/>
    <col min="13246" max="13249" width="13.7109375" style="786" customWidth="1"/>
    <col min="13250" max="13250" width="5.140625" style="786" customWidth="1"/>
    <col min="13251" max="13251" width="3.42578125" style="786" customWidth="1"/>
    <col min="13252" max="13256" width="12.42578125" style="786" bestFit="1" customWidth="1"/>
    <col min="13257" max="13257" width="16" style="786" bestFit="1" customWidth="1"/>
    <col min="13258" max="13281" width="10.42578125" style="786" hidden="1" customWidth="1"/>
    <col min="13282" max="13282" width="6.42578125" style="786" customWidth="1"/>
    <col min="13283" max="13283" width="7" style="786" bestFit="1" customWidth="1"/>
    <col min="13284" max="13496" width="6.42578125" style="786" customWidth="1"/>
    <col min="13497" max="13497" width="56.140625" style="786" customWidth="1"/>
    <col min="13498" max="13500" width="10.42578125" style="786" hidden="1" customWidth="1"/>
    <col min="13501" max="13501" width="56.140625" style="786" customWidth="1"/>
    <col min="13502" max="13505" width="13.7109375" style="786" customWidth="1"/>
    <col min="13506" max="13506" width="5.140625" style="786" customWidth="1"/>
    <col min="13507" max="13507" width="3.42578125" style="786" customWidth="1"/>
    <col min="13508" max="13512" width="12.42578125" style="786" bestFit="1" customWidth="1"/>
    <col min="13513" max="13513" width="16" style="786" bestFit="1" customWidth="1"/>
    <col min="13514" max="13537" width="10.42578125" style="786" hidden="1" customWidth="1"/>
    <col min="13538" max="13538" width="6.42578125" style="786" customWidth="1"/>
    <col min="13539" max="13539" width="7" style="786" bestFit="1" customWidth="1"/>
    <col min="13540" max="13752" width="6.42578125" style="786" customWidth="1"/>
    <col min="13753" max="13753" width="56.140625" style="786" customWidth="1"/>
    <col min="13754" max="13756" width="10.42578125" style="786" hidden="1" customWidth="1"/>
    <col min="13757" max="13757" width="56.140625" style="786" customWidth="1"/>
    <col min="13758" max="13761" width="13.7109375" style="786" customWidth="1"/>
    <col min="13762" max="13762" width="5.140625" style="786" customWidth="1"/>
    <col min="13763" max="13763" width="3.42578125" style="786" customWidth="1"/>
    <col min="13764" max="13768" width="12.42578125" style="786" bestFit="1" customWidth="1"/>
    <col min="13769" max="13769" width="16" style="786" bestFit="1" customWidth="1"/>
    <col min="13770" max="13793" width="10.42578125" style="786" hidden="1" customWidth="1"/>
    <col min="13794" max="13794" width="6.42578125" style="786" customWidth="1"/>
    <col min="13795" max="13795" width="7" style="786" bestFit="1" customWidth="1"/>
    <col min="13796" max="14008" width="6.42578125" style="786" customWidth="1"/>
    <col min="14009" max="14009" width="56.140625" style="786" customWidth="1"/>
    <col min="14010" max="14012" width="10.42578125" style="786" hidden="1" customWidth="1"/>
    <col min="14013" max="14013" width="56.140625" style="786" customWidth="1"/>
    <col min="14014" max="14017" width="13.7109375" style="786" customWidth="1"/>
    <col min="14018" max="14018" width="5.140625" style="786" customWidth="1"/>
    <col min="14019" max="14019" width="3.42578125" style="786" customWidth="1"/>
    <col min="14020" max="14024" width="12.42578125" style="786" bestFit="1" customWidth="1"/>
    <col min="14025" max="14025" width="16" style="786" bestFit="1" customWidth="1"/>
    <col min="14026" max="14049" width="10.42578125" style="786" hidden="1" customWidth="1"/>
    <col min="14050" max="14050" width="6.42578125" style="786" customWidth="1"/>
    <col min="14051" max="14051" width="7" style="786" bestFit="1" customWidth="1"/>
    <col min="14052" max="14264" width="6.42578125" style="786" customWidth="1"/>
    <col min="14265" max="14265" width="56.140625" style="786" customWidth="1"/>
    <col min="14266" max="14268" width="10.42578125" style="786" hidden="1" customWidth="1"/>
    <col min="14269" max="14269" width="56.140625" style="786" customWidth="1"/>
    <col min="14270" max="14273" width="13.7109375" style="786" customWidth="1"/>
    <col min="14274" max="14274" width="5.140625" style="786" customWidth="1"/>
    <col min="14275" max="14275" width="3.42578125" style="786" customWidth="1"/>
    <col min="14276" max="14280" width="12.42578125" style="786" bestFit="1" customWidth="1"/>
    <col min="14281" max="14281" width="16" style="786" bestFit="1" customWidth="1"/>
    <col min="14282" max="14305" width="10.42578125" style="786" hidden="1" customWidth="1"/>
    <col min="14306" max="14306" width="6.42578125" style="786" customWidth="1"/>
    <col min="14307" max="14307" width="7" style="786" bestFit="1" customWidth="1"/>
    <col min="14308" max="14520" width="6.42578125" style="786" customWidth="1"/>
    <col min="14521" max="14521" width="56.140625" style="786" customWidth="1"/>
    <col min="14522" max="14524" width="10.42578125" style="786" hidden="1" customWidth="1"/>
    <col min="14525" max="14525" width="56.140625" style="786" customWidth="1"/>
    <col min="14526" max="14529" width="13.7109375" style="786" customWidth="1"/>
    <col min="14530" max="14530" width="5.140625" style="786" customWidth="1"/>
    <col min="14531" max="14531" width="3.42578125" style="786" customWidth="1"/>
    <col min="14532" max="14536" width="12.42578125" style="786" bestFit="1" customWidth="1"/>
    <col min="14537" max="14537" width="16" style="786" bestFit="1" customWidth="1"/>
    <col min="14538" max="14561" width="10.42578125" style="786" hidden="1" customWidth="1"/>
    <col min="14562" max="14562" width="6.42578125" style="786" customWidth="1"/>
    <col min="14563" max="14563" width="7" style="786" bestFit="1" customWidth="1"/>
    <col min="14564" max="14776" width="6.42578125" style="786" customWidth="1"/>
    <col min="14777" max="14777" width="56.140625" style="786" customWidth="1"/>
    <col min="14778" max="14780" width="10.42578125" style="786" hidden="1" customWidth="1"/>
    <col min="14781" max="14781" width="56.140625" style="786" customWidth="1"/>
    <col min="14782" max="14785" width="13.7109375" style="786" customWidth="1"/>
    <col min="14786" max="14786" width="5.140625" style="786" customWidth="1"/>
    <col min="14787" max="14787" width="3.42578125" style="786" customWidth="1"/>
    <col min="14788" max="14792" width="12.42578125" style="786" bestFit="1" customWidth="1"/>
    <col min="14793" max="14793" width="16" style="786" bestFit="1" customWidth="1"/>
    <col min="14794" max="14817" width="10.42578125" style="786" hidden="1" customWidth="1"/>
    <col min="14818" max="14818" width="6.42578125" style="786" customWidth="1"/>
    <col min="14819" max="14819" width="7" style="786" bestFit="1" customWidth="1"/>
    <col min="14820" max="15032" width="6.42578125" style="786" customWidth="1"/>
    <col min="15033" max="15033" width="56.140625" style="786" customWidth="1"/>
    <col min="15034" max="15036" width="10.42578125" style="786" hidden="1" customWidth="1"/>
    <col min="15037" max="15037" width="56.140625" style="786" customWidth="1"/>
    <col min="15038" max="15041" width="13.7109375" style="786" customWidth="1"/>
    <col min="15042" max="15042" width="5.140625" style="786" customWidth="1"/>
    <col min="15043" max="15043" width="3.42578125" style="786" customWidth="1"/>
    <col min="15044" max="15048" width="12.42578125" style="786" bestFit="1" customWidth="1"/>
    <col min="15049" max="15049" width="16" style="786" bestFit="1" customWidth="1"/>
    <col min="15050" max="15073" width="10.42578125" style="786" hidden="1" customWidth="1"/>
    <col min="15074" max="15074" width="6.42578125" style="786" customWidth="1"/>
    <col min="15075" max="15075" width="7" style="786" bestFit="1" customWidth="1"/>
    <col min="15076" max="15288" width="6.42578125" style="786" customWidth="1"/>
    <col min="15289" max="15289" width="56.140625" style="786" customWidth="1"/>
    <col min="15290" max="15292" width="10.42578125" style="786" hidden="1" customWidth="1"/>
    <col min="15293" max="15293" width="56.140625" style="786" customWidth="1"/>
    <col min="15294" max="15297" width="13.7109375" style="786" customWidth="1"/>
    <col min="15298" max="15298" width="5.140625" style="786" customWidth="1"/>
    <col min="15299" max="15299" width="3.42578125" style="786" customWidth="1"/>
    <col min="15300" max="15304" width="12.42578125" style="786" bestFit="1" customWidth="1"/>
    <col min="15305" max="15305" width="16" style="786" bestFit="1" customWidth="1"/>
    <col min="15306" max="15329" width="10.42578125" style="786" hidden="1" customWidth="1"/>
    <col min="15330" max="15330" width="6.42578125" style="786" customWidth="1"/>
    <col min="15331" max="15331" width="7" style="786" bestFit="1" customWidth="1"/>
    <col min="15332" max="15544" width="6.42578125" style="786" customWidth="1"/>
    <col min="15545" max="15545" width="56.140625" style="786" customWidth="1"/>
    <col min="15546" max="15548" width="10.42578125" style="786" hidden="1" customWidth="1"/>
    <col min="15549" max="15549" width="56.140625" style="786" customWidth="1"/>
    <col min="15550" max="15553" width="13.7109375" style="786" customWidth="1"/>
    <col min="15554" max="15554" width="5.140625" style="786" customWidth="1"/>
    <col min="15555" max="15555" width="3.42578125" style="786" customWidth="1"/>
    <col min="15556" max="15560" width="12.42578125" style="786" bestFit="1" customWidth="1"/>
    <col min="15561" max="15561" width="16" style="786" bestFit="1" customWidth="1"/>
    <col min="15562" max="15585" width="10.42578125" style="786" hidden="1" customWidth="1"/>
    <col min="15586" max="15586" width="6.42578125" style="786" customWidth="1"/>
    <col min="15587" max="15587" width="7" style="786" bestFit="1" customWidth="1"/>
    <col min="15588" max="15800" width="6.42578125" style="786" customWidth="1"/>
    <col min="15801" max="15801" width="56.140625" style="786" customWidth="1"/>
    <col min="15802" max="15804" width="10.42578125" style="786" hidden="1" customWidth="1"/>
    <col min="15805" max="15805" width="56.140625" style="786" customWidth="1"/>
    <col min="15806" max="15809" width="13.7109375" style="786" customWidth="1"/>
    <col min="15810" max="15810" width="5.140625" style="786" customWidth="1"/>
    <col min="15811" max="15811" width="3.42578125" style="786" customWidth="1"/>
    <col min="15812" max="15816" width="12.42578125" style="786" bestFit="1" customWidth="1"/>
    <col min="15817" max="15817" width="16" style="786" bestFit="1" customWidth="1"/>
    <col min="15818" max="15841" width="10.42578125" style="786" hidden="1" customWidth="1"/>
    <col min="15842" max="15842" width="6.42578125" style="786" customWidth="1"/>
    <col min="15843" max="15843" width="7" style="786" bestFit="1" customWidth="1"/>
    <col min="15844" max="16056" width="6.42578125" style="786" customWidth="1"/>
    <col min="16057" max="16057" width="56.140625" style="786" customWidth="1"/>
    <col min="16058" max="16060" width="10.42578125" style="786" hidden="1" customWidth="1"/>
    <col min="16061" max="16061" width="56.140625" style="786" customWidth="1"/>
    <col min="16062" max="16065" width="13.7109375" style="786" customWidth="1"/>
    <col min="16066" max="16066" width="5.140625" style="786" customWidth="1"/>
    <col min="16067" max="16067" width="3.42578125" style="786" customWidth="1"/>
    <col min="16068" max="16072" width="12.42578125" style="786" bestFit="1" customWidth="1"/>
    <col min="16073" max="16073" width="16" style="786" bestFit="1" customWidth="1"/>
    <col min="16074" max="16097" width="10.42578125" style="786" hidden="1" customWidth="1"/>
    <col min="16098" max="16098" width="6.42578125" style="786" customWidth="1"/>
    <col min="16099" max="16099" width="7" style="786" bestFit="1" customWidth="1"/>
    <col min="16100" max="16312" width="6.42578125" style="786" customWidth="1"/>
    <col min="16313" max="16313" width="56.140625" style="786" customWidth="1"/>
    <col min="16314" max="16315" width="0" style="786" hidden="1" customWidth="1"/>
    <col min="16316" max="16384" width="10.42578125" style="786" hidden="1" customWidth="1"/>
  </cols>
  <sheetData>
    <row r="1" spans="1:23" s="740" customFormat="1" ht="24.95" customHeight="1" x14ac:dyDescent="0.3">
      <c r="A1" s="739" t="s">
        <v>1206</v>
      </c>
      <c r="B1" s="739"/>
      <c r="C1" s="739"/>
      <c r="D1" s="739"/>
      <c r="E1" s="739"/>
      <c r="F1" s="739"/>
      <c r="G1" s="739"/>
      <c r="H1" s="739"/>
      <c r="I1" s="739"/>
      <c r="J1" s="739"/>
      <c r="K1" s="739"/>
      <c r="L1" s="739"/>
      <c r="M1" s="739"/>
      <c r="N1" s="739"/>
      <c r="O1" s="739"/>
      <c r="P1" s="739"/>
      <c r="Q1" s="739"/>
      <c r="R1" s="739"/>
      <c r="S1" s="739"/>
      <c r="T1" s="739"/>
      <c r="U1" s="739"/>
      <c r="V1" s="739"/>
      <c r="W1" s="739"/>
    </row>
    <row r="2" spans="1:23" s="742" customFormat="1" ht="13.5" customHeight="1" thickBot="1" x14ac:dyDescent="0.3">
      <c r="A2" s="741"/>
      <c r="B2" s="741"/>
      <c r="C2" s="741"/>
      <c r="D2" s="741"/>
      <c r="E2" s="741"/>
      <c r="F2" s="741"/>
      <c r="G2" s="741"/>
      <c r="W2" s="743" t="s">
        <v>8</v>
      </c>
    </row>
    <row r="3" spans="1:23" s="745" customFormat="1" ht="16.5" customHeight="1" x14ac:dyDescent="0.3">
      <c r="A3" s="744"/>
      <c r="B3" s="3674">
        <v>42430</v>
      </c>
      <c r="C3" s="3676">
        <v>42522</v>
      </c>
      <c r="D3" s="3678">
        <v>42614</v>
      </c>
      <c r="E3" s="3680">
        <v>42705</v>
      </c>
      <c r="F3" s="3680">
        <v>42795</v>
      </c>
      <c r="G3" s="3680">
        <v>42887</v>
      </c>
      <c r="H3" s="3680">
        <v>42979</v>
      </c>
      <c r="I3" s="3680">
        <v>43070</v>
      </c>
      <c r="J3" s="3680">
        <v>43160</v>
      </c>
      <c r="K3" s="3670">
        <v>43252</v>
      </c>
      <c r="L3" s="3670">
        <v>43344</v>
      </c>
      <c r="M3" s="3670">
        <v>43435</v>
      </c>
      <c r="N3" s="3670">
        <v>43525</v>
      </c>
      <c r="O3" s="3670">
        <v>43617</v>
      </c>
      <c r="P3" s="3670">
        <v>43709</v>
      </c>
      <c r="Q3" s="3670">
        <v>43800</v>
      </c>
      <c r="R3" s="3670">
        <v>43891</v>
      </c>
      <c r="S3" s="3670">
        <v>43983</v>
      </c>
      <c r="T3" s="3670">
        <v>44075</v>
      </c>
      <c r="U3" s="3672">
        <v>44166</v>
      </c>
      <c r="V3" s="3670">
        <v>44256</v>
      </c>
      <c r="W3" s="3670">
        <v>44348</v>
      </c>
    </row>
    <row r="4" spans="1:23" s="745" customFormat="1" ht="6.75" customHeight="1" thickBot="1" x14ac:dyDescent="0.35">
      <c r="A4" s="746"/>
      <c r="B4" s="3675"/>
      <c r="C4" s="3677"/>
      <c r="D4" s="3679"/>
      <c r="E4" s="3681"/>
      <c r="F4" s="3681"/>
      <c r="G4" s="3681"/>
      <c r="H4" s="3681"/>
      <c r="I4" s="3681"/>
      <c r="J4" s="3681"/>
      <c r="K4" s="3671"/>
      <c r="L4" s="3671"/>
      <c r="M4" s="3671"/>
      <c r="N4" s="3671"/>
      <c r="O4" s="3671"/>
      <c r="P4" s="3671"/>
      <c r="Q4" s="3671"/>
      <c r="R4" s="3671"/>
      <c r="S4" s="3671"/>
      <c r="T4" s="3671"/>
      <c r="U4" s="3673"/>
      <c r="V4" s="3671"/>
      <c r="W4" s="3671"/>
    </row>
    <row r="5" spans="1:23" s="745" customFormat="1" ht="18" thickTop="1" x14ac:dyDescent="0.3">
      <c r="A5" s="747" t="s">
        <v>1207</v>
      </c>
      <c r="B5" s="748">
        <v>23781</v>
      </c>
      <c r="C5" s="749">
        <v>22982</v>
      </c>
      <c r="D5" s="750">
        <v>22488</v>
      </c>
      <c r="E5" s="750">
        <v>23907</v>
      </c>
      <c r="F5" s="750">
        <v>24932</v>
      </c>
      <c r="G5" s="750">
        <v>25792</v>
      </c>
      <c r="H5" s="750">
        <v>25793</v>
      </c>
      <c r="I5" s="750">
        <v>25273</v>
      </c>
      <c r="J5" s="750">
        <v>25060</v>
      </c>
      <c r="K5" s="750">
        <v>25856</v>
      </c>
      <c r="L5" s="750">
        <v>27938</v>
      </c>
      <c r="M5" s="750">
        <v>26283</v>
      </c>
      <c r="N5" s="750">
        <v>29088</v>
      </c>
      <c r="O5" s="750">
        <v>31590</v>
      </c>
      <c r="P5" s="750">
        <v>28161</v>
      </c>
      <c r="Q5" s="750">
        <v>27271</v>
      </c>
      <c r="R5" s="750">
        <v>30168</v>
      </c>
      <c r="S5" s="750">
        <v>46363</v>
      </c>
      <c r="T5" s="750">
        <v>34145</v>
      </c>
      <c r="U5" s="751">
        <v>24792</v>
      </c>
      <c r="V5" s="750">
        <v>28932</v>
      </c>
      <c r="W5" s="750">
        <v>38163</v>
      </c>
    </row>
    <row r="6" spans="1:23" s="745" customFormat="1" ht="17.25" x14ac:dyDescent="0.3">
      <c r="A6" s="747" t="s">
        <v>1208</v>
      </c>
      <c r="B6" s="748">
        <v>49704</v>
      </c>
      <c r="C6" s="749">
        <v>49124</v>
      </c>
      <c r="D6" s="750">
        <v>48879</v>
      </c>
      <c r="E6" s="750">
        <v>52769</v>
      </c>
      <c r="F6" s="750">
        <v>51549</v>
      </c>
      <c r="G6" s="750">
        <v>51920</v>
      </c>
      <c r="H6" s="750">
        <v>50600</v>
      </c>
      <c r="I6" s="750">
        <v>49899</v>
      </c>
      <c r="J6" s="750">
        <v>54899</v>
      </c>
      <c r="K6" s="750">
        <v>54393</v>
      </c>
      <c r="L6" s="750">
        <v>55362</v>
      </c>
      <c r="M6" s="750">
        <v>56791</v>
      </c>
      <c r="N6" s="750">
        <v>57691</v>
      </c>
      <c r="O6" s="750">
        <v>56106</v>
      </c>
      <c r="P6" s="750">
        <v>59106</v>
      </c>
      <c r="Q6" s="750">
        <v>59801</v>
      </c>
      <c r="R6" s="750">
        <v>55978</v>
      </c>
      <c r="S6" s="750">
        <v>63178</v>
      </c>
      <c r="T6" s="750">
        <v>52559</v>
      </c>
      <c r="U6" s="751">
        <v>51355</v>
      </c>
      <c r="V6" s="750">
        <v>50652</v>
      </c>
      <c r="W6" s="750">
        <v>57159</v>
      </c>
    </row>
    <row r="7" spans="1:23" s="745" customFormat="1" ht="17.25" x14ac:dyDescent="0.3">
      <c r="A7" s="747" t="s">
        <v>1209</v>
      </c>
      <c r="B7" s="748">
        <v>105998</v>
      </c>
      <c r="C7" s="749">
        <v>112886</v>
      </c>
      <c r="D7" s="750">
        <v>115535</v>
      </c>
      <c r="E7" s="750">
        <v>119432</v>
      </c>
      <c r="F7" s="750">
        <v>125601</v>
      </c>
      <c r="G7" s="750">
        <v>127054</v>
      </c>
      <c r="H7" s="750">
        <v>134390</v>
      </c>
      <c r="I7" s="750">
        <v>137746</v>
      </c>
      <c r="J7" s="750">
        <v>138318</v>
      </c>
      <c r="K7" s="750">
        <v>144640</v>
      </c>
      <c r="L7" s="750">
        <v>150525</v>
      </c>
      <c r="M7" s="750">
        <v>153194</v>
      </c>
      <c r="N7" s="750">
        <v>158688</v>
      </c>
      <c r="O7" s="750">
        <v>160688</v>
      </c>
      <c r="P7" s="750">
        <v>169114</v>
      </c>
      <c r="Q7" s="750">
        <v>171058</v>
      </c>
      <c r="R7" s="750">
        <v>177370</v>
      </c>
      <c r="S7" s="750">
        <v>195196</v>
      </c>
      <c r="T7" s="750">
        <v>187960</v>
      </c>
      <c r="U7" s="751">
        <v>189638</v>
      </c>
      <c r="V7" s="750">
        <v>196549</v>
      </c>
      <c r="W7" s="750">
        <v>212106</v>
      </c>
    </row>
    <row r="8" spans="1:23" s="745" customFormat="1" ht="16.5" x14ac:dyDescent="0.3">
      <c r="A8" s="747" t="s">
        <v>1210</v>
      </c>
      <c r="B8" s="748">
        <v>10408</v>
      </c>
      <c r="C8" s="749">
        <v>12806</v>
      </c>
      <c r="D8" s="750">
        <v>14797</v>
      </c>
      <c r="E8" s="750">
        <v>10172</v>
      </c>
      <c r="F8" s="750">
        <v>15947</v>
      </c>
      <c r="G8" s="750">
        <v>14436</v>
      </c>
      <c r="H8" s="750">
        <v>6366</v>
      </c>
      <c r="I8" s="750">
        <v>3727</v>
      </c>
      <c r="J8" s="750">
        <v>1021</v>
      </c>
      <c r="K8" s="750">
        <v>894</v>
      </c>
      <c r="L8" s="750">
        <v>894</v>
      </c>
      <c r="M8" s="750">
        <v>894</v>
      </c>
      <c r="N8" s="750">
        <v>893</v>
      </c>
      <c r="O8" s="750">
        <v>893</v>
      </c>
      <c r="P8" s="750">
        <v>269</v>
      </c>
      <c r="Q8" s="750">
        <v>114</v>
      </c>
      <c r="R8" s="752" t="s">
        <v>115</v>
      </c>
      <c r="S8" s="752" t="s">
        <v>115</v>
      </c>
      <c r="T8" s="752" t="s">
        <v>115</v>
      </c>
      <c r="U8" s="753" t="s">
        <v>115</v>
      </c>
      <c r="V8" s="752" t="s">
        <v>115</v>
      </c>
      <c r="W8" s="752"/>
    </row>
    <row r="9" spans="1:23" s="745" customFormat="1" ht="33" x14ac:dyDescent="0.3">
      <c r="A9" s="754" t="s">
        <v>1211</v>
      </c>
      <c r="B9" s="748">
        <v>-946.1</v>
      </c>
      <c r="C9" s="749">
        <v>-978.7</v>
      </c>
      <c r="D9" s="750">
        <v>-1079.4000000000001</v>
      </c>
      <c r="E9" s="750">
        <v>-1082.8</v>
      </c>
      <c r="F9" s="750">
        <v>-1028.7</v>
      </c>
      <c r="G9" s="750">
        <v>-2072.85</v>
      </c>
      <c r="H9" s="750">
        <v>-1574.6</v>
      </c>
      <c r="I9" s="750">
        <v>-1309</v>
      </c>
      <c r="J9" s="750">
        <v>-1711.35</v>
      </c>
      <c r="K9" s="750">
        <v>-2063.85</v>
      </c>
      <c r="L9" s="750">
        <v>-2232.6</v>
      </c>
      <c r="M9" s="750">
        <v>-2904.4</v>
      </c>
      <c r="N9" s="750">
        <v>-4540.25</v>
      </c>
      <c r="O9" s="750">
        <v>-4544</v>
      </c>
      <c r="P9" s="750">
        <v>-6405</v>
      </c>
      <c r="Q9" s="750">
        <v>-5382</v>
      </c>
      <c r="R9" s="750">
        <v>-4995</v>
      </c>
      <c r="S9" s="750">
        <v>-5382</v>
      </c>
      <c r="T9" s="750">
        <v>-6742</v>
      </c>
      <c r="U9" s="751">
        <v>-6978</v>
      </c>
      <c r="V9" s="750">
        <v>-7960.45</v>
      </c>
      <c r="W9" s="750">
        <v>-12818</v>
      </c>
    </row>
    <row r="10" spans="1:23" s="745" customFormat="1" ht="16.5" x14ac:dyDescent="0.3">
      <c r="A10" s="747" t="s">
        <v>1212</v>
      </c>
      <c r="B10" s="748">
        <v>188944.9</v>
      </c>
      <c r="C10" s="749">
        <v>196819.3</v>
      </c>
      <c r="D10" s="750">
        <v>200619.6</v>
      </c>
      <c r="E10" s="750">
        <v>205197.2</v>
      </c>
      <c r="F10" s="750">
        <v>217000.3</v>
      </c>
      <c r="G10" s="750">
        <v>217129.15</v>
      </c>
      <c r="H10" s="750">
        <v>215574.39999999999</v>
      </c>
      <c r="I10" s="750">
        <v>215336</v>
      </c>
      <c r="J10" s="750">
        <v>217586.65</v>
      </c>
      <c r="K10" s="750">
        <v>223719.15</v>
      </c>
      <c r="L10" s="750">
        <v>232486.39999999999</v>
      </c>
      <c r="M10" s="750">
        <v>234257.6</v>
      </c>
      <c r="N10" s="750">
        <v>241819.75</v>
      </c>
      <c r="O10" s="750">
        <v>244733</v>
      </c>
      <c r="P10" s="750">
        <v>250245</v>
      </c>
      <c r="Q10" s="750">
        <v>252862</v>
      </c>
      <c r="R10" s="750">
        <v>258521</v>
      </c>
      <c r="S10" s="750">
        <v>299355</v>
      </c>
      <c r="T10" s="750">
        <v>267922</v>
      </c>
      <c r="U10" s="751">
        <v>258807</v>
      </c>
      <c r="V10" s="750">
        <v>268172.55</v>
      </c>
      <c r="W10" s="750">
        <v>294610</v>
      </c>
    </row>
    <row r="11" spans="1:23" s="745" customFormat="1" ht="15.75" x14ac:dyDescent="0.3">
      <c r="A11" s="755" t="s">
        <v>1213</v>
      </c>
      <c r="B11" s="756">
        <f t="shared" ref="B11:I11" si="0">-(B10/B33)*100</f>
        <v>-45.429494022716561</v>
      </c>
      <c r="C11" s="757">
        <f t="shared" si="0"/>
        <v>-46.630473153384521</v>
      </c>
      <c r="D11" s="758">
        <f t="shared" si="0"/>
        <v>-46.880091227315852</v>
      </c>
      <c r="E11" s="758">
        <f t="shared" si="0"/>
        <v>-47.197267489333321</v>
      </c>
      <c r="F11" s="758">
        <f t="shared" si="0"/>
        <v>-49.332040547698561</v>
      </c>
      <c r="G11" s="758">
        <f t="shared" si="0"/>
        <v>-48.63993360229928</v>
      </c>
      <c r="H11" s="758">
        <f t="shared" si="0"/>
        <v>-47.784474408109254</v>
      </c>
      <c r="I11" s="758">
        <f t="shared" si="0"/>
        <v>-47.098759626510002</v>
      </c>
      <c r="J11" s="758">
        <v>-47.3</v>
      </c>
      <c r="K11" s="758">
        <v>-47.9</v>
      </c>
      <c r="L11" s="758">
        <v>-49</v>
      </c>
      <c r="M11" s="758">
        <f t="shared" ref="M11:S11" si="1">-(M10/M33)*100</f>
        <v>-48.579895522914249</v>
      </c>
      <c r="N11" s="758">
        <f t="shared" si="1"/>
        <v>-49.684259512279311</v>
      </c>
      <c r="O11" s="759">
        <f t="shared" si="1"/>
        <v>-49.836175736903733</v>
      </c>
      <c r="P11" s="759">
        <f t="shared" si="1"/>
        <v>-50.467781652149533</v>
      </c>
      <c r="Q11" s="759">
        <f t="shared" si="1"/>
        <v>-50.740146925736482</v>
      </c>
      <c r="R11" s="759">
        <f t="shared" si="1"/>
        <v>-51.922794966810272</v>
      </c>
      <c r="S11" s="759">
        <f t="shared" si="1"/>
        <v>-65.417201147704702</v>
      </c>
      <c r="T11" s="759">
        <f>-(T10/T33)*100</f>
        <v>-60.608706667993808</v>
      </c>
      <c r="U11" s="759">
        <f>-(U10/U33)*100</f>
        <v>-60.230816491812746</v>
      </c>
      <c r="V11" s="759">
        <f>-(V10/V33)*100</f>
        <v>-63.949119238445881</v>
      </c>
      <c r="W11" s="759">
        <f>-(W10/W33)*100</f>
        <v>-66.789843572885971</v>
      </c>
    </row>
    <row r="12" spans="1:23" s="745" customFormat="1" ht="16.5" x14ac:dyDescent="0.3">
      <c r="A12" s="747" t="s">
        <v>1214</v>
      </c>
      <c r="B12" s="748">
        <v>54023.883423671003</v>
      </c>
      <c r="C12" s="749">
        <v>53463.646230258397</v>
      </c>
      <c r="D12" s="750">
        <v>53104</v>
      </c>
      <c r="E12" s="750">
        <v>51637</v>
      </c>
      <c r="F12" s="750">
        <v>46103</v>
      </c>
      <c r="G12" s="750">
        <v>46231</v>
      </c>
      <c r="H12" s="750">
        <v>45015.199999999997</v>
      </c>
      <c r="I12" s="750">
        <v>45128</v>
      </c>
      <c r="J12" s="750">
        <v>44543.700000000004</v>
      </c>
      <c r="K12" s="750">
        <v>44538</v>
      </c>
      <c r="L12" s="750">
        <v>42078.000000000007</v>
      </c>
      <c r="M12" s="750">
        <v>41413.950000000004</v>
      </c>
      <c r="N12" s="750">
        <v>40255.600000000006</v>
      </c>
      <c r="O12" s="750">
        <v>40257.500000000007</v>
      </c>
      <c r="P12" s="750">
        <v>39196</v>
      </c>
      <c r="Q12" s="750">
        <v>39592.250000000007</v>
      </c>
      <c r="R12" s="750">
        <v>33621.800000000003</v>
      </c>
      <c r="S12" s="750">
        <v>43688.2</v>
      </c>
      <c r="T12" s="750">
        <v>67905.649999999994</v>
      </c>
      <c r="U12" s="751">
        <v>68736</v>
      </c>
      <c r="V12" s="750">
        <v>83458.850000000006</v>
      </c>
      <c r="W12" s="750">
        <v>85319.549999999988</v>
      </c>
    </row>
    <row r="13" spans="1:23" s="745" customFormat="1" ht="15.75" x14ac:dyDescent="0.3">
      <c r="A13" s="755" t="s">
        <v>1213</v>
      </c>
      <c r="B13" s="756">
        <f t="shared" ref="B13:I13" si="2">-(B12/B33)*100</f>
        <v>-12.989383090412062</v>
      </c>
      <c r="C13" s="757">
        <f t="shared" si="2"/>
        <v>-12.666619179227403</v>
      </c>
      <c r="D13" s="758">
        <f t="shared" si="2"/>
        <v>-12.409158250417113</v>
      </c>
      <c r="E13" s="758">
        <f t="shared" si="2"/>
        <v>-11.876991018136234</v>
      </c>
      <c r="F13" s="758">
        <f t="shared" si="2"/>
        <v>-10.480884429056305</v>
      </c>
      <c r="G13" s="758">
        <f t="shared" si="2"/>
        <v>-10.35638361025177</v>
      </c>
      <c r="H13" s="758">
        <f t="shared" si="2"/>
        <v>-9.9781220422087209</v>
      </c>
      <c r="I13" s="758">
        <f t="shared" si="2"/>
        <v>-9.8704945964685109</v>
      </c>
      <c r="J13" s="758">
        <v>-9.6</v>
      </c>
      <c r="K13" s="758">
        <v>-9.5</v>
      </c>
      <c r="L13" s="758">
        <v>-8.8000000000000007</v>
      </c>
      <c r="M13" s="758">
        <v>-8.6</v>
      </c>
      <c r="N13" s="758">
        <f t="shared" ref="N13:W13" si="3">-(N12/N33)*100</f>
        <v>-8.2709111940712514</v>
      </c>
      <c r="O13" s="759">
        <f t="shared" si="3"/>
        <v>-8.1978312884997209</v>
      </c>
      <c r="P13" s="759">
        <f t="shared" si="3"/>
        <v>-7.9047939804497718</v>
      </c>
      <c r="Q13" s="759">
        <f t="shared" si="3"/>
        <v>-7.944715228545574</v>
      </c>
      <c r="R13" s="759">
        <f t="shared" si="3"/>
        <v>-6.7527892427118177</v>
      </c>
      <c r="S13" s="759">
        <f t="shared" si="3"/>
        <v>-9.5470587335476349</v>
      </c>
      <c r="T13" s="759">
        <f t="shared" si="3"/>
        <v>-15.361461999945705</v>
      </c>
      <c r="U13" s="760">
        <f t="shared" si="3"/>
        <v>-15.996574290421977</v>
      </c>
      <c r="V13" s="760">
        <f t="shared" si="3"/>
        <v>-19.901813031026368</v>
      </c>
      <c r="W13" s="760">
        <f t="shared" si="3"/>
        <v>-19.342450691453184</v>
      </c>
    </row>
    <row r="14" spans="1:23" s="745" customFormat="1" ht="16.5" x14ac:dyDescent="0.3">
      <c r="A14" s="747" t="s">
        <v>1215</v>
      </c>
      <c r="B14" s="748">
        <v>24</v>
      </c>
      <c r="C14" s="749">
        <v>24</v>
      </c>
      <c r="D14" s="750">
        <v>24</v>
      </c>
      <c r="E14" s="750">
        <v>24</v>
      </c>
      <c r="F14" s="750">
        <v>24</v>
      </c>
      <c r="G14" s="750">
        <v>24</v>
      </c>
      <c r="H14" s="750">
        <v>24</v>
      </c>
      <c r="I14" s="750">
        <v>24</v>
      </c>
      <c r="J14" s="750">
        <v>24</v>
      </c>
      <c r="K14" s="750">
        <v>24</v>
      </c>
      <c r="L14" s="750">
        <v>24</v>
      </c>
      <c r="M14" s="750">
        <v>24</v>
      </c>
      <c r="N14" s="750">
        <v>24</v>
      </c>
      <c r="O14" s="750">
        <v>24</v>
      </c>
      <c r="P14" s="750">
        <v>24</v>
      </c>
      <c r="Q14" s="750">
        <v>24</v>
      </c>
      <c r="R14" s="750">
        <v>24</v>
      </c>
      <c r="S14" s="750">
        <v>191</v>
      </c>
      <c r="T14" s="750">
        <v>140</v>
      </c>
      <c r="U14" s="761">
        <v>139</v>
      </c>
      <c r="V14" s="762">
        <v>137</v>
      </c>
      <c r="W14" s="762">
        <v>136</v>
      </c>
    </row>
    <row r="15" spans="1:23" s="745" customFormat="1" ht="16.5" x14ac:dyDescent="0.3">
      <c r="A15" s="747" t="s">
        <v>1216</v>
      </c>
      <c r="B15" s="748">
        <v>126</v>
      </c>
      <c r="C15" s="749">
        <v>115</v>
      </c>
      <c r="D15" s="750">
        <v>115</v>
      </c>
      <c r="E15" s="750">
        <v>102</v>
      </c>
      <c r="F15" s="750">
        <v>101</v>
      </c>
      <c r="G15" s="750">
        <v>90</v>
      </c>
      <c r="H15" s="750">
        <v>90</v>
      </c>
      <c r="I15" s="750">
        <v>78</v>
      </c>
      <c r="J15" s="750">
        <v>79</v>
      </c>
      <c r="K15" s="750">
        <v>68</v>
      </c>
      <c r="L15" s="750">
        <v>67</v>
      </c>
      <c r="M15" s="750">
        <v>67</v>
      </c>
      <c r="N15" s="750">
        <v>56</v>
      </c>
      <c r="O15" s="750">
        <v>46</v>
      </c>
      <c r="P15" s="750">
        <v>46</v>
      </c>
      <c r="Q15" s="750">
        <v>47</v>
      </c>
      <c r="R15" s="750">
        <v>37</v>
      </c>
      <c r="S15" s="750">
        <v>26</v>
      </c>
      <c r="T15" s="750">
        <v>26</v>
      </c>
      <c r="U15" s="761">
        <v>26</v>
      </c>
      <c r="V15" s="762">
        <v>13</v>
      </c>
      <c r="W15" s="763" t="s">
        <v>115</v>
      </c>
    </row>
    <row r="16" spans="1:23" s="745" customFormat="1" ht="16.5" x14ac:dyDescent="0.3">
      <c r="A16" s="747" t="s">
        <v>1217</v>
      </c>
      <c r="B16" s="748">
        <v>0</v>
      </c>
      <c r="C16" s="749">
        <v>0</v>
      </c>
      <c r="D16" s="750">
        <v>0</v>
      </c>
      <c r="E16" s="750">
        <v>0</v>
      </c>
      <c r="F16" s="750">
        <v>0</v>
      </c>
      <c r="G16" s="750">
        <v>0</v>
      </c>
      <c r="H16" s="750">
        <v>0</v>
      </c>
      <c r="I16" s="750">
        <v>0</v>
      </c>
      <c r="J16" s="750">
        <v>0</v>
      </c>
      <c r="K16" s="750">
        <v>0</v>
      </c>
      <c r="L16" s="750">
        <v>0</v>
      </c>
      <c r="M16" s="750">
        <v>0</v>
      </c>
      <c r="N16" s="750">
        <v>0</v>
      </c>
      <c r="O16" s="750">
        <v>0</v>
      </c>
      <c r="P16" s="750">
        <v>0</v>
      </c>
      <c r="Q16" s="750">
        <v>0</v>
      </c>
      <c r="R16" s="750">
        <v>0</v>
      </c>
      <c r="S16" s="750">
        <v>0</v>
      </c>
      <c r="T16" s="750">
        <v>0</v>
      </c>
      <c r="U16" s="761">
        <v>0</v>
      </c>
      <c r="V16" s="762">
        <v>0</v>
      </c>
      <c r="W16" s="762">
        <v>0</v>
      </c>
    </row>
    <row r="17" spans="1:23" s="745" customFormat="1" ht="16.5" x14ac:dyDescent="0.3">
      <c r="A17" s="747" t="s">
        <v>1218</v>
      </c>
      <c r="B17" s="748">
        <v>10732</v>
      </c>
      <c r="C17" s="749">
        <v>10679</v>
      </c>
      <c r="D17" s="750">
        <v>10294</v>
      </c>
      <c r="E17" s="750">
        <v>9595</v>
      </c>
      <c r="F17" s="750">
        <v>12598</v>
      </c>
      <c r="G17" s="750">
        <v>11935</v>
      </c>
      <c r="H17" s="750">
        <v>18227</v>
      </c>
      <c r="I17" s="750">
        <v>17394</v>
      </c>
      <c r="J17" s="750">
        <v>17764</v>
      </c>
      <c r="K17" s="750">
        <v>17015</v>
      </c>
      <c r="L17" s="750">
        <v>17512</v>
      </c>
      <c r="M17" s="750">
        <v>24347</v>
      </c>
      <c r="N17" s="750">
        <v>23488</v>
      </c>
      <c r="O17" s="750">
        <v>22916</v>
      </c>
      <c r="P17" s="750">
        <v>23010</v>
      </c>
      <c r="Q17" s="750">
        <v>17440</v>
      </c>
      <c r="R17" s="750">
        <v>17741</v>
      </c>
      <c r="S17" s="750">
        <v>17498</v>
      </c>
      <c r="T17" s="750">
        <v>11007</v>
      </c>
      <c r="U17" s="764">
        <v>11728</v>
      </c>
      <c r="V17" s="765">
        <v>13143</v>
      </c>
      <c r="W17" s="765">
        <v>13654</v>
      </c>
    </row>
    <row r="18" spans="1:23" s="745" customFormat="1" ht="16.5" x14ac:dyDescent="0.3">
      <c r="A18" s="747" t="s">
        <v>1219</v>
      </c>
      <c r="B18" s="748">
        <v>12261</v>
      </c>
      <c r="C18" s="749">
        <v>12317</v>
      </c>
      <c r="D18" s="750">
        <v>12454</v>
      </c>
      <c r="E18" s="750">
        <v>12385</v>
      </c>
      <c r="F18" s="750">
        <v>11870</v>
      </c>
      <c r="G18" s="750">
        <v>12621</v>
      </c>
      <c r="H18" s="750">
        <v>11996</v>
      </c>
      <c r="I18" s="750">
        <v>12180</v>
      </c>
      <c r="J18" s="750">
        <v>11694</v>
      </c>
      <c r="K18" s="750">
        <v>12736</v>
      </c>
      <c r="L18" s="750">
        <v>12875</v>
      </c>
      <c r="M18" s="750">
        <v>12846</v>
      </c>
      <c r="N18" s="750">
        <v>12405</v>
      </c>
      <c r="O18" s="750">
        <v>12678</v>
      </c>
      <c r="P18" s="750">
        <v>12377.6</v>
      </c>
      <c r="Q18" s="750">
        <v>16487</v>
      </c>
      <c r="R18" s="750">
        <v>19559</v>
      </c>
      <c r="S18" s="750">
        <v>21038</v>
      </c>
      <c r="T18" s="750">
        <v>21604</v>
      </c>
      <c r="U18" s="764">
        <v>22491</v>
      </c>
      <c r="V18" s="765">
        <v>23456</v>
      </c>
      <c r="W18" s="765">
        <v>25540</v>
      </c>
    </row>
    <row r="19" spans="1:23" s="745" customFormat="1" ht="16.5" x14ac:dyDescent="0.3">
      <c r="A19" s="747" t="s">
        <v>1220</v>
      </c>
      <c r="B19" s="748">
        <v>199700.9</v>
      </c>
      <c r="C19" s="749">
        <v>207522.3</v>
      </c>
      <c r="D19" s="750">
        <v>210937.60000000001</v>
      </c>
      <c r="E19" s="750">
        <v>214816.2</v>
      </c>
      <c r="F19" s="750">
        <v>229622.3</v>
      </c>
      <c r="G19" s="750">
        <v>229088.15</v>
      </c>
      <c r="H19" s="750">
        <v>233825.4</v>
      </c>
      <c r="I19" s="750">
        <v>232754</v>
      </c>
      <c r="J19" s="750">
        <v>235374.65</v>
      </c>
      <c r="K19" s="750">
        <v>240758.15</v>
      </c>
      <c r="L19" s="750">
        <v>250022.39999999999</v>
      </c>
      <c r="M19" s="750">
        <v>258628.6</v>
      </c>
      <c r="N19" s="750">
        <v>265331.75</v>
      </c>
      <c r="O19" s="750">
        <v>267673</v>
      </c>
      <c r="P19" s="750">
        <v>273279</v>
      </c>
      <c r="Q19" s="750">
        <v>270326</v>
      </c>
      <c r="R19" s="750">
        <v>276286</v>
      </c>
      <c r="S19" s="750">
        <v>317044</v>
      </c>
      <c r="T19" s="750">
        <v>279069</v>
      </c>
      <c r="U19" s="764">
        <v>270674</v>
      </c>
      <c r="V19" s="765">
        <v>281452.55</v>
      </c>
      <c r="W19" s="765">
        <v>308400</v>
      </c>
    </row>
    <row r="20" spans="1:23" s="745" customFormat="1" ht="15.75" x14ac:dyDescent="0.3">
      <c r="A20" s="755" t="s">
        <v>1213</v>
      </c>
      <c r="B20" s="766">
        <f t="shared" ref="B20:I20" si="4">-(B19/B33)*100</f>
        <v>-48.015642882560563</v>
      </c>
      <c r="C20" s="767">
        <f t="shared" si="4"/>
        <v>-49.166230338582693</v>
      </c>
      <c r="D20" s="768">
        <f t="shared" si="4"/>
        <v>-49.291165625248283</v>
      </c>
      <c r="E20" s="768">
        <f t="shared" si="4"/>
        <v>-49.409727093947311</v>
      </c>
      <c r="F20" s="768">
        <f t="shared" si="4"/>
        <v>-52.201479049825295</v>
      </c>
      <c r="G20" s="768">
        <f t="shared" si="4"/>
        <v>-51.318915056193873</v>
      </c>
      <c r="H20" s="768">
        <f t="shared" si="4"/>
        <v>-51.830012479524044</v>
      </c>
      <c r="I20" s="768">
        <f t="shared" si="4"/>
        <v>-50.908462579915614</v>
      </c>
      <c r="J20" s="768">
        <v>-50.8</v>
      </c>
      <c r="K20" s="768">
        <v>-51.2</v>
      </c>
      <c r="L20" s="768">
        <v>-52.5</v>
      </c>
      <c r="M20" s="768">
        <f t="shared" ref="M20:W20" si="5">-(M19/M33)*100</f>
        <v>-53.633907148530412</v>
      </c>
      <c r="N20" s="768">
        <f t="shared" si="5"/>
        <v>-54.5150324729358</v>
      </c>
      <c r="O20" s="759">
        <f t="shared" si="5"/>
        <v>-54.507559945018578</v>
      </c>
      <c r="P20" s="759">
        <f t="shared" si="5"/>
        <v>-55.113128742303644</v>
      </c>
      <c r="Q20" s="759">
        <f t="shared" si="5"/>
        <v>-54.244532424194389</v>
      </c>
      <c r="R20" s="759">
        <f t="shared" si="5"/>
        <v>-55.49081633677784</v>
      </c>
      <c r="S20" s="759">
        <f t="shared" si="5"/>
        <v>-69.282728268019198</v>
      </c>
      <c r="T20" s="759">
        <f t="shared" si="5"/>
        <v>-63.130355704758713</v>
      </c>
      <c r="U20" s="760">
        <f t="shared" si="5"/>
        <v>-62.99256211425859</v>
      </c>
      <c r="V20" s="760">
        <f t="shared" si="5"/>
        <v>-67.115902354341088</v>
      </c>
      <c r="W20" s="760">
        <f t="shared" si="5"/>
        <v>-69.916118793924269</v>
      </c>
    </row>
    <row r="21" spans="1:23" s="745" customFormat="1" ht="16.5" x14ac:dyDescent="0.3">
      <c r="A21" s="747" t="s">
        <v>1221</v>
      </c>
      <c r="B21" s="748">
        <v>66410.88342367101</v>
      </c>
      <c r="C21" s="749">
        <v>65895.646230258397</v>
      </c>
      <c r="D21" s="750">
        <v>65673</v>
      </c>
      <c r="E21" s="750">
        <v>64124</v>
      </c>
      <c r="F21" s="750">
        <v>58074</v>
      </c>
      <c r="G21" s="750">
        <v>58942</v>
      </c>
      <c r="H21" s="750">
        <v>57101.2</v>
      </c>
      <c r="I21" s="750">
        <v>57386</v>
      </c>
      <c r="J21" s="750">
        <v>56316.700000000004</v>
      </c>
      <c r="K21" s="750">
        <v>57342</v>
      </c>
      <c r="L21" s="750">
        <v>55020.000000000007</v>
      </c>
      <c r="M21" s="750">
        <v>54326.950000000004</v>
      </c>
      <c r="N21" s="750">
        <v>52716.600000000006</v>
      </c>
      <c r="O21" s="750">
        <v>52981.500000000007</v>
      </c>
      <c r="P21" s="750">
        <v>51619.6</v>
      </c>
      <c r="Q21" s="750">
        <v>56126.250000000007</v>
      </c>
      <c r="R21" s="750">
        <v>53217.8</v>
      </c>
      <c r="S21" s="750">
        <v>64752.2</v>
      </c>
      <c r="T21" s="750">
        <v>89535.65</v>
      </c>
      <c r="U21" s="764">
        <v>91253</v>
      </c>
      <c r="V21" s="765">
        <v>106927.85</v>
      </c>
      <c r="W21" s="765">
        <v>110860</v>
      </c>
    </row>
    <row r="22" spans="1:23" s="745" customFormat="1" ht="15.75" x14ac:dyDescent="0.3">
      <c r="A22" s="755" t="s">
        <v>1213</v>
      </c>
      <c r="B22" s="756">
        <f t="shared" ref="B22:I22" si="6">-(B21/B33)*100</f>
        <v>-15.967685984321294</v>
      </c>
      <c r="C22" s="757">
        <f t="shared" si="6"/>
        <v>-15.612011436200557</v>
      </c>
      <c r="D22" s="758">
        <f t="shared" si="6"/>
        <v>-15.346238508956823</v>
      </c>
      <c r="E22" s="758">
        <f t="shared" si="6"/>
        <v>-14.749117339252241</v>
      </c>
      <c r="F22" s="758">
        <f t="shared" si="6"/>
        <v>-13.20232701414259</v>
      </c>
      <c r="G22" s="758">
        <f t="shared" si="6"/>
        <v>-13.203823468137394</v>
      </c>
      <c r="H22" s="758">
        <f t="shared" si="6"/>
        <v>-12.657118981067919</v>
      </c>
      <c r="I22" s="758">
        <f t="shared" si="6"/>
        <v>-12.551591094507666</v>
      </c>
      <c r="J22" s="758">
        <v>-12.2</v>
      </c>
      <c r="K22" s="758">
        <v>-12.2</v>
      </c>
      <c r="L22" s="758">
        <v>-11.6</v>
      </c>
      <c r="M22" s="758">
        <f t="shared" ref="M22:W22" si="7">-(M21/M33)*100</f>
        <v>-11.266219559487444</v>
      </c>
      <c r="N22" s="758">
        <f t="shared" si="7"/>
        <v>-10.831146897658375</v>
      </c>
      <c r="O22" s="759">
        <f t="shared" si="7"/>
        <v>-10.788881535407016</v>
      </c>
      <c r="P22" s="759">
        <f t="shared" si="7"/>
        <v>-10.410304708470891</v>
      </c>
      <c r="Q22" s="759">
        <f t="shared" si="7"/>
        <v>-11.262483771348078</v>
      </c>
      <c r="R22" s="759">
        <f t="shared" si="7"/>
        <v>-10.688558832685608</v>
      </c>
      <c r="S22" s="759">
        <f t="shared" si="7"/>
        <v>-14.150115054555307</v>
      </c>
      <c r="T22" s="759">
        <f t="shared" si="7"/>
        <v>-20.254551500728422</v>
      </c>
      <c r="U22" s="760">
        <f t="shared" si="7"/>
        <v>-21.236839410554538</v>
      </c>
      <c r="V22" s="759">
        <f t="shared" si="7"/>
        <v>-25.498291415585438</v>
      </c>
      <c r="W22" s="759">
        <f t="shared" si="7"/>
        <v>-25.132622987984583</v>
      </c>
    </row>
    <row r="23" spans="1:23" s="745" customFormat="1" ht="16.5" x14ac:dyDescent="0.3">
      <c r="A23" s="747" t="s">
        <v>1222</v>
      </c>
      <c r="B23" s="748">
        <v>266111.78342367103</v>
      </c>
      <c r="C23" s="749">
        <v>273417.94623025839</v>
      </c>
      <c r="D23" s="750">
        <v>276610.59999999998</v>
      </c>
      <c r="E23" s="750">
        <v>278940.2</v>
      </c>
      <c r="F23" s="750">
        <v>287696.3</v>
      </c>
      <c r="G23" s="750">
        <v>288030.15000000002</v>
      </c>
      <c r="H23" s="750">
        <v>290926.59999999998</v>
      </c>
      <c r="I23" s="750">
        <v>290140</v>
      </c>
      <c r="J23" s="750">
        <v>29161.35</v>
      </c>
      <c r="K23" s="750">
        <v>298100.15000000002</v>
      </c>
      <c r="L23" s="750">
        <v>305042.40000000002</v>
      </c>
      <c r="M23" s="750">
        <v>312955.55</v>
      </c>
      <c r="N23" s="750">
        <v>318048.34999999998</v>
      </c>
      <c r="O23" s="750">
        <v>320654.5</v>
      </c>
      <c r="P23" s="750">
        <v>324898.59999999998</v>
      </c>
      <c r="Q23" s="750">
        <v>326452.25</v>
      </c>
      <c r="R23" s="750">
        <v>329503.8</v>
      </c>
      <c r="S23" s="750">
        <v>381796.2</v>
      </c>
      <c r="T23" s="750">
        <v>368604.65</v>
      </c>
      <c r="U23" s="751">
        <v>361927</v>
      </c>
      <c r="V23" s="750">
        <v>388380.4</v>
      </c>
      <c r="W23" s="750">
        <v>419259</v>
      </c>
    </row>
    <row r="24" spans="1:23" s="745" customFormat="1" ht="15.75" x14ac:dyDescent="0.3">
      <c r="A24" s="755" t="s">
        <v>1213</v>
      </c>
      <c r="B24" s="756">
        <f t="shared" ref="B24:I24" si="8">-(B23/B33)*100</f>
        <v>-63.983328866881862</v>
      </c>
      <c r="C24" s="757">
        <f t="shared" si="8"/>
        <v>-64.778241774783254</v>
      </c>
      <c r="D24" s="758">
        <f t="shared" si="8"/>
        <v>-64.637404134205099</v>
      </c>
      <c r="E24" s="758">
        <f t="shared" si="8"/>
        <v>-64.158844433199548</v>
      </c>
      <c r="F24" s="758">
        <f t="shared" si="8"/>
        <v>-65.403806063967878</v>
      </c>
      <c r="G24" s="758">
        <f t="shared" si="8"/>
        <v>-64.522738524331274</v>
      </c>
      <c r="H24" s="758">
        <f t="shared" si="8"/>
        <v>-64.487131460591968</v>
      </c>
      <c r="I24" s="758">
        <f t="shared" si="8"/>
        <v>-63.460053674423293</v>
      </c>
      <c r="J24" s="758">
        <v>-63</v>
      </c>
      <c r="K24" s="758">
        <v>-63.4</v>
      </c>
      <c r="L24" s="758">
        <v>-64.099999999999994</v>
      </c>
      <c r="M24" s="758">
        <f t="shared" ref="M24:W24" si="9">-(M23/M33)*100</f>
        <v>-64.900126708017865</v>
      </c>
      <c r="N24" s="758">
        <f t="shared" si="9"/>
        <v>-65.346179370594157</v>
      </c>
      <c r="O24" s="759">
        <f t="shared" si="9"/>
        <v>-65.296441480425599</v>
      </c>
      <c r="P24" s="759">
        <f t="shared" si="9"/>
        <v>-65.523433450774533</v>
      </c>
      <c r="Q24" s="759">
        <f t="shared" si="9"/>
        <v>-65.507016195542462</v>
      </c>
      <c r="R24" s="759">
        <f t="shared" si="9"/>
        <v>-66.179375169463441</v>
      </c>
      <c r="S24" s="759">
        <f t="shared" si="9"/>
        <v>-83.432843322574513</v>
      </c>
      <c r="T24" s="759">
        <f t="shared" si="9"/>
        <v>-83.384907205487153</v>
      </c>
      <c r="U24" s="760">
        <f t="shared" si="9"/>
        <v>-84.229401524813113</v>
      </c>
      <c r="V24" s="759">
        <f t="shared" si="9"/>
        <v>-92.61419376992653</v>
      </c>
      <c r="W24" s="759">
        <f t="shared" si="9"/>
        <v>-95.048515075946497</v>
      </c>
    </row>
    <row r="25" spans="1:23" s="745" customFormat="1" ht="17.25" x14ac:dyDescent="0.3">
      <c r="A25" s="747" t="s">
        <v>1223</v>
      </c>
      <c r="B25" s="756"/>
      <c r="C25" s="757"/>
      <c r="D25" s="758"/>
      <c r="E25" s="758"/>
      <c r="F25" s="758"/>
      <c r="G25" s="758"/>
      <c r="H25" s="758"/>
      <c r="I25" s="758"/>
      <c r="J25" s="758"/>
      <c r="K25" s="758"/>
      <c r="L25" s="758"/>
      <c r="M25" s="758"/>
      <c r="N25" s="758"/>
      <c r="O25" s="758"/>
      <c r="P25" s="758"/>
      <c r="Q25" s="758"/>
      <c r="R25" s="750">
        <v>297429.8</v>
      </c>
      <c r="S25" s="750">
        <v>322180.2</v>
      </c>
      <c r="T25" s="750">
        <v>280317.65000000002</v>
      </c>
      <c r="U25" s="751">
        <v>297790</v>
      </c>
      <c r="V25" s="750">
        <v>315301.40000000002</v>
      </c>
      <c r="W25" s="750">
        <v>344864.08999999997</v>
      </c>
    </row>
    <row r="26" spans="1:23" s="745" customFormat="1" ht="16.5" customHeight="1" thickBot="1" x14ac:dyDescent="0.35">
      <c r="A26" s="769" t="s">
        <v>1213</v>
      </c>
      <c r="B26" s="770"/>
      <c r="C26" s="771"/>
      <c r="D26" s="772"/>
      <c r="E26" s="772"/>
      <c r="F26" s="772"/>
      <c r="G26" s="772"/>
      <c r="H26" s="772"/>
      <c r="I26" s="772"/>
      <c r="J26" s="772"/>
      <c r="K26" s="772"/>
      <c r="L26" s="772"/>
      <c r="M26" s="772"/>
      <c r="N26" s="772"/>
      <c r="O26" s="772"/>
      <c r="P26" s="772"/>
      <c r="Q26" s="772"/>
      <c r="R26" s="773">
        <f t="shared" ref="R26:W26" si="10">-(R25/R33)*100</f>
        <v>-59.737454684220573</v>
      </c>
      <c r="S26" s="773">
        <f t="shared" si="10"/>
        <v>-70.405127521530403</v>
      </c>
      <c r="T26" s="773">
        <f t="shared" si="10"/>
        <v>-63.412822473374177</v>
      </c>
      <c r="U26" s="774">
        <f t="shared" si="10"/>
        <v>-69.303128752687968</v>
      </c>
      <c r="V26" s="773">
        <f t="shared" si="10"/>
        <v>-75.187586591725832</v>
      </c>
      <c r="W26" s="773">
        <f t="shared" si="10"/>
        <v>-78.182745409204259</v>
      </c>
    </row>
    <row r="27" spans="1:23" s="777" customFormat="1" ht="24" customHeight="1" x14ac:dyDescent="0.25">
      <c r="A27" s="775" t="s">
        <v>1224</v>
      </c>
      <c r="B27" s="776"/>
      <c r="C27" s="776"/>
      <c r="D27" s="776"/>
      <c r="E27" s="776"/>
    </row>
    <row r="28" spans="1:23" s="777" customFormat="1" ht="15.75" x14ac:dyDescent="0.25">
      <c r="A28" s="775" t="s">
        <v>3247</v>
      </c>
      <c r="B28" s="776"/>
      <c r="C28" s="776"/>
      <c r="D28" s="776"/>
      <c r="E28" s="776"/>
    </row>
    <row r="29" spans="1:23" s="777" customFormat="1" ht="14.25" x14ac:dyDescent="0.25">
      <c r="A29" s="778" t="s">
        <v>1225</v>
      </c>
      <c r="B29" s="779"/>
      <c r="C29" s="779"/>
      <c r="D29" s="779"/>
      <c r="E29" s="779"/>
      <c r="G29" s="780"/>
      <c r="H29" s="780"/>
      <c r="I29" s="780"/>
      <c r="J29" s="780"/>
      <c r="K29" s="780"/>
      <c r="L29" s="780"/>
      <c r="M29" s="780"/>
      <c r="N29" s="780"/>
      <c r="O29" s="780"/>
      <c r="P29" s="780"/>
      <c r="Q29" s="780"/>
      <c r="R29" s="780"/>
      <c r="S29" s="780"/>
      <c r="T29" s="780"/>
    </row>
    <row r="30" spans="1:23" s="777" customFormat="1" ht="14.25" x14ac:dyDescent="0.25">
      <c r="A30" s="781" t="s">
        <v>1226</v>
      </c>
      <c r="B30" s="776"/>
      <c r="C30" s="776"/>
      <c r="D30" s="776"/>
      <c r="E30" s="776"/>
    </row>
    <row r="31" spans="1:23" s="777" customFormat="1" ht="14.25" customHeight="1" x14ac:dyDescent="0.25">
      <c r="A31" s="781" t="s">
        <v>1227</v>
      </c>
      <c r="B31" s="782"/>
      <c r="C31" s="782"/>
      <c r="D31" s="783"/>
      <c r="E31" s="783"/>
    </row>
    <row r="32" spans="1:23" ht="15" customHeight="1" x14ac:dyDescent="0.25">
      <c r="A32" s="784"/>
      <c r="B32" s="785"/>
      <c r="C32" s="785"/>
      <c r="D32" s="785"/>
      <c r="E32" s="785"/>
    </row>
    <row r="33" spans="1:23" ht="17.25" hidden="1" customHeight="1" x14ac:dyDescent="0.25">
      <c r="A33" s="786" t="s">
        <v>1228</v>
      </c>
      <c r="B33" s="787">
        <v>415908</v>
      </c>
      <c r="C33" s="787">
        <v>422083</v>
      </c>
      <c r="D33" s="787">
        <v>427942</v>
      </c>
      <c r="E33" s="787">
        <v>434765</v>
      </c>
      <c r="F33" s="786">
        <v>439877</v>
      </c>
      <c r="G33" s="786">
        <v>446401</v>
      </c>
      <c r="H33" s="786">
        <v>451139</v>
      </c>
      <c r="I33" s="786">
        <v>457201</v>
      </c>
      <c r="J33" s="786">
        <v>462893</v>
      </c>
      <c r="K33" s="786">
        <v>470235</v>
      </c>
      <c r="L33" s="786">
        <v>475908</v>
      </c>
      <c r="M33" s="786">
        <v>482211</v>
      </c>
      <c r="N33" s="786">
        <v>486713</v>
      </c>
      <c r="O33" s="786">
        <v>491075</v>
      </c>
      <c r="P33" s="786">
        <v>495851</v>
      </c>
      <c r="Q33" s="786">
        <v>498347</v>
      </c>
      <c r="R33" s="786">
        <v>497895</v>
      </c>
      <c r="S33" s="786">
        <v>457609</v>
      </c>
      <c r="T33" s="786">
        <v>442052</v>
      </c>
      <c r="U33" s="786">
        <v>429692</v>
      </c>
      <c r="V33" s="786">
        <v>419353</v>
      </c>
      <c r="W33" s="786">
        <v>441100</v>
      </c>
    </row>
    <row r="34" spans="1:23" ht="17.25" customHeight="1" x14ac:dyDescent="0.25">
      <c r="B34" s="787"/>
      <c r="C34" s="787"/>
      <c r="D34" s="787"/>
      <c r="E34" s="787"/>
    </row>
    <row r="35" spans="1:23" ht="15" customHeight="1" x14ac:dyDescent="0.25">
      <c r="B35" s="788"/>
      <c r="C35" s="788"/>
      <c r="D35" s="788"/>
      <c r="E35" s="788"/>
    </row>
    <row r="36" spans="1:23" ht="15" customHeight="1" x14ac:dyDescent="0.25">
      <c r="B36" s="788"/>
      <c r="C36" s="788"/>
      <c r="D36" s="788"/>
      <c r="E36" s="788"/>
    </row>
    <row r="37" spans="1:23" ht="15" customHeight="1" x14ac:dyDescent="0.25">
      <c r="B37" s="788"/>
      <c r="C37" s="788"/>
      <c r="D37" s="788"/>
      <c r="E37" s="788"/>
    </row>
    <row r="38" spans="1:23" ht="15" customHeight="1" x14ac:dyDescent="0.25">
      <c r="B38" s="788"/>
      <c r="C38" s="788"/>
      <c r="D38" s="788"/>
      <c r="E38" s="788"/>
    </row>
    <row r="39" spans="1:23" ht="15" customHeight="1" x14ac:dyDescent="0.25">
      <c r="B39" s="788"/>
      <c r="C39" s="788"/>
      <c r="D39" s="788"/>
      <c r="E39" s="788"/>
    </row>
    <row r="40" spans="1:23" ht="15" customHeight="1" x14ac:dyDescent="0.25">
      <c r="B40" s="788"/>
      <c r="C40" s="788"/>
      <c r="D40" s="788"/>
      <c r="E40" s="788"/>
    </row>
    <row r="41" spans="1:23" ht="15" customHeight="1" x14ac:dyDescent="0.25">
      <c r="B41" s="788"/>
      <c r="C41" s="788"/>
      <c r="D41" s="788"/>
      <c r="E41" s="788"/>
    </row>
    <row r="42" spans="1:23" ht="15" customHeight="1" x14ac:dyDescent="0.25">
      <c r="B42" s="788"/>
      <c r="C42" s="788"/>
      <c r="D42" s="788"/>
      <c r="E42" s="788"/>
    </row>
    <row r="43" spans="1:23" ht="15" customHeight="1" x14ac:dyDescent="0.25">
      <c r="B43" s="788"/>
      <c r="C43" s="788"/>
      <c r="D43" s="788"/>
      <c r="E43" s="788"/>
    </row>
    <row r="44" spans="1:23" ht="15" customHeight="1" x14ac:dyDescent="0.25">
      <c r="B44" s="788"/>
      <c r="C44" s="788"/>
      <c r="D44" s="788"/>
      <c r="E44" s="788"/>
    </row>
    <row r="45" spans="1:23" ht="15" customHeight="1" x14ac:dyDescent="0.25">
      <c r="B45" s="788"/>
      <c r="C45" s="788"/>
      <c r="D45" s="788"/>
      <c r="E45" s="788"/>
    </row>
    <row r="46" spans="1:23" ht="15" customHeight="1" x14ac:dyDescent="0.25">
      <c r="B46" s="788"/>
      <c r="C46" s="788"/>
      <c r="D46" s="788"/>
      <c r="E46" s="788"/>
    </row>
    <row r="47" spans="1:23" ht="15" customHeight="1" x14ac:dyDescent="0.25">
      <c r="B47" s="788"/>
      <c r="C47" s="788"/>
      <c r="D47" s="788"/>
      <c r="E47" s="788"/>
    </row>
    <row r="48" spans="1:23" ht="15" customHeight="1" x14ac:dyDescent="0.25">
      <c r="B48" s="788"/>
      <c r="C48" s="788"/>
      <c r="D48" s="788"/>
      <c r="E48" s="788"/>
    </row>
    <row r="49" spans="2:5" ht="15" customHeight="1" x14ac:dyDescent="0.25">
      <c r="B49" s="788"/>
      <c r="C49" s="788"/>
      <c r="D49" s="788"/>
      <c r="E49" s="788"/>
    </row>
    <row r="50" spans="2:5" ht="15" customHeight="1" x14ac:dyDescent="0.25">
      <c r="B50" s="788"/>
      <c r="C50" s="788"/>
      <c r="D50" s="788"/>
      <c r="E50" s="788"/>
    </row>
    <row r="51" spans="2:5" ht="15" customHeight="1" x14ac:dyDescent="0.25">
      <c r="B51" s="788"/>
      <c r="C51" s="788"/>
      <c r="D51" s="788"/>
      <c r="E51" s="788"/>
    </row>
    <row r="52" spans="2:5" ht="15" customHeight="1" x14ac:dyDescent="0.25">
      <c r="B52" s="788"/>
      <c r="C52" s="788"/>
      <c r="D52" s="788"/>
      <c r="E52" s="788"/>
    </row>
    <row r="53" spans="2:5" ht="15" customHeight="1" x14ac:dyDescent="0.25">
      <c r="B53" s="788"/>
      <c r="C53" s="788"/>
      <c r="D53" s="788"/>
      <c r="E53" s="788"/>
    </row>
    <row r="54" spans="2:5" ht="15" customHeight="1" x14ac:dyDescent="0.25">
      <c r="B54" s="788"/>
      <c r="C54" s="788"/>
      <c r="D54" s="788"/>
      <c r="E54" s="788"/>
    </row>
    <row r="55" spans="2:5" ht="15" customHeight="1" x14ac:dyDescent="0.25">
      <c r="B55" s="788"/>
      <c r="C55" s="788"/>
      <c r="D55" s="788"/>
      <c r="E55" s="788"/>
    </row>
    <row r="56" spans="2:5" ht="15" customHeight="1" x14ac:dyDescent="0.25">
      <c r="B56" s="788"/>
      <c r="C56" s="788"/>
      <c r="D56" s="788"/>
      <c r="E56" s="788"/>
    </row>
    <row r="57" spans="2:5" ht="15" customHeight="1" x14ac:dyDescent="0.25">
      <c r="B57" s="788"/>
      <c r="C57" s="788"/>
      <c r="D57" s="788"/>
      <c r="E57" s="788"/>
    </row>
    <row r="58" spans="2:5" ht="15" customHeight="1" x14ac:dyDescent="0.25">
      <c r="B58" s="788"/>
      <c r="C58" s="788"/>
      <c r="D58" s="788"/>
      <c r="E58" s="788"/>
    </row>
    <row r="59" spans="2:5" ht="15" customHeight="1" x14ac:dyDescent="0.25">
      <c r="B59" s="788"/>
      <c r="C59" s="788"/>
      <c r="D59" s="788"/>
      <c r="E59" s="788"/>
    </row>
    <row r="60" spans="2:5" ht="15" customHeight="1" x14ac:dyDescent="0.25">
      <c r="B60" s="788"/>
      <c r="C60" s="788"/>
      <c r="D60" s="788"/>
      <c r="E60" s="788"/>
    </row>
    <row r="61" spans="2:5" ht="15" customHeight="1" x14ac:dyDescent="0.25">
      <c r="B61" s="788"/>
      <c r="C61" s="788"/>
      <c r="D61" s="788"/>
      <c r="E61" s="788"/>
    </row>
    <row r="62" spans="2:5" ht="15" customHeight="1" x14ac:dyDescent="0.25">
      <c r="B62" s="788"/>
      <c r="C62" s="788"/>
      <c r="D62" s="788"/>
      <c r="E62" s="788"/>
    </row>
    <row r="63" spans="2:5" ht="15" customHeight="1" x14ac:dyDescent="0.25">
      <c r="B63" s="788"/>
      <c r="C63" s="788"/>
      <c r="D63" s="788"/>
      <c r="E63" s="788"/>
    </row>
    <row r="64" spans="2:5" ht="15" customHeight="1" x14ac:dyDescent="0.25">
      <c r="B64" s="788"/>
      <c r="C64" s="788"/>
      <c r="D64" s="788"/>
      <c r="E64" s="788"/>
    </row>
    <row r="65" spans="2:5" ht="15" customHeight="1" x14ac:dyDescent="0.25">
      <c r="B65" s="788"/>
      <c r="C65" s="788"/>
      <c r="D65" s="788"/>
      <c r="E65" s="788"/>
    </row>
    <row r="66" spans="2:5" ht="15" customHeight="1" x14ac:dyDescent="0.25">
      <c r="B66" s="788"/>
      <c r="C66" s="788"/>
      <c r="D66" s="788"/>
      <c r="E66" s="788"/>
    </row>
    <row r="67" spans="2:5" ht="15" customHeight="1" x14ac:dyDescent="0.25">
      <c r="B67" s="788"/>
      <c r="C67" s="788"/>
      <c r="D67" s="788"/>
      <c r="E67" s="788"/>
    </row>
    <row r="68" spans="2:5" ht="15" customHeight="1" x14ac:dyDescent="0.25">
      <c r="B68" s="788"/>
      <c r="C68" s="788"/>
      <c r="D68" s="788"/>
      <c r="E68" s="788"/>
    </row>
    <row r="69" spans="2:5" ht="15" customHeight="1" x14ac:dyDescent="0.25">
      <c r="B69" s="788"/>
      <c r="C69" s="788"/>
      <c r="D69" s="788"/>
      <c r="E69" s="788"/>
    </row>
    <row r="70" spans="2:5" ht="15" customHeight="1" x14ac:dyDescent="0.25">
      <c r="B70" s="788"/>
      <c r="C70" s="788"/>
      <c r="D70" s="788"/>
      <c r="E70" s="788"/>
    </row>
    <row r="71" spans="2:5" ht="15" customHeight="1" x14ac:dyDescent="0.25">
      <c r="B71" s="788"/>
      <c r="C71" s="788"/>
      <c r="D71" s="788"/>
      <c r="E71" s="788"/>
    </row>
    <row r="72" spans="2:5" ht="15" customHeight="1" x14ac:dyDescent="0.25">
      <c r="B72" s="788"/>
      <c r="C72" s="788"/>
      <c r="D72" s="788"/>
      <c r="E72" s="788"/>
    </row>
    <row r="73" spans="2:5" ht="15" customHeight="1" x14ac:dyDescent="0.25">
      <c r="B73" s="788"/>
      <c r="C73" s="788"/>
      <c r="D73" s="788"/>
      <c r="E73" s="788"/>
    </row>
    <row r="74" spans="2:5" ht="15" customHeight="1" x14ac:dyDescent="0.25">
      <c r="B74" s="788"/>
      <c r="C74" s="788"/>
      <c r="D74" s="788"/>
      <c r="E74" s="788"/>
    </row>
    <row r="75" spans="2:5" ht="15" customHeight="1" x14ac:dyDescent="0.25">
      <c r="B75" s="788"/>
      <c r="C75" s="788"/>
      <c r="D75" s="788"/>
      <c r="E75" s="788"/>
    </row>
    <row r="76" spans="2:5" ht="15" customHeight="1" x14ac:dyDescent="0.25">
      <c r="B76" s="788"/>
      <c r="C76" s="788"/>
      <c r="D76" s="788"/>
      <c r="E76" s="788"/>
    </row>
    <row r="77" spans="2:5" ht="15" customHeight="1" x14ac:dyDescent="0.25">
      <c r="B77" s="788"/>
      <c r="C77" s="788"/>
      <c r="D77" s="788"/>
      <c r="E77" s="788"/>
    </row>
    <row r="78" spans="2:5" ht="15" customHeight="1" x14ac:dyDescent="0.25">
      <c r="B78" s="788"/>
      <c r="C78" s="788"/>
      <c r="D78" s="788"/>
      <c r="E78" s="788"/>
    </row>
    <row r="79" spans="2:5" ht="15" customHeight="1" x14ac:dyDescent="0.25">
      <c r="B79" s="788"/>
      <c r="C79" s="788"/>
      <c r="D79" s="788"/>
      <c r="E79" s="788"/>
    </row>
    <row r="80" spans="2:5" ht="15" customHeight="1" x14ac:dyDescent="0.25">
      <c r="B80" s="788"/>
      <c r="C80" s="788"/>
      <c r="D80" s="788"/>
      <c r="E80" s="788"/>
    </row>
    <row r="81" spans="2:5" ht="15" customHeight="1" x14ac:dyDescent="0.25">
      <c r="B81" s="788"/>
      <c r="C81" s="788"/>
      <c r="D81" s="788"/>
      <c r="E81" s="788"/>
    </row>
    <row r="82" spans="2:5" ht="15" customHeight="1" x14ac:dyDescent="0.25">
      <c r="B82" s="788"/>
      <c r="C82" s="788"/>
      <c r="D82" s="788"/>
      <c r="E82" s="788"/>
    </row>
    <row r="83" spans="2:5" ht="15" customHeight="1" x14ac:dyDescent="0.25">
      <c r="B83" s="788"/>
      <c r="C83" s="788"/>
      <c r="D83" s="788"/>
      <c r="E83" s="788"/>
    </row>
    <row r="84" spans="2:5" ht="15" customHeight="1" x14ac:dyDescent="0.25">
      <c r="B84" s="788"/>
      <c r="C84" s="788"/>
      <c r="D84" s="788"/>
      <c r="E84" s="788"/>
    </row>
    <row r="85" spans="2:5" ht="15" customHeight="1" x14ac:dyDescent="0.25">
      <c r="B85" s="788"/>
      <c r="C85" s="788"/>
      <c r="D85" s="788"/>
      <c r="E85" s="788"/>
    </row>
    <row r="86" spans="2:5" ht="15" customHeight="1" x14ac:dyDescent="0.25">
      <c r="B86" s="788"/>
      <c r="C86" s="788"/>
      <c r="D86" s="788"/>
      <c r="E86" s="788"/>
    </row>
    <row r="87" spans="2:5" ht="15" customHeight="1" x14ac:dyDescent="0.25">
      <c r="B87" s="788"/>
      <c r="C87" s="788"/>
      <c r="D87" s="788"/>
      <c r="E87" s="788"/>
    </row>
    <row r="88" spans="2:5" ht="15" customHeight="1" x14ac:dyDescent="0.25">
      <c r="B88" s="788"/>
      <c r="C88" s="788"/>
      <c r="D88" s="788"/>
      <c r="E88" s="788"/>
    </row>
    <row r="89" spans="2:5" ht="15" customHeight="1" x14ac:dyDescent="0.25">
      <c r="B89" s="788"/>
      <c r="C89" s="788"/>
      <c r="D89" s="788"/>
      <c r="E89" s="788"/>
    </row>
    <row r="90" spans="2:5" ht="15" customHeight="1" x14ac:dyDescent="0.25">
      <c r="B90" s="788"/>
      <c r="C90" s="788"/>
      <c r="D90" s="788"/>
      <c r="E90" s="788"/>
    </row>
    <row r="91" spans="2:5" ht="15" customHeight="1" x14ac:dyDescent="0.25">
      <c r="B91" s="788"/>
      <c r="C91" s="788"/>
      <c r="D91" s="788"/>
      <c r="E91" s="788"/>
    </row>
    <row r="92" spans="2:5" ht="15" customHeight="1" x14ac:dyDescent="0.25">
      <c r="B92" s="788"/>
      <c r="C92" s="788"/>
      <c r="D92" s="788"/>
      <c r="E92" s="788"/>
    </row>
    <row r="93" spans="2:5" ht="15" customHeight="1" x14ac:dyDescent="0.25">
      <c r="B93" s="788"/>
      <c r="C93" s="788"/>
      <c r="D93" s="788"/>
      <c r="E93" s="788"/>
    </row>
    <row r="94" spans="2:5" ht="15" customHeight="1" x14ac:dyDescent="0.25">
      <c r="B94" s="788"/>
      <c r="C94" s="788"/>
      <c r="D94" s="788"/>
      <c r="E94" s="788"/>
    </row>
    <row r="95" spans="2:5" ht="15" customHeight="1" x14ac:dyDescent="0.25">
      <c r="B95" s="788"/>
      <c r="C95" s="788"/>
      <c r="D95" s="788"/>
      <c r="E95" s="788"/>
    </row>
    <row r="96" spans="2:5" ht="15" customHeight="1" x14ac:dyDescent="0.25">
      <c r="B96" s="788"/>
      <c r="C96" s="788"/>
      <c r="D96" s="788"/>
      <c r="E96" s="788"/>
    </row>
    <row r="97" spans="2:5" ht="15" customHeight="1" x14ac:dyDescent="0.25">
      <c r="B97" s="788"/>
      <c r="C97" s="788"/>
      <c r="D97" s="788"/>
      <c r="E97" s="788"/>
    </row>
    <row r="98" spans="2:5" ht="15" customHeight="1" x14ac:dyDescent="0.25">
      <c r="B98" s="788"/>
      <c r="C98" s="788"/>
      <c r="D98" s="788"/>
      <c r="E98" s="788"/>
    </row>
    <row r="99" spans="2:5" ht="15" customHeight="1" x14ac:dyDescent="0.25">
      <c r="B99" s="788"/>
      <c r="C99" s="788"/>
      <c r="D99" s="788"/>
      <c r="E99" s="788"/>
    </row>
    <row r="100" spans="2:5" ht="15" customHeight="1" x14ac:dyDescent="0.25">
      <c r="B100" s="788"/>
      <c r="C100" s="788"/>
      <c r="D100" s="788"/>
      <c r="E100" s="788"/>
    </row>
    <row r="101" spans="2:5" ht="15" customHeight="1" x14ac:dyDescent="0.25">
      <c r="B101" s="788"/>
      <c r="C101" s="788"/>
      <c r="D101" s="788"/>
      <c r="E101" s="788"/>
    </row>
    <row r="102" spans="2:5" ht="15" customHeight="1" x14ac:dyDescent="0.25">
      <c r="B102" s="788"/>
      <c r="C102" s="788"/>
      <c r="D102" s="788"/>
      <c r="E102" s="788"/>
    </row>
    <row r="103" spans="2:5" ht="15" customHeight="1" x14ac:dyDescent="0.25">
      <c r="B103" s="788"/>
      <c r="C103" s="788"/>
      <c r="D103" s="788"/>
      <c r="E103" s="788"/>
    </row>
    <row r="104" spans="2:5" ht="15" customHeight="1" x14ac:dyDescent="0.25">
      <c r="B104" s="788"/>
      <c r="C104" s="788"/>
      <c r="D104" s="788"/>
      <c r="E104" s="788"/>
    </row>
    <row r="105" spans="2:5" ht="15" customHeight="1" x14ac:dyDescent="0.25">
      <c r="B105" s="788"/>
      <c r="C105" s="788"/>
      <c r="D105" s="788"/>
      <c r="E105" s="788"/>
    </row>
    <row r="106" spans="2:5" ht="15" customHeight="1" x14ac:dyDescent="0.25">
      <c r="B106" s="788"/>
      <c r="C106" s="788"/>
      <c r="D106" s="788"/>
      <c r="E106" s="788"/>
    </row>
    <row r="107" spans="2:5" ht="15" customHeight="1" x14ac:dyDescent="0.25">
      <c r="B107" s="788"/>
      <c r="C107" s="788"/>
      <c r="D107" s="788"/>
      <c r="E107" s="788"/>
    </row>
    <row r="108" spans="2:5" ht="15" customHeight="1" x14ac:dyDescent="0.25">
      <c r="B108" s="788"/>
      <c r="C108" s="788"/>
      <c r="D108" s="788"/>
      <c r="E108" s="788"/>
    </row>
    <row r="109" spans="2:5" ht="15" customHeight="1" x14ac:dyDescent="0.25">
      <c r="B109" s="788"/>
      <c r="C109" s="788"/>
      <c r="D109" s="788"/>
      <c r="E109" s="788"/>
    </row>
    <row r="110" spans="2:5" ht="15" customHeight="1" x14ac:dyDescent="0.25">
      <c r="B110" s="788"/>
      <c r="C110" s="788"/>
      <c r="D110" s="788"/>
      <c r="E110" s="788"/>
    </row>
    <row r="111" spans="2:5" ht="15" customHeight="1" x14ac:dyDescent="0.25">
      <c r="B111" s="788"/>
      <c r="C111" s="788"/>
      <c r="D111" s="788"/>
      <c r="E111" s="788"/>
    </row>
    <row r="112" spans="2:5" ht="15" customHeight="1" x14ac:dyDescent="0.25">
      <c r="B112" s="788"/>
      <c r="C112" s="788"/>
      <c r="D112" s="788"/>
      <c r="E112" s="788"/>
    </row>
    <row r="113" spans="2:5" ht="15" customHeight="1" x14ac:dyDescent="0.25">
      <c r="B113" s="788"/>
      <c r="C113" s="788"/>
      <c r="D113" s="788"/>
      <c r="E113" s="788"/>
    </row>
    <row r="114" spans="2:5" ht="15" customHeight="1" x14ac:dyDescent="0.25">
      <c r="B114" s="788"/>
      <c r="C114" s="788"/>
      <c r="D114" s="788"/>
      <c r="E114" s="788"/>
    </row>
    <row r="115" spans="2:5" ht="15" customHeight="1" x14ac:dyDescent="0.25">
      <c r="B115" s="788"/>
      <c r="C115" s="788"/>
      <c r="D115" s="788"/>
      <c r="E115" s="788"/>
    </row>
    <row r="116" spans="2:5" ht="15" customHeight="1" x14ac:dyDescent="0.25">
      <c r="B116" s="788"/>
      <c r="C116" s="788"/>
      <c r="D116" s="788"/>
      <c r="E116" s="788"/>
    </row>
    <row r="117" spans="2:5" ht="15" customHeight="1" x14ac:dyDescent="0.25">
      <c r="B117" s="788"/>
      <c r="C117" s="788"/>
      <c r="D117" s="788"/>
      <c r="E117" s="788"/>
    </row>
    <row r="118" spans="2:5" ht="15" customHeight="1" x14ac:dyDescent="0.25">
      <c r="B118" s="788"/>
      <c r="C118" s="788"/>
      <c r="D118" s="788"/>
      <c r="E118" s="788"/>
    </row>
    <row r="119" spans="2:5" ht="15" customHeight="1" x14ac:dyDescent="0.25">
      <c r="B119" s="788"/>
      <c r="C119" s="788"/>
      <c r="D119" s="788"/>
      <c r="E119" s="788"/>
    </row>
    <row r="120" spans="2:5" ht="15" customHeight="1" x14ac:dyDescent="0.25">
      <c r="B120" s="788"/>
      <c r="C120" s="788"/>
      <c r="D120" s="788"/>
      <c r="E120" s="788"/>
    </row>
    <row r="121" spans="2:5" ht="15" customHeight="1" x14ac:dyDescent="0.25">
      <c r="B121" s="788"/>
      <c r="C121" s="788"/>
      <c r="D121" s="788"/>
      <c r="E121" s="788"/>
    </row>
    <row r="122" spans="2:5" ht="15" customHeight="1" x14ac:dyDescent="0.25">
      <c r="B122" s="788"/>
      <c r="C122" s="788"/>
      <c r="D122" s="788"/>
      <c r="E122" s="788"/>
    </row>
    <row r="123" spans="2:5" ht="15" customHeight="1" x14ac:dyDescent="0.25">
      <c r="B123" s="788"/>
      <c r="C123" s="788"/>
      <c r="D123" s="788"/>
      <c r="E123" s="788"/>
    </row>
    <row r="124" spans="2:5" ht="15" customHeight="1" x14ac:dyDescent="0.25">
      <c r="B124" s="788"/>
      <c r="C124" s="788"/>
      <c r="D124" s="788"/>
      <c r="E124" s="788"/>
    </row>
    <row r="125" spans="2:5" ht="15" customHeight="1" x14ac:dyDescent="0.25">
      <c r="B125" s="788"/>
      <c r="C125" s="788"/>
      <c r="D125" s="788"/>
      <c r="E125" s="788"/>
    </row>
    <row r="126" spans="2:5" ht="15" customHeight="1" x14ac:dyDescent="0.25">
      <c r="B126" s="788"/>
      <c r="C126" s="788"/>
      <c r="D126" s="788"/>
      <c r="E126" s="788"/>
    </row>
    <row r="127" spans="2:5" ht="15" customHeight="1" x14ac:dyDescent="0.25">
      <c r="B127" s="788"/>
      <c r="C127" s="788"/>
      <c r="D127" s="788"/>
      <c r="E127" s="788"/>
    </row>
    <row r="128" spans="2:5" ht="15" customHeight="1" x14ac:dyDescent="0.25">
      <c r="B128" s="788"/>
      <c r="C128" s="788"/>
      <c r="D128" s="788"/>
      <c r="E128" s="788"/>
    </row>
    <row r="129" spans="2:5" ht="15" customHeight="1" x14ac:dyDescent="0.25">
      <c r="B129" s="788"/>
      <c r="C129" s="788"/>
      <c r="D129" s="788"/>
      <c r="E129" s="788"/>
    </row>
    <row r="130" spans="2:5" ht="15" customHeight="1" x14ac:dyDescent="0.25">
      <c r="B130" s="788"/>
      <c r="C130" s="788"/>
      <c r="D130" s="788"/>
      <c r="E130" s="788"/>
    </row>
    <row r="131" spans="2:5" ht="15" customHeight="1" x14ac:dyDescent="0.25">
      <c r="B131" s="788"/>
      <c r="C131" s="788"/>
      <c r="D131" s="788"/>
      <c r="E131" s="788"/>
    </row>
    <row r="132" spans="2:5" ht="15" customHeight="1" x14ac:dyDescent="0.25">
      <c r="B132" s="788"/>
      <c r="C132" s="788"/>
      <c r="D132" s="788"/>
      <c r="E132" s="788"/>
    </row>
    <row r="133" spans="2:5" ht="15" customHeight="1" x14ac:dyDescent="0.25">
      <c r="B133" s="788"/>
      <c r="C133" s="788"/>
      <c r="D133" s="788"/>
      <c r="E133" s="788"/>
    </row>
    <row r="134" spans="2:5" ht="15" customHeight="1" x14ac:dyDescent="0.25">
      <c r="B134" s="788"/>
      <c r="C134" s="788"/>
      <c r="D134" s="788"/>
      <c r="E134" s="788"/>
    </row>
    <row r="135" spans="2:5" ht="15" customHeight="1" x14ac:dyDescent="0.25">
      <c r="B135" s="788"/>
      <c r="C135" s="788"/>
      <c r="D135" s="788"/>
      <c r="E135" s="788"/>
    </row>
    <row r="136" spans="2:5" ht="15" customHeight="1" x14ac:dyDescent="0.25">
      <c r="B136" s="788"/>
      <c r="C136" s="788"/>
      <c r="D136" s="788"/>
      <c r="E136" s="788"/>
    </row>
    <row r="137" spans="2:5" ht="15" customHeight="1" x14ac:dyDescent="0.25">
      <c r="B137" s="788"/>
      <c r="C137" s="788"/>
      <c r="D137" s="788"/>
      <c r="E137" s="788"/>
    </row>
    <row r="138" spans="2:5" ht="15" customHeight="1" x14ac:dyDescent="0.25">
      <c r="B138" s="788"/>
      <c r="C138" s="788"/>
      <c r="D138" s="788"/>
      <c r="E138" s="788"/>
    </row>
    <row r="139" spans="2:5" ht="15" customHeight="1" x14ac:dyDescent="0.25">
      <c r="B139" s="788"/>
      <c r="C139" s="788"/>
      <c r="D139" s="788"/>
      <c r="E139" s="788"/>
    </row>
    <row r="140" spans="2:5" ht="15" customHeight="1" x14ac:dyDescent="0.25">
      <c r="B140" s="788"/>
      <c r="C140" s="788"/>
      <c r="D140" s="788"/>
      <c r="E140" s="788"/>
    </row>
    <row r="141" spans="2:5" ht="15" customHeight="1" x14ac:dyDescent="0.25">
      <c r="B141" s="788"/>
      <c r="C141" s="788"/>
      <c r="D141" s="788"/>
      <c r="E141" s="788"/>
    </row>
    <row r="142" spans="2:5" ht="15" customHeight="1" x14ac:dyDescent="0.25">
      <c r="B142" s="788"/>
      <c r="C142" s="788"/>
      <c r="D142" s="788"/>
      <c r="E142" s="788"/>
    </row>
    <row r="143" spans="2:5" ht="15" customHeight="1" x14ac:dyDescent="0.25">
      <c r="B143" s="788"/>
      <c r="C143" s="788"/>
      <c r="D143" s="788"/>
      <c r="E143" s="788"/>
    </row>
    <row r="144" spans="2:5" ht="15" customHeight="1" x14ac:dyDescent="0.25">
      <c r="B144" s="788"/>
      <c r="C144" s="788"/>
      <c r="D144" s="788"/>
      <c r="E144" s="788"/>
    </row>
    <row r="145" spans="2:5" ht="15" customHeight="1" x14ac:dyDescent="0.25">
      <c r="B145" s="788"/>
      <c r="C145" s="788"/>
      <c r="D145" s="788"/>
      <c r="E145" s="788"/>
    </row>
    <row r="146" spans="2:5" ht="15" customHeight="1" x14ac:dyDescent="0.25">
      <c r="B146" s="788"/>
      <c r="C146" s="788"/>
      <c r="D146" s="788"/>
      <c r="E146" s="788"/>
    </row>
    <row r="147" spans="2:5" ht="15" customHeight="1" x14ac:dyDescent="0.25">
      <c r="B147" s="788"/>
      <c r="C147" s="788"/>
      <c r="D147" s="788"/>
      <c r="E147" s="788"/>
    </row>
  </sheetData>
  <mergeCells count="22">
    <mergeCell ref="M3:M4"/>
    <mergeCell ref="B3:B4"/>
    <mergeCell ref="C3:C4"/>
    <mergeCell ref="D3:D4"/>
    <mergeCell ref="E3:E4"/>
    <mergeCell ref="F3:F4"/>
    <mergeCell ref="G3:G4"/>
    <mergeCell ref="H3:H4"/>
    <mergeCell ref="I3:I4"/>
    <mergeCell ref="J3:J4"/>
    <mergeCell ref="K3:K4"/>
    <mergeCell ref="L3:L4"/>
    <mergeCell ref="T3:T4"/>
    <mergeCell ref="U3:U4"/>
    <mergeCell ref="V3:V4"/>
    <mergeCell ref="W3:W4"/>
    <mergeCell ref="N3:N4"/>
    <mergeCell ref="O3:O4"/>
    <mergeCell ref="P3:P4"/>
    <mergeCell ref="Q3:Q4"/>
    <mergeCell ref="R3:R4"/>
    <mergeCell ref="S3:S4"/>
  </mergeCells>
  <pageMargins left="0.75" right="0.75" top="0.75" bottom="0.75" header="0.3" footer="0"/>
  <pageSetup paperSize="9" scale="7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F31"/>
  <sheetViews>
    <sheetView showGridLines="0" zoomScaleNormal="100" zoomScaleSheetLayoutView="85" workbookViewId="0">
      <pane xSplit="1" ySplit="3" topLeftCell="B4" activePane="bottomRight" state="frozen"/>
      <selection activeCell="K39" sqref="K39"/>
      <selection pane="topRight" activeCell="K39" sqref="K39"/>
      <selection pane="bottomLeft" activeCell="K39" sqref="K39"/>
      <selection pane="bottomRight" activeCell="I17" sqref="I17"/>
    </sheetView>
  </sheetViews>
  <sheetFormatPr defaultColWidth="9.140625" defaultRowHeight="17.25" x14ac:dyDescent="0.25"/>
  <cols>
    <col min="1" max="1" width="29.85546875" style="57" customWidth="1"/>
    <col min="2" max="3" width="9.140625" style="57"/>
    <col min="4" max="6" width="7.5703125" style="57" customWidth="1"/>
    <col min="7" max="16384" width="9.140625" style="57"/>
  </cols>
  <sheetData>
    <row r="1" spans="1:6" ht="18.75" x14ac:dyDescent="0.25">
      <c r="A1" s="56" t="s">
        <v>3245</v>
      </c>
    </row>
    <row r="2" spans="1:6" ht="12" customHeight="1" thickBot="1" x14ac:dyDescent="0.3">
      <c r="A2" s="58"/>
    </row>
    <row r="3" spans="1:6" s="62" customFormat="1" ht="18" thickTop="1" thickBot="1" x14ac:dyDescent="0.3">
      <c r="A3" s="59" t="s">
        <v>116</v>
      </c>
      <c r="B3" s="60">
        <v>2017</v>
      </c>
      <c r="C3" s="60">
        <v>2018</v>
      </c>
      <c r="D3" s="60">
        <v>2019</v>
      </c>
      <c r="E3" s="61">
        <v>2020</v>
      </c>
      <c r="F3" s="61">
        <v>2021</v>
      </c>
    </row>
    <row r="4" spans="1:6" ht="18" thickTop="1" x14ac:dyDescent="0.25">
      <c r="A4" s="63" t="s">
        <v>117</v>
      </c>
      <c r="B4" s="64">
        <v>110.2</v>
      </c>
      <c r="C4" s="64">
        <v>117</v>
      </c>
      <c r="D4" s="64">
        <v>103.8</v>
      </c>
      <c r="E4" s="65">
        <v>105.9</v>
      </c>
      <c r="F4" s="66">
        <v>107</v>
      </c>
    </row>
    <row r="5" spans="1:6" x14ac:dyDescent="0.25">
      <c r="A5" s="63" t="s">
        <v>104</v>
      </c>
      <c r="B5" s="64">
        <v>111.5</v>
      </c>
      <c r="C5" s="64">
        <v>119.3</v>
      </c>
      <c r="D5" s="64">
        <v>104.4</v>
      </c>
      <c r="E5" s="65">
        <v>106.6</v>
      </c>
      <c r="F5" s="65">
        <v>107.9</v>
      </c>
    </row>
    <row r="6" spans="1:6" ht="18" thickBot="1" x14ac:dyDescent="0.3">
      <c r="A6" s="67" t="s">
        <v>118</v>
      </c>
      <c r="B6" s="64">
        <v>112.5</v>
      </c>
      <c r="C6" s="68">
        <v>120</v>
      </c>
      <c r="D6" s="64">
        <v>104.4</v>
      </c>
      <c r="E6" s="65">
        <v>107.4</v>
      </c>
      <c r="F6" s="65">
        <v>108.5</v>
      </c>
    </row>
    <row r="7" spans="1:6" ht="18" thickTop="1" x14ac:dyDescent="0.25">
      <c r="A7" s="63" t="s">
        <v>105</v>
      </c>
      <c r="B7" s="64">
        <v>113.4</v>
      </c>
      <c r="C7" s="64">
        <v>103.8</v>
      </c>
      <c r="D7" s="64">
        <v>104.4</v>
      </c>
      <c r="E7" s="65">
        <v>108.8</v>
      </c>
      <c r="F7" s="65">
        <v>109</v>
      </c>
    </row>
    <row r="8" spans="1:6" x14ac:dyDescent="0.25">
      <c r="A8" s="63" t="s">
        <v>106</v>
      </c>
      <c r="B8" s="64">
        <v>114.6</v>
      </c>
      <c r="C8" s="64">
        <v>103.6</v>
      </c>
      <c r="D8" s="64">
        <v>104.4</v>
      </c>
      <c r="E8" s="65">
        <v>107.3</v>
      </c>
      <c r="F8" s="65">
        <v>109.8</v>
      </c>
    </row>
    <row r="9" spans="1:6" x14ac:dyDescent="0.25">
      <c r="A9" s="63" t="s">
        <v>112</v>
      </c>
      <c r="B9" s="64">
        <v>115.3</v>
      </c>
      <c r="C9" s="64">
        <v>102.8</v>
      </c>
      <c r="D9" s="64">
        <v>103.4</v>
      </c>
      <c r="E9" s="65">
        <v>105.2</v>
      </c>
      <c r="F9" s="65">
        <v>111.4</v>
      </c>
    </row>
    <row r="10" spans="1:6" x14ac:dyDescent="0.25">
      <c r="A10" s="63" t="s">
        <v>113</v>
      </c>
      <c r="B10" s="64">
        <v>114.3</v>
      </c>
      <c r="C10" s="64">
        <v>102.6</v>
      </c>
      <c r="D10" s="64">
        <v>103.4</v>
      </c>
      <c r="E10" s="65">
        <v>104.9</v>
      </c>
      <c r="F10" s="65">
        <v>111.7</v>
      </c>
    </row>
    <row r="11" spans="1:6" x14ac:dyDescent="0.25">
      <c r="A11" s="63" t="s">
        <v>107</v>
      </c>
      <c r="B11" s="64">
        <v>114.4</v>
      </c>
      <c r="C11" s="64">
        <v>101.9</v>
      </c>
      <c r="D11" s="64">
        <v>103.7</v>
      </c>
      <c r="E11" s="65">
        <v>105.3</v>
      </c>
      <c r="F11" s="65"/>
    </row>
    <row r="12" spans="1:6" x14ac:dyDescent="0.25">
      <c r="A12" s="63" t="s">
        <v>108</v>
      </c>
      <c r="B12" s="64">
        <v>113.4</v>
      </c>
      <c r="C12" s="64">
        <v>102</v>
      </c>
      <c r="D12" s="64">
        <v>103.3</v>
      </c>
      <c r="E12" s="66">
        <v>106</v>
      </c>
      <c r="F12" s="66"/>
    </row>
    <row r="13" spans="1:6" x14ac:dyDescent="0.25">
      <c r="A13" s="63" t="s">
        <v>109</v>
      </c>
      <c r="B13" s="64">
        <v>112.9</v>
      </c>
      <c r="C13" s="64">
        <v>102.4</v>
      </c>
      <c r="D13" s="64">
        <v>102.8</v>
      </c>
      <c r="E13" s="66">
        <v>106.1</v>
      </c>
      <c r="F13" s="66"/>
    </row>
    <row r="14" spans="1:6" x14ac:dyDescent="0.25">
      <c r="A14" s="63" t="s">
        <v>110</v>
      </c>
      <c r="B14" s="64">
        <v>113.3</v>
      </c>
      <c r="C14" s="64">
        <v>102.8</v>
      </c>
      <c r="D14" s="64">
        <v>103.1</v>
      </c>
      <c r="E14" s="66">
        <v>106.3</v>
      </c>
      <c r="F14" s="66"/>
    </row>
    <row r="15" spans="1:6" x14ac:dyDescent="0.25">
      <c r="A15" s="63" t="s">
        <v>111</v>
      </c>
      <c r="B15" s="64">
        <v>114</v>
      </c>
      <c r="C15" s="64">
        <v>102.4</v>
      </c>
      <c r="D15" s="64">
        <v>103.3</v>
      </c>
      <c r="E15" s="66">
        <v>106.1</v>
      </c>
      <c r="F15" s="66"/>
    </row>
    <row r="16" spans="1:6" ht="10.5" customHeight="1" x14ac:dyDescent="0.25">
      <c r="A16" s="63"/>
      <c r="B16" s="69"/>
      <c r="C16" s="69"/>
      <c r="D16" s="69"/>
      <c r="E16" s="70"/>
      <c r="F16" s="70"/>
    </row>
    <row r="17" spans="1:6" x14ac:dyDescent="0.25">
      <c r="A17" s="63" t="s">
        <v>119</v>
      </c>
      <c r="B17" s="71">
        <f>AVERAGE(B4:B15)</f>
        <v>113.31666666666666</v>
      </c>
      <c r="C17" s="71"/>
      <c r="D17" s="71">
        <f>AVERAGE(D4:D15)</f>
        <v>103.69999999999999</v>
      </c>
      <c r="E17" s="72">
        <f>AVERAGE(E4:E15)</f>
        <v>106.32499999999999</v>
      </c>
      <c r="F17" s="72"/>
    </row>
    <row r="18" spans="1:6" ht="8.25" customHeight="1" x14ac:dyDescent="0.25">
      <c r="A18" s="63"/>
      <c r="B18" s="71"/>
      <c r="C18" s="71"/>
      <c r="D18" s="71"/>
      <c r="E18" s="72"/>
      <c r="F18" s="72"/>
    </row>
    <row r="19" spans="1:6" x14ac:dyDescent="0.25">
      <c r="A19" s="73" t="s">
        <v>10</v>
      </c>
      <c r="B19" s="69"/>
      <c r="C19" s="69"/>
      <c r="D19" s="69"/>
      <c r="E19" s="70"/>
      <c r="F19" s="70"/>
    </row>
    <row r="20" spans="1:6" x14ac:dyDescent="0.25">
      <c r="A20" s="63" t="s">
        <v>120</v>
      </c>
      <c r="B20" s="74" t="s">
        <v>121</v>
      </c>
      <c r="C20" s="74" t="s">
        <v>122</v>
      </c>
      <c r="D20" s="74" t="s">
        <v>123</v>
      </c>
      <c r="E20" s="75" t="s">
        <v>888</v>
      </c>
      <c r="F20" s="75" t="s">
        <v>1056</v>
      </c>
    </row>
    <row r="21" spans="1:6" ht="18" thickBot="1" x14ac:dyDescent="0.3">
      <c r="A21" s="76" t="s">
        <v>124</v>
      </c>
      <c r="B21" s="77" t="s">
        <v>125</v>
      </c>
      <c r="C21" s="77" t="s">
        <v>126</v>
      </c>
      <c r="D21" s="77" t="s">
        <v>127</v>
      </c>
      <c r="E21" s="78" t="s">
        <v>889</v>
      </c>
      <c r="F21" s="78" t="s">
        <v>1055</v>
      </c>
    </row>
    <row r="22" spans="1:6" s="80" customFormat="1" ht="16.5" thickTop="1" x14ac:dyDescent="0.25">
      <c r="A22" s="79" t="s">
        <v>912</v>
      </c>
    </row>
    <row r="23" spans="1:6" s="80" customFormat="1" ht="14.25" x14ac:dyDescent="0.25">
      <c r="A23" s="79" t="s">
        <v>128</v>
      </c>
    </row>
    <row r="24" spans="1:6" s="80" customFormat="1" ht="15.75" x14ac:dyDescent="0.25">
      <c r="A24" s="81" t="s">
        <v>1057</v>
      </c>
    </row>
    <row r="25" spans="1:6" s="80" customFormat="1" ht="15.75" x14ac:dyDescent="0.25">
      <c r="A25" s="79" t="s">
        <v>1058</v>
      </c>
    </row>
    <row r="26" spans="1:6" s="80" customFormat="1" ht="14.25" x14ac:dyDescent="0.25">
      <c r="A26" s="82" t="s">
        <v>129</v>
      </c>
    </row>
    <row r="27" spans="1:6" s="80" customFormat="1" ht="14.25" x14ac:dyDescent="0.25">
      <c r="A27" s="82" t="s">
        <v>130</v>
      </c>
    </row>
    <row r="28" spans="1:6" s="80" customFormat="1" ht="14.25" x14ac:dyDescent="0.25">
      <c r="A28" s="82" t="s">
        <v>131</v>
      </c>
    </row>
    <row r="29" spans="1:6" s="80" customFormat="1" ht="14.25" x14ac:dyDescent="0.25">
      <c r="A29" s="82" t="s">
        <v>132</v>
      </c>
    </row>
    <row r="30" spans="1:6" s="80" customFormat="1" ht="14.25" x14ac:dyDescent="0.25">
      <c r="A30" s="79" t="s">
        <v>133</v>
      </c>
    </row>
    <row r="31" spans="1:6" s="83" customFormat="1" x14ac:dyDescent="0.25"/>
  </sheetData>
  <printOptions horizontalCentered="1"/>
  <pageMargins left="0.75" right="0.75" top="0.75" bottom="0.75" header="0.3"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G182"/>
  <sheetViews>
    <sheetView showGridLines="0" zoomScale="90" zoomScaleNormal="90" zoomScaleSheetLayoutView="85" workbookViewId="0">
      <pane xSplit="1" ySplit="134" topLeftCell="B135" activePane="bottomRight" state="frozen"/>
      <selection activeCell="K39" sqref="K39"/>
      <selection pane="topRight" activeCell="K39" sqref="K39"/>
      <selection pane="bottomLeft" activeCell="K39" sqref="K39"/>
      <selection pane="bottomRight" activeCell="C187" sqref="C187"/>
    </sheetView>
  </sheetViews>
  <sheetFormatPr defaultColWidth="9.140625" defaultRowHeight="15" x14ac:dyDescent="0.25"/>
  <cols>
    <col min="1" max="1" width="13.5703125" style="471" customWidth="1"/>
    <col min="2" max="7" width="15.7109375" style="471" customWidth="1"/>
    <col min="8" max="16384" width="9.140625" style="471"/>
  </cols>
  <sheetData>
    <row r="1" spans="1:7" s="501" customFormat="1" ht="18.600000000000001" customHeight="1" x14ac:dyDescent="0.25">
      <c r="A1" s="3683" t="s">
        <v>1054</v>
      </c>
      <c r="B1" s="3683"/>
      <c r="C1" s="3683"/>
      <c r="D1" s="3683"/>
      <c r="E1" s="3683"/>
      <c r="F1" s="3683"/>
      <c r="G1" s="3683"/>
    </row>
    <row r="2" spans="1:7" ht="15" customHeight="1" thickBot="1" x14ac:dyDescent="0.3">
      <c r="A2" s="500"/>
      <c r="B2" s="499"/>
      <c r="C2" s="499"/>
      <c r="D2" s="499"/>
      <c r="E2" s="498"/>
      <c r="F2" s="498"/>
      <c r="G2" s="497" t="s">
        <v>10</v>
      </c>
    </row>
    <row r="3" spans="1:7" ht="18" thickTop="1" thickBot="1" x14ac:dyDescent="0.3">
      <c r="A3" s="496"/>
      <c r="B3" s="3684" t="s">
        <v>1002</v>
      </c>
      <c r="C3" s="3685"/>
      <c r="D3" s="3686"/>
      <c r="E3" s="3685" t="s">
        <v>1001</v>
      </c>
      <c r="F3" s="3685"/>
      <c r="G3" s="3686"/>
    </row>
    <row r="4" spans="1:7" ht="23.25" customHeight="1" thickTop="1" thickBot="1" x14ac:dyDescent="0.3">
      <c r="A4" s="495" t="s">
        <v>116</v>
      </c>
      <c r="B4" s="494" t="s">
        <v>1000</v>
      </c>
      <c r="C4" s="493" t="s">
        <v>999</v>
      </c>
      <c r="D4" s="492" t="s">
        <v>998</v>
      </c>
      <c r="E4" s="491" t="s">
        <v>997</v>
      </c>
      <c r="F4" s="490" t="s">
        <v>996</v>
      </c>
      <c r="G4" s="489" t="s">
        <v>995</v>
      </c>
    </row>
    <row r="5" spans="1:7" ht="18" hidden="1" customHeight="1" thickTop="1" x14ac:dyDescent="0.25">
      <c r="A5" s="488">
        <v>39264</v>
      </c>
      <c r="B5" s="487">
        <v>10.5</v>
      </c>
      <c r="C5" s="485">
        <v>7.6</v>
      </c>
      <c r="D5" s="484">
        <v>6.4</v>
      </c>
      <c r="E5" s="486">
        <v>7.1</v>
      </c>
      <c r="F5" s="485">
        <v>5.0447389893233385</v>
      </c>
      <c r="G5" s="484">
        <v>5.3791497041713932</v>
      </c>
    </row>
    <row r="6" spans="1:7" ht="15.75" hidden="1" customHeight="1" x14ac:dyDescent="0.25">
      <c r="A6" s="488">
        <v>39295</v>
      </c>
      <c r="B6" s="487">
        <v>10.1</v>
      </c>
      <c r="C6" s="485">
        <v>7</v>
      </c>
      <c r="D6" s="484">
        <v>6.2</v>
      </c>
      <c r="E6" s="486">
        <v>6.8</v>
      </c>
      <c r="F6" s="485">
        <v>3.660396223215745</v>
      </c>
      <c r="G6" s="484">
        <v>4.6578413383237649</v>
      </c>
    </row>
    <row r="7" spans="1:7" ht="15.75" hidden="1" customHeight="1" x14ac:dyDescent="0.25">
      <c r="A7" s="488">
        <v>39326</v>
      </c>
      <c r="B7" s="487">
        <v>9.6999999999999993</v>
      </c>
      <c r="C7" s="485">
        <v>6.4</v>
      </c>
      <c r="D7" s="484">
        <v>6.2</v>
      </c>
      <c r="E7" s="486">
        <v>7.3</v>
      </c>
      <c r="F7" s="485">
        <v>4.7259123460996921</v>
      </c>
      <c r="G7" s="484">
        <v>5.0512072292763222</v>
      </c>
    </row>
    <row r="8" spans="1:7" ht="15.75" hidden="1" customHeight="1" x14ac:dyDescent="0.25">
      <c r="A8" s="488">
        <v>39356</v>
      </c>
      <c r="B8" s="487">
        <v>9.4</v>
      </c>
      <c r="C8" s="485">
        <v>5.9</v>
      </c>
      <c r="D8" s="484">
        <v>6.1</v>
      </c>
      <c r="E8" s="486">
        <v>8.4</v>
      </c>
      <c r="F8" s="485">
        <v>5.0358509954642861</v>
      </c>
      <c r="G8" s="484">
        <v>5.5418515387933631</v>
      </c>
    </row>
    <row r="9" spans="1:7" ht="15.75" hidden="1" customHeight="1" x14ac:dyDescent="0.25">
      <c r="A9" s="488">
        <v>39387</v>
      </c>
      <c r="B9" s="487">
        <v>9.1</v>
      </c>
      <c r="C9" s="485">
        <v>5.4</v>
      </c>
      <c r="D9" s="484">
        <v>6</v>
      </c>
      <c r="E9" s="486">
        <v>8.4</v>
      </c>
      <c r="F9" s="485">
        <v>5.1075033046994012</v>
      </c>
      <c r="G9" s="484">
        <v>5.6431344967298624</v>
      </c>
    </row>
    <row r="10" spans="1:7" ht="18" hidden="1" customHeight="1" x14ac:dyDescent="0.25">
      <c r="A10" s="488">
        <v>39417</v>
      </c>
      <c r="B10" s="487">
        <v>8.8000000000000007</v>
      </c>
      <c r="C10" s="485">
        <v>5</v>
      </c>
      <c r="D10" s="484">
        <v>5.7</v>
      </c>
      <c r="E10" s="486">
        <v>8.6</v>
      </c>
      <c r="F10" s="485">
        <v>5.0604430819486623</v>
      </c>
      <c r="G10" s="484">
        <v>5.591690193063914</v>
      </c>
    </row>
    <row r="11" spans="1:7" ht="15.75" hidden="1" customHeight="1" x14ac:dyDescent="0.25">
      <c r="A11" s="488">
        <v>39448</v>
      </c>
      <c r="B11" s="487">
        <v>8.9</v>
      </c>
      <c r="C11" s="485">
        <v>5.2</v>
      </c>
      <c r="D11" s="484">
        <v>5.7</v>
      </c>
      <c r="E11" s="486">
        <v>9.9</v>
      </c>
      <c r="F11" s="485">
        <v>8.0833099952848819</v>
      </c>
      <c r="G11" s="484">
        <v>5.8939130096091974</v>
      </c>
    </row>
    <row r="12" spans="1:7" ht="15.75" hidden="1" customHeight="1" x14ac:dyDescent="0.25">
      <c r="A12" s="488">
        <v>39479</v>
      </c>
      <c r="B12" s="487">
        <v>9</v>
      </c>
      <c r="C12" s="485">
        <v>5.5</v>
      </c>
      <c r="D12" s="484">
        <v>5.7</v>
      </c>
      <c r="E12" s="486">
        <v>10.1</v>
      </c>
      <c r="F12" s="485">
        <v>8.1201457581817635</v>
      </c>
      <c r="G12" s="484">
        <v>5.8769776464297818</v>
      </c>
    </row>
    <row r="13" spans="1:7" ht="15.75" hidden="1" customHeight="1" x14ac:dyDescent="0.25">
      <c r="A13" s="488">
        <v>39508</v>
      </c>
      <c r="B13" s="487">
        <v>9</v>
      </c>
      <c r="C13" s="485">
        <v>5.8</v>
      </c>
      <c r="D13" s="484">
        <v>5.7</v>
      </c>
      <c r="E13" s="486">
        <v>9.3000000000000007</v>
      </c>
      <c r="F13" s="485">
        <v>8.040251592514668</v>
      </c>
      <c r="G13" s="484">
        <v>5.7638673007165631</v>
      </c>
    </row>
    <row r="14" spans="1:7" ht="15.75" hidden="1" customHeight="1" x14ac:dyDescent="0.25">
      <c r="A14" s="488">
        <v>39539</v>
      </c>
      <c r="B14" s="487">
        <v>8.9</v>
      </c>
      <c r="C14" s="485">
        <v>5.9</v>
      </c>
      <c r="D14" s="484">
        <v>5.6</v>
      </c>
      <c r="E14" s="486">
        <v>9.3000000000000007</v>
      </c>
      <c r="F14" s="485">
        <v>8.9361330582487177</v>
      </c>
      <c r="G14" s="484">
        <v>5.4932220195048842</v>
      </c>
    </row>
    <row r="15" spans="1:7" ht="15.75" hidden="1" customHeight="1" x14ac:dyDescent="0.25">
      <c r="A15" s="488">
        <v>39569</v>
      </c>
      <c r="B15" s="487">
        <v>8.8000000000000007</v>
      </c>
      <c r="C15" s="485">
        <v>6.2</v>
      </c>
      <c r="D15" s="484">
        <v>5.6</v>
      </c>
      <c r="E15" s="486">
        <v>9.8000000000000007</v>
      </c>
      <c r="F15" s="485">
        <v>9.6577736742990083</v>
      </c>
      <c r="G15" s="484">
        <v>5.794506306308933</v>
      </c>
    </row>
    <row r="16" spans="1:7" ht="18" hidden="1" customHeight="1" x14ac:dyDescent="0.25">
      <c r="A16" s="488">
        <v>39600</v>
      </c>
      <c r="B16" s="487">
        <v>8.8000000000000007</v>
      </c>
      <c r="C16" s="485">
        <v>6.6</v>
      </c>
      <c r="D16" s="484">
        <v>5.5</v>
      </c>
      <c r="E16" s="486">
        <v>9.6999999999999993</v>
      </c>
      <c r="F16" s="485">
        <v>9.5081961476281673</v>
      </c>
      <c r="G16" s="484">
        <v>5.6213344566487633</v>
      </c>
    </row>
    <row r="17" spans="1:7" ht="15.75" hidden="1" customHeight="1" x14ac:dyDescent="0.25">
      <c r="A17" s="488">
        <v>39630</v>
      </c>
      <c r="B17" s="487">
        <v>9.1</v>
      </c>
      <c r="C17" s="485">
        <v>7.2</v>
      </c>
      <c r="D17" s="484">
        <v>5.7</v>
      </c>
      <c r="E17" s="486">
        <v>11.5</v>
      </c>
      <c r="F17" s="485">
        <v>9.7841687888659443</v>
      </c>
      <c r="G17" s="484">
        <v>6.5123230240075047</v>
      </c>
    </row>
    <row r="18" spans="1:7" ht="15.75" hidden="1" customHeight="1" x14ac:dyDescent="0.25">
      <c r="A18" s="488">
        <v>39661</v>
      </c>
      <c r="B18" s="487">
        <v>9.5</v>
      </c>
      <c r="C18" s="485">
        <v>7.8</v>
      </c>
      <c r="D18" s="484">
        <v>5.9</v>
      </c>
      <c r="E18" s="486">
        <v>11.7</v>
      </c>
      <c r="F18" s="485">
        <v>10.993643685765676</v>
      </c>
      <c r="G18" s="484">
        <v>6.8536562588299876</v>
      </c>
    </row>
    <row r="19" spans="1:7" ht="15.75" hidden="1" customHeight="1" x14ac:dyDescent="0.25">
      <c r="A19" s="488">
        <v>39692</v>
      </c>
      <c r="B19" s="487">
        <v>9.8000000000000007</v>
      </c>
      <c r="C19" s="485">
        <v>8.3000000000000007</v>
      </c>
      <c r="D19" s="484">
        <v>6</v>
      </c>
      <c r="E19" s="486">
        <v>10.8</v>
      </c>
      <c r="F19" s="485">
        <v>9.8195982173374219</v>
      </c>
      <c r="G19" s="484">
        <v>6.4433775822698935</v>
      </c>
    </row>
    <row r="20" spans="1:7" ht="15.75" hidden="1" customHeight="1" x14ac:dyDescent="0.25">
      <c r="A20" s="488">
        <v>39722</v>
      </c>
      <c r="B20" s="487">
        <v>9.9</v>
      </c>
      <c r="C20" s="485">
        <v>8.5</v>
      </c>
      <c r="D20" s="484">
        <v>6.1</v>
      </c>
      <c r="E20" s="486">
        <v>9.6999999999999993</v>
      </c>
      <c r="F20" s="485">
        <v>8.9465899755739819</v>
      </c>
      <c r="G20" s="484">
        <v>6.4005280366357997</v>
      </c>
    </row>
    <row r="21" spans="1:7" ht="15.75" hidden="1" customHeight="1" x14ac:dyDescent="0.25">
      <c r="A21" s="488">
        <v>39753</v>
      </c>
      <c r="B21" s="487">
        <v>9.9</v>
      </c>
      <c r="C21" s="485">
        <v>8.6999999999999993</v>
      </c>
      <c r="D21" s="484">
        <v>6.1</v>
      </c>
      <c r="E21" s="486">
        <v>8.2713754646840165</v>
      </c>
      <c r="F21" s="485">
        <v>6.8990683520289142</v>
      </c>
      <c r="G21" s="484">
        <v>6.3701621367625583</v>
      </c>
    </row>
    <row r="22" spans="1:7" ht="18" hidden="1" customHeight="1" x14ac:dyDescent="0.25">
      <c r="A22" s="488">
        <v>39783</v>
      </c>
      <c r="B22" s="487">
        <v>9.6999999999999993</v>
      </c>
      <c r="C22" s="485">
        <v>8.6999999999999993</v>
      </c>
      <c r="D22" s="484">
        <v>6.1</v>
      </c>
      <c r="E22" s="486">
        <v>6.7467652495379005</v>
      </c>
      <c r="F22" s="485">
        <v>5.9330079144542136</v>
      </c>
      <c r="G22" s="484">
        <v>6.1671895591780546</v>
      </c>
    </row>
    <row r="23" spans="1:7" ht="15.75" hidden="1" customHeight="1" x14ac:dyDescent="0.25">
      <c r="A23" s="488">
        <v>39814</v>
      </c>
      <c r="B23" s="487">
        <v>9.3000000000000007</v>
      </c>
      <c r="C23" s="485">
        <v>8.4</v>
      </c>
      <c r="D23" s="484">
        <v>6</v>
      </c>
      <c r="E23" s="486">
        <v>5.2007299270073082</v>
      </c>
      <c r="F23" s="485">
        <v>3.9884438505438213</v>
      </c>
      <c r="G23" s="484">
        <v>5.0258446525900391</v>
      </c>
    </row>
    <row r="24" spans="1:7" ht="15.75" hidden="1" customHeight="1" x14ac:dyDescent="0.25">
      <c r="A24" s="488">
        <v>39845</v>
      </c>
      <c r="B24" s="487">
        <v>8.8000000000000007</v>
      </c>
      <c r="C24" s="485">
        <v>8</v>
      </c>
      <c r="D24" s="484">
        <v>5.9</v>
      </c>
      <c r="E24" s="486">
        <v>4.6070460704606964</v>
      </c>
      <c r="F24" s="485">
        <v>4.2105221514626034</v>
      </c>
      <c r="G24" s="484">
        <v>4.7818791575772623</v>
      </c>
    </row>
    <row r="25" spans="1:7" ht="15.75" hidden="1" customHeight="1" x14ac:dyDescent="0.25">
      <c r="A25" s="488">
        <v>39873</v>
      </c>
      <c r="B25" s="487">
        <v>8.5</v>
      </c>
      <c r="C25" s="485">
        <v>7.6</v>
      </c>
      <c r="D25" s="484">
        <v>5.8</v>
      </c>
      <c r="E25" s="486">
        <v>4.8</v>
      </c>
      <c r="F25" s="485">
        <v>4.0999999999999996</v>
      </c>
      <c r="G25" s="484">
        <v>4.8</v>
      </c>
    </row>
    <row r="26" spans="1:7" ht="15.75" hidden="1" customHeight="1" x14ac:dyDescent="0.25">
      <c r="A26" s="488">
        <v>39904</v>
      </c>
      <c r="B26" s="487">
        <v>8</v>
      </c>
      <c r="C26" s="485">
        <v>7.1</v>
      </c>
      <c r="D26" s="484">
        <v>5.7</v>
      </c>
      <c r="E26" s="486">
        <v>3.8</v>
      </c>
      <c r="F26" s="485">
        <v>3.7</v>
      </c>
      <c r="G26" s="484">
        <v>4.7</v>
      </c>
    </row>
    <row r="27" spans="1:7" ht="15.75" hidden="1" customHeight="1" x14ac:dyDescent="0.25">
      <c r="A27" s="488">
        <v>39934</v>
      </c>
      <c r="B27" s="487">
        <v>7.4</v>
      </c>
      <c r="C27" s="485">
        <v>6.5</v>
      </c>
      <c r="D27" s="484">
        <v>5.6</v>
      </c>
      <c r="E27" s="486">
        <v>2.8</v>
      </c>
      <c r="F27" s="485">
        <v>2.7</v>
      </c>
      <c r="G27" s="484">
        <v>4.0999999999999996</v>
      </c>
    </row>
    <row r="28" spans="1:7" ht="18" hidden="1" customHeight="1" x14ac:dyDescent="0.25">
      <c r="A28" s="488">
        <v>39965</v>
      </c>
      <c r="B28" s="487">
        <v>6.9</v>
      </c>
      <c r="C28" s="485">
        <v>6.1</v>
      </c>
      <c r="D28" s="484">
        <v>5.5</v>
      </c>
      <c r="E28" s="486">
        <v>3.3</v>
      </c>
      <c r="F28" s="485">
        <v>3.6</v>
      </c>
      <c r="G28" s="484">
        <v>4.5</v>
      </c>
    </row>
    <row r="29" spans="1:7" ht="15.75" hidden="1" customHeight="1" x14ac:dyDescent="0.25">
      <c r="A29" s="488">
        <v>39995</v>
      </c>
      <c r="B29" s="487">
        <v>6.1</v>
      </c>
      <c r="C29" s="485">
        <v>5.5</v>
      </c>
      <c r="D29" s="484">
        <v>5.4</v>
      </c>
      <c r="E29" s="486">
        <v>1.9</v>
      </c>
      <c r="F29" s="485">
        <v>1.6</v>
      </c>
      <c r="G29" s="484">
        <v>3.9</v>
      </c>
    </row>
    <row r="30" spans="1:7" ht="15.75" hidden="1" customHeight="1" x14ac:dyDescent="0.25">
      <c r="A30" s="488">
        <v>40026</v>
      </c>
      <c r="B30" s="487">
        <v>5.2</v>
      </c>
      <c r="C30" s="485">
        <v>4.5999999999999996</v>
      </c>
      <c r="D30" s="484">
        <v>5.0999999999999996</v>
      </c>
      <c r="E30" s="486">
        <v>1</v>
      </c>
      <c r="F30" s="485">
        <v>0.7</v>
      </c>
      <c r="G30" s="484">
        <v>3.5</v>
      </c>
    </row>
    <row r="31" spans="1:7" ht="15.75" hidden="1" customHeight="1" x14ac:dyDescent="0.25">
      <c r="A31" s="488">
        <v>40057</v>
      </c>
      <c r="B31" s="487">
        <v>4.4000000000000004</v>
      </c>
      <c r="C31" s="485">
        <v>3.9</v>
      </c>
      <c r="D31" s="484">
        <v>4.8</v>
      </c>
      <c r="E31" s="486">
        <v>0.9</v>
      </c>
      <c r="F31" s="485">
        <v>1</v>
      </c>
      <c r="G31" s="484">
        <v>3.3</v>
      </c>
    </row>
    <row r="32" spans="1:7" ht="15.75" hidden="1" customHeight="1" x14ac:dyDescent="0.25">
      <c r="A32" s="488">
        <v>40087</v>
      </c>
      <c r="B32" s="487">
        <v>3.6</v>
      </c>
      <c r="C32" s="485">
        <v>3.2</v>
      </c>
      <c r="D32" s="484">
        <v>4.5</v>
      </c>
      <c r="E32" s="486">
        <v>0.1</v>
      </c>
      <c r="F32" s="485">
        <v>0.2</v>
      </c>
      <c r="G32" s="484">
        <v>2.7</v>
      </c>
    </row>
    <row r="33" spans="1:7" ht="15.75" hidden="1" customHeight="1" x14ac:dyDescent="0.25">
      <c r="A33" s="488">
        <v>40118</v>
      </c>
      <c r="B33" s="487">
        <v>2.9</v>
      </c>
      <c r="C33" s="485">
        <v>2.7</v>
      </c>
      <c r="D33" s="484">
        <v>4.0999999999999996</v>
      </c>
      <c r="E33" s="486">
        <v>0.7</v>
      </c>
      <c r="F33" s="485">
        <v>1.2</v>
      </c>
      <c r="G33" s="484">
        <v>2.2999999999999998</v>
      </c>
    </row>
    <row r="34" spans="1:7" ht="18" hidden="1" customHeight="1" x14ac:dyDescent="0.25">
      <c r="A34" s="488">
        <v>40148</v>
      </c>
      <c r="B34" s="487">
        <v>2.5</v>
      </c>
      <c r="C34" s="485">
        <v>2.4</v>
      </c>
      <c r="D34" s="484">
        <v>3.8</v>
      </c>
      <c r="E34" s="486">
        <v>1.5</v>
      </c>
      <c r="F34" s="485">
        <v>2.4</v>
      </c>
      <c r="G34" s="484">
        <v>2.2000000000000002</v>
      </c>
    </row>
    <row r="35" spans="1:7" ht="15.75" hidden="1" customHeight="1" x14ac:dyDescent="0.25">
      <c r="A35" s="488">
        <v>40179</v>
      </c>
      <c r="B35" s="487">
        <v>2.2999999999999998</v>
      </c>
      <c r="C35" s="485">
        <v>2.4</v>
      </c>
      <c r="D35" s="484">
        <v>3.6</v>
      </c>
      <c r="E35" s="486">
        <v>2.5</v>
      </c>
      <c r="F35" s="485">
        <v>3.3</v>
      </c>
      <c r="G35" s="484">
        <v>2.6</v>
      </c>
    </row>
    <row r="36" spans="1:7" ht="15.75" hidden="1" customHeight="1" x14ac:dyDescent="0.25">
      <c r="A36" s="488">
        <v>40210</v>
      </c>
      <c r="B36" s="487">
        <v>2.1</v>
      </c>
      <c r="C36" s="485">
        <v>2.2999999999999998</v>
      </c>
      <c r="D36" s="484">
        <v>3.4</v>
      </c>
      <c r="E36" s="486">
        <v>2.4</v>
      </c>
      <c r="F36" s="485">
        <v>3.2</v>
      </c>
      <c r="G36" s="484">
        <v>2.2999999999999998</v>
      </c>
    </row>
    <row r="37" spans="1:7" ht="15.75" hidden="1" customHeight="1" x14ac:dyDescent="0.25">
      <c r="A37" s="488">
        <v>40238</v>
      </c>
      <c r="B37" s="487">
        <v>1.9</v>
      </c>
      <c r="C37" s="485">
        <v>2.2000000000000002</v>
      </c>
      <c r="D37" s="484">
        <v>3.2</v>
      </c>
      <c r="E37" s="486">
        <v>2.2999999999999998</v>
      </c>
      <c r="F37" s="485">
        <v>3.3</v>
      </c>
      <c r="G37" s="484">
        <v>2.2000000000000002</v>
      </c>
    </row>
    <row r="38" spans="1:7" ht="15.75" hidden="1" customHeight="1" x14ac:dyDescent="0.25">
      <c r="A38" s="488">
        <v>40269</v>
      </c>
      <c r="B38" s="487">
        <v>1.8</v>
      </c>
      <c r="C38" s="485">
        <v>2.2000000000000002</v>
      </c>
      <c r="D38" s="484">
        <v>3</v>
      </c>
      <c r="E38" s="486">
        <v>2.7</v>
      </c>
      <c r="F38" s="485">
        <v>3.2</v>
      </c>
      <c r="G38" s="484">
        <v>2.1</v>
      </c>
    </row>
    <row r="39" spans="1:7" ht="15.75" hidden="1" customHeight="1" x14ac:dyDescent="0.25">
      <c r="A39" s="488">
        <v>40299</v>
      </c>
      <c r="B39" s="487">
        <v>1.8</v>
      </c>
      <c r="C39" s="485">
        <v>2.2000000000000002</v>
      </c>
      <c r="D39" s="484">
        <v>2.8</v>
      </c>
      <c r="E39" s="486">
        <v>2.5</v>
      </c>
      <c r="F39" s="485">
        <v>2.8</v>
      </c>
      <c r="G39" s="484">
        <v>2.2000000000000002</v>
      </c>
    </row>
    <row r="40" spans="1:7" ht="18" hidden="1" customHeight="1" x14ac:dyDescent="0.25">
      <c r="A40" s="488">
        <v>40330</v>
      </c>
      <c r="B40" s="487">
        <v>1.7</v>
      </c>
      <c r="C40" s="485">
        <v>2.2000000000000002</v>
      </c>
      <c r="D40" s="484">
        <v>2.6</v>
      </c>
      <c r="E40" s="486">
        <v>2.4</v>
      </c>
      <c r="F40" s="485">
        <v>3</v>
      </c>
      <c r="G40" s="484">
        <v>2.4</v>
      </c>
    </row>
    <row r="41" spans="1:7" ht="15.75" hidden="1" customHeight="1" x14ac:dyDescent="0.25">
      <c r="A41" s="488">
        <v>40360</v>
      </c>
      <c r="B41" s="487">
        <v>1.8</v>
      </c>
      <c r="C41" s="485">
        <v>2.2000000000000002</v>
      </c>
      <c r="D41" s="484">
        <v>2.5</v>
      </c>
      <c r="E41" s="486">
        <v>2</v>
      </c>
      <c r="F41" s="485">
        <v>1.7</v>
      </c>
      <c r="G41" s="484">
        <v>2.7</v>
      </c>
    </row>
    <row r="42" spans="1:7" ht="15.75" hidden="1" customHeight="1" x14ac:dyDescent="0.25">
      <c r="A42" s="488">
        <v>40391</v>
      </c>
      <c r="B42" s="487">
        <v>1.9</v>
      </c>
      <c r="C42" s="485">
        <v>2.4</v>
      </c>
      <c r="D42" s="484">
        <v>2.5</v>
      </c>
      <c r="E42" s="486">
        <v>2.6</v>
      </c>
      <c r="F42" s="485">
        <v>3.2</v>
      </c>
      <c r="G42" s="484">
        <v>3</v>
      </c>
    </row>
    <row r="43" spans="1:7" ht="15.75" hidden="1" customHeight="1" x14ac:dyDescent="0.25">
      <c r="A43" s="488">
        <v>40422</v>
      </c>
      <c r="B43" s="487">
        <v>2</v>
      </c>
      <c r="C43" s="485">
        <v>2.4</v>
      </c>
      <c r="D43" s="484">
        <v>2.5</v>
      </c>
      <c r="E43" s="486">
        <v>2.5</v>
      </c>
      <c r="F43" s="485">
        <v>1.9</v>
      </c>
      <c r="G43" s="484">
        <v>3</v>
      </c>
    </row>
    <row r="44" spans="1:7" ht="15.75" hidden="1" customHeight="1" x14ac:dyDescent="0.25">
      <c r="A44" s="488">
        <v>40452</v>
      </c>
      <c r="B44" s="487">
        <v>2.2999999999999998</v>
      </c>
      <c r="C44" s="485">
        <v>2.7</v>
      </c>
      <c r="D44" s="484">
        <v>2.5</v>
      </c>
      <c r="E44" s="486">
        <v>3.2</v>
      </c>
      <c r="F44" s="485">
        <v>3.3</v>
      </c>
      <c r="G44" s="484">
        <v>3.3</v>
      </c>
    </row>
    <row r="45" spans="1:7" ht="15.75" hidden="1" customHeight="1" x14ac:dyDescent="0.25">
      <c r="A45" s="488">
        <v>40483</v>
      </c>
      <c r="B45" s="487">
        <v>2.5</v>
      </c>
      <c r="C45" s="485">
        <v>2.9</v>
      </c>
      <c r="D45" s="484">
        <v>2.6</v>
      </c>
      <c r="E45" s="486">
        <v>3.9</v>
      </c>
      <c r="F45" s="485">
        <v>3.7</v>
      </c>
      <c r="G45" s="484">
        <v>3.1</v>
      </c>
    </row>
    <row r="46" spans="1:7" ht="18" hidden="1" customHeight="1" x14ac:dyDescent="0.25">
      <c r="A46" s="488">
        <v>40513</v>
      </c>
      <c r="B46" s="487">
        <v>2.9</v>
      </c>
      <c r="C46" s="485">
        <v>3.2</v>
      </c>
      <c r="D46" s="484">
        <v>2.8</v>
      </c>
      <c r="E46" s="486">
        <v>6.1</v>
      </c>
      <c r="F46" s="485">
        <v>5.0999999999999996</v>
      </c>
      <c r="G46" s="484">
        <v>4.4000000000000004</v>
      </c>
    </row>
    <row r="47" spans="1:7" ht="15.75" hidden="1" customHeight="1" x14ac:dyDescent="0.25">
      <c r="A47" s="488">
        <v>40544</v>
      </c>
      <c r="B47" s="487">
        <v>3.3</v>
      </c>
      <c r="C47" s="485">
        <v>3.4</v>
      </c>
      <c r="D47" s="484">
        <v>3</v>
      </c>
      <c r="E47" s="486">
        <v>6.4</v>
      </c>
      <c r="F47" s="485">
        <v>6.2</v>
      </c>
      <c r="G47" s="484">
        <v>4.8</v>
      </c>
    </row>
    <row r="48" spans="1:7" ht="15.75" hidden="1" customHeight="1" x14ac:dyDescent="0.25">
      <c r="A48" s="488">
        <v>40575</v>
      </c>
      <c r="B48" s="487">
        <v>3.6</v>
      </c>
      <c r="C48" s="485">
        <v>3.7</v>
      </c>
      <c r="D48" s="484">
        <v>3.2</v>
      </c>
      <c r="E48" s="486">
        <v>6.8</v>
      </c>
      <c r="F48" s="485">
        <v>6.4</v>
      </c>
      <c r="G48" s="484">
        <v>5.0999999999999996</v>
      </c>
    </row>
    <row r="49" spans="1:7" ht="15.75" hidden="1" customHeight="1" x14ac:dyDescent="0.25">
      <c r="A49" s="488">
        <v>40603</v>
      </c>
      <c r="B49" s="487">
        <v>4</v>
      </c>
      <c r="C49" s="485">
        <v>4</v>
      </c>
      <c r="D49" s="484">
        <v>3.5</v>
      </c>
      <c r="E49" s="486">
        <v>7.2</v>
      </c>
      <c r="F49" s="485">
        <v>7</v>
      </c>
      <c r="G49" s="484">
        <v>5.4</v>
      </c>
    </row>
    <row r="50" spans="1:7" ht="15.75" hidden="1" customHeight="1" x14ac:dyDescent="0.25">
      <c r="A50" s="488">
        <v>40634</v>
      </c>
      <c r="B50" s="487">
        <v>4.4000000000000004</v>
      </c>
      <c r="C50" s="485">
        <v>4.3</v>
      </c>
      <c r="D50" s="484">
        <v>3.8</v>
      </c>
      <c r="E50" s="486">
        <v>7</v>
      </c>
      <c r="F50" s="485">
        <v>6.6</v>
      </c>
      <c r="G50" s="484">
        <v>6</v>
      </c>
    </row>
    <row r="51" spans="1:7" ht="15.75" hidden="1" customHeight="1" x14ac:dyDescent="0.25">
      <c r="A51" s="488">
        <v>40664</v>
      </c>
      <c r="B51" s="487">
        <v>4.8</v>
      </c>
      <c r="C51" s="485">
        <v>4.5999999999999996</v>
      </c>
      <c r="D51" s="484">
        <v>4.0999999999999996</v>
      </c>
      <c r="E51" s="486">
        <v>7.1</v>
      </c>
      <c r="F51" s="485">
        <v>7</v>
      </c>
      <c r="G51" s="484">
        <v>5.8</v>
      </c>
    </row>
    <row r="52" spans="1:7" ht="18" hidden="1" customHeight="1" x14ac:dyDescent="0.25">
      <c r="A52" s="488">
        <v>40695</v>
      </c>
      <c r="B52" s="487">
        <v>5.0999999999999996</v>
      </c>
      <c r="C52" s="485">
        <v>4.8</v>
      </c>
      <c r="D52" s="484">
        <v>4.3</v>
      </c>
      <c r="E52" s="486">
        <v>6.6</v>
      </c>
      <c r="F52" s="485">
        <v>5.9</v>
      </c>
      <c r="G52" s="484">
        <v>5.3</v>
      </c>
    </row>
    <row r="53" spans="1:7" ht="15.75" hidden="1" customHeight="1" x14ac:dyDescent="0.25">
      <c r="A53" s="488">
        <v>40725</v>
      </c>
      <c r="B53" s="487">
        <v>5.5</v>
      </c>
      <c r="C53" s="485">
        <v>5.2</v>
      </c>
      <c r="D53" s="484">
        <v>4.5</v>
      </c>
      <c r="E53" s="486">
        <v>6.7</v>
      </c>
      <c r="F53" s="485">
        <v>6.4</v>
      </c>
      <c r="G53" s="484">
        <v>4.9000000000000004</v>
      </c>
    </row>
    <row r="54" spans="1:7" ht="15.75" hidden="1" customHeight="1" x14ac:dyDescent="0.25">
      <c r="A54" s="488">
        <v>40756</v>
      </c>
      <c r="B54" s="487">
        <v>5.8</v>
      </c>
      <c r="C54" s="485">
        <v>5.5</v>
      </c>
      <c r="D54" s="484">
        <v>4.7</v>
      </c>
      <c r="E54" s="486">
        <v>6.5</v>
      </c>
      <c r="F54" s="485">
        <v>5.7</v>
      </c>
      <c r="G54" s="484">
        <v>4.8</v>
      </c>
    </row>
    <row r="55" spans="1:7" ht="15.75" hidden="1" customHeight="1" x14ac:dyDescent="0.25">
      <c r="A55" s="488">
        <v>40787</v>
      </c>
      <c r="B55" s="487">
        <v>6.2</v>
      </c>
      <c r="C55" s="485">
        <v>5.8</v>
      </c>
      <c r="D55" s="484">
        <v>4.8</v>
      </c>
      <c r="E55" s="486">
        <v>6.3</v>
      </c>
      <c r="F55" s="485">
        <v>5.9</v>
      </c>
      <c r="G55" s="484">
        <v>4.0999999999999996</v>
      </c>
    </row>
    <row r="56" spans="1:7" ht="15.75" hidden="1" customHeight="1" x14ac:dyDescent="0.25">
      <c r="A56" s="488">
        <v>40817</v>
      </c>
      <c r="B56" s="487">
        <v>6.4</v>
      </c>
      <c r="C56" s="485">
        <v>5.9</v>
      </c>
      <c r="D56" s="484">
        <v>4.8</v>
      </c>
      <c r="E56" s="486">
        <v>6</v>
      </c>
      <c r="F56" s="485">
        <v>5.3</v>
      </c>
      <c r="G56" s="484">
        <v>3.9</v>
      </c>
    </row>
    <row r="57" spans="1:7" ht="15.75" hidden="1" customHeight="1" x14ac:dyDescent="0.25">
      <c r="A57" s="488">
        <v>40848</v>
      </c>
      <c r="B57" s="487">
        <v>6.6</v>
      </c>
      <c r="C57" s="485">
        <v>6.1</v>
      </c>
      <c r="D57" s="484">
        <v>4.9000000000000004</v>
      </c>
      <c r="E57" s="486">
        <v>7</v>
      </c>
      <c r="F57" s="485">
        <v>5.5</v>
      </c>
      <c r="G57" s="484">
        <v>4.0999999999999996</v>
      </c>
    </row>
    <row r="58" spans="1:7" ht="18" hidden="1" customHeight="1" x14ac:dyDescent="0.25">
      <c r="A58" s="488">
        <v>40878</v>
      </c>
      <c r="B58" s="487">
        <v>6.5</v>
      </c>
      <c r="C58" s="485">
        <v>6</v>
      </c>
      <c r="D58" s="484">
        <v>4.8</v>
      </c>
      <c r="E58" s="486">
        <v>4.8</v>
      </c>
      <c r="F58" s="485">
        <v>3.8</v>
      </c>
      <c r="G58" s="484">
        <v>3</v>
      </c>
    </row>
    <row r="59" spans="1:7" ht="15.75" hidden="1" customHeight="1" x14ac:dyDescent="0.25">
      <c r="A59" s="488">
        <v>40909</v>
      </c>
      <c r="B59" s="487">
        <v>6.4</v>
      </c>
      <c r="C59" s="485">
        <v>5.8</v>
      </c>
      <c r="D59" s="484">
        <v>4.5999999999999996</v>
      </c>
      <c r="E59" s="486">
        <v>4.8</v>
      </c>
      <c r="F59" s="485">
        <v>4.2</v>
      </c>
      <c r="G59" s="484">
        <v>3.4</v>
      </c>
    </row>
    <row r="60" spans="1:7" ht="15.75" hidden="1" customHeight="1" x14ac:dyDescent="0.25">
      <c r="A60" s="488">
        <v>40940</v>
      </c>
      <c r="B60" s="487">
        <v>6.2</v>
      </c>
      <c r="C60" s="485">
        <v>5.6</v>
      </c>
      <c r="D60" s="484">
        <v>4.5</v>
      </c>
      <c r="E60" s="486">
        <v>4.0999999999999996</v>
      </c>
      <c r="F60" s="485">
        <v>3.6</v>
      </c>
      <c r="G60" s="484">
        <v>3.4</v>
      </c>
    </row>
    <row r="61" spans="1:7" ht="15.75" hidden="1" customHeight="1" x14ac:dyDescent="0.25">
      <c r="A61" s="488">
        <v>40969</v>
      </c>
      <c r="B61" s="487">
        <v>5.9</v>
      </c>
      <c r="C61" s="485">
        <v>5.3</v>
      </c>
      <c r="D61" s="484">
        <v>4.3</v>
      </c>
      <c r="E61" s="486">
        <v>3.8</v>
      </c>
      <c r="F61" s="485">
        <v>3.4</v>
      </c>
      <c r="G61" s="484">
        <v>3.3</v>
      </c>
    </row>
    <row r="62" spans="1:7" ht="15.75" hidden="1" customHeight="1" x14ac:dyDescent="0.25">
      <c r="A62" s="488">
        <v>41000</v>
      </c>
      <c r="B62" s="487">
        <v>5.6</v>
      </c>
      <c r="C62" s="485">
        <v>5</v>
      </c>
      <c r="D62" s="484">
        <v>4.0999999999999996</v>
      </c>
      <c r="E62" s="486">
        <v>3.8</v>
      </c>
      <c r="F62" s="485">
        <v>3.1</v>
      </c>
      <c r="G62" s="484">
        <v>2.8</v>
      </c>
    </row>
    <row r="63" spans="1:7" ht="15.75" hidden="1" customHeight="1" x14ac:dyDescent="0.25">
      <c r="A63" s="488">
        <v>41030</v>
      </c>
      <c r="B63" s="487">
        <v>5.3</v>
      </c>
      <c r="C63" s="485">
        <v>4.5999999999999996</v>
      </c>
      <c r="D63" s="484">
        <v>3.8</v>
      </c>
      <c r="E63" s="486">
        <v>3.8</v>
      </c>
      <c r="F63" s="485">
        <v>3.1</v>
      </c>
      <c r="G63" s="484">
        <v>2.8</v>
      </c>
    </row>
    <row r="64" spans="1:7" ht="18" hidden="1" customHeight="1" x14ac:dyDescent="0.25">
      <c r="A64" s="488">
        <v>41061</v>
      </c>
      <c r="B64" s="487">
        <v>5.0999999999999996</v>
      </c>
      <c r="C64" s="485">
        <v>4.4000000000000004</v>
      </c>
      <c r="D64" s="484">
        <v>3.6</v>
      </c>
      <c r="E64" s="486">
        <v>3.9</v>
      </c>
      <c r="F64" s="485">
        <v>3.1</v>
      </c>
      <c r="G64" s="484">
        <v>2.7</v>
      </c>
    </row>
    <row r="65" spans="1:7" ht="15.75" hidden="1" customHeight="1" x14ac:dyDescent="0.25">
      <c r="A65" s="488">
        <v>41091</v>
      </c>
      <c r="B65" s="487">
        <v>4.9000000000000004</v>
      </c>
      <c r="C65" s="485">
        <v>4.0999999999999996</v>
      </c>
      <c r="D65" s="484">
        <v>3.4</v>
      </c>
      <c r="E65" s="486">
        <v>3.7</v>
      </c>
      <c r="F65" s="485">
        <v>3</v>
      </c>
      <c r="G65" s="484">
        <v>2.8</v>
      </c>
    </row>
    <row r="66" spans="1:7" ht="15.75" hidden="1" customHeight="1" x14ac:dyDescent="0.25">
      <c r="A66" s="488">
        <v>41122</v>
      </c>
      <c r="B66" s="487">
        <v>4.5999999999999996</v>
      </c>
      <c r="C66" s="485">
        <v>3.9</v>
      </c>
      <c r="D66" s="484">
        <v>3.2</v>
      </c>
      <c r="E66" s="486">
        <v>3.7</v>
      </c>
      <c r="F66" s="485">
        <v>3</v>
      </c>
      <c r="G66" s="484">
        <v>2.7</v>
      </c>
    </row>
    <row r="67" spans="1:7" ht="15.75" hidden="1" customHeight="1" x14ac:dyDescent="0.25">
      <c r="A67" s="488">
        <v>41153</v>
      </c>
      <c r="B67" s="487">
        <v>4.4000000000000004</v>
      </c>
      <c r="C67" s="485">
        <v>3.7</v>
      </c>
      <c r="D67" s="484">
        <v>3.2</v>
      </c>
      <c r="E67" s="486">
        <v>3.9</v>
      </c>
      <c r="F67" s="485">
        <v>3.4</v>
      </c>
      <c r="G67" s="484">
        <v>3.3</v>
      </c>
    </row>
    <row r="68" spans="1:7" ht="15.75" hidden="1" customHeight="1" x14ac:dyDescent="0.25">
      <c r="A68" s="488">
        <v>41183</v>
      </c>
      <c r="B68" s="487">
        <v>4.3</v>
      </c>
      <c r="C68" s="485">
        <v>3.6</v>
      </c>
      <c r="D68" s="484">
        <v>3.1</v>
      </c>
      <c r="E68" s="486">
        <v>4.2</v>
      </c>
      <c r="F68" s="485">
        <v>3.6</v>
      </c>
      <c r="G68" s="484">
        <v>3.5</v>
      </c>
    </row>
    <row r="69" spans="1:7" ht="15.75" hidden="1" customHeight="1" x14ac:dyDescent="0.25">
      <c r="A69" s="488">
        <v>41214</v>
      </c>
      <c r="B69" s="487">
        <v>4</v>
      </c>
      <c r="C69" s="485">
        <v>3.4</v>
      </c>
      <c r="D69" s="484">
        <v>3.1</v>
      </c>
      <c r="E69" s="486">
        <v>3.1</v>
      </c>
      <c r="F69" s="485">
        <v>3.2</v>
      </c>
      <c r="G69" s="484">
        <v>3</v>
      </c>
    </row>
    <row r="70" spans="1:7" ht="18" hidden="1" customHeight="1" x14ac:dyDescent="0.25">
      <c r="A70" s="488">
        <v>41244</v>
      </c>
      <c r="B70" s="487">
        <v>3.9</v>
      </c>
      <c r="C70" s="485">
        <v>3.3</v>
      </c>
      <c r="D70" s="484">
        <v>3</v>
      </c>
      <c r="E70" s="486">
        <v>3.2</v>
      </c>
      <c r="F70" s="485">
        <v>3.2</v>
      </c>
      <c r="G70" s="484">
        <v>3</v>
      </c>
    </row>
    <row r="71" spans="1:7" ht="15.75" hidden="1" customHeight="1" x14ac:dyDescent="0.25">
      <c r="A71" s="488">
        <v>41275</v>
      </c>
      <c r="B71" s="487">
        <v>3.7</v>
      </c>
      <c r="C71" s="485">
        <v>3.2</v>
      </c>
      <c r="D71" s="484">
        <v>3</v>
      </c>
      <c r="E71" s="486">
        <v>2.9</v>
      </c>
      <c r="F71" s="485">
        <v>2.2000000000000002</v>
      </c>
      <c r="G71" s="484">
        <v>2.6</v>
      </c>
    </row>
    <row r="72" spans="1:7" ht="15.75" hidden="1" customHeight="1" x14ac:dyDescent="0.25">
      <c r="A72" s="488">
        <v>41306</v>
      </c>
      <c r="B72" s="487">
        <v>3.6</v>
      </c>
      <c r="C72" s="485">
        <v>3</v>
      </c>
      <c r="D72" s="484">
        <v>2.9</v>
      </c>
      <c r="E72" s="486">
        <v>3.6</v>
      </c>
      <c r="F72" s="485">
        <v>2.2000000000000002</v>
      </c>
      <c r="G72" s="484">
        <v>2.6</v>
      </c>
    </row>
    <row r="73" spans="1:7" ht="15.75" hidden="1" customHeight="1" x14ac:dyDescent="0.25">
      <c r="A73" s="488">
        <v>41334</v>
      </c>
      <c r="B73" s="487">
        <v>3.6</v>
      </c>
      <c r="C73" s="485">
        <v>3</v>
      </c>
      <c r="D73" s="484">
        <v>2.9</v>
      </c>
      <c r="E73" s="486">
        <v>3.6</v>
      </c>
      <c r="F73" s="485">
        <v>2.7</v>
      </c>
      <c r="G73" s="484">
        <v>2.7</v>
      </c>
    </row>
    <row r="74" spans="1:7" ht="15.75" hidden="1" customHeight="1" x14ac:dyDescent="0.25">
      <c r="A74" s="488">
        <v>41365</v>
      </c>
      <c r="B74" s="487">
        <v>3.6</v>
      </c>
      <c r="C74" s="485">
        <v>2.9</v>
      </c>
      <c r="D74" s="484">
        <v>2.8</v>
      </c>
      <c r="E74" s="486">
        <v>3.8</v>
      </c>
      <c r="F74" s="485">
        <v>2.6</v>
      </c>
      <c r="G74" s="484">
        <v>2.6</v>
      </c>
    </row>
    <row r="75" spans="1:7" ht="15.75" hidden="1" customHeight="1" x14ac:dyDescent="0.25">
      <c r="A75" s="488">
        <v>41395</v>
      </c>
      <c r="B75" s="487">
        <v>3.6</v>
      </c>
      <c r="C75" s="485">
        <v>2.9</v>
      </c>
      <c r="D75" s="484">
        <v>2.8</v>
      </c>
      <c r="E75" s="486">
        <v>3.7</v>
      </c>
      <c r="F75" s="485">
        <v>2.6</v>
      </c>
      <c r="G75" s="484">
        <v>2.5</v>
      </c>
    </row>
    <row r="76" spans="1:7" ht="18" hidden="1" customHeight="1" x14ac:dyDescent="0.25">
      <c r="A76" s="488">
        <v>41426</v>
      </c>
      <c r="B76" s="487">
        <v>3.6</v>
      </c>
      <c r="C76" s="485">
        <v>2.8</v>
      </c>
      <c r="D76" s="484">
        <v>2.8</v>
      </c>
      <c r="E76" s="486">
        <v>3.6</v>
      </c>
      <c r="F76" s="485">
        <v>2.5</v>
      </c>
      <c r="G76" s="484">
        <v>2.4</v>
      </c>
    </row>
    <row r="77" spans="1:7" ht="15.75" hidden="1" customHeight="1" x14ac:dyDescent="0.25">
      <c r="A77" s="488">
        <v>41456</v>
      </c>
      <c r="B77" s="487">
        <v>3.6</v>
      </c>
      <c r="C77" s="485">
        <v>2.8</v>
      </c>
      <c r="D77" s="484">
        <v>2.8</v>
      </c>
      <c r="E77" s="486">
        <v>3.6</v>
      </c>
      <c r="F77" s="485">
        <v>2.7</v>
      </c>
      <c r="G77" s="484">
        <v>2.5</v>
      </c>
    </row>
    <row r="78" spans="1:7" ht="15.75" hidden="1" customHeight="1" x14ac:dyDescent="0.25">
      <c r="A78" s="488">
        <v>41487</v>
      </c>
      <c r="B78" s="487">
        <v>3.5</v>
      </c>
      <c r="C78" s="485">
        <v>2.8</v>
      </c>
      <c r="D78" s="484">
        <v>2.7</v>
      </c>
      <c r="E78" s="486">
        <v>3.1</v>
      </c>
      <c r="F78" s="485">
        <v>2.6</v>
      </c>
      <c r="G78" s="484">
        <v>2.2999999999999998</v>
      </c>
    </row>
    <row r="79" spans="1:7" ht="15.75" hidden="1" customHeight="1" x14ac:dyDescent="0.25">
      <c r="A79" s="488">
        <v>41518</v>
      </c>
      <c r="B79" s="487">
        <v>3.5</v>
      </c>
      <c r="C79" s="485">
        <v>2.7</v>
      </c>
      <c r="D79" s="484">
        <v>2.7</v>
      </c>
      <c r="E79" s="486">
        <v>3.3</v>
      </c>
      <c r="F79" s="485">
        <v>2.6</v>
      </c>
      <c r="G79" s="484">
        <v>2.2000000000000002</v>
      </c>
    </row>
    <row r="80" spans="1:7" ht="15.75" hidden="1" customHeight="1" x14ac:dyDescent="0.25">
      <c r="A80" s="488">
        <v>41548</v>
      </c>
      <c r="B80" s="487">
        <v>3.4</v>
      </c>
      <c r="C80" s="485">
        <v>2.6</v>
      </c>
      <c r="D80" s="484">
        <v>2.6</v>
      </c>
      <c r="E80" s="486">
        <v>3.4</v>
      </c>
      <c r="F80" s="485">
        <v>2.6</v>
      </c>
      <c r="G80" s="484">
        <v>2.2999999999999998</v>
      </c>
    </row>
    <row r="81" spans="1:7" ht="15.75" hidden="1" customHeight="1" x14ac:dyDescent="0.25">
      <c r="A81" s="488">
        <v>41579</v>
      </c>
      <c r="B81" s="487">
        <v>3.5</v>
      </c>
      <c r="C81" s="485">
        <v>2.6</v>
      </c>
      <c r="D81" s="484">
        <v>2.5</v>
      </c>
      <c r="E81" s="486">
        <v>3.9</v>
      </c>
      <c r="F81" s="485">
        <v>3</v>
      </c>
      <c r="G81" s="484">
        <v>2.9</v>
      </c>
    </row>
    <row r="82" spans="1:7" ht="18" hidden="1" customHeight="1" x14ac:dyDescent="0.25">
      <c r="A82" s="488">
        <v>41609</v>
      </c>
      <c r="B82" s="487">
        <v>3.5</v>
      </c>
      <c r="C82" s="485">
        <v>2.6</v>
      </c>
      <c r="D82" s="484">
        <v>2.6</v>
      </c>
      <c r="E82" s="486">
        <v>4</v>
      </c>
      <c r="F82" s="485">
        <v>3.3</v>
      </c>
      <c r="G82" s="484">
        <v>3.2</v>
      </c>
    </row>
    <row r="83" spans="1:7" ht="15.75" hidden="1" customHeight="1" x14ac:dyDescent="0.25">
      <c r="A83" s="488">
        <v>41640</v>
      </c>
      <c r="B83" s="487">
        <v>3.7</v>
      </c>
      <c r="C83" s="485">
        <v>2.8</v>
      </c>
      <c r="D83" s="484">
        <v>2.6</v>
      </c>
      <c r="E83" s="486">
        <v>5.0999999999999996</v>
      </c>
      <c r="F83" s="485">
        <v>3.6</v>
      </c>
      <c r="G83" s="484">
        <v>3.4</v>
      </c>
    </row>
    <row r="84" spans="1:7" ht="15.75" hidden="1" customHeight="1" x14ac:dyDescent="0.25">
      <c r="A84" s="488">
        <v>41671</v>
      </c>
      <c r="B84" s="487">
        <v>3.9</v>
      </c>
      <c r="C84" s="485">
        <v>2.9</v>
      </c>
      <c r="D84" s="484">
        <v>2.7</v>
      </c>
      <c r="E84" s="486">
        <v>5.6</v>
      </c>
      <c r="F84" s="485">
        <v>3.5</v>
      </c>
      <c r="G84" s="484">
        <v>3.2</v>
      </c>
    </row>
    <row r="85" spans="1:7" ht="15.75" hidden="1" customHeight="1" x14ac:dyDescent="0.25">
      <c r="A85" s="488">
        <v>41699</v>
      </c>
      <c r="B85" s="487">
        <v>4</v>
      </c>
      <c r="C85" s="485">
        <v>2.9</v>
      </c>
      <c r="D85" s="484">
        <v>2.7</v>
      </c>
      <c r="E85" s="486">
        <v>4.5</v>
      </c>
      <c r="F85" s="485">
        <v>2.7</v>
      </c>
      <c r="G85" s="484">
        <v>3.1</v>
      </c>
    </row>
    <row r="86" spans="1:7" ht="15.75" hidden="1" customHeight="1" x14ac:dyDescent="0.25">
      <c r="A86" s="488">
        <v>41730</v>
      </c>
      <c r="B86" s="487">
        <v>4</v>
      </c>
      <c r="C86" s="485">
        <v>2.9</v>
      </c>
      <c r="D86" s="484">
        <v>2.8</v>
      </c>
      <c r="E86" s="486">
        <v>4.2</v>
      </c>
      <c r="F86" s="485">
        <v>2.8</v>
      </c>
      <c r="G86" s="484">
        <v>3.3</v>
      </c>
    </row>
    <row r="87" spans="1:7" ht="15.75" hidden="1" customHeight="1" x14ac:dyDescent="0.25">
      <c r="A87" s="488">
        <v>41760</v>
      </c>
      <c r="B87" s="487">
        <v>4</v>
      </c>
      <c r="C87" s="485">
        <v>2.9</v>
      </c>
      <c r="D87" s="484">
        <v>2.9</v>
      </c>
      <c r="E87" s="486">
        <v>3.4</v>
      </c>
      <c r="F87" s="485">
        <v>2.9</v>
      </c>
      <c r="G87" s="484">
        <v>3.4</v>
      </c>
    </row>
    <row r="88" spans="1:7" ht="18" hidden="1" customHeight="1" x14ac:dyDescent="0.25">
      <c r="A88" s="488">
        <v>41791</v>
      </c>
      <c r="B88" s="487">
        <v>4</v>
      </c>
      <c r="C88" s="485">
        <v>2.9</v>
      </c>
      <c r="D88" s="484">
        <v>2.9</v>
      </c>
      <c r="E88" s="486">
        <v>3.3</v>
      </c>
      <c r="F88" s="485">
        <v>2.7</v>
      </c>
      <c r="G88" s="484">
        <v>3.2</v>
      </c>
    </row>
    <row r="89" spans="1:7" ht="15.75" hidden="1" customHeight="1" x14ac:dyDescent="0.25">
      <c r="A89" s="488">
        <v>41821</v>
      </c>
      <c r="B89" s="487">
        <v>3.9</v>
      </c>
      <c r="C89" s="485">
        <v>2.9</v>
      </c>
      <c r="D89" s="484">
        <v>3</v>
      </c>
      <c r="E89" s="486">
        <v>3.1</v>
      </c>
      <c r="F89" s="485">
        <v>2.7</v>
      </c>
      <c r="G89" s="484">
        <v>3.2</v>
      </c>
    </row>
    <row r="90" spans="1:7" ht="15.75" hidden="1" customHeight="1" x14ac:dyDescent="0.25">
      <c r="A90" s="488">
        <v>41852</v>
      </c>
      <c r="B90" s="487">
        <v>4</v>
      </c>
      <c r="C90" s="485">
        <v>2.9</v>
      </c>
      <c r="D90" s="484">
        <v>3.1</v>
      </c>
      <c r="E90" s="486">
        <v>3.8</v>
      </c>
      <c r="F90" s="485">
        <v>2.7</v>
      </c>
      <c r="G90" s="484">
        <v>3.5</v>
      </c>
    </row>
    <row r="91" spans="1:7" ht="15.75" hidden="1" customHeight="1" x14ac:dyDescent="0.25">
      <c r="A91" s="488">
        <v>41883</v>
      </c>
      <c r="B91" s="487">
        <v>3.9</v>
      </c>
      <c r="C91" s="485">
        <v>2.9</v>
      </c>
      <c r="D91" s="484">
        <v>3.2</v>
      </c>
      <c r="E91" s="486">
        <v>2.9</v>
      </c>
      <c r="F91" s="485">
        <v>2.2999999999999998</v>
      </c>
      <c r="G91" s="484">
        <v>3.3</v>
      </c>
    </row>
    <row r="92" spans="1:7" ht="15.75" hidden="1" customHeight="1" x14ac:dyDescent="0.25">
      <c r="A92" s="488">
        <v>41913</v>
      </c>
      <c r="B92" s="487">
        <v>3.8</v>
      </c>
      <c r="C92" s="485">
        <v>2.9</v>
      </c>
      <c r="D92" s="484">
        <v>3.2</v>
      </c>
      <c r="E92" s="486">
        <v>1.9</v>
      </c>
      <c r="F92" s="485">
        <v>2.1</v>
      </c>
      <c r="G92" s="484">
        <v>3</v>
      </c>
    </row>
    <row r="93" spans="1:7" ht="15.75" hidden="1" customHeight="1" x14ac:dyDescent="0.25">
      <c r="A93" s="488">
        <v>41944</v>
      </c>
      <c r="B93" s="487">
        <v>3.5</v>
      </c>
      <c r="C93" s="485">
        <v>2.8</v>
      </c>
      <c r="D93" s="484">
        <v>3.2</v>
      </c>
      <c r="E93" s="486">
        <v>0.9</v>
      </c>
      <c r="F93" s="485">
        <v>1.7</v>
      </c>
      <c r="G93" s="484">
        <v>2.6</v>
      </c>
    </row>
    <row r="94" spans="1:7" ht="18" hidden="1" customHeight="1" x14ac:dyDescent="0.25">
      <c r="A94" s="488">
        <v>41974</v>
      </c>
      <c r="B94" s="487">
        <v>3.2</v>
      </c>
      <c r="C94" s="485">
        <v>2.6</v>
      </c>
      <c r="D94" s="484">
        <v>3.1</v>
      </c>
      <c r="E94" s="486">
        <v>0.2</v>
      </c>
      <c r="F94" s="485">
        <v>0.8</v>
      </c>
      <c r="G94" s="484">
        <v>2.1</v>
      </c>
    </row>
    <row r="95" spans="1:7" ht="17.25" hidden="1" customHeight="1" x14ac:dyDescent="0.3">
      <c r="A95" s="483">
        <v>42005</v>
      </c>
      <c r="B95" s="482">
        <v>2.8</v>
      </c>
      <c r="C95" s="480">
        <v>2.2000000000000002</v>
      </c>
      <c r="D95" s="479">
        <v>2.9</v>
      </c>
      <c r="E95" s="481">
        <v>0.7</v>
      </c>
      <c r="F95" s="480">
        <v>-0.4</v>
      </c>
      <c r="G95" s="479">
        <v>0.8</v>
      </c>
    </row>
    <row r="96" spans="1:7" ht="17.25" hidden="1" customHeight="1" x14ac:dyDescent="0.3">
      <c r="A96" s="483">
        <v>42036</v>
      </c>
      <c r="B96" s="482">
        <v>2.5</v>
      </c>
      <c r="C96" s="480">
        <v>1.9</v>
      </c>
      <c r="D96" s="479">
        <v>2.7</v>
      </c>
      <c r="E96" s="481">
        <v>2</v>
      </c>
      <c r="F96" s="480">
        <v>0.2</v>
      </c>
      <c r="G96" s="479">
        <v>1.6</v>
      </c>
    </row>
    <row r="97" spans="1:7" ht="17.25" hidden="1" customHeight="1" x14ac:dyDescent="0.3">
      <c r="A97" s="483">
        <v>42064</v>
      </c>
      <c r="B97" s="482">
        <v>2.4</v>
      </c>
      <c r="C97" s="480">
        <v>1.7</v>
      </c>
      <c r="D97" s="479">
        <v>2.6</v>
      </c>
      <c r="E97" s="481">
        <v>2.2000000000000002</v>
      </c>
      <c r="F97" s="480">
        <v>0.3</v>
      </c>
      <c r="G97" s="479">
        <v>1.6</v>
      </c>
    </row>
    <row r="98" spans="1:7" ht="17.25" hidden="1" customHeight="1" x14ac:dyDescent="0.3">
      <c r="A98" s="483">
        <v>42095</v>
      </c>
      <c r="B98" s="482">
        <v>2.2000000000000002</v>
      </c>
      <c r="C98" s="480">
        <v>1.5</v>
      </c>
      <c r="D98" s="479">
        <v>2.5</v>
      </c>
      <c r="E98" s="481">
        <v>2.1</v>
      </c>
      <c r="F98" s="480">
        <v>0.3</v>
      </c>
      <c r="G98" s="479">
        <v>1.6</v>
      </c>
    </row>
    <row r="99" spans="1:7" ht="17.25" hidden="1" customHeight="1" x14ac:dyDescent="0.3">
      <c r="A99" s="483">
        <v>42125</v>
      </c>
      <c r="B99" s="482">
        <v>2</v>
      </c>
      <c r="C99" s="480">
        <v>1.3</v>
      </c>
      <c r="D99" s="479">
        <v>2.2999999999999998</v>
      </c>
      <c r="E99" s="481">
        <v>0.5</v>
      </c>
      <c r="F99" s="480">
        <v>0.5</v>
      </c>
      <c r="G99" s="479">
        <v>1.9</v>
      </c>
    </row>
    <row r="100" spans="1:7" ht="17.25" hidden="1" customHeight="1" x14ac:dyDescent="0.3">
      <c r="A100" s="483">
        <v>42156</v>
      </c>
      <c r="B100" s="482">
        <v>1.7</v>
      </c>
      <c r="C100" s="480">
        <v>1.1000000000000001</v>
      </c>
      <c r="D100" s="479">
        <v>2.2999999999999998</v>
      </c>
      <c r="E100" s="481">
        <v>0.4</v>
      </c>
      <c r="F100" s="480">
        <v>0.6</v>
      </c>
      <c r="G100" s="479">
        <v>2.1</v>
      </c>
    </row>
    <row r="101" spans="1:7" ht="17.25" hidden="1" customHeight="1" x14ac:dyDescent="0.3">
      <c r="A101" s="483">
        <v>42186</v>
      </c>
      <c r="B101" s="482">
        <v>1.5</v>
      </c>
      <c r="C101" s="480">
        <v>0.9</v>
      </c>
      <c r="D101" s="479">
        <v>2.1</v>
      </c>
      <c r="E101" s="481">
        <v>0.6</v>
      </c>
      <c r="F101" s="480">
        <v>0.2</v>
      </c>
      <c r="G101" s="479">
        <v>1.6</v>
      </c>
    </row>
    <row r="102" spans="1:7" ht="17.25" hidden="1" customHeight="1" x14ac:dyDescent="0.3">
      <c r="A102" s="483">
        <v>42217</v>
      </c>
      <c r="B102" s="482">
        <v>1.3</v>
      </c>
      <c r="C102" s="480">
        <v>0.7</v>
      </c>
      <c r="D102" s="479">
        <v>2</v>
      </c>
      <c r="E102" s="481">
        <v>1.1000000000000001</v>
      </c>
      <c r="F102" s="480">
        <v>0.4</v>
      </c>
      <c r="G102" s="479">
        <v>1.7</v>
      </c>
    </row>
    <row r="103" spans="1:7" ht="17.25" hidden="1" customHeight="1" x14ac:dyDescent="0.3">
      <c r="A103" s="483">
        <v>42248</v>
      </c>
      <c r="B103" s="482">
        <v>1.2</v>
      </c>
      <c r="C103" s="480">
        <v>0.6</v>
      </c>
      <c r="D103" s="479">
        <v>1.9</v>
      </c>
      <c r="E103" s="481">
        <v>2</v>
      </c>
      <c r="F103" s="480">
        <v>0.9</v>
      </c>
      <c r="G103" s="479">
        <v>2</v>
      </c>
    </row>
    <row r="104" spans="1:7" ht="17.25" hidden="1" customHeight="1" x14ac:dyDescent="0.3">
      <c r="A104" s="483">
        <v>42278</v>
      </c>
      <c r="B104" s="482">
        <v>1.2</v>
      </c>
      <c r="C104" s="480">
        <v>0.5</v>
      </c>
      <c r="D104" s="479">
        <v>1.8</v>
      </c>
      <c r="E104" s="481">
        <v>1.5</v>
      </c>
      <c r="F104" s="480">
        <v>0.7</v>
      </c>
      <c r="G104" s="479">
        <v>1.8</v>
      </c>
    </row>
    <row r="105" spans="1:7" ht="17.25" hidden="1" customHeight="1" x14ac:dyDescent="0.3">
      <c r="A105" s="483">
        <v>42309</v>
      </c>
      <c r="B105" s="482">
        <v>1.2</v>
      </c>
      <c r="C105" s="480">
        <v>0.4</v>
      </c>
      <c r="D105" s="479">
        <v>1.7</v>
      </c>
      <c r="E105" s="481">
        <v>1</v>
      </c>
      <c r="F105" s="480">
        <v>0.5</v>
      </c>
      <c r="G105" s="479">
        <v>2</v>
      </c>
    </row>
    <row r="106" spans="1:7" ht="17.25" hidden="1" customHeight="1" x14ac:dyDescent="0.3">
      <c r="A106" s="483">
        <v>42339</v>
      </c>
      <c r="B106" s="482">
        <v>1.3</v>
      </c>
      <c r="C106" s="480">
        <v>0.4</v>
      </c>
      <c r="D106" s="479">
        <v>1.7</v>
      </c>
      <c r="E106" s="481">
        <v>1.3</v>
      </c>
      <c r="F106" s="480">
        <v>1.1000000000000001</v>
      </c>
      <c r="G106" s="479">
        <v>2.2999999999999998</v>
      </c>
    </row>
    <row r="107" spans="1:7" ht="17.25" hidden="1" customHeight="1" x14ac:dyDescent="0.3">
      <c r="A107" s="483">
        <v>42370</v>
      </c>
      <c r="B107" s="482">
        <v>1.3</v>
      </c>
      <c r="C107" s="480">
        <v>0.6</v>
      </c>
      <c r="D107" s="479">
        <v>2</v>
      </c>
      <c r="E107" s="481">
        <v>0.4</v>
      </c>
      <c r="F107" s="480">
        <v>1.9</v>
      </c>
      <c r="G107" s="479">
        <v>3.5</v>
      </c>
    </row>
    <row r="108" spans="1:7" ht="17.25" hidden="1" customHeight="1" x14ac:dyDescent="0.3">
      <c r="A108" s="483">
        <v>42401</v>
      </c>
      <c r="B108" s="482">
        <v>1</v>
      </c>
      <c r="C108" s="480">
        <v>0.7</v>
      </c>
      <c r="D108" s="479">
        <v>2.1</v>
      </c>
      <c r="E108" s="481">
        <v>-0.5</v>
      </c>
      <c r="F108" s="480">
        <v>0.9</v>
      </c>
      <c r="G108" s="479">
        <v>2.8</v>
      </c>
    </row>
    <row r="109" spans="1:7" ht="17.25" hidden="1" customHeight="1" x14ac:dyDescent="0.3">
      <c r="A109" s="483">
        <v>42430</v>
      </c>
      <c r="B109" s="482">
        <v>0.9</v>
      </c>
      <c r="C109" s="480">
        <v>0.7</v>
      </c>
      <c r="D109" s="479">
        <v>2.1</v>
      </c>
      <c r="E109" s="481">
        <v>0.9</v>
      </c>
      <c r="F109" s="480">
        <v>0.6</v>
      </c>
      <c r="G109" s="479">
        <v>2.5</v>
      </c>
    </row>
    <row r="110" spans="1:7" ht="17.25" hidden="1" customHeight="1" x14ac:dyDescent="0.3">
      <c r="A110" s="483">
        <v>42461</v>
      </c>
      <c r="B110" s="482">
        <v>0.8</v>
      </c>
      <c r="C110" s="480">
        <v>0.7</v>
      </c>
      <c r="D110" s="479">
        <v>2.2000000000000002</v>
      </c>
      <c r="E110" s="481">
        <v>0.2</v>
      </c>
      <c r="F110" s="480">
        <v>0.7</v>
      </c>
      <c r="G110" s="479">
        <v>2.6</v>
      </c>
    </row>
    <row r="111" spans="1:7" ht="17.25" hidden="1" customHeight="1" x14ac:dyDescent="0.3">
      <c r="A111" s="483">
        <v>42491</v>
      </c>
      <c r="B111" s="482">
        <v>0.8</v>
      </c>
      <c r="C111" s="480">
        <v>0.7</v>
      </c>
      <c r="D111" s="479">
        <v>2.2000000000000002</v>
      </c>
      <c r="E111" s="481">
        <v>0.8</v>
      </c>
      <c r="F111" s="480">
        <v>-0.1</v>
      </c>
      <c r="G111" s="479">
        <v>1.7</v>
      </c>
    </row>
    <row r="112" spans="1:7" ht="17.25" hidden="1" customHeight="1" x14ac:dyDescent="0.3">
      <c r="A112" s="483">
        <v>42522</v>
      </c>
      <c r="B112" s="482">
        <v>0.9</v>
      </c>
      <c r="C112" s="480">
        <v>0.7</v>
      </c>
      <c r="D112" s="479">
        <v>2.2000000000000002</v>
      </c>
      <c r="E112" s="481">
        <v>1.1000000000000001</v>
      </c>
      <c r="F112" s="480">
        <v>0.4</v>
      </c>
      <c r="G112" s="479">
        <v>2.2999999999999998</v>
      </c>
    </row>
    <row r="113" spans="1:7" ht="17.25" hidden="1" customHeight="1" x14ac:dyDescent="0.3">
      <c r="A113" s="483">
        <v>42552</v>
      </c>
      <c r="B113" s="482">
        <v>0.9</v>
      </c>
      <c r="C113" s="480">
        <v>0.7</v>
      </c>
      <c r="D113" s="479">
        <v>2.2999999999999998</v>
      </c>
      <c r="E113" s="481">
        <v>1</v>
      </c>
      <c r="F113" s="480">
        <v>0.7</v>
      </c>
      <c r="G113" s="479">
        <v>2.6</v>
      </c>
    </row>
    <row r="114" spans="1:7" ht="17.25" hidden="1" customHeight="1" x14ac:dyDescent="0.3">
      <c r="A114" s="483">
        <v>42583</v>
      </c>
      <c r="B114" s="482">
        <v>0.9</v>
      </c>
      <c r="C114" s="480">
        <v>0.7</v>
      </c>
      <c r="D114" s="479">
        <v>2.2999999999999998</v>
      </c>
      <c r="E114" s="481">
        <v>0.9</v>
      </c>
      <c r="F114" s="480">
        <v>-0.4</v>
      </c>
      <c r="G114" s="479">
        <v>1.8</v>
      </c>
    </row>
    <row r="115" spans="1:7" ht="17.25" hidden="1" customHeight="1" x14ac:dyDescent="0.3">
      <c r="A115" s="483">
        <v>42614</v>
      </c>
      <c r="B115" s="482">
        <v>0.8</v>
      </c>
      <c r="C115" s="480">
        <v>0.6</v>
      </c>
      <c r="D115" s="479">
        <v>2.2999999999999998</v>
      </c>
      <c r="E115" s="481">
        <v>0.9</v>
      </c>
      <c r="F115" s="480">
        <v>-0.3</v>
      </c>
      <c r="G115" s="479">
        <v>1.9</v>
      </c>
    </row>
    <row r="116" spans="1:7" ht="17.25" hidden="1" customHeight="1" x14ac:dyDescent="0.3">
      <c r="A116" s="483">
        <v>42644</v>
      </c>
      <c r="B116" s="482">
        <v>0.8</v>
      </c>
      <c r="C116" s="480">
        <v>0.5</v>
      </c>
      <c r="D116" s="479">
        <v>2.2999999999999998</v>
      </c>
      <c r="E116" s="481">
        <v>1.5</v>
      </c>
      <c r="F116" s="480">
        <v>-0.4</v>
      </c>
      <c r="G116" s="479">
        <v>1.8</v>
      </c>
    </row>
    <row r="117" spans="1:7" ht="17.25" hidden="1" customHeight="1" x14ac:dyDescent="0.3">
      <c r="A117" s="483">
        <v>42675</v>
      </c>
      <c r="B117" s="482">
        <v>0.9</v>
      </c>
      <c r="C117" s="480">
        <v>0.4</v>
      </c>
      <c r="D117" s="479">
        <v>2.2999999999999998</v>
      </c>
      <c r="E117" s="481">
        <v>2.2000000000000002</v>
      </c>
      <c r="F117" s="480">
        <v>0.1</v>
      </c>
      <c r="G117" s="479">
        <v>1.8</v>
      </c>
    </row>
    <row r="118" spans="1:7" ht="17.25" hidden="1" customHeight="1" x14ac:dyDescent="0.3">
      <c r="A118" s="483">
        <v>42705</v>
      </c>
      <c r="B118" s="482">
        <v>1</v>
      </c>
      <c r="C118" s="480">
        <v>0.4</v>
      </c>
      <c r="D118" s="479">
        <v>2.2000000000000002</v>
      </c>
      <c r="E118" s="481">
        <v>2.2999999999999998</v>
      </c>
      <c r="F118" s="480">
        <v>0.3</v>
      </c>
      <c r="G118" s="479">
        <v>1.7</v>
      </c>
    </row>
    <row r="119" spans="1:7" ht="17.25" hidden="1" thickTop="1" x14ac:dyDescent="0.3">
      <c r="A119" s="483">
        <v>42736</v>
      </c>
      <c r="B119" s="482">
        <v>1.1000000000000001</v>
      </c>
      <c r="C119" s="480">
        <v>0.3</v>
      </c>
      <c r="D119" s="479">
        <v>2.1</v>
      </c>
      <c r="E119" s="481">
        <v>1.8</v>
      </c>
      <c r="F119" s="480">
        <v>0.5</v>
      </c>
      <c r="G119" s="479">
        <v>1.7</v>
      </c>
    </row>
    <row r="120" spans="1:7" ht="17.25" hidden="1" thickTop="1" x14ac:dyDescent="0.3">
      <c r="A120" s="483">
        <v>42767</v>
      </c>
      <c r="B120" s="482">
        <v>1.2</v>
      </c>
      <c r="C120" s="480">
        <v>0.3</v>
      </c>
      <c r="D120" s="479">
        <v>2</v>
      </c>
      <c r="E120" s="481">
        <v>1.3</v>
      </c>
      <c r="F120" s="480">
        <v>1.1000000000000001</v>
      </c>
      <c r="G120" s="479">
        <v>1.6</v>
      </c>
    </row>
    <row r="121" spans="1:7" ht="17.25" hidden="1" thickTop="1" x14ac:dyDescent="0.3">
      <c r="A121" s="483">
        <v>42795</v>
      </c>
      <c r="B121" s="482">
        <v>1.3</v>
      </c>
      <c r="C121" s="480">
        <v>0.4</v>
      </c>
      <c r="D121" s="479">
        <v>1.9</v>
      </c>
      <c r="E121" s="481">
        <v>1.3</v>
      </c>
      <c r="F121" s="480">
        <v>1.7</v>
      </c>
      <c r="G121" s="479">
        <v>1.8</v>
      </c>
    </row>
    <row r="122" spans="1:7" ht="17.25" hidden="1" thickTop="1" x14ac:dyDescent="0.3">
      <c r="A122" s="483">
        <v>42826</v>
      </c>
      <c r="B122" s="482">
        <v>1.5</v>
      </c>
      <c r="C122" s="480">
        <v>0.5</v>
      </c>
      <c r="D122" s="479">
        <v>1.9</v>
      </c>
      <c r="E122" s="481">
        <v>2.9</v>
      </c>
      <c r="F122" s="480">
        <v>1.9</v>
      </c>
      <c r="G122" s="479">
        <v>2.1</v>
      </c>
    </row>
    <row r="123" spans="1:7" ht="17.25" hidden="1" thickTop="1" x14ac:dyDescent="0.3">
      <c r="A123" s="483">
        <v>42856</v>
      </c>
      <c r="B123" s="482">
        <v>1.9</v>
      </c>
      <c r="C123" s="480">
        <v>0.7</v>
      </c>
      <c r="D123" s="479">
        <v>2</v>
      </c>
      <c r="E123" s="481">
        <v>5.9</v>
      </c>
      <c r="F123" s="480">
        <v>2.6</v>
      </c>
      <c r="G123" s="479">
        <v>3</v>
      </c>
    </row>
    <row r="124" spans="1:7" ht="17.25" hidden="1" thickTop="1" x14ac:dyDescent="0.3">
      <c r="A124" s="483">
        <v>42887</v>
      </c>
      <c r="B124" s="482">
        <v>2.4</v>
      </c>
      <c r="C124" s="480">
        <v>0.8</v>
      </c>
      <c r="D124" s="479">
        <v>2</v>
      </c>
      <c r="E124" s="481">
        <v>6.4</v>
      </c>
      <c r="F124" s="480">
        <v>2</v>
      </c>
      <c r="G124" s="479">
        <v>2.2999999999999998</v>
      </c>
    </row>
    <row r="125" spans="1:7" ht="17.25" hidden="1" thickTop="1" x14ac:dyDescent="0.3">
      <c r="A125" s="483">
        <v>42917</v>
      </c>
      <c r="B125" s="482">
        <v>2.7</v>
      </c>
      <c r="C125" s="480">
        <v>0.9</v>
      </c>
      <c r="D125" s="479">
        <v>2</v>
      </c>
      <c r="E125" s="481">
        <v>5.3</v>
      </c>
      <c r="F125" s="480">
        <v>1.9</v>
      </c>
      <c r="G125" s="479">
        <v>2.2000000000000002</v>
      </c>
    </row>
    <row r="126" spans="1:7" ht="17.25" hidden="1" thickTop="1" x14ac:dyDescent="0.3">
      <c r="A126" s="483">
        <v>42948</v>
      </c>
      <c r="B126" s="482">
        <v>3.0286765833461127</v>
      </c>
      <c r="C126" s="480">
        <v>1.2222935693991577</v>
      </c>
      <c r="D126" s="479">
        <v>2.0456514153099237</v>
      </c>
      <c r="E126" s="481">
        <v>4.5703839122486212</v>
      </c>
      <c r="F126" s="480">
        <v>3.1433178020487729</v>
      </c>
      <c r="G126" s="479">
        <v>2.6876093090027808</v>
      </c>
    </row>
    <row r="127" spans="1:7" ht="17.25" hidden="1" thickTop="1" x14ac:dyDescent="0.3">
      <c r="A127" s="483">
        <v>42979</v>
      </c>
      <c r="B127" s="482">
        <v>3.2</v>
      </c>
      <c r="C127" s="480">
        <v>1.5</v>
      </c>
      <c r="D127" s="479">
        <v>2.1</v>
      </c>
      <c r="E127" s="481">
        <v>3.5</v>
      </c>
      <c r="F127" s="480">
        <v>2.7</v>
      </c>
      <c r="G127" s="479">
        <v>2.1</v>
      </c>
    </row>
    <row r="128" spans="1:7" ht="17.25" hidden="1" thickTop="1" x14ac:dyDescent="0.3">
      <c r="A128" s="483">
        <v>43009</v>
      </c>
      <c r="B128" s="482">
        <v>3.4</v>
      </c>
      <c r="C128" s="480">
        <v>1.7</v>
      </c>
      <c r="D128" s="479">
        <v>2.1</v>
      </c>
      <c r="E128" s="481">
        <v>3.5</v>
      </c>
      <c r="F128" s="480">
        <v>2.9</v>
      </c>
      <c r="G128" s="479">
        <v>2.4</v>
      </c>
    </row>
    <row r="129" spans="1:7" ht="17.25" hidden="1" thickTop="1" x14ac:dyDescent="0.3">
      <c r="A129" s="483">
        <v>43040</v>
      </c>
      <c r="B129" s="482">
        <v>3.5135960892147766</v>
      </c>
      <c r="C129" s="480">
        <v>1.9613825093619752</v>
      </c>
      <c r="D129" s="479">
        <v>2.1371120259215282</v>
      </c>
      <c r="E129" s="481">
        <v>3.5648994515539156</v>
      </c>
      <c r="F129" s="480">
        <v>2.7389160086513931</v>
      </c>
      <c r="G129" s="479">
        <v>2.1266499895171931</v>
      </c>
    </row>
    <row r="130" spans="1:7" ht="17.25" hidden="1" thickTop="1" x14ac:dyDescent="0.3">
      <c r="A130" s="483">
        <v>43070</v>
      </c>
      <c r="B130" s="482">
        <v>3.7</v>
      </c>
      <c r="C130" s="480">
        <v>2.2000000000000002</v>
      </c>
      <c r="D130" s="479">
        <v>2.2000000000000002</v>
      </c>
      <c r="E130" s="481">
        <v>4.2</v>
      </c>
      <c r="F130" s="480">
        <v>2.9</v>
      </c>
      <c r="G130" s="479">
        <v>2.2000000000000002</v>
      </c>
    </row>
    <row r="131" spans="1:7" ht="17.25" hidden="1" thickTop="1" x14ac:dyDescent="0.3">
      <c r="A131" s="483">
        <v>43101</v>
      </c>
      <c r="B131" s="482">
        <v>4.0347137637027686</v>
      </c>
      <c r="C131" s="480">
        <v>2.3846825535486893</v>
      </c>
      <c r="D131" s="479">
        <v>2.1804513646307644</v>
      </c>
      <c r="E131" s="481">
        <v>6.1705989110707682</v>
      </c>
      <c r="F131" s="480">
        <v>2.9291982620538226</v>
      </c>
      <c r="G131" s="479">
        <v>1.7701381506116443</v>
      </c>
    </row>
    <row r="132" spans="1:7" ht="17.25" hidden="1" thickTop="1" x14ac:dyDescent="0.3">
      <c r="A132" s="483">
        <v>43132</v>
      </c>
      <c r="B132" s="482">
        <v>4.5171102661596851</v>
      </c>
      <c r="C132" s="480">
        <v>2.5118378490783133</v>
      </c>
      <c r="D132" s="479">
        <v>2.1965772455402544</v>
      </c>
      <c r="E132" s="481">
        <v>6.995515695067267</v>
      </c>
      <c r="F132" s="480">
        <v>2.6502478886668568</v>
      </c>
      <c r="G132" s="479">
        <v>1.8158040266164077</v>
      </c>
    </row>
    <row r="133" spans="1:7" ht="17.25" hidden="1" thickTop="1" x14ac:dyDescent="0.3">
      <c r="A133" s="483">
        <v>43160</v>
      </c>
      <c r="B133" s="482">
        <v>4.9756912792464192</v>
      </c>
      <c r="C133" s="480">
        <v>2.54927677755028</v>
      </c>
      <c r="D133" s="479">
        <v>2.1728279888055591</v>
      </c>
      <c r="E133" s="481">
        <v>6.6666666666666652</v>
      </c>
      <c r="F133" s="480">
        <v>2.1375028224842385</v>
      </c>
      <c r="G133" s="479">
        <v>1.5659157673754143</v>
      </c>
    </row>
    <row r="134" spans="1:7" ht="17.25" hidden="1" thickTop="1" x14ac:dyDescent="0.3">
      <c r="A134" s="483">
        <v>43191</v>
      </c>
      <c r="B134" s="482">
        <v>5</v>
      </c>
      <c r="C134" s="480">
        <v>2.6</v>
      </c>
      <c r="D134" s="479">
        <v>2.1</v>
      </c>
      <c r="E134" s="481">
        <v>3.7</v>
      </c>
      <c r="F134" s="480">
        <v>2.2000000000000002</v>
      </c>
      <c r="G134" s="479">
        <v>1.5</v>
      </c>
    </row>
    <row r="135" spans="1:7" ht="17.25" hidden="1" thickTop="1" x14ac:dyDescent="0.3">
      <c r="A135" s="483">
        <v>43221</v>
      </c>
      <c r="B135" s="482">
        <v>4.7</v>
      </c>
      <c r="C135" s="480">
        <v>2.5</v>
      </c>
      <c r="D135" s="479">
        <v>2</v>
      </c>
      <c r="E135" s="481">
        <v>2.4</v>
      </c>
      <c r="F135" s="480">
        <v>2.2000000000000002</v>
      </c>
      <c r="G135" s="479">
        <v>1.3</v>
      </c>
    </row>
    <row r="136" spans="1:7" ht="17.25" hidden="1" thickTop="1" x14ac:dyDescent="0.3">
      <c r="A136" s="483">
        <v>43252</v>
      </c>
      <c r="B136" s="482">
        <v>4.2920174056568339</v>
      </c>
      <c r="C136" s="480">
        <v>2.5889959177030519</v>
      </c>
      <c r="D136" s="479">
        <v>1.9236851262346866</v>
      </c>
      <c r="E136" s="481">
        <v>1.031685458224918</v>
      </c>
      <c r="F136" s="480">
        <v>2.5907728443276712</v>
      </c>
      <c r="G136" s="479">
        <v>1.6020785026058526</v>
      </c>
    </row>
    <row r="137" spans="1:7" ht="17.25" hidden="1" thickTop="1" x14ac:dyDescent="0.3">
      <c r="A137" s="483">
        <v>43282</v>
      </c>
      <c r="B137" s="482">
        <v>4</v>
      </c>
      <c r="C137" s="480">
        <v>2.6</v>
      </c>
      <c r="D137" s="479">
        <v>1.9</v>
      </c>
      <c r="E137" s="481">
        <v>1.7</v>
      </c>
      <c r="F137" s="480">
        <v>2.5</v>
      </c>
      <c r="G137" s="479">
        <v>1.9</v>
      </c>
    </row>
    <row r="138" spans="1:7" ht="17.25" hidden="1" thickTop="1" x14ac:dyDescent="0.3">
      <c r="A138" s="483">
        <v>43313</v>
      </c>
      <c r="B138" s="482">
        <v>3.7</v>
      </c>
      <c r="C138" s="480">
        <v>2.5</v>
      </c>
      <c r="D138" s="479">
        <v>1.8</v>
      </c>
      <c r="E138" s="481">
        <v>0.9</v>
      </c>
      <c r="F138" s="480">
        <v>1.8</v>
      </c>
      <c r="G138" s="479">
        <v>1.4</v>
      </c>
    </row>
    <row r="139" spans="1:7" ht="17.25" hidden="1" thickTop="1" x14ac:dyDescent="0.3">
      <c r="A139" s="483">
        <v>43344</v>
      </c>
      <c r="B139" s="482">
        <v>3.5</v>
      </c>
      <c r="C139" s="480">
        <v>2.5</v>
      </c>
      <c r="D139" s="479">
        <v>1.8</v>
      </c>
      <c r="E139" s="481">
        <v>1.9</v>
      </c>
      <c r="F139" s="480">
        <v>2.1</v>
      </c>
      <c r="G139" s="479">
        <v>1.8</v>
      </c>
    </row>
    <row r="140" spans="1:7" ht="17.25" hidden="1" thickTop="1" x14ac:dyDescent="0.3">
      <c r="A140" s="483">
        <v>43374</v>
      </c>
      <c r="B140" s="482">
        <v>3.4899837193813399</v>
      </c>
      <c r="C140" s="480">
        <v>2.4218179892776304</v>
      </c>
      <c r="D140" s="479">
        <v>1.7586366027664946</v>
      </c>
      <c r="E140" s="481">
        <v>2.7779155594921834</v>
      </c>
      <c r="F140" s="480">
        <v>2.2970321623414502</v>
      </c>
      <c r="G140" s="479">
        <v>2.1178916329569253</v>
      </c>
    </row>
    <row r="141" spans="1:7" ht="15" hidden="1" customHeight="1" thickTop="1" x14ac:dyDescent="0.3">
      <c r="A141" s="483">
        <v>43405</v>
      </c>
      <c r="B141" s="482">
        <v>3.4</v>
      </c>
      <c r="C141" s="480">
        <v>2.4</v>
      </c>
      <c r="D141" s="479">
        <v>1.8</v>
      </c>
      <c r="E141" s="481">
        <v>2.8</v>
      </c>
      <c r="F141" s="480">
        <v>2.6</v>
      </c>
      <c r="G141" s="479">
        <v>2.5</v>
      </c>
    </row>
    <row r="142" spans="1:7" ht="15" hidden="1" customHeight="1" thickTop="1" x14ac:dyDescent="0.3">
      <c r="A142" s="483">
        <v>43435</v>
      </c>
      <c r="B142" s="482">
        <v>3.2273827033387326</v>
      </c>
      <c r="C142" s="480">
        <v>2.3432099051625688</v>
      </c>
      <c r="D142" s="479">
        <v>1.7858993722993155</v>
      </c>
      <c r="E142" s="481">
        <v>1.7861988304093579</v>
      </c>
      <c r="F142" s="480">
        <v>2.1106037979508274</v>
      </c>
      <c r="G142" s="479">
        <v>2.0890363570770898</v>
      </c>
    </row>
    <row r="143" spans="1:7" ht="15" hidden="1" customHeight="1" thickTop="1" x14ac:dyDescent="0.3">
      <c r="A143" s="483">
        <v>43466</v>
      </c>
      <c r="B143" s="482">
        <v>2.8</v>
      </c>
      <c r="C143" s="480">
        <v>2.2999999999999998</v>
      </c>
      <c r="D143" s="479">
        <v>1.9</v>
      </c>
      <c r="E143" s="481">
        <v>0.5</v>
      </c>
      <c r="F143" s="480">
        <v>1.8</v>
      </c>
      <c r="G143" s="479">
        <v>2.7</v>
      </c>
    </row>
    <row r="144" spans="1:7" ht="15" hidden="1" customHeight="1" thickTop="1" x14ac:dyDescent="0.3">
      <c r="A144" s="483">
        <v>43497</v>
      </c>
      <c r="B144" s="482">
        <v>2.1035542782304795</v>
      </c>
      <c r="C144" s="480">
        <v>2.1204152301877777</v>
      </c>
      <c r="D144" s="479">
        <v>1.8690863024179549</v>
      </c>
      <c r="E144" s="481">
        <v>-0.83604358759429287</v>
      </c>
      <c r="F144" s="480">
        <v>1.0622973472985686</v>
      </c>
      <c r="G144" s="479">
        <v>1.8763645467243739</v>
      </c>
    </row>
    <row r="145" spans="1:7" ht="15" hidden="1" customHeight="1" thickTop="1" x14ac:dyDescent="0.3">
      <c r="A145" s="483">
        <v>43525</v>
      </c>
      <c r="B145" s="482">
        <v>1.4265757290686798</v>
      </c>
      <c r="C145" s="480">
        <v>2.018192956343734</v>
      </c>
      <c r="D145" s="479">
        <v>1.8780363097014474</v>
      </c>
      <c r="E145" s="481">
        <v>-1.4144999999999963</v>
      </c>
      <c r="F145" s="480">
        <v>0.92206959535967581</v>
      </c>
      <c r="G145" s="479">
        <v>1.6773694976255804</v>
      </c>
    </row>
    <row r="146" spans="1:7" ht="15" hidden="1" customHeight="1" thickTop="1" x14ac:dyDescent="0.3">
      <c r="A146" s="483">
        <v>43556</v>
      </c>
      <c r="B146" s="482">
        <v>1.2</v>
      </c>
      <c r="C146" s="480">
        <v>1.9</v>
      </c>
      <c r="D146" s="479">
        <v>1.9</v>
      </c>
      <c r="E146" s="481">
        <v>0.6</v>
      </c>
      <c r="F146" s="480">
        <v>0.6</v>
      </c>
      <c r="G146" s="479">
        <v>1.4</v>
      </c>
    </row>
    <row r="147" spans="1:7" ht="15" hidden="1" customHeight="1" thickTop="1" x14ac:dyDescent="0.3">
      <c r="A147" s="483">
        <v>43586</v>
      </c>
      <c r="B147" s="482">
        <v>1.0282470803488097</v>
      </c>
      <c r="C147" s="480">
        <v>1.7292057679194839</v>
      </c>
      <c r="D147" s="479">
        <v>1.8822821821713021</v>
      </c>
      <c r="E147" s="481">
        <v>0.77220077220079286</v>
      </c>
      <c r="F147" s="480">
        <v>0.35461436491504017</v>
      </c>
      <c r="G147" s="479">
        <v>1.4121864530091122</v>
      </c>
    </row>
    <row r="148" spans="1:7" ht="15" hidden="1" customHeight="1" thickTop="1" x14ac:dyDescent="0.3">
      <c r="A148" s="483">
        <v>43617</v>
      </c>
      <c r="B148" s="482">
        <v>0.99070578409852228</v>
      </c>
      <c r="C148" s="480">
        <v>1.49386037472794</v>
      </c>
      <c r="D148" s="479">
        <v>1.8675875336298997</v>
      </c>
      <c r="E148" s="481">
        <v>0.58365758754863606</v>
      </c>
      <c r="F148" s="480">
        <v>-0.21637203460876941</v>
      </c>
      <c r="G148" s="479">
        <v>1.4318424366090321</v>
      </c>
    </row>
    <row r="149" spans="1:7" ht="15" customHeight="1" thickTop="1" x14ac:dyDescent="0.3">
      <c r="A149" s="483">
        <v>43647</v>
      </c>
      <c r="B149" s="482">
        <v>0.91342430377603367</v>
      </c>
      <c r="C149" s="480">
        <v>1.2663108409027624</v>
      </c>
      <c r="D149" s="479">
        <v>1.8228805602991782</v>
      </c>
      <c r="E149" s="481">
        <v>0.77972709551659136</v>
      </c>
      <c r="F149" s="480">
        <v>-0.19899316757978625</v>
      </c>
      <c r="G149" s="479">
        <v>1.3954747283652091</v>
      </c>
    </row>
    <row r="150" spans="1:7" ht="15" customHeight="1" x14ac:dyDescent="0.3">
      <c r="A150" s="483">
        <v>43678</v>
      </c>
      <c r="B150" s="482">
        <v>0.98235099529835335</v>
      </c>
      <c r="C150" s="480">
        <v>1.1381059933942561</v>
      </c>
      <c r="D150" s="479">
        <v>1.8749971211397876</v>
      </c>
      <c r="E150" s="481">
        <v>1.7664376840039298</v>
      </c>
      <c r="F150" s="480">
        <v>0.25501304274808678</v>
      </c>
      <c r="G150" s="479">
        <v>2.0216034639047864</v>
      </c>
    </row>
    <row r="151" spans="1:7" ht="15" customHeight="1" x14ac:dyDescent="0.3">
      <c r="A151" s="483">
        <v>43709</v>
      </c>
      <c r="B151" s="482">
        <v>0.92993821398670296</v>
      </c>
      <c r="C151" s="480">
        <v>0.97697752773011626</v>
      </c>
      <c r="D151" s="479">
        <v>1.8787373128930307</v>
      </c>
      <c r="E151" s="481">
        <v>1.2745098039215641</v>
      </c>
      <c r="F151" s="480">
        <v>0.16177077715644472</v>
      </c>
      <c r="G151" s="479">
        <v>1.8934138230198405</v>
      </c>
    </row>
    <row r="152" spans="1:7" ht="15" customHeight="1" x14ac:dyDescent="0.3">
      <c r="A152" s="483">
        <v>43739</v>
      </c>
      <c r="B152" s="482">
        <v>0.73599880554333641</v>
      </c>
      <c r="C152" s="480">
        <v>0.79588360304012618</v>
      </c>
      <c r="D152" s="479">
        <v>1.8538878855778984</v>
      </c>
      <c r="E152" s="481">
        <v>0.390625</v>
      </c>
      <c r="F152" s="480">
        <v>0.10975536594526325</v>
      </c>
      <c r="G152" s="479">
        <v>1.8171571646045104</v>
      </c>
    </row>
    <row r="153" spans="1:7" ht="15" customHeight="1" x14ac:dyDescent="0.3">
      <c r="A153" s="483">
        <v>43770</v>
      </c>
      <c r="B153" s="482">
        <v>0.5310218919299281</v>
      </c>
      <c r="C153" s="480">
        <v>0.58951659929322719</v>
      </c>
      <c r="D153" s="479">
        <v>1.7927998449687843</v>
      </c>
      <c r="E153" s="481">
        <v>0.29182879377431803</v>
      </c>
      <c r="F153" s="480">
        <v>7.6094007126648044E-2</v>
      </c>
      <c r="G153" s="479">
        <v>1.7636681664893183</v>
      </c>
    </row>
    <row r="154" spans="1:7" ht="15" customHeight="1" x14ac:dyDescent="0.3">
      <c r="A154" s="483">
        <v>43800</v>
      </c>
      <c r="B154" s="482">
        <v>0.45784101493639984</v>
      </c>
      <c r="C154" s="480">
        <v>0.42733532629051219</v>
      </c>
      <c r="D154" s="479">
        <v>1.7739323629121673</v>
      </c>
      <c r="E154" s="481">
        <v>0.87890625</v>
      </c>
      <c r="F154" s="480">
        <v>0.14336857949832638</v>
      </c>
      <c r="G154" s="479">
        <v>1.8581762281632441</v>
      </c>
    </row>
    <row r="155" spans="1:7" ht="15" customHeight="1" x14ac:dyDescent="0.3">
      <c r="A155" s="483">
        <v>43831</v>
      </c>
      <c r="B155" s="482">
        <v>0.58274938347775418</v>
      </c>
      <c r="C155" s="480">
        <v>0.29680653442141214</v>
      </c>
      <c r="D155" s="479">
        <v>1.6820499857076232</v>
      </c>
      <c r="E155" s="481">
        <v>2.0231213872832443</v>
      </c>
      <c r="F155" s="480">
        <v>0.27152708923243729</v>
      </c>
      <c r="G155" s="479">
        <v>1.5917333192526861</v>
      </c>
    </row>
    <row r="156" spans="1:7" ht="15" customHeight="1" x14ac:dyDescent="0.3">
      <c r="A156" s="483">
        <v>43862</v>
      </c>
      <c r="B156" s="482">
        <v>0.83188720012519202</v>
      </c>
      <c r="C156" s="480">
        <v>0.28157669846429201</v>
      </c>
      <c r="D156" s="479">
        <v>1.7078195371722948</v>
      </c>
      <c r="E156" s="481">
        <v>2.1072796934865856</v>
      </c>
      <c r="F156" s="480">
        <v>0.87178208872387142</v>
      </c>
      <c r="G156" s="479">
        <v>2.1795294401745435</v>
      </c>
    </row>
    <row r="157" spans="1:7" ht="18" customHeight="1" x14ac:dyDescent="0.3">
      <c r="A157" s="483">
        <v>43891</v>
      </c>
      <c r="B157" s="482">
        <v>1.2</v>
      </c>
      <c r="C157" s="480">
        <v>0.3</v>
      </c>
      <c r="D157" s="479">
        <v>1.8</v>
      </c>
      <c r="E157" s="481">
        <v>2.9</v>
      </c>
      <c r="F157" s="480">
        <v>1.3</v>
      </c>
      <c r="G157" s="479">
        <v>2.7</v>
      </c>
    </row>
    <row r="158" spans="1:7" ht="18" customHeight="1" x14ac:dyDescent="0.3">
      <c r="A158" s="483">
        <v>43922</v>
      </c>
      <c r="B158" s="482">
        <v>1.5030303030302949</v>
      </c>
      <c r="C158" s="480">
        <v>0.38155295297568337</v>
      </c>
      <c r="D158" s="479">
        <v>1.9276042231549662</v>
      </c>
      <c r="E158" s="481">
        <v>4.2145593869731712</v>
      </c>
      <c r="F158" s="480">
        <v>1.4691672980770898</v>
      </c>
      <c r="G158" s="479">
        <v>3.0138732031102178</v>
      </c>
    </row>
    <row r="159" spans="1:7" ht="18" customHeight="1" x14ac:dyDescent="0.3">
      <c r="A159" s="483">
        <v>43952</v>
      </c>
      <c r="B159" s="482">
        <v>1.6716466122910445</v>
      </c>
      <c r="C159" s="480">
        <v>0.48645251872356798</v>
      </c>
      <c r="D159" s="479">
        <v>2.0774059516008636</v>
      </c>
      <c r="E159" s="481">
        <v>2.7777777777777679</v>
      </c>
      <c r="F159" s="480">
        <v>1.6135344461770229</v>
      </c>
      <c r="G159" s="479">
        <v>3.2092470152518482</v>
      </c>
    </row>
    <row r="160" spans="1:7" ht="18" customHeight="1" x14ac:dyDescent="0.3">
      <c r="A160" s="483">
        <v>43983</v>
      </c>
      <c r="B160" s="482">
        <v>1.7676971506981998</v>
      </c>
      <c r="C160" s="480">
        <v>0.6460172845733636</v>
      </c>
      <c r="D160" s="479">
        <v>2.1957630381194582</v>
      </c>
      <c r="E160" s="481">
        <v>1.740812379110257</v>
      </c>
      <c r="F160" s="480">
        <v>1.7029712971434297</v>
      </c>
      <c r="G160" s="479">
        <v>2.8537408506346118</v>
      </c>
    </row>
    <row r="161" spans="1:7" ht="18" customHeight="1" x14ac:dyDescent="0.3">
      <c r="A161" s="483">
        <v>44013</v>
      </c>
      <c r="B161" s="482">
        <v>1.8230216987980885</v>
      </c>
      <c r="C161" s="480">
        <v>0.8062314628626277</v>
      </c>
      <c r="D161" s="479">
        <v>2.2937070446335639</v>
      </c>
      <c r="E161" s="481">
        <v>1.4506769825918697</v>
      </c>
      <c r="F161" s="480">
        <v>1.7254072617174376</v>
      </c>
      <c r="G161" s="479">
        <v>2.5712357213994119</v>
      </c>
    </row>
    <row r="162" spans="1:7" ht="18" customHeight="1" x14ac:dyDescent="0.3">
      <c r="A162" s="483">
        <v>44044</v>
      </c>
      <c r="B162" s="482">
        <v>1.8042690293999186</v>
      </c>
      <c r="C162" s="480">
        <v>0.96802265763173967</v>
      </c>
      <c r="D162" s="479">
        <v>2.3932585019679875</v>
      </c>
      <c r="E162" s="481">
        <v>1.5429122468659573</v>
      </c>
      <c r="F162" s="480">
        <v>2.1993339618013863</v>
      </c>
      <c r="G162" s="479">
        <v>3.2107615778820264</v>
      </c>
    </row>
    <row r="163" spans="1:7" ht="18" customHeight="1" x14ac:dyDescent="0.3">
      <c r="A163" s="483">
        <v>44075</v>
      </c>
      <c r="B163" s="482">
        <v>1.9150305761184372</v>
      </c>
      <c r="C163" s="480">
        <v>1.1716521616716102</v>
      </c>
      <c r="D163" s="479">
        <v>2.5483140930255166</v>
      </c>
      <c r="E163" s="481">
        <v>2.6137463697967211</v>
      </c>
      <c r="F163" s="480">
        <v>2.6060443209565687</v>
      </c>
      <c r="G163" s="479">
        <v>3.7505567802426976</v>
      </c>
    </row>
    <row r="164" spans="1:7" ht="18" customHeight="1" x14ac:dyDescent="0.3">
      <c r="A164" s="483">
        <v>44105</v>
      </c>
      <c r="B164" s="482">
        <v>2.1476833976834087</v>
      </c>
      <c r="C164" s="480">
        <v>1.4000060105438639</v>
      </c>
      <c r="D164" s="479">
        <v>2.7373380665246971</v>
      </c>
      <c r="E164" s="481">
        <v>3.2101167315174983</v>
      </c>
      <c r="F164" s="480">
        <v>2.8502785520538199</v>
      </c>
      <c r="G164" s="479">
        <v>4.0809075847834331</v>
      </c>
    </row>
    <row r="165" spans="1:7" ht="18" customHeight="1" x14ac:dyDescent="0.3">
      <c r="A165" s="483">
        <v>44136</v>
      </c>
      <c r="B165" s="482">
        <v>2.3803779654201662</v>
      </c>
      <c r="C165" s="480">
        <v>1.608118338596487</v>
      </c>
      <c r="D165" s="479">
        <v>2.8981268659719506</v>
      </c>
      <c r="E165" s="481">
        <v>3.103782735208549</v>
      </c>
      <c r="F165" s="480">
        <v>2.5663728117317097</v>
      </c>
      <c r="G165" s="479">
        <v>3.6902162781021985</v>
      </c>
    </row>
    <row r="166" spans="1:7" ht="18" customHeight="1" x14ac:dyDescent="0.3">
      <c r="A166" s="483">
        <v>44166</v>
      </c>
      <c r="B166" s="482">
        <v>2.5313404050144594</v>
      </c>
      <c r="C166" s="480">
        <v>1.8139602258601562</v>
      </c>
      <c r="D166" s="479">
        <v>3.0553337913181711</v>
      </c>
      <c r="E166" s="481">
        <v>2.7105517909002952</v>
      </c>
      <c r="F166" s="480">
        <v>2.6093599362168263</v>
      </c>
      <c r="G166" s="479">
        <v>3.7486544116245968</v>
      </c>
    </row>
    <row r="167" spans="1:7" ht="18" customHeight="1" x14ac:dyDescent="0.3">
      <c r="A167" s="483">
        <v>44197</v>
      </c>
      <c r="B167" s="482">
        <v>2.5</v>
      </c>
      <c r="C167" s="480">
        <v>2</v>
      </c>
      <c r="D167" s="479">
        <v>3.2</v>
      </c>
      <c r="E167" s="481">
        <v>1</v>
      </c>
      <c r="F167" s="480">
        <v>2.6</v>
      </c>
      <c r="G167" s="479">
        <v>3.7</v>
      </c>
    </row>
    <row r="168" spans="1:7" ht="18" customHeight="1" x14ac:dyDescent="0.3">
      <c r="A168" s="483">
        <v>44228</v>
      </c>
      <c r="B168" s="482">
        <v>2.37046528389524</v>
      </c>
      <c r="C168" s="480">
        <v>2.1966457795428607</v>
      </c>
      <c r="D168" s="479">
        <v>3.4205073142964393</v>
      </c>
      <c r="E168" s="481">
        <v>1.2195121951219523</v>
      </c>
      <c r="F168" s="480">
        <v>3.1054864028926765</v>
      </c>
      <c r="G168" s="479">
        <v>4.4023870714384739</v>
      </c>
    </row>
    <row r="169" spans="1:7" ht="18" customHeight="1" x14ac:dyDescent="0.3">
      <c r="A169" s="483">
        <v>44256</v>
      </c>
      <c r="B169" s="482">
        <v>2.2129903331469247</v>
      </c>
      <c r="C169" s="480">
        <v>2.3386914440536755</v>
      </c>
      <c r="D169" s="479">
        <v>3.5454567946086479</v>
      </c>
      <c r="E169" s="481">
        <v>1.0242085661080091</v>
      </c>
      <c r="F169" s="480">
        <v>2.9845038596151729</v>
      </c>
      <c r="G169" s="479">
        <v>4.2375543193663434</v>
      </c>
    </row>
    <row r="170" spans="1:7" ht="18" customHeight="1" x14ac:dyDescent="0.3">
      <c r="A170" s="483">
        <v>44287</v>
      </c>
      <c r="B170" s="482">
        <v>1.9</v>
      </c>
      <c r="C170" s="480">
        <v>2.4</v>
      </c>
      <c r="D170" s="479">
        <v>3.6</v>
      </c>
      <c r="E170" s="481">
        <v>0.2</v>
      </c>
      <c r="F170" s="480">
        <v>2.7</v>
      </c>
      <c r="G170" s="479">
        <v>4.0999999999999996</v>
      </c>
    </row>
    <row r="171" spans="1:7" ht="18" customHeight="1" x14ac:dyDescent="0.3">
      <c r="A171" s="483">
        <v>44317</v>
      </c>
      <c r="B171" s="482">
        <v>1.8</v>
      </c>
      <c r="C171" s="480">
        <v>2.5</v>
      </c>
      <c r="D171" s="479">
        <v>3.7</v>
      </c>
      <c r="E171" s="481">
        <v>2.4</v>
      </c>
      <c r="F171" s="480">
        <v>2.7</v>
      </c>
      <c r="G171" s="479">
        <v>4.0999999999999996</v>
      </c>
    </row>
    <row r="172" spans="1:7" ht="18" customHeight="1" x14ac:dyDescent="0.3">
      <c r="A172" s="483">
        <v>44348</v>
      </c>
      <c r="B172" s="482">
        <v>2.2000000000000002</v>
      </c>
      <c r="C172" s="480">
        <v>2.7</v>
      </c>
      <c r="D172" s="479">
        <v>3.8</v>
      </c>
      <c r="E172" s="481">
        <v>5.9</v>
      </c>
      <c r="F172" s="480">
        <v>4.0999999999999996</v>
      </c>
      <c r="G172" s="479">
        <v>4.5</v>
      </c>
    </row>
    <row r="173" spans="1:7" ht="18" customHeight="1" thickBot="1" x14ac:dyDescent="0.35">
      <c r="A173" s="478">
        <v>44378</v>
      </c>
      <c r="B173" s="477">
        <v>2.6</v>
      </c>
      <c r="C173" s="475">
        <v>3</v>
      </c>
      <c r="D173" s="474">
        <v>4</v>
      </c>
      <c r="E173" s="476">
        <v>6.5</v>
      </c>
      <c r="F173" s="475">
        <v>4.9000000000000004</v>
      </c>
      <c r="G173" s="474">
        <v>5</v>
      </c>
    </row>
    <row r="174" spans="1:7" s="473" customFormat="1" ht="35.25" customHeight="1" thickTop="1" x14ac:dyDescent="0.2">
      <c r="A174" s="3687" t="s">
        <v>994</v>
      </c>
      <c r="B174" s="3687"/>
      <c r="C174" s="3687"/>
      <c r="D174" s="3687"/>
      <c r="E174" s="3687"/>
      <c r="F174" s="3687"/>
      <c r="G174" s="3687"/>
    </row>
    <row r="175" spans="1:7" s="473" customFormat="1" ht="14.25" x14ac:dyDescent="0.2">
      <c r="A175" s="3688" t="s">
        <v>993</v>
      </c>
      <c r="B175" s="3688"/>
      <c r="C175" s="3688"/>
      <c r="D175" s="3688"/>
      <c r="E175" s="3688"/>
      <c r="F175" s="3688"/>
      <c r="G175" s="3688"/>
    </row>
    <row r="176" spans="1:7" s="473" customFormat="1" ht="14.25" customHeight="1" x14ac:dyDescent="0.2">
      <c r="A176" s="3682" t="s">
        <v>992</v>
      </c>
      <c r="B176" s="3682"/>
      <c r="C176" s="3682"/>
      <c r="D176" s="3682"/>
      <c r="E176" s="3682"/>
      <c r="F176" s="3682"/>
      <c r="G176" s="3682"/>
    </row>
    <row r="177" spans="1:7" s="473" customFormat="1" ht="14.25" customHeight="1" x14ac:dyDescent="0.2">
      <c r="A177" s="3682" t="s">
        <v>991</v>
      </c>
      <c r="B177" s="3682"/>
      <c r="C177" s="3682"/>
      <c r="D177" s="3682"/>
      <c r="E177" s="3682"/>
      <c r="F177" s="3682"/>
      <c r="G177" s="3682"/>
    </row>
    <row r="178" spans="1:7" s="473" customFormat="1" ht="28.5" customHeight="1" x14ac:dyDescent="0.2">
      <c r="A178" s="3682" t="s">
        <v>990</v>
      </c>
      <c r="B178" s="3682"/>
      <c r="C178" s="3682"/>
      <c r="D178" s="3682"/>
      <c r="E178" s="3682"/>
      <c r="F178" s="3682"/>
      <c r="G178" s="3682"/>
    </row>
    <row r="179" spans="1:7" s="473" customFormat="1" ht="31.5" customHeight="1" x14ac:dyDescent="0.2">
      <c r="A179" s="3682" t="s">
        <v>989</v>
      </c>
      <c r="B179" s="3682"/>
      <c r="C179" s="3682"/>
      <c r="D179" s="3682"/>
      <c r="E179" s="3682"/>
      <c r="F179" s="3682"/>
      <c r="G179" s="3682"/>
    </row>
    <row r="180" spans="1:7" s="473" customFormat="1" ht="18" customHeight="1" x14ac:dyDescent="0.2">
      <c r="A180" s="3682" t="s">
        <v>1004</v>
      </c>
      <c r="B180" s="3682"/>
      <c r="C180" s="3682"/>
      <c r="D180" s="3682"/>
      <c r="E180" s="3682"/>
      <c r="F180" s="3682"/>
      <c r="G180" s="3682"/>
    </row>
    <row r="181" spans="1:7" s="473" customFormat="1" ht="14.25" x14ac:dyDescent="0.2">
      <c r="A181" s="3689" t="s">
        <v>988</v>
      </c>
      <c r="B181" s="3689"/>
      <c r="C181" s="3689"/>
      <c r="D181" s="3689"/>
      <c r="E181" s="3689"/>
      <c r="F181" s="3689"/>
      <c r="G181" s="3689"/>
    </row>
    <row r="182" spans="1:7" x14ac:dyDescent="0.25">
      <c r="A182" s="472"/>
      <c r="B182" s="472"/>
      <c r="C182" s="472"/>
      <c r="D182" s="472"/>
      <c r="E182" s="472"/>
      <c r="F182" s="472"/>
      <c r="G182" s="472"/>
    </row>
  </sheetData>
  <mergeCells count="11">
    <mergeCell ref="A180:G180"/>
    <mergeCell ref="A177:G177"/>
    <mergeCell ref="A178:G178"/>
    <mergeCell ref="A179:G179"/>
    <mergeCell ref="A181:G181"/>
    <mergeCell ref="A176:G176"/>
    <mergeCell ref="A1:G1"/>
    <mergeCell ref="B3:D3"/>
    <mergeCell ref="E3:G3"/>
    <mergeCell ref="A174:G174"/>
    <mergeCell ref="A175:G175"/>
  </mergeCells>
  <pageMargins left="0.75" right="0.75" top="0.75" bottom="0.75" header="0.3" footer="0"/>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O45"/>
  <sheetViews>
    <sheetView showGridLines="0" zoomScale="110" zoomScaleNormal="110" zoomScaleSheetLayoutView="100" workbookViewId="0">
      <pane xSplit="1" ySplit="3" topLeftCell="B4" activePane="bottomRight" state="frozen"/>
      <selection activeCell="K39" sqref="K39"/>
      <selection pane="topRight" activeCell="K39" sqref="K39"/>
      <selection pane="bottomLeft" activeCell="K39" sqref="K39"/>
      <selection pane="bottomRight"/>
    </sheetView>
  </sheetViews>
  <sheetFormatPr defaultColWidth="9.140625" defaultRowHeight="12.75" x14ac:dyDescent="0.2"/>
  <cols>
    <col min="1" max="1" width="19.85546875" style="790" customWidth="1"/>
    <col min="2" max="2" width="17.5703125" style="790" customWidth="1"/>
    <col min="3" max="4" width="20.7109375" style="790" customWidth="1"/>
    <col min="5" max="5" width="18" style="790" customWidth="1"/>
    <col min="6" max="6" width="15.28515625" style="790" customWidth="1"/>
    <col min="7" max="7" width="15.5703125" style="790" customWidth="1"/>
    <col min="8" max="16384" width="9.140625" style="790"/>
  </cols>
  <sheetData>
    <row r="1" spans="1:15" ht="17.25" x14ac:dyDescent="0.2">
      <c r="A1" s="514" t="s">
        <v>1229</v>
      </c>
    </row>
    <row r="2" spans="1:15" ht="11.25" customHeight="1" thickBot="1" x14ac:dyDescent="0.25">
      <c r="A2" s="514"/>
    </row>
    <row r="3" spans="1:15" s="794" customFormat="1" ht="84.75" thickTop="1" thickBot="1" x14ac:dyDescent="0.3">
      <c r="A3" s="791" t="s">
        <v>1</v>
      </c>
      <c r="B3" s="792" t="s">
        <v>1230</v>
      </c>
      <c r="C3" s="792" t="s">
        <v>1231</v>
      </c>
      <c r="D3" s="792" t="s">
        <v>1232</v>
      </c>
      <c r="E3" s="792" t="s">
        <v>1233</v>
      </c>
      <c r="F3" s="792" t="s">
        <v>1234</v>
      </c>
      <c r="G3" s="793" t="s">
        <v>1235</v>
      </c>
    </row>
    <row r="4" spans="1:15" ht="16.5" x14ac:dyDescent="0.2">
      <c r="A4" s="528" t="s">
        <v>1074</v>
      </c>
      <c r="B4" s="592"/>
      <c r="C4" s="592"/>
      <c r="D4" s="592"/>
      <c r="E4" s="592"/>
      <c r="F4" s="592"/>
      <c r="G4" s="593"/>
    </row>
    <row r="5" spans="1:15" ht="16.5" hidden="1" x14ac:dyDescent="0.2">
      <c r="A5" s="528">
        <v>2012</v>
      </c>
      <c r="B5" s="596">
        <v>76.574999999999989</v>
      </c>
      <c r="C5" s="596">
        <v>95.5</v>
      </c>
      <c r="D5" s="596">
        <v>96.9</v>
      </c>
      <c r="E5" s="596">
        <v>91.7</v>
      </c>
      <c r="F5" s="596">
        <v>101.5</v>
      </c>
      <c r="G5" s="597">
        <v>95.733485618937721</v>
      </c>
    </row>
    <row r="6" spans="1:15" ht="16.5" hidden="1" x14ac:dyDescent="0.2">
      <c r="A6" s="528">
        <v>2013</v>
      </c>
      <c r="B6" s="596">
        <v>84.775000000000006</v>
      </c>
      <c r="C6" s="596">
        <v>100</v>
      </c>
      <c r="D6" s="596">
        <v>100</v>
      </c>
      <c r="E6" s="596">
        <v>93.9</v>
      </c>
      <c r="F6" s="596">
        <v>100</v>
      </c>
      <c r="G6" s="597">
        <v>99.974966954728927</v>
      </c>
    </row>
    <row r="7" spans="1:15" ht="16.5" hidden="1" x14ac:dyDescent="0.2">
      <c r="A7" s="528">
        <v>2014</v>
      </c>
      <c r="B7" s="596">
        <f>AVERAGE(B14:B17)</f>
        <v>89.35</v>
      </c>
      <c r="C7" s="596">
        <f>AVERAGE(C14:C17)</f>
        <v>100.325</v>
      </c>
      <c r="D7" s="596">
        <v>95.9</v>
      </c>
      <c r="E7" s="596">
        <v>95.3</v>
      </c>
      <c r="F7" s="596">
        <f>AVERAGE(F14:F17)</f>
        <v>96.407725999999997</v>
      </c>
      <c r="G7" s="597">
        <f>AVERAGE(G14:G17)</f>
        <v>95.765104000000008</v>
      </c>
    </row>
    <row r="8" spans="1:15" ht="16.5" hidden="1" x14ac:dyDescent="0.2">
      <c r="A8" s="528">
        <v>2015</v>
      </c>
      <c r="B8" s="596">
        <f>AVERAGE(B18:B21)</f>
        <v>94.25</v>
      </c>
      <c r="C8" s="596">
        <f>AVERAGE(C18:C21)</f>
        <v>102.52500000000001</v>
      </c>
      <c r="D8" s="596">
        <v>93</v>
      </c>
      <c r="E8" s="596">
        <v>96.6</v>
      </c>
      <c r="F8" s="596">
        <f>AVERAGE(F18:F21)</f>
        <v>85.901598750000005</v>
      </c>
      <c r="G8" s="597">
        <f>AVERAGE(G18:G21)</f>
        <v>96.862493499999999</v>
      </c>
    </row>
    <row r="9" spans="1:15" ht="16.5" hidden="1" x14ac:dyDescent="0.2">
      <c r="A9" s="528">
        <v>2016</v>
      </c>
      <c r="B9" s="596">
        <f>AVERAGE(B22:B25)</f>
        <v>99.15</v>
      </c>
      <c r="C9" s="596">
        <f>AVERAGE(C22:C25)</f>
        <v>102.70000000000002</v>
      </c>
      <c r="D9" s="596">
        <v>97.2</v>
      </c>
      <c r="E9" s="596">
        <v>96.6</v>
      </c>
      <c r="F9" s="596">
        <f>AVERAGE(F22:F25)</f>
        <v>81.5</v>
      </c>
      <c r="G9" s="597">
        <f>AVERAGE(G22:G25)</f>
        <v>98.024999999999991</v>
      </c>
    </row>
    <row r="10" spans="1:15" ht="16.5" x14ac:dyDescent="0.2">
      <c r="A10" s="528">
        <v>2017</v>
      </c>
      <c r="B10" s="596">
        <v>103.8</v>
      </c>
      <c r="C10" s="596">
        <v>105</v>
      </c>
      <c r="D10" s="596">
        <v>100.599998</v>
      </c>
      <c r="E10" s="596">
        <v>97.4</v>
      </c>
      <c r="F10" s="596">
        <v>87.6</v>
      </c>
      <c r="G10" s="597">
        <f>AVERAGE(G26:G29)</f>
        <v>98.7</v>
      </c>
    </row>
    <row r="11" spans="1:15" ht="16.5" x14ac:dyDescent="0.2">
      <c r="A11" s="528">
        <v>2018</v>
      </c>
      <c r="B11" s="596">
        <v>108.4</v>
      </c>
      <c r="C11" s="596">
        <v>108.3</v>
      </c>
      <c r="D11" s="596">
        <v>99.599998499999998</v>
      </c>
      <c r="E11" s="596">
        <v>100.3</v>
      </c>
      <c r="F11" s="596">
        <v>92.1</v>
      </c>
      <c r="G11" s="597">
        <v>97.9</v>
      </c>
    </row>
    <row r="12" spans="1:15" ht="16.5" x14ac:dyDescent="0.2">
      <c r="A12" s="528">
        <v>2019</v>
      </c>
      <c r="B12" s="596">
        <v>112.9</v>
      </c>
      <c r="C12" s="596">
        <v>109.9</v>
      </c>
      <c r="D12" s="596">
        <v>101.5</v>
      </c>
      <c r="E12" s="596">
        <v>102</v>
      </c>
      <c r="F12" s="596">
        <v>91.6</v>
      </c>
      <c r="G12" s="597">
        <v>101.3</v>
      </c>
    </row>
    <row r="13" spans="1:15" ht="17.25" thickBot="1" x14ac:dyDescent="0.25">
      <c r="A13" s="795">
        <v>2020</v>
      </c>
      <c r="B13" s="796">
        <v>113.9</v>
      </c>
      <c r="C13" s="796">
        <v>114</v>
      </c>
      <c r="D13" s="797">
        <v>110.5</v>
      </c>
      <c r="E13" s="797">
        <v>105.7</v>
      </c>
      <c r="F13" s="796">
        <v>100.8</v>
      </c>
      <c r="G13" s="798">
        <v>117.7</v>
      </c>
    </row>
    <row r="14" spans="1:15" ht="16.5" hidden="1" x14ac:dyDescent="0.3">
      <c r="A14" s="586" t="s">
        <v>1122</v>
      </c>
      <c r="B14" s="596">
        <v>88.3</v>
      </c>
      <c r="C14" s="596">
        <v>100.2</v>
      </c>
      <c r="D14" s="596">
        <v>101.1</v>
      </c>
      <c r="E14" s="596">
        <v>95.4</v>
      </c>
      <c r="F14" s="596">
        <v>96.026450999999994</v>
      </c>
      <c r="G14" s="597">
        <v>98.261168999999995</v>
      </c>
      <c r="O14" s="790">
        <v>2.5</v>
      </c>
    </row>
    <row r="15" spans="1:15" ht="16.5" hidden="1" x14ac:dyDescent="0.3">
      <c r="A15" s="586" t="s">
        <v>1123</v>
      </c>
      <c r="B15" s="596">
        <v>89.1</v>
      </c>
      <c r="C15" s="596">
        <v>100.5</v>
      </c>
      <c r="D15" s="596">
        <v>100.7</v>
      </c>
      <c r="E15" s="596">
        <v>95.3</v>
      </c>
      <c r="F15" s="596">
        <v>97.520187000000007</v>
      </c>
      <c r="G15" s="597">
        <v>95.407912999999994</v>
      </c>
    </row>
    <row r="16" spans="1:15" ht="16.5" hidden="1" x14ac:dyDescent="0.3">
      <c r="A16" s="586" t="s">
        <v>1124</v>
      </c>
      <c r="B16" s="596">
        <v>90</v>
      </c>
      <c r="C16" s="596">
        <v>100.4</v>
      </c>
      <c r="D16" s="596">
        <v>93</v>
      </c>
      <c r="E16" s="596">
        <v>95.2</v>
      </c>
      <c r="F16" s="596">
        <v>99.940619999999996</v>
      </c>
      <c r="G16" s="597">
        <v>94.921645999999996</v>
      </c>
    </row>
    <row r="17" spans="1:7" ht="17.25" hidden="1" thickBot="1" x14ac:dyDescent="0.35">
      <c r="A17" s="602" t="s">
        <v>1125</v>
      </c>
      <c r="B17" s="797">
        <v>90</v>
      </c>
      <c r="C17" s="797">
        <v>100.2</v>
      </c>
      <c r="D17" s="797">
        <v>87.5</v>
      </c>
      <c r="E17" s="797">
        <v>95.2</v>
      </c>
      <c r="F17" s="797">
        <v>92.143646000000004</v>
      </c>
      <c r="G17" s="799">
        <v>94.469688000000005</v>
      </c>
    </row>
    <row r="18" spans="1:7" ht="16.5" hidden="1" x14ac:dyDescent="0.3">
      <c r="A18" s="586" t="s">
        <v>1126</v>
      </c>
      <c r="B18" s="596">
        <v>93.2</v>
      </c>
      <c r="C18" s="596">
        <v>101.7</v>
      </c>
      <c r="D18" s="596">
        <v>99.900002000000001</v>
      </c>
      <c r="E18" s="596">
        <v>96.4</v>
      </c>
      <c r="F18" s="596">
        <v>86.906395000000003</v>
      </c>
      <c r="G18" s="597">
        <v>92.949973999999997</v>
      </c>
    </row>
    <row r="19" spans="1:7" ht="16.5" hidden="1" x14ac:dyDescent="0.3">
      <c r="A19" s="586" t="s">
        <v>1127</v>
      </c>
      <c r="B19" s="596">
        <v>94.2</v>
      </c>
      <c r="C19" s="596">
        <v>102</v>
      </c>
      <c r="D19" s="596">
        <v>90.900002000000001</v>
      </c>
      <c r="E19" s="596">
        <v>96.6</v>
      </c>
      <c r="F19" s="596">
        <v>88.8</v>
      </c>
      <c r="G19" s="597">
        <v>97.2</v>
      </c>
    </row>
    <row r="20" spans="1:7" ht="16.5" hidden="1" x14ac:dyDescent="0.3">
      <c r="A20" s="586" t="s">
        <v>1128</v>
      </c>
      <c r="B20" s="596">
        <v>94.8</v>
      </c>
      <c r="C20" s="596">
        <v>102.9</v>
      </c>
      <c r="D20" s="596">
        <v>92</v>
      </c>
      <c r="E20" s="596">
        <v>96.7</v>
      </c>
      <c r="F20" s="596">
        <v>86.3</v>
      </c>
      <c r="G20" s="597">
        <v>97.7</v>
      </c>
    </row>
    <row r="21" spans="1:7" ht="16.5" hidden="1" x14ac:dyDescent="0.3">
      <c r="A21" s="586" t="s">
        <v>1129</v>
      </c>
      <c r="B21" s="596">
        <v>94.8</v>
      </c>
      <c r="C21" s="596">
        <v>103.5</v>
      </c>
      <c r="D21" s="596">
        <v>90.7</v>
      </c>
      <c r="E21" s="596">
        <v>96.6</v>
      </c>
      <c r="F21" s="596">
        <v>81.599999999999994</v>
      </c>
      <c r="G21" s="597">
        <v>99.6</v>
      </c>
    </row>
    <row r="22" spans="1:7" ht="16.5" hidden="1" x14ac:dyDescent="0.3">
      <c r="A22" s="686" t="s">
        <v>1130</v>
      </c>
      <c r="B22" s="592">
        <v>97.8</v>
      </c>
      <c r="C22" s="592">
        <v>101.7</v>
      </c>
      <c r="D22" s="592">
        <v>94.900002000000001</v>
      </c>
      <c r="E22" s="592">
        <v>96.5</v>
      </c>
      <c r="F22" s="592">
        <v>77.400000000000006</v>
      </c>
      <c r="G22" s="593">
        <v>98.1</v>
      </c>
    </row>
    <row r="23" spans="1:7" ht="16.5" hidden="1" x14ac:dyDescent="0.3">
      <c r="A23" s="586" t="s">
        <v>1127</v>
      </c>
      <c r="B23" s="596">
        <v>98.9</v>
      </c>
      <c r="C23" s="596">
        <v>102.1</v>
      </c>
      <c r="D23" s="596">
        <v>94.5</v>
      </c>
      <c r="E23" s="596">
        <v>96.5</v>
      </c>
      <c r="F23" s="596">
        <v>83</v>
      </c>
      <c r="G23" s="597">
        <v>97.3</v>
      </c>
    </row>
    <row r="24" spans="1:7" ht="16.5" hidden="1" x14ac:dyDescent="0.3">
      <c r="A24" s="586" t="s">
        <v>1128</v>
      </c>
      <c r="B24" s="596">
        <v>99.9</v>
      </c>
      <c r="C24" s="596">
        <v>102.9</v>
      </c>
      <c r="D24" s="596">
        <v>99.800003099999998</v>
      </c>
      <c r="E24" s="596">
        <v>96.6</v>
      </c>
      <c r="F24" s="596">
        <v>81.400000000000006</v>
      </c>
      <c r="G24" s="597">
        <v>97.7</v>
      </c>
    </row>
    <row r="25" spans="1:7" ht="17.25" hidden="1" thickBot="1" x14ac:dyDescent="0.35">
      <c r="A25" s="602" t="s">
        <v>1129</v>
      </c>
      <c r="B25" s="797">
        <v>100</v>
      </c>
      <c r="C25" s="797">
        <v>104.1</v>
      </c>
      <c r="D25" s="797">
        <v>99.400001500000002</v>
      </c>
      <c r="E25" s="797">
        <v>96.7</v>
      </c>
      <c r="F25" s="797">
        <v>84.2</v>
      </c>
      <c r="G25" s="799">
        <v>99</v>
      </c>
    </row>
    <row r="26" spans="1:7" ht="16.5" x14ac:dyDescent="0.3">
      <c r="A26" s="586" t="s">
        <v>1131</v>
      </c>
      <c r="B26" s="596">
        <v>102.4</v>
      </c>
      <c r="C26" s="596">
        <v>104.3</v>
      </c>
      <c r="D26" s="596">
        <v>101.6</v>
      </c>
      <c r="E26" s="596">
        <v>97</v>
      </c>
      <c r="F26" s="596">
        <v>87.3</v>
      </c>
      <c r="G26" s="597">
        <v>95.2</v>
      </c>
    </row>
    <row r="27" spans="1:7" ht="16.5" x14ac:dyDescent="0.3">
      <c r="A27" s="586" t="s">
        <v>1127</v>
      </c>
      <c r="B27" s="596">
        <v>103.3</v>
      </c>
      <c r="C27" s="596">
        <v>104.6</v>
      </c>
      <c r="D27" s="596">
        <v>111.2</v>
      </c>
      <c r="E27" s="596">
        <v>97.2</v>
      </c>
      <c r="F27" s="596">
        <v>85.3</v>
      </c>
      <c r="G27" s="597">
        <v>97.9</v>
      </c>
    </row>
    <row r="28" spans="1:7" ht="16.5" x14ac:dyDescent="0.3">
      <c r="A28" s="586" t="s">
        <v>1128</v>
      </c>
      <c r="B28" s="596">
        <v>104.5</v>
      </c>
      <c r="C28" s="596">
        <v>105.2</v>
      </c>
      <c r="D28" s="596">
        <v>92.5</v>
      </c>
      <c r="E28" s="596">
        <v>97.2</v>
      </c>
      <c r="F28" s="596">
        <v>86.5</v>
      </c>
      <c r="G28" s="597">
        <v>102.7</v>
      </c>
    </row>
    <row r="29" spans="1:7" ht="17.25" thickBot="1" x14ac:dyDescent="0.35">
      <c r="A29" s="602" t="s">
        <v>1129</v>
      </c>
      <c r="B29" s="797">
        <v>104.9</v>
      </c>
      <c r="C29" s="797">
        <v>105.9</v>
      </c>
      <c r="D29" s="797">
        <v>97.7</v>
      </c>
      <c r="E29" s="797">
        <v>98.1</v>
      </c>
      <c r="F29" s="797">
        <v>91.2</v>
      </c>
      <c r="G29" s="799">
        <v>99</v>
      </c>
    </row>
    <row r="30" spans="1:7" ht="16.5" x14ac:dyDescent="0.3">
      <c r="A30" s="586" t="s">
        <v>1177</v>
      </c>
      <c r="B30" s="596">
        <v>107.1</v>
      </c>
      <c r="C30" s="596">
        <v>107.3</v>
      </c>
      <c r="D30" s="596">
        <v>110.9</v>
      </c>
      <c r="E30" s="596">
        <v>100</v>
      </c>
      <c r="F30" s="596">
        <v>87.2</v>
      </c>
      <c r="G30" s="597">
        <v>97</v>
      </c>
    </row>
    <row r="31" spans="1:7" ht="16.5" x14ac:dyDescent="0.3">
      <c r="A31" s="586" t="s">
        <v>1127</v>
      </c>
      <c r="B31" s="596">
        <v>108</v>
      </c>
      <c r="C31" s="596">
        <v>108</v>
      </c>
      <c r="D31" s="596">
        <v>103.7</v>
      </c>
      <c r="E31" s="596">
        <v>100.3</v>
      </c>
      <c r="F31" s="596">
        <v>93.8</v>
      </c>
      <c r="G31" s="597">
        <v>99.6</v>
      </c>
    </row>
    <row r="32" spans="1:7" ht="16.5" x14ac:dyDescent="0.3">
      <c r="A32" s="586" t="s">
        <v>1128</v>
      </c>
      <c r="B32" s="596">
        <v>109</v>
      </c>
      <c r="C32" s="596">
        <v>108.7</v>
      </c>
      <c r="D32" s="596">
        <v>92.900001500000002</v>
      </c>
      <c r="E32" s="596">
        <v>100.5</v>
      </c>
      <c r="F32" s="596">
        <v>95.3</v>
      </c>
      <c r="G32" s="597">
        <v>98.6</v>
      </c>
    </row>
    <row r="33" spans="1:7" ht="17.25" thickBot="1" x14ac:dyDescent="0.35">
      <c r="A33" s="602" t="s">
        <v>1129</v>
      </c>
      <c r="B33" s="797">
        <v>109.4</v>
      </c>
      <c r="C33" s="797">
        <v>109.2</v>
      </c>
      <c r="D33" s="797">
        <v>93.800003099999998</v>
      </c>
      <c r="E33" s="797">
        <v>100.5</v>
      </c>
      <c r="F33" s="797">
        <v>92</v>
      </c>
      <c r="G33" s="799">
        <v>96.5</v>
      </c>
    </row>
    <row r="34" spans="1:7" ht="16.5" x14ac:dyDescent="0.3">
      <c r="A34" s="686" t="s">
        <v>1143</v>
      </c>
      <c r="B34" s="592">
        <v>111.8</v>
      </c>
      <c r="C34" s="592">
        <v>109.4</v>
      </c>
      <c r="D34" s="592">
        <v>99.5</v>
      </c>
      <c r="E34" s="592">
        <v>101.1</v>
      </c>
      <c r="F34" s="592">
        <v>89</v>
      </c>
      <c r="G34" s="593">
        <v>96.8</v>
      </c>
    </row>
    <row r="35" spans="1:7" ht="16.5" x14ac:dyDescent="0.3">
      <c r="A35" s="586" t="s">
        <v>1127</v>
      </c>
      <c r="B35" s="596">
        <v>112.5</v>
      </c>
      <c r="C35" s="596">
        <v>109.7</v>
      </c>
      <c r="D35" s="596">
        <v>100.5</v>
      </c>
      <c r="E35" s="596">
        <v>101.6</v>
      </c>
      <c r="F35" s="596">
        <v>92.9</v>
      </c>
      <c r="G35" s="597">
        <v>99.1</v>
      </c>
    </row>
    <row r="36" spans="1:7" ht="16.5" x14ac:dyDescent="0.3">
      <c r="A36" s="586" t="s">
        <v>1128</v>
      </c>
      <c r="B36" s="596">
        <v>113.4</v>
      </c>
      <c r="C36" s="596">
        <v>110.2</v>
      </c>
      <c r="D36" s="596">
        <v>105.5</v>
      </c>
      <c r="E36" s="596">
        <v>102.6</v>
      </c>
      <c r="F36" s="596">
        <v>93.3</v>
      </c>
      <c r="G36" s="597">
        <v>102.7</v>
      </c>
    </row>
    <row r="37" spans="1:7" ht="17.25" thickBot="1" x14ac:dyDescent="0.35">
      <c r="A37" s="602" t="s">
        <v>1129</v>
      </c>
      <c r="B37" s="797">
        <v>113.8</v>
      </c>
      <c r="C37" s="797">
        <v>110.3</v>
      </c>
      <c r="D37" s="797">
        <v>102.099998</v>
      </c>
      <c r="E37" s="797">
        <v>102.6</v>
      </c>
      <c r="F37" s="797">
        <v>91.1</v>
      </c>
      <c r="G37" s="799">
        <v>106.7</v>
      </c>
    </row>
    <row r="38" spans="1:7" ht="16.5" x14ac:dyDescent="0.3">
      <c r="A38" s="686" t="s">
        <v>1178</v>
      </c>
      <c r="B38" s="592">
        <v>114.8</v>
      </c>
      <c r="C38" s="592">
        <v>111.4</v>
      </c>
      <c r="D38" s="592">
        <v>119.9</v>
      </c>
      <c r="E38" s="592">
        <v>104.2</v>
      </c>
      <c r="F38" s="592">
        <v>99.4</v>
      </c>
      <c r="G38" s="593">
        <v>110</v>
      </c>
    </row>
    <row r="39" spans="1:7" s="800" customFormat="1" ht="16.5" x14ac:dyDescent="0.3">
      <c r="A39" s="586" t="s">
        <v>1127</v>
      </c>
      <c r="B39" s="596">
        <v>112.1</v>
      </c>
      <c r="C39" s="596">
        <v>112.8</v>
      </c>
      <c r="D39" s="596">
        <v>113</v>
      </c>
      <c r="E39" s="596">
        <v>105.4</v>
      </c>
      <c r="F39" s="596">
        <v>101.7</v>
      </c>
      <c r="G39" s="597">
        <v>116.9</v>
      </c>
    </row>
    <row r="40" spans="1:7" s="800" customFormat="1" ht="16.5" x14ac:dyDescent="0.3">
      <c r="A40" s="586" t="s">
        <v>1128</v>
      </c>
      <c r="B40" s="596">
        <v>114.2</v>
      </c>
      <c r="C40" s="596">
        <v>115.5</v>
      </c>
      <c r="D40" s="596">
        <v>102.9</v>
      </c>
      <c r="E40" s="596">
        <v>106.3</v>
      </c>
      <c r="F40" s="596">
        <v>102.3</v>
      </c>
      <c r="G40" s="597">
        <v>119.4</v>
      </c>
    </row>
    <row r="41" spans="1:7" ht="17.25" thickBot="1" x14ac:dyDescent="0.35">
      <c r="A41" s="602" t="s">
        <v>1129</v>
      </c>
      <c r="B41" s="797">
        <v>114.6</v>
      </c>
      <c r="C41" s="797">
        <v>116.4</v>
      </c>
      <c r="D41" s="797">
        <v>110.2</v>
      </c>
      <c r="E41" s="797">
        <v>106.9</v>
      </c>
      <c r="F41" s="797">
        <v>99.8</v>
      </c>
      <c r="G41" s="799">
        <v>124.4</v>
      </c>
    </row>
    <row r="42" spans="1:7" ht="16.5" x14ac:dyDescent="0.3">
      <c r="A42" s="686" t="s">
        <v>1180</v>
      </c>
      <c r="B42" s="592">
        <v>114.4</v>
      </c>
      <c r="C42" s="592">
        <v>117.8</v>
      </c>
      <c r="D42" s="592">
        <v>116.8</v>
      </c>
      <c r="E42" s="592">
        <v>108.3</v>
      </c>
      <c r="F42" s="592">
        <v>106.4</v>
      </c>
      <c r="G42" s="593">
        <v>123.3</v>
      </c>
    </row>
    <row r="43" spans="1:7" ht="17.25" thickBot="1" x14ac:dyDescent="0.35">
      <c r="A43" s="630" t="s">
        <v>1127</v>
      </c>
      <c r="B43" s="796" t="s">
        <v>1236</v>
      </c>
      <c r="C43" s="796" t="s">
        <v>1236</v>
      </c>
      <c r="D43" s="796" t="s">
        <v>1236</v>
      </c>
      <c r="E43" s="796">
        <v>110.3</v>
      </c>
      <c r="F43" s="796" t="s">
        <v>1236</v>
      </c>
      <c r="G43" s="796" t="s">
        <v>1236</v>
      </c>
    </row>
    <row r="44" spans="1:7" s="801" customFormat="1" ht="16.5" thickTop="1" x14ac:dyDescent="0.25">
      <c r="A44" s="557" t="s">
        <v>1237</v>
      </c>
      <c r="F44" s="801" t="s">
        <v>1238</v>
      </c>
    </row>
    <row r="45" spans="1:7" s="801" customFormat="1" ht="14.25" x14ac:dyDescent="0.25">
      <c r="A45" s="557" t="s">
        <v>1145</v>
      </c>
      <c r="C45" s="802"/>
      <c r="D45" s="802"/>
      <c r="E45" s="802"/>
      <c r="F45" s="802"/>
      <c r="G45" s="802"/>
    </row>
  </sheetData>
  <pageMargins left="0.75" right="0.75" top="0.75" bottom="0.75" header="0.3"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K55"/>
  <sheetViews>
    <sheetView showGridLines="0" zoomScaleNormal="100" workbookViewId="0"/>
  </sheetViews>
  <sheetFormatPr defaultRowHeight="14.25" x14ac:dyDescent="0.25"/>
  <cols>
    <col min="1" max="1" width="60.140625" style="1096" customWidth="1"/>
    <col min="2" max="2" width="18.7109375" style="1095" customWidth="1"/>
    <col min="3" max="3" width="3" style="1095" customWidth="1"/>
    <col min="4" max="4" width="18.7109375" style="1095" customWidth="1"/>
    <col min="5" max="5" width="3.7109375" style="1095" customWidth="1"/>
    <col min="6" max="6" width="9.140625" style="1095"/>
    <col min="7" max="7" width="10" style="1095" customWidth="1"/>
    <col min="8" max="16384" width="9.140625" style="1095"/>
  </cols>
  <sheetData>
    <row r="1" spans="1:5" ht="16.5" customHeight="1" x14ac:dyDescent="0.35">
      <c r="A1" s="1090" t="s">
        <v>3195</v>
      </c>
      <c r="B1" s="1091"/>
      <c r="C1" s="1092"/>
      <c r="D1" s="1093"/>
      <c r="E1" s="1094"/>
    </row>
    <row r="2" spans="1:5" ht="16.5" customHeight="1" thickBot="1" x14ac:dyDescent="0.35">
      <c r="B2" s="1091"/>
      <c r="C2" s="1091"/>
      <c r="D2" s="1097"/>
      <c r="E2" s="1098"/>
    </row>
    <row r="3" spans="1:5" ht="18" customHeight="1" thickTop="1" x14ac:dyDescent="0.3">
      <c r="A3" s="1099"/>
      <c r="B3" s="1100">
        <v>44317</v>
      </c>
      <c r="C3" s="1101"/>
      <c r="D3" s="1100">
        <v>44287</v>
      </c>
      <c r="E3" s="1102"/>
    </row>
    <row r="4" spans="1:5" ht="18" customHeight="1" x14ac:dyDescent="0.3">
      <c r="A4" s="1103"/>
      <c r="B4" s="1104" t="s">
        <v>3196</v>
      </c>
      <c r="C4" s="1105"/>
      <c r="D4" s="1104" t="s">
        <v>3196</v>
      </c>
      <c r="E4" s="1106"/>
    </row>
    <row r="5" spans="1:5" ht="18" customHeight="1" x14ac:dyDescent="0.3">
      <c r="A5" s="1103"/>
      <c r="B5" s="1107"/>
      <c r="C5" s="1108"/>
      <c r="D5" s="1107"/>
      <c r="E5" s="1109"/>
    </row>
    <row r="6" spans="1:5" ht="18" customHeight="1" x14ac:dyDescent="0.3">
      <c r="A6" s="1103" t="s">
        <v>3197</v>
      </c>
      <c r="B6" s="1110"/>
      <c r="C6" s="1108"/>
      <c r="D6" s="1110"/>
      <c r="E6" s="1109"/>
    </row>
    <row r="7" spans="1:5" ht="18" customHeight="1" x14ac:dyDescent="0.3">
      <c r="A7" s="1111" t="s">
        <v>3198</v>
      </c>
      <c r="B7" s="1110"/>
      <c r="C7" s="1108"/>
      <c r="D7" s="1110"/>
      <c r="E7" s="1109"/>
    </row>
    <row r="8" spans="1:5" ht="18" customHeight="1" x14ac:dyDescent="0.3">
      <c r="A8" s="1112" t="s">
        <v>3199</v>
      </c>
      <c r="B8" s="1113">
        <v>69376760791</v>
      </c>
      <c r="C8" s="1108"/>
      <c r="D8" s="1113">
        <v>66968380354</v>
      </c>
      <c r="E8" s="1109"/>
    </row>
    <row r="9" spans="1:5" ht="18" customHeight="1" x14ac:dyDescent="0.3">
      <c r="A9" s="1112" t="s">
        <v>3200</v>
      </c>
      <c r="B9" s="1114">
        <v>31057003760</v>
      </c>
      <c r="C9" s="1108"/>
      <c r="D9" s="1114">
        <v>28695824730</v>
      </c>
      <c r="E9" s="1109"/>
    </row>
    <row r="10" spans="1:5" ht="31.5" customHeight="1" x14ac:dyDescent="0.3">
      <c r="A10" s="1115" t="s">
        <v>3201</v>
      </c>
      <c r="B10" s="1114">
        <v>63116203316</v>
      </c>
      <c r="C10" s="1108"/>
      <c r="D10" s="1114">
        <v>62463036281</v>
      </c>
      <c r="E10" s="1109"/>
    </row>
    <row r="11" spans="1:5" ht="18" customHeight="1" x14ac:dyDescent="0.3">
      <c r="A11" s="1116" t="s">
        <v>3202</v>
      </c>
      <c r="B11" s="1117">
        <v>144976519948</v>
      </c>
      <c r="C11" s="1108"/>
      <c r="D11" s="1117">
        <v>143494208718</v>
      </c>
      <c r="E11" s="1109"/>
    </row>
    <row r="12" spans="1:5" ht="18" customHeight="1" x14ac:dyDescent="0.3">
      <c r="A12" s="1118"/>
      <c r="B12" s="1119">
        <v>308526487815</v>
      </c>
      <c r="C12" s="1108"/>
      <c r="D12" s="1119">
        <v>301621450083</v>
      </c>
      <c r="E12" s="1109"/>
    </row>
    <row r="13" spans="1:5" ht="18" customHeight="1" x14ac:dyDescent="0.3">
      <c r="A13" s="1111" t="s">
        <v>3203</v>
      </c>
      <c r="B13" s="1120"/>
      <c r="C13" s="1108"/>
      <c r="D13" s="1120"/>
      <c r="E13" s="1109"/>
    </row>
    <row r="14" spans="1:5" ht="18" customHeight="1" x14ac:dyDescent="0.3">
      <c r="A14" s="1112" t="s">
        <v>3204</v>
      </c>
      <c r="B14" s="1119"/>
      <c r="C14" s="1108"/>
      <c r="D14" s="1119"/>
      <c r="E14" s="1109"/>
    </row>
    <row r="15" spans="1:5" ht="18" customHeight="1" x14ac:dyDescent="0.3">
      <c r="A15" s="1112" t="s">
        <v>3205</v>
      </c>
      <c r="B15" s="1119">
        <v>79972247120</v>
      </c>
      <c r="C15" s="1108"/>
      <c r="D15" s="1119">
        <v>79896153360</v>
      </c>
      <c r="E15" s="1109"/>
    </row>
    <row r="16" spans="1:5" ht="18" customHeight="1" x14ac:dyDescent="0.3">
      <c r="A16" s="1112" t="s">
        <v>3206</v>
      </c>
      <c r="B16" s="1119">
        <v>22071881298</v>
      </c>
      <c r="C16" s="1108"/>
      <c r="D16" s="1119">
        <v>21932374682</v>
      </c>
      <c r="E16" s="1109"/>
    </row>
    <row r="17" spans="1:5" ht="18" customHeight="1" x14ac:dyDescent="0.3">
      <c r="A17" s="1116" t="s">
        <v>3207</v>
      </c>
      <c r="B17" s="1119">
        <v>1000000000</v>
      </c>
      <c r="C17" s="1108"/>
      <c r="D17" s="1119">
        <v>1000000000</v>
      </c>
      <c r="E17" s="1109"/>
    </row>
    <row r="18" spans="1:5" ht="18" customHeight="1" x14ac:dyDescent="0.3">
      <c r="A18" s="1112" t="s">
        <v>3208</v>
      </c>
      <c r="B18" s="1119">
        <v>21118174</v>
      </c>
      <c r="C18" s="1108"/>
      <c r="D18" s="1119">
        <v>21118174</v>
      </c>
      <c r="E18" s="1109"/>
    </row>
    <row r="19" spans="1:5" ht="18" customHeight="1" x14ac:dyDescent="0.3">
      <c r="A19" s="1112" t="s">
        <v>3209</v>
      </c>
      <c r="B19" s="1119">
        <v>1821761305</v>
      </c>
      <c r="C19" s="1108"/>
      <c r="D19" s="1119">
        <v>1817893796</v>
      </c>
      <c r="E19" s="1109"/>
    </row>
    <row r="20" spans="1:5" ht="18" customHeight="1" x14ac:dyDescent="0.3">
      <c r="A20" s="1112" t="s">
        <v>3210</v>
      </c>
      <c r="B20" s="1119">
        <v>28499706654</v>
      </c>
      <c r="C20" s="1108"/>
      <c r="D20" s="1119">
        <v>28487837917</v>
      </c>
      <c r="E20" s="1109"/>
    </row>
    <row r="21" spans="1:5" ht="18" customHeight="1" x14ac:dyDescent="0.3">
      <c r="A21" s="1103"/>
      <c r="B21" s="1121">
        <v>133386714551</v>
      </c>
      <c r="C21" s="1108"/>
      <c r="D21" s="1121">
        <v>133155377929</v>
      </c>
      <c r="E21" s="1109"/>
    </row>
    <row r="22" spans="1:5" ht="18" customHeight="1" x14ac:dyDescent="0.3">
      <c r="A22" s="1103"/>
      <c r="B22" s="1120"/>
      <c r="C22" s="1108"/>
      <c r="D22" s="1120"/>
      <c r="E22" s="1109"/>
    </row>
    <row r="23" spans="1:5" ht="18" customHeight="1" thickBot="1" x14ac:dyDescent="0.35">
      <c r="A23" s="1103" t="s">
        <v>135</v>
      </c>
      <c r="B23" s="1122">
        <v>441913202366</v>
      </c>
      <c r="C23" s="1108"/>
      <c r="D23" s="1122">
        <v>434776828012</v>
      </c>
      <c r="E23" s="1109"/>
    </row>
    <row r="24" spans="1:5" ht="18" customHeight="1" thickTop="1" x14ac:dyDescent="0.3">
      <c r="A24" s="1123"/>
      <c r="B24" s="1110"/>
      <c r="C24" s="1108"/>
      <c r="D24" s="1110"/>
      <c r="E24" s="1109"/>
    </row>
    <row r="25" spans="1:5" ht="18" customHeight="1" x14ac:dyDescent="0.3">
      <c r="A25" s="1103" t="s">
        <v>3211</v>
      </c>
      <c r="B25" s="1110"/>
      <c r="C25" s="1108"/>
      <c r="D25" s="1110"/>
      <c r="E25" s="1109"/>
    </row>
    <row r="26" spans="1:5" ht="18" customHeight="1" x14ac:dyDescent="0.3">
      <c r="A26" s="1112" t="s">
        <v>136</v>
      </c>
      <c r="B26" s="1119">
        <v>46106566482</v>
      </c>
      <c r="C26" s="1108"/>
      <c r="D26" s="1119">
        <v>45930270970</v>
      </c>
      <c r="E26" s="1109"/>
    </row>
    <row r="27" spans="1:5" ht="18" customHeight="1" x14ac:dyDescent="0.3">
      <c r="A27" s="1111" t="s">
        <v>3212</v>
      </c>
      <c r="B27" s="1124"/>
      <c r="C27" s="1108"/>
      <c r="D27" s="1124"/>
      <c r="E27" s="1109"/>
    </row>
    <row r="28" spans="1:5" ht="18" customHeight="1" x14ac:dyDescent="0.3">
      <c r="A28" s="1112" t="s">
        <v>3213</v>
      </c>
      <c r="B28" s="1113">
        <v>30148787609</v>
      </c>
      <c r="C28" s="1108"/>
      <c r="D28" s="1113">
        <v>32918455416</v>
      </c>
      <c r="E28" s="1109"/>
    </row>
    <row r="29" spans="1:5" ht="18" customHeight="1" x14ac:dyDescent="0.3">
      <c r="A29" s="1112" t="s">
        <v>3214</v>
      </c>
      <c r="B29" s="1114">
        <v>120104427891</v>
      </c>
      <c r="C29" s="1108"/>
      <c r="D29" s="1114">
        <v>112321010947</v>
      </c>
      <c r="E29" s="1109"/>
    </row>
    <row r="30" spans="1:5" ht="18" customHeight="1" x14ac:dyDescent="0.3">
      <c r="A30" s="1112" t="s">
        <v>3205</v>
      </c>
      <c r="B30" s="1114">
        <v>77793980581</v>
      </c>
      <c r="C30" s="1108"/>
      <c r="D30" s="1114">
        <v>78666440135</v>
      </c>
      <c r="E30" s="1109"/>
    </row>
    <row r="31" spans="1:5" ht="18" customHeight="1" x14ac:dyDescent="0.3">
      <c r="A31" s="1112" t="s">
        <v>3206</v>
      </c>
      <c r="B31" s="1117">
        <v>1017413183</v>
      </c>
      <c r="C31" s="1108"/>
      <c r="D31" s="1117">
        <v>1631104000</v>
      </c>
      <c r="E31" s="1109"/>
    </row>
    <row r="32" spans="1:5" ht="18" customHeight="1" x14ac:dyDescent="0.3">
      <c r="A32" s="1125"/>
      <c r="B32" s="1119">
        <v>229064609264</v>
      </c>
      <c r="C32" s="1119"/>
      <c r="D32" s="1119">
        <v>225537010498</v>
      </c>
      <c r="E32" s="1109"/>
    </row>
    <row r="33" spans="1:11" ht="18" customHeight="1" x14ac:dyDescent="0.3">
      <c r="A33" s="1112" t="s">
        <v>3215</v>
      </c>
      <c r="B33" s="1119">
        <v>126647025685</v>
      </c>
      <c r="C33" s="1119"/>
      <c r="D33" s="1119">
        <v>127740931037</v>
      </c>
      <c r="E33" s="1109"/>
    </row>
    <row r="34" spans="1:11" ht="18" customHeight="1" x14ac:dyDescent="0.3">
      <c r="A34" s="1112" t="s">
        <v>3216</v>
      </c>
      <c r="B34" s="1119">
        <v>100000000</v>
      </c>
      <c r="C34" s="1119"/>
      <c r="D34" s="1119">
        <v>100000000</v>
      </c>
      <c r="E34" s="1109"/>
    </row>
    <row r="35" spans="1:11" ht="18" customHeight="1" x14ac:dyDescent="0.3">
      <c r="A35" s="1126" t="s">
        <v>3217</v>
      </c>
      <c r="B35" s="1119">
        <v>955400866</v>
      </c>
      <c r="C35" s="1119"/>
      <c r="D35" s="1119">
        <v>955400866</v>
      </c>
      <c r="E35" s="1109"/>
    </row>
    <row r="36" spans="1:11" ht="18" customHeight="1" x14ac:dyDescent="0.3">
      <c r="A36" s="1112" t="s">
        <v>3218</v>
      </c>
      <c r="B36" s="1119">
        <v>10914384205</v>
      </c>
      <c r="C36" s="1119"/>
      <c r="D36" s="1119">
        <v>10781713458</v>
      </c>
      <c r="E36" s="1109"/>
    </row>
    <row r="37" spans="1:11" ht="18" customHeight="1" x14ac:dyDescent="0.3">
      <c r="A37" s="1103" t="s">
        <v>137</v>
      </c>
      <c r="B37" s="1127">
        <v>413787986502</v>
      </c>
      <c r="C37" s="1108"/>
      <c r="D37" s="1127">
        <v>411045326829</v>
      </c>
      <c r="E37" s="1109"/>
    </row>
    <row r="38" spans="1:11" ht="18" customHeight="1" x14ac:dyDescent="0.3">
      <c r="A38" s="1103"/>
      <c r="B38" s="1128"/>
      <c r="C38" s="1108"/>
      <c r="D38" s="1128"/>
      <c r="E38" s="1129"/>
    </row>
    <row r="39" spans="1:11" ht="18" customHeight="1" x14ac:dyDescent="0.3">
      <c r="A39" s="1103" t="s">
        <v>3219</v>
      </c>
      <c r="B39" s="1130"/>
      <c r="C39" s="1131"/>
      <c r="D39" s="1130"/>
      <c r="E39" s="1129"/>
    </row>
    <row r="40" spans="1:11" ht="18" customHeight="1" x14ac:dyDescent="0.3">
      <c r="A40" s="1112" t="s">
        <v>3220</v>
      </c>
      <c r="B40" s="1113">
        <v>10000000000</v>
      </c>
      <c r="C40" s="1108"/>
      <c r="D40" s="1113">
        <v>10000000000</v>
      </c>
      <c r="E40" s="1129"/>
    </row>
    <row r="41" spans="1:11" ht="18" customHeight="1" x14ac:dyDescent="0.3">
      <c r="A41" s="1112" t="s">
        <v>3221</v>
      </c>
      <c r="B41" s="1117">
        <v>3491583506</v>
      </c>
      <c r="C41" s="1108"/>
      <c r="D41" s="1117">
        <v>3491583506</v>
      </c>
      <c r="E41" s="1129"/>
      <c r="G41" s="1132"/>
    </row>
    <row r="42" spans="1:11" ht="18" customHeight="1" x14ac:dyDescent="0.3">
      <c r="A42" s="1103"/>
      <c r="B42" s="1119">
        <v>13491583506</v>
      </c>
      <c r="C42" s="1108"/>
      <c r="D42" s="1119">
        <v>13491583506</v>
      </c>
      <c r="E42" s="1129"/>
    </row>
    <row r="43" spans="1:11" ht="18" customHeight="1" x14ac:dyDescent="0.3">
      <c r="A43" s="1112" t="s">
        <v>3222</v>
      </c>
      <c r="B43" s="1119">
        <v>14633632358</v>
      </c>
      <c r="C43" s="1108"/>
      <c r="D43" s="1119">
        <v>10239917677</v>
      </c>
      <c r="E43" s="1129"/>
    </row>
    <row r="44" spans="1:11" ht="18" customHeight="1" thickBot="1" x14ac:dyDescent="0.35">
      <c r="A44" s="1103" t="s">
        <v>3223</v>
      </c>
      <c r="B44" s="1133">
        <v>441913202366</v>
      </c>
      <c r="C44" s="1108"/>
      <c r="D44" s="1133">
        <v>434776828012</v>
      </c>
      <c r="E44" s="1129"/>
    </row>
    <row r="45" spans="1:11" ht="18" customHeight="1" thickTop="1" thickBot="1" x14ac:dyDescent="0.35">
      <c r="A45" s="1134"/>
      <c r="B45" s="1135"/>
      <c r="C45" s="1135"/>
      <c r="D45" s="1135"/>
      <c r="E45" s="1136"/>
      <c r="F45" s="1137"/>
      <c r="G45" s="1137"/>
      <c r="H45" s="1137"/>
      <c r="I45" s="1137"/>
      <c r="J45" s="1137"/>
      <c r="K45" s="1137"/>
    </row>
    <row r="46" spans="1:11" ht="19.5" customHeight="1" thickTop="1" x14ac:dyDescent="0.3">
      <c r="A46" s="3690"/>
      <c r="B46" s="3690"/>
      <c r="C46" s="3690"/>
      <c r="D46" s="3690"/>
      <c r="E46" s="3690"/>
      <c r="F46" s="1137"/>
      <c r="G46" s="1137"/>
      <c r="H46" s="1137"/>
      <c r="I46" s="1137"/>
      <c r="J46" s="1137"/>
      <c r="K46" s="1137"/>
    </row>
    <row r="47" spans="1:11" s="1139" customFormat="1" ht="15.75" customHeight="1" x14ac:dyDescent="0.25">
      <c r="A47" s="1138" t="s">
        <v>3224</v>
      </c>
      <c r="B47" s="1137"/>
      <c r="C47" s="1137"/>
      <c r="D47" s="1137"/>
      <c r="E47" s="1137"/>
    </row>
    <row r="48" spans="1:11" ht="18" customHeight="1" x14ac:dyDescent="0.3">
      <c r="A48" s="1140"/>
      <c r="B48" s="1141"/>
      <c r="C48" s="1141"/>
      <c r="D48" s="1141"/>
      <c r="E48" s="1098"/>
    </row>
    <row r="49" spans="1:5" ht="18" customHeight="1" x14ac:dyDescent="0.3">
      <c r="A49" s="1140"/>
      <c r="B49" s="1142"/>
      <c r="C49" s="1141"/>
      <c r="D49" s="1141"/>
      <c r="E49" s="1098"/>
    </row>
    <row r="50" spans="1:5" ht="18" customHeight="1" x14ac:dyDescent="0.3">
      <c r="B50" s="1141"/>
      <c r="C50" s="1141"/>
      <c r="D50" s="1141"/>
    </row>
    <row r="51" spans="1:5" ht="18" customHeight="1" x14ac:dyDescent="0.25"/>
    <row r="52" spans="1:5" ht="18" customHeight="1" x14ac:dyDescent="0.25">
      <c r="B52" s="1143"/>
      <c r="D52" s="1143"/>
    </row>
    <row r="53" spans="1:5" ht="18" customHeight="1" x14ac:dyDescent="0.25">
      <c r="B53" s="1143"/>
      <c r="D53" s="1143"/>
    </row>
    <row r="54" spans="1:5" ht="18" customHeight="1" x14ac:dyDescent="0.25">
      <c r="A54" s="1140"/>
      <c r="B54" s="1143"/>
      <c r="D54" s="1143"/>
    </row>
    <row r="55" spans="1:5" x14ac:dyDescent="0.25">
      <c r="B55" s="1143"/>
      <c r="D55" s="1143"/>
    </row>
  </sheetData>
  <mergeCells count="1">
    <mergeCell ref="A46:E46"/>
  </mergeCells>
  <printOptions horizontalCentered="1"/>
  <pageMargins left="0.75" right="0.75" top="0.75" bottom="0.75" header="0.3" footer="0"/>
  <pageSetup paperSize="9" scale="8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pageSetUpPr fitToPage="1"/>
  </sheetPr>
  <dimension ref="A1:WXL70"/>
  <sheetViews>
    <sheetView showGridLines="0" zoomScale="70" zoomScaleNormal="70" zoomScaleSheetLayoutView="100" workbookViewId="0">
      <pane xSplit="114" ySplit="3" topLeftCell="DX4" activePane="bottomRight" state="frozen"/>
      <selection activeCell="K39" sqref="K39"/>
      <selection pane="topRight" activeCell="K39" sqref="K39"/>
      <selection pane="bottomLeft" activeCell="K39" sqref="K39"/>
      <selection pane="bottomRight"/>
    </sheetView>
  </sheetViews>
  <sheetFormatPr defaultRowHeight="16.5" x14ac:dyDescent="0.3"/>
  <cols>
    <col min="1" max="1" width="8.28515625" style="53" customWidth="1"/>
    <col min="2" max="2" width="63.7109375" style="53" customWidth="1"/>
    <col min="3" max="15" width="9.28515625" style="53" hidden="1" customWidth="1"/>
    <col min="16" max="21" width="9.140625" style="53" hidden="1" customWidth="1"/>
    <col min="22" max="22" width="9.7109375" style="53" hidden="1" customWidth="1"/>
    <col min="23" max="25" width="9.140625" style="53" hidden="1" customWidth="1"/>
    <col min="26" max="41" width="10.85546875" style="53" hidden="1" customWidth="1"/>
    <col min="42" max="54" width="14.28515625" style="53" hidden="1" customWidth="1"/>
    <col min="55" max="76" width="12.28515625" style="53" hidden="1" customWidth="1"/>
    <col min="77" max="97" width="12.7109375" style="53" hidden="1" customWidth="1"/>
    <col min="98" max="128" width="13.28515625" style="53" hidden="1" customWidth="1"/>
    <col min="129" max="132" width="13.28515625" style="53" customWidth="1"/>
    <col min="133" max="141" width="14.42578125" style="53" bestFit="1" customWidth="1"/>
    <col min="142" max="272" width="9.140625" style="53"/>
    <col min="273" max="273" width="5.140625" style="53" customWidth="1"/>
    <col min="274" max="274" width="63.42578125" style="53" customWidth="1"/>
    <col min="275" max="312" width="9.140625" style="53" hidden="1" customWidth="1"/>
    <col min="313" max="323" width="10.85546875" style="53" customWidth="1"/>
    <col min="324" max="325" width="10.7109375" style="53" customWidth="1"/>
    <col min="326" max="528" width="9.140625" style="53"/>
    <col min="529" max="529" width="5.140625" style="53" customWidth="1"/>
    <col min="530" max="530" width="63.42578125" style="53" customWidth="1"/>
    <col min="531" max="568" width="9.140625" style="53" hidden="1" customWidth="1"/>
    <col min="569" max="579" width="10.85546875" style="53" customWidth="1"/>
    <col min="580" max="581" width="10.7109375" style="53" customWidth="1"/>
    <col min="582" max="784" width="9.140625" style="53"/>
    <col min="785" max="785" width="5.140625" style="53" customWidth="1"/>
    <col min="786" max="786" width="63.42578125" style="53" customWidth="1"/>
    <col min="787" max="824" width="9.140625" style="53" hidden="1" customWidth="1"/>
    <col min="825" max="835" width="10.85546875" style="53" customWidth="1"/>
    <col min="836" max="837" width="10.7109375" style="53" customWidth="1"/>
    <col min="838" max="1040" width="9.140625" style="53"/>
    <col min="1041" max="1041" width="5.140625" style="53" customWidth="1"/>
    <col min="1042" max="1042" width="63.42578125" style="53" customWidth="1"/>
    <col min="1043" max="1080" width="9.140625" style="53" hidden="1" customWidth="1"/>
    <col min="1081" max="1091" width="10.85546875" style="53" customWidth="1"/>
    <col min="1092" max="1093" width="10.7109375" style="53" customWidth="1"/>
    <col min="1094" max="1296" width="9.140625" style="53"/>
    <col min="1297" max="1297" width="5.140625" style="53" customWidth="1"/>
    <col min="1298" max="1298" width="63.42578125" style="53" customWidth="1"/>
    <col min="1299" max="1336" width="9.140625" style="53" hidden="1" customWidth="1"/>
    <col min="1337" max="1347" width="10.85546875" style="53" customWidth="1"/>
    <col min="1348" max="1349" width="10.7109375" style="53" customWidth="1"/>
    <col min="1350" max="1552" width="9.140625" style="53"/>
    <col min="1553" max="1553" width="5.140625" style="53" customWidth="1"/>
    <col min="1554" max="1554" width="63.42578125" style="53" customWidth="1"/>
    <col min="1555" max="1592" width="9.140625" style="53" hidden="1" customWidth="1"/>
    <col min="1593" max="1603" width="10.85546875" style="53" customWidth="1"/>
    <col min="1604" max="1605" width="10.7109375" style="53" customWidth="1"/>
    <col min="1606" max="1808" width="9.140625" style="53"/>
    <col min="1809" max="1809" width="5.140625" style="53" customWidth="1"/>
    <col min="1810" max="1810" width="63.42578125" style="53" customWidth="1"/>
    <col min="1811" max="1848" width="9.140625" style="53" hidden="1" customWidth="1"/>
    <col min="1849" max="1859" width="10.85546875" style="53" customWidth="1"/>
    <col min="1860" max="1861" width="10.7109375" style="53" customWidth="1"/>
    <col min="1862" max="2064" width="9.140625" style="53"/>
    <col min="2065" max="2065" width="5.140625" style="53" customWidth="1"/>
    <col min="2066" max="2066" width="63.42578125" style="53" customWidth="1"/>
    <col min="2067" max="2104" width="9.140625" style="53" hidden="1" customWidth="1"/>
    <col min="2105" max="2115" width="10.85546875" style="53" customWidth="1"/>
    <col min="2116" max="2117" width="10.7109375" style="53" customWidth="1"/>
    <col min="2118" max="2320" width="9.140625" style="53"/>
    <col min="2321" max="2321" width="5.140625" style="53" customWidth="1"/>
    <col min="2322" max="2322" width="63.42578125" style="53" customWidth="1"/>
    <col min="2323" max="2360" width="9.140625" style="53" hidden="1" customWidth="1"/>
    <col min="2361" max="2371" width="10.85546875" style="53" customWidth="1"/>
    <col min="2372" max="2373" width="10.7109375" style="53" customWidth="1"/>
    <col min="2374" max="2576" width="9.140625" style="53"/>
    <col min="2577" max="2577" width="5.140625" style="53" customWidth="1"/>
    <col min="2578" max="2578" width="63.42578125" style="53" customWidth="1"/>
    <col min="2579" max="2616" width="9.140625" style="53" hidden="1" customWidth="1"/>
    <col min="2617" max="2627" width="10.85546875" style="53" customWidth="1"/>
    <col min="2628" max="2629" width="10.7109375" style="53" customWidth="1"/>
    <col min="2630" max="2832" width="9.140625" style="53"/>
    <col min="2833" max="2833" width="5.140625" style="53" customWidth="1"/>
    <col min="2834" max="2834" width="63.42578125" style="53" customWidth="1"/>
    <col min="2835" max="2872" width="9.140625" style="53" hidden="1" customWidth="1"/>
    <col min="2873" max="2883" width="10.85546875" style="53" customWidth="1"/>
    <col min="2884" max="2885" width="10.7109375" style="53" customWidth="1"/>
    <col min="2886" max="3088" width="9.140625" style="53"/>
    <col min="3089" max="3089" width="5.140625" style="53" customWidth="1"/>
    <col min="3090" max="3090" width="63.42578125" style="53" customWidth="1"/>
    <col min="3091" max="3128" width="9.140625" style="53" hidden="1" customWidth="1"/>
    <col min="3129" max="3139" width="10.85546875" style="53" customWidth="1"/>
    <col min="3140" max="3141" width="10.7109375" style="53" customWidth="1"/>
    <col min="3142" max="3344" width="9.140625" style="53"/>
    <col min="3345" max="3345" width="5.140625" style="53" customWidth="1"/>
    <col min="3346" max="3346" width="63.42578125" style="53" customWidth="1"/>
    <col min="3347" max="3384" width="9.140625" style="53" hidden="1" customWidth="1"/>
    <col min="3385" max="3395" width="10.85546875" style="53" customWidth="1"/>
    <col min="3396" max="3397" width="10.7109375" style="53" customWidth="1"/>
    <col min="3398" max="3600" width="9.140625" style="53"/>
    <col min="3601" max="3601" width="5.140625" style="53" customWidth="1"/>
    <col min="3602" max="3602" width="63.42578125" style="53" customWidth="1"/>
    <col min="3603" max="3640" width="9.140625" style="53" hidden="1" customWidth="1"/>
    <col min="3641" max="3651" width="10.85546875" style="53" customWidth="1"/>
    <col min="3652" max="3653" width="10.7109375" style="53" customWidth="1"/>
    <col min="3654" max="3856" width="9.140625" style="53"/>
    <col min="3857" max="3857" width="5.140625" style="53" customWidth="1"/>
    <col min="3858" max="3858" width="63.42578125" style="53" customWidth="1"/>
    <col min="3859" max="3896" width="9.140625" style="53" hidden="1" customWidth="1"/>
    <col min="3897" max="3907" width="10.85546875" style="53" customWidth="1"/>
    <col min="3908" max="3909" width="10.7109375" style="53" customWidth="1"/>
    <col min="3910" max="4112" width="9.140625" style="53"/>
    <col min="4113" max="4113" width="5.140625" style="53" customWidth="1"/>
    <col min="4114" max="4114" width="63.42578125" style="53" customWidth="1"/>
    <col min="4115" max="4152" width="9.140625" style="53" hidden="1" customWidth="1"/>
    <col min="4153" max="4163" width="10.85546875" style="53" customWidth="1"/>
    <col min="4164" max="4165" width="10.7109375" style="53" customWidth="1"/>
    <col min="4166" max="4368" width="9.140625" style="53"/>
    <col min="4369" max="4369" width="5.140625" style="53" customWidth="1"/>
    <col min="4370" max="4370" width="63.42578125" style="53" customWidth="1"/>
    <col min="4371" max="4408" width="9.140625" style="53" hidden="1" customWidth="1"/>
    <col min="4409" max="4419" width="10.85546875" style="53" customWidth="1"/>
    <col min="4420" max="4421" width="10.7109375" style="53" customWidth="1"/>
    <col min="4422" max="4624" width="9.140625" style="53"/>
    <col min="4625" max="4625" width="5.140625" style="53" customWidth="1"/>
    <col min="4626" max="4626" width="63.42578125" style="53" customWidth="1"/>
    <col min="4627" max="4664" width="9.140625" style="53" hidden="1" customWidth="1"/>
    <col min="4665" max="4675" width="10.85546875" style="53" customWidth="1"/>
    <col min="4676" max="4677" width="10.7109375" style="53" customWidth="1"/>
    <col min="4678" max="4880" width="9.140625" style="53"/>
    <col min="4881" max="4881" width="5.140625" style="53" customWidth="1"/>
    <col min="4882" max="4882" width="63.42578125" style="53" customWidth="1"/>
    <col min="4883" max="4920" width="9.140625" style="53" hidden="1" customWidth="1"/>
    <col min="4921" max="4931" width="10.85546875" style="53" customWidth="1"/>
    <col min="4932" max="4933" width="10.7109375" style="53" customWidth="1"/>
    <col min="4934" max="5136" width="9.140625" style="53"/>
    <col min="5137" max="5137" width="5.140625" style="53" customWidth="1"/>
    <col min="5138" max="5138" width="63.42578125" style="53" customWidth="1"/>
    <col min="5139" max="5176" width="9.140625" style="53" hidden="1" customWidth="1"/>
    <col min="5177" max="5187" width="10.85546875" style="53" customWidth="1"/>
    <col min="5188" max="5189" width="10.7109375" style="53" customWidth="1"/>
    <col min="5190" max="5392" width="9.140625" style="53"/>
    <col min="5393" max="5393" width="5.140625" style="53" customWidth="1"/>
    <col min="5394" max="5394" width="63.42578125" style="53" customWidth="1"/>
    <col min="5395" max="5432" width="9.140625" style="53" hidden="1" customWidth="1"/>
    <col min="5433" max="5443" width="10.85546875" style="53" customWidth="1"/>
    <col min="5444" max="5445" width="10.7109375" style="53" customWidth="1"/>
    <col min="5446" max="5648" width="9.140625" style="53"/>
    <col min="5649" max="5649" width="5.140625" style="53" customWidth="1"/>
    <col min="5650" max="5650" width="63.42578125" style="53" customWidth="1"/>
    <col min="5651" max="5688" width="9.140625" style="53" hidden="1" customWidth="1"/>
    <col min="5689" max="5699" width="10.85546875" style="53" customWidth="1"/>
    <col min="5700" max="5701" width="10.7109375" style="53" customWidth="1"/>
    <col min="5702" max="5904" width="9.140625" style="53"/>
    <col min="5905" max="5905" width="5.140625" style="53" customWidth="1"/>
    <col min="5906" max="5906" width="63.42578125" style="53" customWidth="1"/>
    <col min="5907" max="5944" width="9.140625" style="53" hidden="1" customWidth="1"/>
    <col min="5945" max="5955" width="10.85546875" style="53" customWidth="1"/>
    <col min="5956" max="5957" width="10.7109375" style="53" customWidth="1"/>
    <col min="5958" max="6160" width="9.140625" style="53"/>
    <col min="6161" max="6161" width="5.140625" style="53" customWidth="1"/>
    <col min="6162" max="6162" width="63.42578125" style="53" customWidth="1"/>
    <col min="6163" max="6200" width="9.140625" style="53" hidden="1" customWidth="1"/>
    <col min="6201" max="6211" width="10.85546875" style="53" customWidth="1"/>
    <col min="6212" max="6213" width="10.7109375" style="53" customWidth="1"/>
    <col min="6214" max="6416" width="9.140625" style="53"/>
    <col min="6417" max="6417" width="5.140625" style="53" customWidth="1"/>
    <col min="6418" max="6418" width="63.42578125" style="53" customWidth="1"/>
    <col min="6419" max="6456" width="9.140625" style="53" hidden="1" customWidth="1"/>
    <col min="6457" max="6467" width="10.85546875" style="53" customWidth="1"/>
    <col min="6468" max="6469" width="10.7109375" style="53" customWidth="1"/>
    <col min="6470" max="6672" width="9.140625" style="53"/>
    <col min="6673" max="6673" width="5.140625" style="53" customWidth="1"/>
    <col min="6674" max="6674" width="63.42578125" style="53" customWidth="1"/>
    <col min="6675" max="6712" width="9.140625" style="53" hidden="1" customWidth="1"/>
    <col min="6713" max="6723" width="10.85546875" style="53" customWidth="1"/>
    <col min="6724" max="6725" width="10.7109375" style="53" customWidth="1"/>
    <col min="6726" max="6928" width="9.140625" style="53"/>
    <col min="6929" max="6929" width="5.140625" style="53" customWidth="1"/>
    <col min="6930" max="6930" width="63.42578125" style="53" customWidth="1"/>
    <col min="6931" max="6968" width="9.140625" style="53" hidden="1" customWidth="1"/>
    <col min="6969" max="6979" width="10.85546875" style="53" customWidth="1"/>
    <col min="6980" max="6981" width="10.7109375" style="53" customWidth="1"/>
    <col min="6982" max="7184" width="9.140625" style="53"/>
    <col min="7185" max="7185" width="5.140625" style="53" customWidth="1"/>
    <col min="7186" max="7186" width="63.42578125" style="53" customWidth="1"/>
    <col min="7187" max="7224" width="9.140625" style="53" hidden="1" customWidth="1"/>
    <col min="7225" max="7235" width="10.85546875" style="53" customWidth="1"/>
    <col min="7236" max="7237" width="10.7109375" style="53" customWidth="1"/>
    <col min="7238" max="7440" width="9.140625" style="53"/>
    <col min="7441" max="7441" width="5.140625" style="53" customWidth="1"/>
    <col min="7442" max="7442" width="63.42578125" style="53" customWidth="1"/>
    <col min="7443" max="7480" width="9.140625" style="53" hidden="1" customWidth="1"/>
    <col min="7481" max="7491" width="10.85546875" style="53" customWidth="1"/>
    <col min="7492" max="7493" width="10.7109375" style="53" customWidth="1"/>
    <col min="7494" max="7696" width="9.140625" style="53"/>
    <col min="7697" max="7697" width="5.140625" style="53" customWidth="1"/>
    <col min="7698" max="7698" width="63.42578125" style="53" customWidth="1"/>
    <col min="7699" max="7736" width="9.140625" style="53" hidden="1" customWidth="1"/>
    <col min="7737" max="7747" width="10.85546875" style="53" customWidth="1"/>
    <col min="7748" max="7749" width="10.7109375" style="53" customWidth="1"/>
    <col min="7750" max="7952" width="9.140625" style="53"/>
    <col min="7953" max="7953" width="5.140625" style="53" customWidth="1"/>
    <col min="7954" max="7954" width="63.42578125" style="53" customWidth="1"/>
    <col min="7955" max="7992" width="9.140625" style="53" hidden="1" customWidth="1"/>
    <col min="7993" max="8003" width="10.85546875" style="53" customWidth="1"/>
    <col min="8004" max="8005" width="10.7109375" style="53" customWidth="1"/>
    <col min="8006" max="8208" width="9.140625" style="53"/>
    <col min="8209" max="8209" width="5.140625" style="53" customWidth="1"/>
    <col min="8210" max="8210" width="63.42578125" style="53" customWidth="1"/>
    <col min="8211" max="8248" width="9.140625" style="53" hidden="1" customWidth="1"/>
    <col min="8249" max="8259" width="10.85546875" style="53" customWidth="1"/>
    <col min="8260" max="8261" width="10.7109375" style="53" customWidth="1"/>
    <col min="8262" max="8464" width="9.140625" style="53"/>
    <col min="8465" max="8465" width="5.140625" style="53" customWidth="1"/>
    <col min="8466" max="8466" width="63.42578125" style="53" customWidth="1"/>
    <col min="8467" max="8504" width="9.140625" style="53" hidden="1" customWidth="1"/>
    <col min="8505" max="8515" width="10.85546875" style="53" customWidth="1"/>
    <col min="8516" max="8517" width="10.7109375" style="53" customWidth="1"/>
    <col min="8518" max="8720" width="9.140625" style="53"/>
    <col min="8721" max="8721" width="5.140625" style="53" customWidth="1"/>
    <col min="8722" max="8722" width="63.42578125" style="53" customWidth="1"/>
    <col min="8723" max="8760" width="9.140625" style="53" hidden="1" customWidth="1"/>
    <col min="8761" max="8771" width="10.85546875" style="53" customWidth="1"/>
    <col min="8772" max="8773" width="10.7109375" style="53" customWidth="1"/>
    <col min="8774" max="8976" width="9.140625" style="53"/>
    <col min="8977" max="8977" width="5.140625" style="53" customWidth="1"/>
    <col min="8978" max="8978" width="63.42578125" style="53" customWidth="1"/>
    <col min="8979" max="9016" width="9.140625" style="53" hidden="1" customWidth="1"/>
    <col min="9017" max="9027" width="10.85546875" style="53" customWidth="1"/>
    <col min="9028" max="9029" width="10.7109375" style="53" customWidth="1"/>
    <col min="9030" max="9232" width="9.140625" style="53"/>
    <col min="9233" max="9233" width="5.140625" style="53" customWidth="1"/>
    <col min="9234" max="9234" width="63.42578125" style="53" customWidth="1"/>
    <col min="9235" max="9272" width="9.140625" style="53" hidden="1" customWidth="1"/>
    <col min="9273" max="9283" width="10.85546875" style="53" customWidth="1"/>
    <col min="9284" max="9285" width="10.7109375" style="53" customWidth="1"/>
    <col min="9286" max="9488" width="9.140625" style="53"/>
    <col min="9489" max="9489" width="5.140625" style="53" customWidth="1"/>
    <col min="9490" max="9490" width="63.42578125" style="53" customWidth="1"/>
    <col min="9491" max="9528" width="9.140625" style="53" hidden="1" customWidth="1"/>
    <col min="9529" max="9539" width="10.85546875" style="53" customWidth="1"/>
    <col min="9540" max="9541" width="10.7109375" style="53" customWidth="1"/>
    <col min="9542" max="9744" width="9.140625" style="53"/>
    <col min="9745" max="9745" width="5.140625" style="53" customWidth="1"/>
    <col min="9746" max="9746" width="63.42578125" style="53" customWidth="1"/>
    <col min="9747" max="9784" width="9.140625" style="53" hidden="1" customWidth="1"/>
    <col min="9785" max="9795" width="10.85546875" style="53" customWidth="1"/>
    <col min="9796" max="9797" width="10.7109375" style="53" customWidth="1"/>
    <col min="9798" max="10000" width="9.140625" style="53"/>
    <col min="10001" max="10001" width="5.140625" style="53" customWidth="1"/>
    <col min="10002" max="10002" width="63.42578125" style="53" customWidth="1"/>
    <col min="10003" max="10040" width="9.140625" style="53" hidden="1" customWidth="1"/>
    <col min="10041" max="10051" width="10.85546875" style="53" customWidth="1"/>
    <col min="10052" max="10053" width="10.7109375" style="53" customWidth="1"/>
    <col min="10054" max="10256" width="9.140625" style="53"/>
    <col min="10257" max="10257" width="5.140625" style="53" customWidth="1"/>
    <col min="10258" max="10258" width="63.42578125" style="53" customWidth="1"/>
    <col min="10259" max="10296" width="9.140625" style="53" hidden="1" customWidth="1"/>
    <col min="10297" max="10307" width="10.85546875" style="53" customWidth="1"/>
    <col min="10308" max="10309" width="10.7109375" style="53" customWidth="1"/>
    <col min="10310" max="10512" width="9.140625" style="53"/>
    <col min="10513" max="10513" width="5.140625" style="53" customWidth="1"/>
    <col min="10514" max="10514" width="63.42578125" style="53" customWidth="1"/>
    <col min="10515" max="10552" width="9.140625" style="53" hidden="1" customWidth="1"/>
    <col min="10553" max="10563" width="10.85546875" style="53" customWidth="1"/>
    <col min="10564" max="10565" width="10.7109375" style="53" customWidth="1"/>
    <col min="10566" max="10768" width="9.140625" style="53"/>
    <col min="10769" max="10769" width="5.140625" style="53" customWidth="1"/>
    <col min="10770" max="10770" width="63.42578125" style="53" customWidth="1"/>
    <col min="10771" max="10808" width="9.140625" style="53" hidden="1" customWidth="1"/>
    <col min="10809" max="10819" width="10.85546875" style="53" customWidth="1"/>
    <col min="10820" max="10821" width="10.7109375" style="53" customWidth="1"/>
    <col min="10822" max="11024" width="9.140625" style="53"/>
    <col min="11025" max="11025" width="5.140625" style="53" customWidth="1"/>
    <col min="11026" max="11026" width="63.42578125" style="53" customWidth="1"/>
    <col min="11027" max="11064" width="9.140625" style="53" hidden="1" customWidth="1"/>
    <col min="11065" max="11075" width="10.85546875" style="53" customWidth="1"/>
    <col min="11076" max="11077" width="10.7109375" style="53" customWidth="1"/>
    <col min="11078" max="11280" width="9.140625" style="53"/>
    <col min="11281" max="11281" width="5.140625" style="53" customWidth="1"/>
    <col min="11282" max="11282" width="63.42578125" style="53" customWidth="1"/>
    <col min="11283" max="11320" width="9.140625" style="53" hidden="1" customWidth="1"/>
    <col min="11321" max="11331" width="10.85546875" style="53" customWidth="1"/>
    <col min="11332" max="11333" width="10.7109375" style="53" customWidth="1"/>
    <col min="11334" max="11536" width="9.140625" style="53"/>
    <col min="11537" max="11537" width="5.140625" style="53" customWidth="1"/>
    <col min="11538" max="11538" width="63.42578125" style="53" customWidth="1"/>
    <col min="11539" max="11576" width="9.140625" style="53" hidden="1" customWidth="1"/>
    <col min="11577" max="11587" width="10.85546875" style="53" customWidth="1"/>
    <col min="11588" max="11589" width="10.7109375" style="53" customWidth="1"/>
    <col min="11590" max="11792" width="9.140625" style="53"/>
    <col min="11793" max="11793" width="5.140625" style="53" customWidth="1"/>
    <col min="11794" max="11794" width="63.42578125" style="53" customWidth="1"/>
    <col min="11795" max="11832" width="9.140625" style="53" hidden="1" customWidth="1"/>
    <col min="11833" max="11843" width="10.85546875" style="53" customWidth="1"/>
    <col min="11844" max="11845" width="10.7109375" style="53" customWidth="1"/>
    <col min="11846" max="12048" width="9.140625" style="53"/>
    <col min="12049" max="12049" width="5.140625" style="53" customWidth="1"/>
    <col min="12050" max="12050" width="63.42578125" style="53" customWidth="1"/>
    <col min="12051" max="12088" width="9.140625" style="53" hidden="1" customWidth="1"/>
    <col min="12089" max="12099" width="10.85546875" style="53" customWidth="1"/>
    <col min="12100" max="12101" width="10.7109375" style="53" customWidth="1"/>
    <col min="12102" max="12304" width="9.140625" style="53"/>
    <col min="12305" max="12305" width="5.140625" style="53" customWidth="1"/>
    <col min="12306" max="12306" width="63.42578125" style="53" customWidth="1"/>
    <col min="12307" max="12344" width="9.140625" style="53" hidden="1" customWidth="1"/>
    <col min="12345" max="12355" width="10.85546875" style="53" customWidth="1"/>
    <col min="12356" max="12357" width="10.7109375" style="53" customWidth="1"/>
    <col min="12358" max="12560" width="9.140625" style="53"/>
    <col min="12561" max="12561" width="5.140625" style="53" customWidth="1"/>
    <col min="12562" max="12562" width="63.42578125" style="53" customWidth="1"/>
    <col min="12563" max="12600" width="9.140625" style="53" hidden="1" customWidth="1"/>
    <col min="12601" max="12611" width="10.85546875" style="53" customWidth="1"/>
    <col min="12612" max="12613" width="10.7109375" style="53" customWidth="1"/>
    <col min="12614" max="12816" width="9.140625" style="53"/>
    <col min="12817" max="12817" width="5.140625" style="53" customWidth="1"/>
    <col min="12818" max="12818" width="63.42578125" style="53" customWidth="1"/>
    <col min="12819" max="12856" width="9.140625" style="53" hidden="1" customWidth="1"/>
    <col min="12857" max="12867" width="10.85546875" style="53" customWidth="1"/>
    <col min="12868" max="12869" width="10.7109375" style="53" customWidth="1"/>
    <col min="12870" max="13072" width="9.140625" style="53"/>
    <col min="13073" max="13073" width="5.140625" style="53" customWidth="1"/>
    <col min="13074" max="13074" width="63.42578125" style="53" customWidth="1"/>
    <col min="13075" max="13112" width="9.140625" style="53" hidden="1" customWidth="1"/>
    <col min="13113" max="13123" width="10.85546875" style="53" customWidth="1"/>
    <col min="13124" max="13125" width="10.7109375" style="53" customWidth="1"/>
    <col min="13126" max="13328" width="9.140625" style="53"/>
    <col min="13329" max="13329" width="5.140625" style="53" customWidth="1"/>
    <col min="13330" max="13330" width="63.42578125" style="53" customWidth="1"/>
    <col min="13331" max="13368" width="9.140625" style="53" hidden="1" customWidth="1"/>
    <col min="13369" max="13379" width="10.85546875" style="53" customWidth="1"/>
    <col min="13380" max="13381" width="10.7109375" style="53" customWidth="1"/>
    <col min="13382" max="13584" width="9.140625" style="53"/>
    <col min="13585" max="13585" width="5.140625" style="53" customWidth="1"/>
    <col min="13586" max="13586" width="63.42578125" style="53" customWidth="1"/>
    <col min="13587" max="13624" width="9.140625" style="53" hidden="1" customWidth="1"/>
    <col min="13625" max="13635" width="10.85546875" style="53" customWidth="1"/>
    <col min="13636" max="13637" width="10.7109375" style="53" customWidth="1"/>
    <col min="13638" max="13840" width="9.140625" style="53"/>
    <col min="13841" max="13841" width="5.140625" style="53" customWidth="1"/>
    <col min="13842" max="13842" width="63.42578125" style="53" customWidth="1"/>
    <col min="13843" max="13880" width="9.140625" style="53" hidden="1" customWidth="1"/>
    <col min="13881" max="13891" width="10.85546875" style="53" customWidth="1"/>
    <col min="13892" max="13893" width="10.7109375" style="53" customWidth="1"/>
    <col min="13894" max="14096" width="9.140625" style="53"/>
    <col min="14097" max="14097" width="5.140625" style="53" customWidth="1"/>
    <col min="14098" max="14098" width="63.42578125" style="53" customWidth="1"/>
    <col min="14099" max="14136" width="9.140625" style="53" hidden="1" customWidth="1"/>
    <col min="14137" max="14147" width="10.85546875" style="53" customWidth="1"/>
    <col min="14148" max="14149" width="10.7109375" style="53" customWidth="1"/>
    <col min="14150" max="14352" width="9.140625" style="53"/>
    <col min="14353" max="14353" width="5.140625" style="53" customWidth="1"/>
    <col min="14354" max="14354" width="63.42578125" style="53" customWidth="1"/>
    <col min="14355" max="14392" width="9.140625" style="53" hidden="1" customWidth="1"/>
    <col min="14393" max="14403" width="10.85546875" style="53" customWidth="1"/>
    <col min="14404" max="14405" width="10.7109375" style="53" customWidth="1"/>
    <col min="14406" max="14608" width="9.140625" style="53"/>
    <col min="14609" max="14609" width="5.140625" style="53" customWidth="1"/>
    <col min="14610" max="14610" width="63.42578125" style="53" customWidth="1"/>
    <col min="14611" max="14648" width="9.140625" style="53" hidden="1" customWidth="1"/>
    <col min="14649" max="14659" width="10.85546875" style="53" customWidth="1"/>
    <col min="14660" max="14661" width="10.7109375" style="53" customWidth="1"/>
    <col min="14662" max="14864" width="9.140625" style="53"/>
    <col min="14865" max="14865" width="5.140625" style="53" customWidth="1"/>
    <col min="14866" max="14866" width="63.42578125" style="53" customWidth="1"/>
    <col min="14867" max="14904" width="9.140625" style="53" hidden="1" customWidth="1"/>
    <col min="14905" max="14915" width="10.85546875" style="53" customWidth="1"/>
    <col min="14916" max="14917" width="10.7109375" style="53" customWidth="1"/>
    <col min="14918" max="15120" width="9.140625" style="53"/>
    <col min="15121" max="15121" width="5.140625" style="53" customWidth="1"/>
    <col min="15122" max="15122" width="63.42578125" style="53" customWidth="1"/>
    <col min="15123" max="15160" width="9.140625" style="53" hidden="1" customWidth="1"/>
    <col min="15161" max="15171" width="10.85546875" style="53" customWidth="1"/>
    <col min="15172" max="15173" width="10.7109375" style="53" customWidth="1"/>
    <col min="15174" max="15376" width="9.140625" style="53"/>
    <col min="15377" max="15377" width="5.140625" style="53" customWidth="1"/>
    <col min="15378" max="15378" width="63.42578125" style="53" customWidth="1"/>
    <col min="15379" max="15416" width="9.140625" style="53" hidden="1" customWidth="1"/>
    <col min="15417" max="15427" width="10.85546875" style="53" customWidth="1"/>
    <col min="15428" max="15429" width="10.7109375" style="53" customWidth="1"/>
    <col min="15430" max="15632" width="9.140625" style="53"/>
    <col min="15633" max="15633" width="5.140625" style="53" customWidth="1"/>
    <col min="15634" max="15634" width="63.42578125" style="53" customWidth="1"/>
    <col min="15635" max="15672" width="9.140625" style="53" hidden="1" customWidth="1"/>
    <col min="15673" max="15683" width="10.85546875" style="53" customWidth="1"/>
    <col min="15684" max="15685" width="10.7109375" style="53" customWidth="1"/>
    <col min="15686" max="15888" width="9.140625" style="53"/>
    <col min="15889" max="15889" width="5.140625" style="53" customWidth="1"/>
    <col min="15890" max="15890" width="63.42578125" style="53" customWidth="1"/>
    <col min="15891" max="15928" width="9.140625" style="53" hidden="1" customWidth="1"/>
    <col min="15929" max="15939" width="10.85546875" style="53" customWidth="1"/>
    <col min="15940" max="15941" width="10.7109375" style="53" customWidth="1"/>
    <col min="15942" max="16144" width="9.140625" style="53"/>
    <col min="16145" max="16145" width="5.140625" style="53" customWidth="1"/>
    <col min="16146" max="16146" width="63.42578125" style="53" customWidth="1"/>
    <col min="16147" max="16184" width="9.140625" style="53" hidden="1" customWidth="1"/>
    <col min="16185" max="16195" width="10.85546875" style="53" customWidth="1"/>
    <col min="16196" max="16197" width="10.7109375" style="53" customWidth="1"/>
    <col min="16198" max="16384" width="9.140625" style="53"/>
  </cols>
  <sheetData>
    <row r="1" spans="1:141" s="84" customFormat="1" ht="18.75" x14ac:dyDescent="0.3">
      <c r="A1" s="415" t="s">
        <v>1061</v>
      </c>
      <c r="B1" s="416"/>
    </row>
    <row r="2" spans="1:141" ht="14.25" customHeight="1" thickBot="1" x14ac:dyDescent="0.35">
      <c r="A2" s="85"/>
      <c r="B2" s="85"/>
      <c r="C2" s="417"/>
      <c r="D2" s="417"/>
      <c r="E2" s="417"/>
      <c r="F2" s="417"/>
      <c r="H2" s="417"/>
      <c r="I2" s="417"/>
      <c r="J2" s="417"/>
      <c r="L2" s="417"/>
      <c r="O2" s="417"/>
      <c r="P2" s="417"/>
      <c r="Q2" s="417"/>
      <c r="R2" s="417"/>
      <c r="S2" s="417"/>
      <c r="T2" s="417"/>
      <c r="U2" s="417"/>
      <c r="V2" s="417"/>
      <c r="W2" s="417"/>
      <c r="X2" s="417"/>
      <c r="Y2" s="417"/>
      <c r="Z2" s="86"/>
      <c r="AA2" s="86"/>
      <c r="AB2" s="86"/>
      <c r="AC2" s="86"/>
      <c r="AD2" s="86"/>
      <c r="AE2" s="86"/>
      <c r="AF2" s="86"/>
      <c r="AG2" s="86"/>
      <c r="AH2" s="86"/>
      <c r="AI2" s="86"/>
      <c r="AJ2" s="86"/>
      <c r="AK2" s="86"/>
      <c r="AL2" s="86"/>
      <c r="AM2" s="86"/>
      <c r="AN2" s="86"/>
      <c r="AO2" s="86"/>
      <c r="AP2" s="86"/>
      <c r="AQ2" s="86"/>
      <c r="AR2" s="86"/>
      <c r="AS2" s="86"/>
      <c r="AT2" s="86"/>
      <c r="AV2" s="86"/>
      <c r="AW2" s="86"/>
      <c r="AX2" s="86"/>
      <c r="AZ2" s="86"/>
      <c r="BC2" s="87"/>
      <c r="BE2" s="87"/>
      <c r="BF2" s="87"/>
      <c r="BZ2" s="86"/>
      <c r="CH2" s="86"/>
      <c r="CL2" s="86"/>
      <c r="CP2" s="86"/>
      <c r="DC2" s="88"/>
      <c r="DE2" s="88"/>
      <c r="DF2" s="88"/>
      <c r="DG2" s="88"/>
      <c r="DI2" s="88"/>
      <c r="DJ2" s="88"/>
      <c r="DL2" s="88"/>
      <c r="DU2" s="88"/>
      <c r="DZ2" s="88"/>
      <c r="EG2" s="88"/>
      <c r="EH2" s="88"/>
      <c r="EI2" s="88"/>
      <c r="EJ2" s="88"/>
      <c r="EK2" s="88" t="s">
        <v>8</v>
      </c>
    </row>
    <row r="3" spans="1:141" ht="24.75" customHeight="1" thickTop="1" thickBot="1" x14ac:dyDescent="0.35">
      <c r="A3" s="89" t="s">
        <v>138</v>
      </c>
      <c r="B3" s="89" t="s">
        <v>139</v>
      </c>
      <c r="C3" s="90">
        <v>40179</v>
      </c>
      <c r="D3" s="90">
        <v>40211</v>
      </c>
      <c r="E3" s="90">
        <v>40239</v>
      </c>
      <c r="F3" s="90">
        <v>40270</v>
      </c>
      <c r="G3" s="90">
        <v>40300</v>
      </c>
      <c r="H3" s="90">
        <v>40331</v>
      </c>
      <c r="I3" s="90">
        <v>40361</v>
      </c>
      <c r="J3" s="90">
        <v>40392</v>
      </c>
      <c r="K3" s="90">
        <v>40423</v>
      </c>
      <c r="L3" s="90">
        <v>40453</v>
      </c>
      <c r="M3" s="90">
        <v>40484</v>
      </c>
      <c r="N3" s="90">
        <v>40514</v>
      </c>
      <c r="O3" s="90">
        <v>40545</v>
      </c>
      <c r="P3" s="90">
        <v>40576</v>
      </c>
      <c r="Q3" s="90">
        <v>40604</v>
      </c>
      <c r="R3" s="90">
        <v>40635</v>
      </c>
      <c r="S3" s="90">
        <v>40665</v>
      </c>
      <c r="T3" s="90">
        <v>40696</v>
      </c>
      <c r="U3" s="90">
        <v>40726</v>
      </c>
      <c r="V3" s="90">
        <v>40757</v>
      </c>
      <c r="W3" s="90">
        <v>40788</v>
      </c>
      <c r="X3" s="90">
        <v>40818</v>
      </c>
      <c r="Y3" s="90">
        <v>40849</v>
      </c>
      <c r="Z3" s="90">
        <v>40879</v>
      </c>
      <c r="AA3" s="90">
        <v>40910</v>
      </c>
      <c r="AB3" s="90">
        <v>40941</v>
      </c>
      <c r="AC3" s="90">
        <v>40970</v>
      </c>
      <c r="AD3" s="90">
        <v>41001</v>
      </c>
      <c r="AE3" s="90">
        <v>41031</v>
      </c>
      <c r="AF3" s="90">
        <v>41062</v>
      </c>
      <c r="AG3" s="90">
        <v>41092</v>
      </c>
      <c r="AH3" s="90">
        <v>41123</v>
      </c>
      <c r="AI3" s="90">
        <v>41154</v>
      </c>
      <c r="AJ3" s="90">
        <v>41184</v>
      </c>
      <c r="AK3" s="90">
        <v>41215</v>
      </c>
      <c r="AL3" s="90">
        <v>41245</v>
      </c>
      <c r="AM3" s="90">
        <v>41276</v>
      </c>
      <c r="AN3" s="90">
        <v>41307</v>
      </c>
      <c r="AO3" s="90">
        <v>41335</v>
      </c>
      <c r="AP3" s="90">
        <v>41366</v>
      </c>
      <c r="AQ3" s="90">
        <v>41396</v>
      </c>
      <c r="AR3" s="90">
        <v>41427</v>
      </c>
      <c r="AS3" s="90">
        <v>41457</v>
      </c>
      <c r="AT3" s="90">
        <v>41488</v>
      </c>
      <c r="AU3" s="90">
        <v>41519</v>
      </c>
      <c r="AV3" s="90">
        <v>41549</v>
      </c>
      <c r="AW3" s="90">
        <v>41580</v>
      </c>
      <c r="AX3" s="90">
        <v>41610</v>
      </c>
      <c r="AY3" s="90">
        <v>41641</v>
      </c>
      <c r="AZ3" s="90">
        <v>41672</v>
      </c>
      <c r="BA3" s="90">
        <v>41700</v>
      </c>
      <c r="BB3" s="90">
        <v>41731</v>
      </c>
      <c r="BC3" s="90">
        <v>41761</v>
      </c>
      <c r="BD3" s="90">
        <v>41791</v>
      </c>
      <c r="BE3" s="90">
        <v>41822</v>
      </c>
      <c r="BF3" s="90">
        <v>41853</v>
      </c>
      <c r="BG3" s="90">
        <v>41884</v>
      </c>
      <c r="BH3" s="90">
        <v>41914</v>
      </c>
      <c r="BI3" s="90">
        <v>41945</v>
      </c>
      <c r="BJ3" s="90">
        <v>41975</v>
      </c>
      <c r="BK3" s="90">
        <v>42006</v>
      </c>
      <c r="BL3" s="90">
        <v>42037</v>
      </c>
      <c r="BM3" s="90">
        <v>42065</v>
      </c>
      <c r="BN3" s="90">
        <v>42096</v>
      </c>
      <c r="BO3" s="90">
        <v>42126</v>
      </c>
      <c r="BP3" s="90">
        <v>42157</v>
      </c>
      <c r="BQ3" s="90">
        <v>42187</v>
      </c>
      <c r="BR3" s="90">
        <v>42218</v>
      </c>
      <c r="BS3" s="90">
        <v>42249</v>
      </c>
      <c r="BT3" s="90">
        <v>42279</v>
      </c>
      <c r="BU3" s="90">
        <v>42310</v>
      </c>
      <c r="BV3" s="90">
        <v>42340</v>
      </c>
      <c r="BW3" s="90">
        <v>42371</v>
      </c>
      <c r="BX3" s="90">
        <v>42402</v>
      </c>
      <c r="BY3" s="90">
        <v>42431</v>
      </c>
      <c r="BZ3" s="90">
        <v>42462</v>
      </c>
      <c r="CA3" s="90">
        <v>42492</v>
      </c>
      <c r="CB3" s="90">
        <v>42523</v>
      </c>
      <c r="CC3" s="90">
        <v>42553</v>
      </c>
      <c r="CD3" s="90">
        <v>42584</v>
      </c>
      <c r="CE3" s="90">
        <v>42615</v>
      </c>
      <c r="CF3" s="90">
        <v>42645</v>
      </c>
      <c r="CG3" s="90">
        <v>42676</v>
      </c>
      <c r="CH3" s="90">
        <v>42706</v>
      </c>
      <c r="CI3" s="90">
        <v>42737</v>
      </c>
      <c r="CJ3" s="90">
        <v>42768</v>
      </c>
      <c r="CK3" s="90">
        <v>42796</v>
      </c>
      <c r="CL3" s="90">
        <v>42827</v>
      </c>
      <c r="CM3" s="90">
        <v>42857</v>
      </c>
      <c r="CN3" s="90">
        <v>42888</v>
      </c>
      <c r="CO3" s="90">
        <v>42918</v>
      </c>
      <c r="CP3" s="90">
        <v>42949</v>
      </c>
      <c r="CQ3" s="90">
        <v>42980</v>
      </c>
      <c r="CR3" s="90">
        <v>43010</v>
      </c>
      <c r="CS3" s="90">
        <v>43041</v>
      </c>
      <c r="CT3" s="90">
        <v>43071</v>
      </c>
      <c r="CU3" s="90">
        <v>43102</v>
      </c>
      <c r="CV3" s="90">
        <v>43133</v>
      </c>
      <c r="CW3" s="90">
        <v>43161</v>
      </c>
      <c r="CX3" s="90">
        <v>43192</v>
      </c>
      <c r="CY3" s="90">
        <v>43222</v>
      </c>
      <c r="CZ3" s="91" t="s">
        <v>925</v>
      </c>
      <c r="DA3" s="90">
        <v>43283</v>
      </c>
      <c r="DB3" s="90">
        <v>43314</v>
      </c>
      <c r="DC3" s="90">
        <v>43345</v>
      </c>
      <c r="DD3" s="90">
        <v>43375</v>
      </c>
      <c r="DE3" s="90">
        <v>43406</v>
      </c>
      <c r="DF3" s="90">
        <v>43436</v>
      </c>
      <c r="DG3" s="90">
        <v>43467</v>
      </c>
      <c r="DH3" s="90">
        <v>43498</v>
      </c>
      <c r="DI3" s="90">
        <v>43526</v>
      </c>
      <c r="DJ3" s="90">
        <v>43557</v>
      </c>
      <c r="DK3" s="90">
        <v>43587</v>
      </c>
      <c r="DL3" s="90">
        <v>43618</v>
      </c>
      <c r="DM3" s="90">
        <v>43648</v>
      </c>
      <c r="DN3" s="90">
        <v>43679</v>
      </c>
      <c r="DO3" s="90">
        <v>43710</v>
      </c>
      <c r="DP3" s="90">
        <v>43740</v>
      </c>
      <c r="DQ3" s="90">
        <v>43771</v>
      </c>
      <c r="DR3" s="90">
        <v>43801</v>
      </c>
      <c r="DS3" s="90">
        <v>43832</v>
      </c>
      <c r="DT3" s="90">
        <v>43863</v>
      </c>
      <c r="DU3" s="91" t="s">
        <v>140</v>
      </c>
      <c r="DV3" s="91" t="s">
        <v>926</v>
      </c>
      <c r="DW3" s="90" t="s">
        <v>141</v>
      </c>
      <c r="DX3" s="90" t="s">
        <v>927</v>
      </c>
      <c r="DY3" s="91" t="s">
        <v>142</v>
      </c>
      <c r="DZ3" s="91" t="s">
        <v>143</v>
      </c>
      <c r="EA3" s="91" t="s">
        <v>144</v>
      </c>
      <c r="EB3" s="91" t="s">
        <v>145</v>
      </c>
      <c r="EC3" s="91" t="s">
        <v>146</v>
      </c>
      <c r="ED3" s="91" t="s">
        <v>147</v>
      </c>
      <c r="EE3" s="91" t="s">
        <v>148</v>
      </c>
      <c r="EF3" s="91" t="s">
        <v>928</v>
      </c>
      <c r="EG3" s="91" t="s">
        <v>929</v>
      </c>
      <c r="EH3" s="91">
        <v>44287</v>
      </c>
      <c r="EI3" s="91">
        <v>44317</v>
      </c>
      <c r="EJ3" s="91">
        <v>44348</v>
      </c>
      <c r="EK3" s="91">
        <v>44378</v>
      </c>
    </row>
    <row r="4" spans="1:141" ht="18" thickTop="1" x14ac:dyDescent="0.3">
      <c r="A4" s="54"/>
      <c r="B4" s="54"/>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18"/>
      <c r="CC4" s="418"/>
      <c r="CD4" s="418"/>
      <c r="CE4" s="418"/>
      <c r="CF4" s="418"/>
      <c r="CG4" s="418"/>
      <c r="CH4" s="418"/>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row>
    <row r="5" spans="1:141" ht="16.5" customHeight="1" x14ac:dyDescent="0.3">
      <c r="A5" s="93" t="s">
        <v>149</v>
      </c>
      <c r="B5" s="93" t="s">
        <v>930</v>
      </c>
      <c r="C5" s="419">
        <v>8313.9230856199993</v>
      </c>
      <c r="D5" s="419">
        <v>8554.6603705100006</v>
      </c>
      <c r="E5" s="419">
        <v>8543.5793921799996</v>
      </c>
      <c r="F5" s="419">
        <v>8747.1718602600013</v>
      </c>
      <c r="G5" s="419">
        <v>9556.2360567600008</v>
      </c>
      <c r="H5" s="419">
        <v>9176.9618582599996</v>
      </c>
      <c r="I5" s="419">
        <v>8577.4751113599996</v>
      </c>
      <c r="J5" s="419">
        <v>8964.9122942899994</v>
      </c>
      <c r="K5" s="419">
        <v>9137.7338806799999</v>
      </c>
      <c r="L5" s="419">
        <v>9189.04614253</v>
      </c>
      <c r="M5" s="419">
        <v>9229.6837182599993</v>
      </c>
      <c r="N5" s="419">
        <v>9525.0663255700001</v>
      </c>
      <c r="O5" s="419">
        <v>9056.9216292099991</v>
      </c>
      <c r="P5" s="419">
        <v>9259.0514912299986</v>
      </c>
      <c r="Q5" s="419">
        <v>9060.6338427999981</v>
      </c>
      <c r="R5" s="419">
        <v>9186.4692947099993</v>
      </c>
      <c r="S5" s="419">
        <v>9355.9525099800012</v>
      </c>
      <c r="T5" s="419">
        <v>9401.5499322600008</v>
      </c>
      <c r="U5" s="419">
        <v>9516.6736425700001</v>
      </c>
      <c r="V5" s="419">
        <v>10165.600383359999</v>
      </c>
      <c r="W5" s="419">
        <v>10486.8216237</v>
      </c>
      <c r="X5" s="419">
        <v>10793.925243599999</v>
      </c>
      <c r="Y5" s="419">
        <v>10846.49111531</v>
      </c>
      <c r="Z5" s="419">
        <v>10232.00808204</v>
      </c>
      <c r="AA5" s="419">
        <v>10884.95353631</v>
      </c>
      <c r="AB5" s="419">
        <v>10925.24783013</v>
      </c>
      <c r="AC5" s="419">
        <v>10499.39109904</v>
      </c>
      <c r="AD5" s="419">
        <v>10574.403858539999</v>
      </c>
      <c r="AE5" s="419">
        <v>10378.168711709999</v>
      </c>
      <c r="AF5" s="419">
        <v>10793.873166549998</v>
      </c>
      <c r="AG5" s="419">
        <v>10959.584142559999</v>
      </c>
      <c r="AH5" s="419">
        <v>10992.450605919999</v>
      </c>
      <c r="AI5" s="419">
        <v>11502.52074158</v>
      </c>
      <c r="AJ5" s="419">
        <v>11450.75111343</v>
      </c>
      <c r="AK5" s="419">
        <v>11408.30600506</v>
      </c>
      <c r="AL5" s="419">
        <v>11086.982508629999</v>
      </c>
      <c r="AM5" s="419">
        <v>11091.524256320001</v>
      </c>
      <c r="AN5" s="419">
        <v>10859.54273619</v>
      </c>
      <c r="AO5" s="419">
        <v>10927.48027301</v>
      </c>
      <c r="AP5" s="419">
        <v>10415.83919683</v>
      </c>
      <c r="AQ5" s="419">
        <v>10192.80816008</v>
      </c>
      <c r="AR5" s="419">
        <v>9361.1422593799998</v>
      </c>
      <c r="AS5" s="419">
        <v>9826.8400938100003</v>
      </c>
      <c r="AT5" s="419">
        <v>10073.589758530001</v>
      </c>
      <c r="AU5" s="419">
        <v>9806.8217559900004</v>
      </c>
      <c r="AV5" s="419">
        <v>9713.9569521400008</v>
      </c>
      <c r="AW5" s="419">
        <v>9407.1533895899993</v>
      </c>
      <c r="AX5" s="419">
        <v>9166.4078523200005</v>
      </c>
      <c r="AY5" s="419">
        <v>9423.9782169700011</v>
      </c>
      <c r="AZ5" s="419">
        <v>9673.3778150299986</v>
      </c>
      <c r="BA5" s="419">
        <v>9548.3284712299992</v>
      </c>
      <c r="BB5" s="419">
        <v>9515.1678391399983</v>
      </c>
      <c r="BC5" s="419">
        <v>9438.9846605599996</v>
      </c>
      <c r="BD5" s="419">
        <v>9668.9516985400005</v>
      </c>
      <c r="BE5" s="419">
        <v>9628.0857852999998</v>
      </c>
      <c r="BF5" s="419">
        <v>9682.6052572400004</v>
      </c>
      <c r="BG5" s="419">
        <v>11894.207862830001</v>
      </c>
      <c r="BH5" s="419">
        <v>12810.569558089999</v>
      </c>
      <c r="BI5" s="419">
        <v>14072.53336646</v>
      </c>
      <c r="BJ5" s="419">
        <v>14252.727087489999</v>
      </c>
      <c r="BK5" s="419">
        <v>16386.981618220001</v>
      </c>
      <c r="BL5" s="419">
        <v>16165.21224103</v>
      </c>
      <c r="BM5" s="419">
        <v>17319.651827019999</v>
      </c>
      <c r="BN5" s="419">
        <v>17128.454241530002</v>
      </c>
      <c r="BO5" s="419">
        <v>16918.130501560001</v>
      </c>
      <c r="BP5" s="419">
        <v>16754.418344040001</v>
      </c>
      <c r="BQ5" s="419">
        <v>15887.87718121</v>
      </c>
      <c r="BR5" s="419">
        <v>16309.029206019999</v>
      </c>
      <c r="BS5" s="419">
        <v>16407.963294390003</v>
      </c>
      <c r="BT5" s="419">
        <v>16761.993539340001</v>
      </c>
      <c r="BU5" s="420">
        <v>15904.883853809999</v>
      </c>
      <c r="BV5" s="420">
        <v>15865.742060820001</v>
      </c>
      <c r="BW5" s="420">
        <v>16423.224682980002</v>
      </c>
      <c r="BX5" s="420">
        <v>18464.04998295</v>
      </c>
      <c r="BY5" s="420">
        <v>18301.903159670001</v>
      </c>
      <c r="BZ5" s="420">
        <v>18612.095889780001</v>
      </c>
      <c r="CA5" s="420">
        <v>18101.25427225</v>
      </c>
      <c r="CB5" s="420">
        <v>21676.347765070001</v>
      </c>
      <c r="CC5" s="420">
        <v>21780.851279999999</v>
      </c>
      <c r="CD5" s="420">
        <v>21453.189424590004</v>
      </c>
      <c r="CE5" s="420">
        <v>21711.820098050001</v>
      </c>
      <c r="CF5" s="420">
        <v>22705.449347239999</v>
      </c>
      <c r="CG5" s="420">
        <v>21477.49009426</v>
      </c>
      <c r="CH5" s="420">
        <v>21012.220446519997</v>
      </c>
      <c r="CI5" s="94">
        <v>21419.997627880002</v>
      </c>
      <c r="CJ5" s="94">
        <v>22119.062824500001</v>
      </c>
      <c r="CK5" s="94">
        <v>21845.375615180001</v>
      </c>
      <c r="CL5" s="94">
        <v>22012.788021959997</v>
      </c>
      <c r="CM5" s="94">
        <v>21882.890253439997</v>
      </c>
      <c r="CN5" s="94">
        <v>21434.56102841</v>
      </c>
      <c r="CO5" s="94">
        <v>21152.540818729998</v>
      </c>
      <c r="CP5" s="94">
        <v>21234.920653519999</v>
      </c>
      <c r="CQ5" s="94">
        <v>21715.520647429999</v>
      </c>
      <c r="CR5" s="94">
        <v>21833.436775630002</v>
      </c>
      <c r="CS5" s="94">
        <v>21494.353175069999</v>
      </c>
      <c r="CT5" s="94">
        <v>21636.334058060002</v>
      </c>
      <c r="CU5" s="421">
        <v>21480.658374660001</v>
      </c>
      <c r="CV5" s="421">
        <v>21591.003861960002</v>
      </c>
      <c r="CW5" s="421">
        <v>21954.76253923</v>
      </c>
      <c r="CX5" s="421">
        <v>22450.718447179999</v>
      </c>
      <c r="CY5" s="421">
        <v>22360.7943734</v>
      </c>
      <c r="CZ5" s="421">
        <v>21649.390013760003</v>
      </c>
      <c r="DA5" s="421">
        <v>20949.39389182</v>
      </c>
      <c r="DB5" s="421">
        <v>20836.418601870002</v>
      </c>
      <c r="DC5" s="421">
        <v>20514.21332726</v>
      </c>
      <c r="DD5" s="421">
        <v>21059.21610238</v>
      </c>
      <c r="DE5" s="421">
        <v>21082.430407520002</v>
      </c>
      <c r="DF5" s="421">
        <v>21837.522978320001</v>
      </c>
      <c r="DG5" s="421">
        <v>22291.661983980001</v>
      </c>
      <c r="DH5" s="421">
        <v>22297.164918140003</v>
      </c>
      <c r="DI5" s="421">
        <v>22257.754369369999</v>
      </c>
      <c r="DJ5" s="421">
        <v>22282.704412880001</v>
      </c>
      <c r="DK5" s="421">
        <v>22761.593563759998</v>
      </c>
      <c r="DL5" s="421">
        <v>24434.745372279998</v>
      </c>
      <c r="DM5" s="421">
        <v>24971.57812115</v>
      </c>
      <c r="DN5" s="421">
        <v>26427.392238740002</v>
      </c>
      <c r="DO5" s="421">
        <v>26167.127415210001</v>
      </c>
      <c r="DP5" s="421">
        <v>26289.102667560001</v>
      </c>
      <c r="DQ5" s="421">
        <v>25931.975850620001</v>
      </c>
      <c r="DR5" s="421">
        <v>26882.355948129996</v>
      </c>
      <c r="DS5" s="421">
        <v>27829.538352400003</v>
      </c>
      <c r="DT5" s="421">
        <v>29260.612357899998</v>
      </c>
      <c r="DU5" s="421">
        <v>30315.636037199998</v>
      </c>
      <c r="DV5" s="421">
        <v>32610.167611289999</v>
      </c>
      <c r="DW5" s="421">
        <v>32650.17150421</v>
      </c>
      <c r="DX5" s="421">
        <v>33538.23095574</v>
      </c>
      <c r="DY5" s="421">
        <v>36674.130878479999</v>
      </c>
      <c r="DZ5" s="421">
        <v>36279.68782128</v>
      </c>
      <c r="EA5" s="421">
        <v>35311.032204410003</v>
      </c>
      <c r="EB5" s="421">
        <v>35138.173017779998</v>
      </c>
      <c r="EC5" s="421">
        <v>33640.310472199999</v>
      </c>
      <c r="ED5" s="421">
        <v>35052.853010980005</v>
      </c>
      <c r="EE5" s="421">
        <v>34466.456406270001</v>
      </c>
      <c r="EF5" s="421">
        <v>33379.591443370002</v>
      </c>
      <c r="EG5" s="421">
        <v>32599.861505120003</v>
      </c>
      <c r="EH5" s="421">
        <v>33947.656238100004</v>
      </c>
      <c r="EI5" s="421">
        <v>36364.028186399999</v>
      </c>
      <c r="EJ5" s="421">
        <v>35436.270913729997</v>
      </c>
      <c r="EK5" s="421">
        <v>36868.025169300003</v>
      </c>
    </row>
    <row r="6" spans="1:141" ht="16.5" customHeight="1" x14ac:dyDescent="0.3">
      <c r="A6" s="95"/>
      <c r="B6" s="95"/>
      <c r="C6" s="422"/>
      <c r="D6" s="422"/>
      <c r="E6" s="422"/>
      <c r="F6" s="422"/>
      <c r="G6" s="422"/>
      <c r="H6" s="422"/>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23"/>
      <c r="BV6" s="423"/>
      <c r="BW6" s="423"/>
      <c r="BX6" s="423"/>
      <c r="BY6" s="423"/>
      <c r="BZ6" s="423"/>
      <c r="CA6" s="423"/>
      <c r="CB6" s="423"/>
      <c r="CC6" s="423"/>
      <c r="CD6" s="423"/>
      <c r="CE6" s="423"/>
      <c r="CF6" s="423"/>
      <c r="CG6" s="423"/>
      <c r="CH6" s="423"/>
      <c r="CI6" s="92"/>
      <c r="CJ6" s="92"/>
      <c r="CK6" s="92"/>
      <c r="CL6" s="92"/>
      <c r="CM6" s="92"/>
      <c r="CN6" s="92"/>
      <c r="CO6" s="92"/>
      <c r="CP6" s="92"/>
      <c r="CQ6" s="92"/>
      <c r="CR6" s="92"/>
      <c r="CS6" s="92"/>
      <c r="CT6" s="92"/>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row>
    <row r="7" spans="1:141" ht="16.5" customHeight="1" x14ac:dyDescent="0.3">
      <c r="A7" s="93" t="s">
        <v>150</v>
      </c>
      <c r="B7" s="93" t="s">
        <v>151</v>
      </c>
      <c r="C7" s="419">
        <v>46479.690356609994</v>
      </c>
      <c r="D7" s="419">
        <v>47338.646243449999</v>
      </c>
      <c r="E7" s="419">
        <v>46874.403580339997</v>
      </c>
      <c r="F7" s="419">
        <v>47113.568935839998</v>
      </c>
      <c r="G7" s="419">
        <v>47970.326540830007</v>
      </c>
      <c r="H7" s="419">
        <v>47749.636055729999</v>
      </c>
      <c r="I7" s="419">
        <v>49042.936176709998</v>
      </c>
      <c r="J7" s="419">
        <v>49332.633441409991</v>
      </c>
      <c r="K7" s="419">
        <v>52450.741661199994</v>
      </c>
      <c r="L7" s="419">
        <v>45739.848496799998</v>
      </c>
      <c r="M7" s="419">
        <v>48100.089039729995</v>
      </c>
      <c r="N7" s="419">
        <v>50558.082051600002</v>
      </c>
      <c r="O7" s="419">
        <v>48153.005427600001</v>
      </c>
      <c r="P7" s="419">
        <v>47983.890925710002</v>
      </c>
      <c r="Q7" s="419">
        <v>50330.50895512999</v>
      </c>
      <c r="R7" s="419">
        <v>49796.249027239995</v>
      </c>
      <c r="S7" s="419">
        <v>48107.072336229998</v>
      </c>
      <c r="T7" s="419">
        <v>50721.095615480001</v>
      </c>
      <c r="U7" s="419">
        <v>49960.070493819992</v>
      </c>
      <c r="V7" s="419">
        <v>49543.422391970002</v>
      </c>
      <c r="W7" s="419">
        <v>47988.597888370001</v>
      </c>
      <c r="X7" s="419">
        <v>50117.61087366</v>
      </c>
      <c r="Y7" s="419">
        <v>46507.748853829995</v>
      </c>
      <c r="Z7" s="419">
        <v>49690.326225489996</v>
      </c>
      <c r="AA7" s="419">
        <v>48841.244741559989</v>
      </c>
      <c r="AB7" s="419">
        <v>48768.139258179996</v>
      </c>
      <c r="AC7" s="419">
        <v>48609.673783980004</v>
      </c>
      <c r="AD7" s="419">
        <v>48048.578924560003</v>
      </c>
      <c r="AE7" s="419">
        <v>47226.234658829999</v>
      </c>
      <c r="AF7" s="419">
        <v>52892.181369340004</v>
      </c>
      <c r="AG7" s="419">
        <v>51859.279100339991</v>
      </c>
      <c r="AH7" s="419">
        <v>52260.86865371</v>
      </c>
      <c r="AI7" s="419">
        <v>52486.355979999993</v>
      </c>
      <c r="AJ7" s="419">
        <v>48261.316332099996</v>
      </c>
      <c r="AK7" s="419">
        <v>50897.801944259998</v>
      </c>
      <c r="AL7" s="419">
        <v>52230.276910590008</v>
      </c>
      <c r="AM7" s="419">
        <v>54541.558988270008</v>
      </c>
      <c r="AN7" s="419">
        <v>54460.441544789996</v>
      </c>
      <c r="AO7" s="419">
        <v>57496.533880289993</v>
      </c>
      <c r="AP7" s="419">
        <v>56956.475671139997</v>
      </c>
      <c r="AQ7" s="419">
        <v>65309.752023239998</v>
      </c>
      <c r="AR7" s="419">
        <v>65865.506923050008</v>
      </c>
      <c r="AS7" s="419">
        <v>62442.457839729999</v>
      </c>
      <c r="AT7" s="419">
        <v>60731.30969142</v>
      </c>
      <c r="AU7" s="419">
        <v>62615.84372166</v>
      </c>
      <c r="AV7" s="419">
        <v>62128.569978330001</v>
      </c>
      <c r="AW7" s="419">
        <v>61212.090309649997</v>
      </c>
      <c r="AX7" s="419">
        <v>65671.99359541999</v>
      </c>
      <c r="AY7" s="419">
        <v>65001.572522259994</v>
      </c>
      <c r="AZ7" s="419">
        <v>70325.203387729998</v>
      </c>
      <c r="BA7" s="419">
        <v>72275.114166180007</v>
      </c>
      <c r="BB7" s="419">
        <v>76699.570710229993</v>
      </c>
      <c r="BC7" s="419">
        <v>79049.383966680005</v>
      </c>
      <c r="BD7" s="419">
        <v>81250.858231420003</v>
      </c>
      <c r="BE7" s="419">
        <v>82778.097596120002</v>
      </c>
      <c r="BF7" s="419">
        <v>84787.815114509984</v>
      </c>
      <c r="BG7" s="419">
        <v>82891.982579819989</v>
      </c>
      <c r="BH7" s="419">
        <v>78762.170079570002</v>
      </c>
      <c r="BI7" s="419">
        <v>75612.590637820002</v>
      </c>
      <c r="BJ7" s="419">
        <v>77385.975843499997</v>
      </c>
      <c r="BK7" s="419">
        <v>72629.630849979992</v>
      </c>
      <c r="BL7" s="419">
        <v>62925.917202170014</v>
      </c>
      <c r="BM7" s="419">
        <v>58480.387652580008</v>
      </c>
      <c r="BN7" s="419">
        <v>44771.752081619998</v>
      </c>
      <c r="BO7" s="419">
        <v>42563.058551499998</v>
      </c>
      <c r="BP7" s="419">
        <v>38073.754578460001</v>
      </c>
      <c r="BQ7" s="419">
        <v>42262.772240890001</v>
      </c>
      <c r="BR7" s="419">
        <v>42864.375778319998</v>
      </c>
      <c r="BS7" s="419">
        <v>40193.047211420009</v>
      </c>
      <c r="BT7" s="419">
        <v>42993.967329619998</v>
      </c>
      <c r="BU7" s="420">
        <v>45744.060463390007</v>
      </c>
      <c r="BV7" s="420">
        <v>37567.587296919999</v>
      </c>
      <c r="BW7" s="420">
        <v>43972.961755199998</v>
      </c>
      <c r="BX7" s="420">
        <v>51730.241857550005</v>
      </c>
      <c r="BY7" s="420">
        <v>53072.297125359997</v>
      </c>
      <c r="BZ7" s="420">
        <v>50480.164341039999</v>
      </c>
      <c r="CA7" s="420">
        <v>50099.544604170005</v>
      </c>
      <c r="CB7" s="420">
        <v>53155.741105980007</v>
      </c>
      <c r="CC7" s="420">
        <v>49591.107950810008</v>
      </c>
      <c r="CD7" s="420">
        <v>25953.331185359995</v>
      </c>
      <c r="CE7" s="420">
        <v>30204.438892050002</v>
      </c>
      <c r="CF7" s="420">
        <v>25868.119061399993</v>
      </c>
      <c r="CG7" s="420">
        <v>25486.071672620001</v>
      </c>
      <c r="CH7" s="420">
        <v>29336.382384560005</v>
      </c>
      <c r="CI7" s="94">
        <v>25846.664867020001</v>
      </c>
      <c r="CJ7" s="94">
        <v>25910.323146860002</v>
      </c>
      <c r="CK7" s="94">
        <v>26968.741297550001</v>
      </c>
      <c r="CL7" s="94">
        <v>23904.167225090001</v>
      </c>
      <c r="CM7" s="94">
        <v>19616.047523459994</v>
      </c>
      <c r="CN7" s="94">
        <v>36110.476421989995</v>
      </c>
      <c r="CO7" s="94">
        <v>41214.656960429995</v>
      </c>
      <c r="CP7" s="94">
        <v>44638.545298670004</v>
      </c>
      <c r="CQ7" s="94">
        <v>57951.403502900001</v>
      </c>
      <c r="CR7" s="94">
        <v>20768.521938509999</v>
      </c>
      <c r="CS7" s="94">
        <v>16200.300409190006</v>
      </c>
      <c r="CT7" s="94">
        <v>40167.848764919996</v>
      </c>
      <c r="CU7" s="421">
        <v>36930.029730510003</v>
      </c>
      <c r="CV7" s="421">
        <v>20686.36145344</v>
      </c>
      <c r="CW7" s="421">
        <v>33015.00342624</v>
      </c>
      <c r="CX7" s="421">
        <v>28417.151371289994</v>
      </c>
      <c r="CY7" s="421">
        <v>60987.560173774793</v>
      </c>
      <c r="CZ7" s="421">
        <v>28044.83359966358</v>
      </c>
      <c r="DA7" s="421">
        <v>19813.168259204609</v>
      </c>
      <c r="DB7" s="421">
        <v>29157.11884578285</v>
      </c>
      <c r="DC7" s="421">
        <v>24877.388861775155</v>
      </c>
      <c r="DD7" s="421">
        <v>19988.313144882686</v>
      </c>
      <c r="DE7" s="421">
        <v>23214.67012390948</v>
      </c>
      <c r="DF7" s="421">
        <v>21190.230214677082</v>
      </c>
      <c r="DG7" s="421">
        <v>22774.497088783308</v>
      </c>
      <c r="DH7" s="421">
        <v>28874.779825214086</v>
      </c>
      <c r="DI7" s="421">
        <v>27493.712243670649</v>
      </c>
      <c r="DJ7" s="421">
        <v>29437.909027118338</v>
      </c>
      <c r="DK7" s="421">
        <v>30662.416134091807</v>
      </c>
      <c r="DL7" s="421">
        <v>49800.130808240727</v>
      </c>
      <c r="DM7" s="421">
        <v>52811.841383703795</v>
      </c>
      <c r="DN7" s="421">
        <v>49739.377359282786</v>
      </c>
      <c r="DO7" s="421">
        <v>41395.074238387409</v>
      </c>
      <c r="DP7" s="421">
        <v>39898.825465700429</v>
      </c>
      <c r="DQ7" s="421">
        <v>48918.123072998205</v>
      </c>
      <c r="DR7" s="421">
        <v>48045.728677939223</v>
      </c>
      <c r="DS7" s="421">
        <v>54424.652535682711</v>
      </c>
      <c r="DT7" s="421">
        <v>43010.871918997364</v>
      </c>
      <c r="DU7" s="421">
        <v>57479.869647484345</v>
      </c>
      <c r="DV7" s="421">
        <v>64506.380932019783</v>
      </c>
      <c r="DW7" s="421">
        <v>39666.267443362951</v>
      </c>
      <c r="DX7" s="421">
        <v>47309.352880735605</v>
      </c>
      <c r="DY7" s="421">
        <v>50404.630621719582</v>
      </c>
      <c r="DZ7" s="421">
        <v>52437.545989580431</v>
      </c>
      <c r="EA7" s="421">
        <v>53343.96080799558</v>
      </c>
      <c r="EB7" s="421">
        <v>39560.312985339311</v>
      </c>
      <c r="EC7" s="421">
        <v>39455.049457039568</v>
      </c>
      <c r="ED7" s="421">
        <v>48487.544591903992</v>
      </c>
      <c r="EE7" s="421">
        <v>65472.353418301333</v>
      </c>
      <c r="EF7" s="421">
        <v>52928.063137635319</v>
      </c>
      <c r="EG7" s="421">
        <v>53464.033682963825</v>
      </c>
      <c r="EH7" s="421">
        <v>63068.920930666965</v>
      </c>
      <c r="EI7" s="421">
        <v>65172.687273433192</v>
      </c>
      <c r="EJ7" s="421">
        <v>68732.469938451119</v>
      </c>
      <c r="EK7" s="421">
        <v>67571.892493192427</v>
      </c>
    </row>
    <row r="8" spans="1:141" ht="16.5" customHeight="1" x14ac:dyDescent="0.3">
      <c r="A8" s="95" t="s">
        <v>931</v>
      </c>
      <c r="B8" s="95" t="s">
        <v>932</v>
      </c>
      <c r="C8" s="425">
        <v>3.3162413999999996</v>
      </c>
      <c r="D8" s="425">
        <v>3.44382162</v>
      </c>
      <c r="E8" s="425">
        <v>0.52834817000000001</v>
      </c>
      <c r="F8" s="425">
        <v>0.96362187999999993</v>
      </c>
      <c r="G8" s="425">
        <v>1.61711374</v>
      </c>
      <c r="H8" s="425">
        <v>1.58589907</v>
      </c>
      <c r="I8" s="425">
        <v>1.69840021</v>
      </c>
      <c r="J8" s="425">
        <v>2.0199524499999999</v>
      </c>
      <c r="K8" s="425">
        <v>2.4689764999999997</v>
      </c>
      <c r="L8" s="425">
        <v>2.6983453900000001</v>
      </c>
      <c r="M8" s="425">
        <v>2.8881806699999997</v>
      </c>
      <c r="N8" s="425">
        <v>3.0182872999999999</v>
      </c>
      <c r="O8" s="425">
        <v>4.36494933</v>
      </c>
      <c r="P8" s="425">
        <v>4.5159973499999992</v>
      </c>
      <c r="Q8" s="425">
        <v>4.5201716999999997</v>
      </c>
      <c r="R8" s="425">
        <v>4.6542414299999999</v>
      </c>
      <c r="S8" s="425">
        <v>4.8596830799999999</v>
      </c>
      <c r="T8" s="425">
        <v>2.1044306499999998</v>
      </c>
      <c r="U8" s="425">
        <v>2.3229332400000002</v>
      </c>
      <c r="V8" s="425">
        <v>1.10551946</v>
      </c>
      <c r="W8" s="425">
        <v>1.2081790400000001</v>
      </c>
      <c r="X8" s="425">
        <v>1.4917216399999997</v>
      </c>
      <c r="Y8" s="425">
        <v>7.7478409999999998E-2</v>
      </c>
      <c r="Z8" s="425">
        <v>0.20579432999999997</v>
      </c>
      <c r="AA8" s="425">
        <v>2.08527073</v>
      </c>
      <c r="AB8" s="425">
        <v>2.1227347000000001</v>
      </c>
      <c r="AC8" s="425">
        <v>0.16106642000000002</v>
      </c>
      <c r="AD8" s="425">
        <v>0.40776766999999997</v>
      </c>
      <c r="AE8" s="425">
        <v>0.53828650999999994</v>
      </c>
      <c r="AF8" s="425">
        <v>6.8709489999999998E-2</v>
      </c>
      <c r="AG8" s="425">
        <v>0.28507784000000003</v>
      </c>
      <c r="AH8" s="425">
        <v>0.38971388000000001</v>
      </c>
      <c r="AI8" s="425">
        <v>0.61654191999999997</v>
      </c>
      <c r="AJ8" s="425">
        <v>0.71829385999999995</v>
      </c>
      <c r="AK8" s="425">
        <v>0.82500887999999994</v>
      </c>
      <c r="AL8" s="425">
        <v>0.15974335999999997</v>
      </c>
      <c r="AM8" s="425">
        <v>3.2131500000000001E-3</v>
      </c>
      <c r="AN8" s="425">
        <v>0.21171297</v>
      </c>
      <c r="AO8" s="425">
        <v>0.53191798000000001</v>
      </c>
      <c r="AP8" s="425">
        <v>1.04820629</v>
      </c>
      <c r="AQ8" s="425">
        <v>0.79720856000000007</v>
      </c>
      <c r="AR8" s="425">
        <v>0.45030021999999997</v>
      </c>
      <c r="AS8" s="425">
        <v>1.6454917600000001</v>
      </c>
      <c r="AT8" s="425">
        <v>2.5353343500000003</v>
      </c>
      <c r="AU8" s="425">
        <v>1.83243321</v>
      </c>
      <c r="AV8" s="425">
        <v>3.2758696</v>
      </c>
      <c r="AW8" s="425">
        <v>0.55512423</v>
      </c>
      <c r="AX8" s="425">
        <v>1.47342814</v>
      </c>
      <c r="AY8" s="425">
        <v>3.9064475099999996</v>
      </c>
      <c r="AZ8" s="425">
        <v>4.9109224100000004</v>
      </c>
      <c r="BA8" s="425">
        <v>5.9536671800000001</v>
      </c>
      <c r="BB8" s="425">
        <v>0.9437263199999999</v>
      </c>
      <c r="BC8" s="425">
        <v>1.9592846000000002</v>
      </c>
      <c r="BD8" s="425">
        <v>3.2790184999999998</v>
      </c>
      <c r="BE8" s="425">
        <v>1.0305465700000001</v>
      </c>
      <c r="BF8" s="425">
        <v>2.1129708599999999</v>
      </c>
      <c r="BG8" s="425">
        <v>0.99579791000000006</v>
      </c>
      <c r="BH8" s="425">
        <v>2.09559498</v>
      </c>
      <c r="BI8" s="425">
        <v>3.1292195699999996</v>
      </c>
      <c r="BJ8" s="425">
        <v>0.80075947999999997</v>
      </c>
      <c r="BK8" s="425">
        <v>3.9181357400000003</v>
      </c>
      <c r="BL8" s="425">
        <v>1.15771402</v>
      </c>
      <c r="BM8" s="425">
        <v>2.0793943700000002</v>
      </c>
      <c r="BN8" s="425">
        <v>4.09080391</v>
      </c>
      <c r="BO8" s="425">
        <v>5.0792759500000004</v>
      </c>
      <c r="BP8" s="425">
        <v>0.53215592</v>
      </c>
      <c r="BQ8" s="425">
        <v>1.6222477900000001</v>
      </c>
      <c r="BR8" s="425">
        <v>3.7986197900000001</v>
      </c>
      <c r="BS8" s="425">
        <v>0.56844960999999994</v>
      </c>
      <c r="BT8" s="425">
        <v>2.1422187099999999</v>
      </c>
      <c r="BU8" s="426">
        <v>3.5085658900000003</v>
      </c>
      <c r="BV8" s="426">
        <v>0.84997544999999997</v>
      </c>
      <c r="BW8" s="426">
        <v>5.5799382199999998</v>
      </c>
      <c r="BX8" s="426">
        <v>6.6585110700000003</v>
      </c>
      <c r="BY8" s="426">
        <v>8.1286054300000004</v>
      </c>
      <c r="BZ8" s="426">
        <v>2.8538536699999999</v>
      </c>
      <c r="CA8" s="426">
        <v>4.2383198000000002</v>
      </c>
      <c r="CB8" s="426">
        <v>5.5956662899999996</v>
      </c>
      <c r="CC8" s="426">
        <v>6.6103161100000003</v>
      </c>
      <c r="CD8" s="426">
        <v>7.9118339200000003</v>
      </c>
      <c r="CE8" s="426">
        <v>6.6625417999999996</v>
      </c>
      <c r="CF8" s="426">
        <v>8.2792623699999996</v>
      </c>
      <c r="CG8" s="426">
        <v>0.72698711999999999</v>
      </c>
      <c r="CH8" s="426">
        <v>1.7118209199999999</v>
      </c>
      <c r="CI8" s="96">
        <v>7.3309523399999996</v>
      </c>
      <c r="CJ8" s="96">
        <v>8.2244865699999998</v>
      </c>
      <c r="CK8" s="96">
        <v>9.7199616199999994</v>
      </c>
      <c r="CL8" s="96">
        <v>10.654790650000001</v>
      </c>
      <c r="CM8" s="96">
        <v>11.931114039999999</v>
      </c>
      <c r="CN8" s="96">
        <v>13.2000545</v>
      </c>
      <c r="CO8" s="96">
        <v>13.90434366</v>
      </c>
      <c r="CP8" s="96">
        <v>14.580464210000001</v>
      </c>
      <c r="CQ8" s="96">
        <v>16.02229247</v>
      </c>
      <c r="CR8" s="96">
        <v>17.22606832</v>
      </c>
      <c r="CS8" s="96">
        <v>17.917645370000002</v>
      </c>
      <c r="CT8" s="96">
        <v>18.761190350000003</v>
      </c>
      <c r="CU8" s="427">
        <v>23.155243179999999</v>
      </c>
      <c r="CV8" s="427">
        <v>24.677085160000001</v>
      </c>
      <c r="CW8" s="427">
        <v>26.284842210000001</v>
      </c>
      <c r="CX8" s="427">
        <v>28.126177819999999</v>
      </c>
      <c r="CY8" s="427">
        <v>19.17165039</v>
      </c>
      <c r="CZ8" s="427">
        <v>20.428884489999998</v>
      </c>
      <c r="DA8" s="427">
        <v>21.312925530000001</v>
      </c>
      <c r="DB8" s="427">
        <v>22.417444270000001</v>
      </c>
      <c r="DC8" s="427">
        <v>23.23131566</v>
      </c>
      <c r="DD8" s="427">
        <v>3.7692603</v>
      </c>
      <c r="DE8" s="427">
        <v>4.4197067699999995</v>
      </c>
      <c r="DF8" s="427">
        <v>5.2128988099999995</v>
      </c>
      <c r="DG8" s="427">
        <v>11.12005241</v>
      </c>
      <c r="DH8" s="427">
        <v>12.727241710000001</v>
      </c>
      <c r="DI8" s="427">
        <v>14.307861039999999</v>
      </c>
      <c r="DJ8" s="427">
        <v>15.543937140000001</v>
      </c>
      <c r="DK8" s="427">
        <v>5.7532942699999996</v>
      </c>
      <c r="DL8" s="427">
        <v>6.49962076</v>
      </c>
      <c r="DM8" s="427">
        <v>7.8449877800000003</v>
      </c>
      <c r="DN8" s="427">
        <v>9.4197354400000002</v>
      </c>
      <c r="DO8" s="427">
        <v>10.903498369999999</v>
      </c>
      <c r="DP8" s="427">
        <v>12.328909939999999</v>
      </c>
      <c r="DQ8" s="427">
        <v>6.5975193799999996</v>
      </c>
      <c r="DR8" s="427">
        <v>7.1667985999999999</v>
      </c>
      <c r="DS8" s="427">
        <v>15.75958484</v>
      </c>
      <c r="DT8" s="427">
        <v>16.97671811</v>
      </c>
      <c r="DU8" s="427">
        <v>7.3655315999999997</v>
      </c>
      <c r="DV8" s="427">
        <v>7.5035066100000005</v>
      </c>
      <c r="DW8" s="427">
        <v>7.5346126399999998</v>
      </c>
      <c r="DX8" s="427">
        <v>8.1824657300000005</v>
      </c>
      <c r="DY8" s="427">
        <v>9.046703599999999</v>
      </c>
      <c r="DZ8" s="427">
        <v>9.3908576099999994</v>
      </c>
      <c r="EA8" s="427">
        <v>9.9991276400000011</v>
      </c>
      <c r="EB8" s="427">
        <v>10.37393906</v>
      </c>
      <c r="EC8" s="427">
        <v>10.632759460000001</v>
      </c>
      <c r="ED8" s="427">
        <v>11.301359470000001</v>
      </c>
      <c r="EE8" s="427">
        <v>17.81347835</v>
      </c>
      <c r="EF8" s="427">
        <v>18.28006354</v>
      </c>
      <c r="EG8" s="427">
        <v>18.696578300000002</v>
      </c>
      <c r="EH8" s="427">
        <v>7.7827115199999994</v>
      </c>
      <c r="EI8" s="427">
        <v>8.008532240000001</v>
      </c>
      <c r="EJ8" s="427">
        <v>8.3866510999999999</v>
      </c>
      <c r="EK8" s="427">
        <v>8.6753242499999992</v>
      </c>
    </row>
    <row r="9" spans="1:141" ht="16.5" customHeight="1" x14ac:dyDescent="0.3">
      <c r="A9" s="95" t="s">
        <v>933</v>
      </c>
      <c r="B9" s="95" t="s">
        <v>934</v>
      </c>
      <c r="C9" s="425">
        <v>8132.1138869999995</v>
      </c>
      <c r="D9" s="425">
        <v>16165.038531259999</v>
      </c>
      <c r="E9" s="425">
        <v>16415.657714739998</v>
      </c>
      <c r="F9" s="425">
        <v>16282.483959679997</v>
      </c>
      <c r="G9" s="425">
        <v>16384.195707950003</v>
      </c>
      <c r="H9" s="425">
        <v>13563.80866162</v>
      </c>
      <c r="I9" s="425">
        <v>13263.44750547</v>
      </c>
      <c r="J9" s="425">
        <v>17475.175109269996</v>
      </c>
      <c r="K9" s="425">
        <v>20950.598344339996</v>
      </c>
      <c r="L9" s="425">
        <v>15807.355569879999</v>
      </c>
      <c r="M9" s="425">
        <v>14252.397320960001</v>
      </c>
      <c r="N9" s="425">
        <v>12194.92374333</v>
      </c>
      <c r="O9" s="425">
        <v>10752.475926719999</v>
      </c>
      <c r="P9" s="425">
        <v>10561.82350036</v>
      </c>
      <c r="Q9" s="425">
        <v>14281.521187839999</v>
      </c>
      <c r="R9" s="425">
        <v>10431.49251593</v>
      </c>
      <c r="S9" s="425">
        <v>6307.5945568500001</v>
      </c>
      <c r="T9" s="425">
        <v>11907.53680729</v>
      </c>
      <c r="U9" s="425">
        <v>11472.13786741</v>
      </c>
      <c r="V9" s="425">
        <v>13012.974477869999</v>
      </c>
      <c r="W9" s="425">
        <v>13957.589320569999</v>
      </c>
      <c r="X9" s="425">
        <v>15123.004838939998</v>
      </c>
      <c r="Y9" s="425">
        <v>16412.485419919998</v>
      </c>
      <c r="Z9" s="425">
        <v>19677.189963389999</v>
      </c>
      <c r="AA9" s="425">
        <v>18166.427285889997</v>
      </c>
      <c r="AB9" s="425">
        <v>18111.28020479</v>
      </c>
      <c r="AC9" s="425">
        <v>21015.324634590001</v>
      </c>
      <c r="AD9" s="425">
        <v>20102.940633890001</v>
      </c>
      <c r="AE9" s="425">
        <v>19875.265104490001</v>
      </c>
      <c r="AF9" s="425">
        <v>23742.215005490001</v>
      </c>
      <c r="AG9" s="425">
        <v>22304.135166609998</v>
      </c>
      <c r="AH9" s="425">
        <v>30492.67854257</v>
      </c>
      <c r="AI9" s="425">
        <v>32579.410856299997</v>
      </c>
      <c r="AJ9" s="425">
        <v>28249.655219799995</v>
      </c>
      <c r="AK9" s="425">
        <v>30932.623094929997</v>
      </c>
      <c r="AL9" s="425">
        <v>32390.31187293</v>
      </c>
      <c r="AM9" s="425">
        <v>34749.097609590011</v>
      </c>
      <c r="AN9" s="425">
        <v>35733.678906399997</v>
      </c>
      <c r="AO9" s="425">
        <v>36617.823103210001</v>
      </c>
      <c r="AP9" s="425">
        <v>36066.585837840001</v>
      </c>
      <c r="AQ9" s="425">
        <v>27945.119753409999</v>
      </c>
      <c r="AR9" s="425">
        <v>24850.079792949997</v>
      </c>
      <c r="AS9" s="425">
        <v>22944.954486690003</v>
      </c>
      <c r="AT9" s="425">
        <v>21854.622997580005</v>
      </c>
      <c r="AU9" s="425">
        <v>22909.898303969996</v>
      </c>
      <c r="AV9" s="425">
        <v>22624.069642890001</v>
      </c>
      <c r="AW9" s="425">
        <v>20028.013601069993</v>
      </c>
      <c r="AX9" s="425">
        <v>21748.553830939989</v>
      </c>
      <c r="AY9" s="425">
        <v>21483.132138889992</v>
      </c>
      <c r="AZ9" s="425">
        <v>22702.178274540005</v>
      </c>
      <c r="BA9" s="425">
        <v>24034.491288860005</v>
      </c>
      <c r="BB9" s="425">
        <v>28635.434102369993</v>
      </c>
      <c r="BC9" s="425">
        <v>25048.548394419995</v>
      </c>
      <c r="BD9" s="425">
        <v>27113.099582539995</v>
      </c>
      <c r="BE9" s="425">
        <v>29028.218064130004</v>
      </c>
      <c r="BF9" s="425">
        <v>30285.358766379984</v>
      </c>
      <c r="BG9" s="425">
        <v>27084.338610829989</v>
      </c>
      <c r="BH9" s="425">
        <v>24302.270313610003</v>
      </c>
      <c r="BI9" s="425">
        <v>21740.981760110004</v>
      </c>
      <c r="BJ9" s="425">
        <v>34391.150536819987</v>
      </c>
      <c r="BK9" s="425">
        <v>33755.574954980002</v>
      </c>
      <c r="BL9" s="425">
        <v>34163.156522330013</v>
      </c>
      <c r="BM9" s="425">
        <v>28736.155734330005</v>
      </c>
      <c r="BN9" s="425">
        <v>24589.990091500003</v>
      </c>
      <c r="BO9" s="425">
        <v>31729.384710990002</v>
      </c>
      <c r="BP9" s="425">
        <v>33983.370749590002</v>
      </c>
      <c r="BQ9" s="425">
        <v>38243.675957359999</v>
      </c>
      <c r="BR9" s="425">
        <v>38967.190348329998</v>
      </c>
      <c r="BS9" s="425">
        <v>36352.212677100011</v>
      </c>
      <c r="BT9" s="425">
        <v>39021.144219899994</v>
      </c>
      <c r="BU9" s="426">
        <v>41590.668968020007</v>
      </c>
      <c r="BV9" s="426">
        <v>33597.301729699997</v>
      </c>
      <c r="BW9" s="426">
        <v>43654.056733619997</v>
      </c>
      <c r="BX9" s="426">
        <v>51279.254434360002</v>
      </c>
      <c r="BY9" s="426">
        <v>52465.045530859999</v>
      </c>
      <c r="BZ9" s="426">
        <v>49980.480649470002</v>
      </c>
      <c r="CA9" s="426">
        <v>49472.729484989999</v>
      </c>
      <c r="CB9" s="426">
        <v>52727.821885630008</v>
      </c>
      <c r="CC9" s="426">
        <v>49087.200803900007</v>
      </c>
      <c r="CD9" s="426">
        <v>25395.106188259997</v>
      </c>
      <c r="CE9" s="426">
        <v>29680.779072550002</v>
      </c>
      <c r="CF9" s="426">
        <v>25239.583883979994</v>
      </c>
      <c r="CG9" s="426">
        <v>24858.617003920001</v>
      </c>
      <c r="CH9" s="426">
        <v>28864.868365970004</v>
      </c>
      <c r="CI9" s="96">
        <v>25291.837129260002</v>
      </c>
      <c r="CJ9" s="96">
        <v>25281.70785558</v>
      </c>
      <c r="CK9" s="96">
        <v>26355.964568439998</v>
      </c>
      <c r="CL9" s="96">
        <v>23109.980251009998</v>
      </c>
      <c r="CM9" s="96">
        <v>18864.081702899995</v>
      </c>
      <c r="CN9" s="96">
        <v>35701.326989199995</v>
      </c>
      <c r="CO9" s="96">
        <v>40731.4329488</v>
      </c>
      <c r="CP9" s="96">
        <v>44131.742626210005</v>
      </c>
      <c r="CQ9" s="96">
        <v>57433.15640955</v>
      </c>
      <c r="CR9" s="96">
        <v>20169.573831329999</v>
      </c>
      <c r="CS9" s="96">
        <v>15729.065767740005</v>
      </c>
      <c r="CT9" s="96">
        <v>39786.488546229994</v>
      </c>
      <c r="CU9" s="427">
        <v>36474.863029120002</v>
      </c>
      <c r="CV9" s="427">
        <v>20213.366966549998</v>
      </c>
      <c r="CW9" s="427">
        <v>32529.241478899999</v>
      </c>
      <c r="CX9" s="427">
        <v>27869.925041409995</v>
      </c>
      <c r="CY9" s="427">
        <v>60631.046591414794</v>
      </c>
      <c r="CZ9" s="427">
        <v>27930.195568903579</v>
      </c>
      <c r="DA9" s="427">
        <v>19768.093257024608</v>
      </c>
      <c r="DB9" s="427">
        <v>29123.802587732851</v>
      </c>
      <c r="DC9" s="427">
        <v>24845.162000415155</v>
      </c>
      <c r="DD9" s="427">
        <v>19973.602906422686</v>
      </c>
      <c r="DE9" s="427">
        <v>23207.873647799479</v>
      </c>
      <c r="DF9" s="427">
        <v>21182.583298007081</v>
      </c>
      <c r="DG9" s="427">
        <v>22762.33693057331</v>
      </c>
      <c r="DH9" s="427">
        <v>28860.480685134087</v>
      </c>
      <c r="DI9" s="427">
        <v>27477.191810470649</v>
      </c>
      <c r="DJ9" s="427">
        <v>29419.556343968339</v>
      </c>
      <c r="DK9" s="427">
        <v>30535.296875871805</v>
      </c>
      <c r="DL9" s="427">
        <v>49670.98249562073</v>
      </c>
      <c r="DM9" s="427">
        <v>52715.101461643797</v>
      </c>
      <c r="DN9" s="427">
        <v>49635.78075610278</v>
      </c>
      <c r="DO9" s="427">
        <v>41273.459821657416</v>
      </c>
      <c r="DP9" s="427">
        <v>39885.643868860432</v>
      </c>
      <c r="DQ9" s="427">
        <v>48910.667285918207</v>
      </c>
      <c r="DR9" s="427">
        <v>40707.805125279221</v>
      </c>
      <c r="DS9" s="427">
        <v>50716.846758362713</v>
      </c>
      <c r="DT9" s="427">
        <v>35462.875046727364</v>
      </c>
      <c r="DU9" s="427">
        <v>49568.419167934342</v>
      </c>
      <c r="DV9" s="427">
        <v>60455.650988119778</v>
      </c>
      <c r="DW9" s="427">
        <v>39657.850815842947</v>
      </c>
      <c r="DX9" s="427">
        <v>47300.614834775603</v>
      </c>
      <c r="DY9" s="427">
        <v>50395.583918119584</v>
      </c>
      <c r="DZ9" s="427">
        <v>52428.15513197043</v>
      </c>
      <c r="EA9" s="427">
        <v>53333.961680355576</v>
      </c>
      <c r="EB9" s="427">
        <v>39549.939046279309</v>
      </c>
      <c r="EC9" s="427">
        <v>39444.416697579567</v>
      </c>
      <c r="ED9" s="427">
        <v>48476.24323243399</v>
      </c>
      <c r="EE9" s="427">
        <v>65454.539939951334</v>
      </c>
      <c r="EF9" s="427">
        <v>52909.783074095321</v>
      </c>
      <c r="EG9" s="427">
        <v>53445.337104663828</v>
      </c>
      <c r="EH9" s="427">
        <v>63061.138219146967</v>
      </c>
      <c r="EI9" s="427">
        <v>65164.678741193195</v>
      </c>
      <c r="EJ9" s="427">
        <v>68724.083287351124</v>
      </c>
      <c r="EK9" s="427">
        <v>67563.217168942429</v>
      </c>
    </row>
    <row r="10" spans="1:141" ht="16.5" customHeight="1" x14ac:dyDescent="0.3">
      <c r="A10" s="95" t="s">
        <v>935</v>
      </c>
      <c r="B10" s="95" t="s">
        <v>936</v>
      </c>
      <c r="C10" s="425">
        <v>38344.260228209998</v>
      </c>
      <c r="D10" s="425">
        <v>31170.163890569998</v>
      </c>
      <c r="E10" s="425">
        <v>30458.217517429999</v>
      </c>
      <c r="F10" s="425">
        <v>30830.121354279996</v>
      </c>
      <c r="G10" s="425">
        <v>31584.513719139999</v>
      </c>
      <c r="H10" s="425">
        <v>34184.241495039998</v>
      </c>
      <c r="I10" s="425">
        <v>35777.790271029997</v>
      </c>
      <c r="J10" s="425">
        <v>31855.438379689997</v>
      </c>
      <c r="K10" s="425">
        <v>31497.674340359998</v>
      </c>
      <c r="L10" s="425">
        <v>29929.794581529997</v>
      </c>
      <c r="M10" s="425">
        <v>33844.803538099994</v>
      </c>
      <c r="N10" s="425">
        <v>38360.14002097</v>
      </c>
      <c r="O10" s="425">
        <v>37396.164551549999</v>
      </c>
      <c r="P10" s="425">
        <v>37417.551427999999</v>
      </c>
      <c r="Q10" s="425">
        <v>36044.467595589995</v>
      </c>
      <c r="R10" s="425">
        <v>39360.102269879993</v>
      </c>
      <c r="S10" s="425">
        <v>41794.618096300001</v>
      </c>
      <c r="T10" s="425">
        <v>38811.454377540002</v>
      </c>
      <c r="U10" s="425">
        <v>38485.609693169994</v>
      </c>
      <c r="V10" s="425">
        <v>36529.34239464</v>
      </c>
      <c r="W10" s="425">
        <v>34029.800388759999</v>
      </c>
      <c r="X10" s="425">
        <v>34993.114313079997</v>
      </c>
      <c r="Y10" s="425">
        <v>30095.185955499997</v>
      </c>
      <c r="Z10" s="425">
        <v>30012.930467769998</v>
      </c>
      <c r="AA10" s="425">
        <v>30672.732184939996</v>
      </c>
      <c r="AB10" s="425">
        <v>30654.736318689997</v>
      </c>
      <c r="AC10" s="425">
        <v>27594.188082969999</v>
      </c>
      <c r="AD10" s="425">
        <v>27945.230522999998</v>
      </c>
      <c r="AE10" s="425">
        <v>27350.431267830001</v>
      </c>
      <c r="AF10" s="425">
        <v>29149.89765436</v>
      </c>
      <c r="AG10" s="425">
        <v>29554.858855889997</v>
      </c>
      <c r="AH10" s="425">
        <v>21767.800397259998</v>
      </c>
      <c r="AI10" s="425">
        <v>19906.328581779999</v>
      </c>
      <c r="AJ10" s="425">
        <v>20010.942818439999</v>
      </c>
      <c r="AK10" s="425">
        <v>19964.35384045</v>
      </c>
      <c r="AL10" s="425">
        <v>19839.805294300004</v>
      </c>
      <c r="AM10" s="425">
        <v>19792.458165529999</v>
      </c>
      <c r="AN10" s="425">
        <v>18726.550925420001</v>
      </c>
      <c r="AO10" s="425">
        <v>20878.178859099997</v>
      </c>
      <c r="AP10" s="425">
        <v>20888.841627010002</v>
      </c>
      <c r="AQ10" s="425">
        <v>37363.835061269994</v>
      </c>
      <c r="AR10" s="425">
        <v>41014.976829880005</v>
      </c>
      <c r="AS10" s="425">
        <v>39495.857861279997</v>
      </c>
      <c r="AT10" s="425">
        <v>38874.151359489995</v>
      </c>
      <c r="AU10" s="425">
        <v>39704.112984480002</v>
      </c>
      <c r="AV10" s="425">
        <v>39501.224465840001</v>
      </c>
      <c r="AW10" s="425">
        <v>41183.521584350005</v>
      </c>
      <c r="AX10" s="425">
        <v>43921.966336339996</v>
      </c>
      <c r="AY10" s="425">
        <v>43514.533935860003</v>
      </c>
      <c r="AZ10" s="425">
        <v>47618.114190779997</v>
      </c>
      <c r="BA10" s="425">
        <v>48234.669210139997</v>
      </c>
      <c r="BB10" s="425">
        <v>48063.192881540002</v>
      </c>
      <c r="BC10" s="425">
        <v>53998.876287660001</v>
      </c>
      <c r="BD10" s="425">
        <v>54134.479630380003</v>
      </c>
      <c r="BE10" s="425">
        <v>53748.848985420002</v>
      </c>
      <c r="BF10" s="425">
        <v>54500.343377270001</v>
      </c>
      <c r="BG10" s="425">
        <v>55806.64817108</v>
      </c>
      <c r="BH10" s="425">
        <v>54457.804170980002</v>
      </c>
      <c r="BI10" s="425">
        <v>53868.479658140001</v>
      </c>
      <c r="BJ10" s="425">
        <v>42994.024547200002</v>
      </c>
      <c r="BK10" s="425">
        <v>38870.137759259997</v>
      </c>
      <c r="BL10" s="425">
        <v>28761.602965819999</v>
      </c>
      <c r="BM10" s="425">
        <v>29742.152523880002</v>
      </c>
      <c r="BN10" s="425">
        <v>20177.671186209998</v>
      </c>
      <c r="BO10" s="425">
        <v>10828.594564559999</v>
      </c>
      <c r="BP10" s="425">
        <v>4089.8516729499997</v>
      </c>
      <c r="BQ10" s="425">
        <v>4017.4740357400001</v>
      </c>
      <c r="BR10" s="425">
        <v>3893.3868102000001</v>
      </c>
      <c r="BS10" s="425">
        <v>3840.2660847100001</v>
      </c>
      <c r="BT10" s="425">
        <v>3970.6808910099999</v>
      </c>
      <c r="BU10" s="426">
        <v>4149.8829294799998</v>
      </c>
      <c r="BV10" s="426">
        <v>3969.43559177</v>
      </c>
      <c r="BW10" s="426">
        <v>313.32508336000001</v>
      </c>
      <c r="BX10" s="426">
        <v>444.32891211999998</v>
      </c>
      <c r="BY10" s="426">
        <v>599.1229890699999</v>
      </c>
      <c r="BZ10" s="426">
        <v>496.82983789999997</v>
      </c>
      <c r="CA10" s="426">
        <v>622.57679938000001</v>
      </c>
      <c r="CB10" s="426">
        <v>422.32355405999999</v>
      </c>
      <c r="CC10" s="426">
        <v>497.29683080000001</v>
      </c>
      <c r="CD10" s="426">
        <v>550.31316317999995</v>
      </c>
      <c r="CE10" s="426">
        <v>516.99727770000004</v>
      </c>
      <c r="CF10" s="426">
        <v>620.25591505</v>
      </c>
      <c r="CG10" s="426">
        <v>626.72768157999997</v>
      </c>
      <c r="CH10" s="426">
        <v>469.80219767</v>
      </c>
      <c r="CI10" s="96">
        <v>547.49678541999992</v>
      </c>
      <c r="CJ10" s="96">
        <v>620.39080471</v>
      </c>
      <c r="CK10" s="96">
        <v>603.05676748999997</v>
      </c>
      <c r="CL10" s="96">
        <v>783.53218343000003</v>
      </c>
      <c r="CM10" s="96">
        <v>740.0347065200001</v>
      </c>
      <c r="CN10" s="96">
        <v>395.94937829000003</v>
      </c>
      <c r="CO10" s="96">
        <v>469.31966796999995</v>
      </c>
      <c r="CP10" s="96">
        <v>492.22220824999999</v>
      </c>
      <c r="CQ10" s="96">
        <v>502.22480087999998</v>
      </c>
      <c r="CR10" s="96">
        <v>581.72203886</v>
      </c>
      <c r="CS10" s="96">
        <v>453.31699607999997</v>
      </c>
      <c r="CT10" s="96">
        <v>362.59902834000002</v>
      </c>
      <c r="CU10" s="427">
        <v>432.01145821000006</v>
      </c>
      <c r="CV10" s="427">
        <v>448.31740173000003</v>
      </c>
      <c r="CW10" s="427">
        <v>459.47710512999998</v>
      </c>
      <c r="CX10" s="427">
        <v>519.10015206000003</v>
      </c>
      <c r="CY10" s="427">
        <v>337.34193197000002</v>
      </c>
      <c r="CZ10" s="427">
        <v>94.209146270000005</v>
      </c>
      <c r="DA10" s="427">
        <v>23.762076650000001</v>
      </c>
      <c r="DB10" s="427">
        <v>10.898813779999999</v>
      </c>
      <c r="DC10" s="427">
        <v>8.995545700000001</v>
      </c>
      <c r="DD10" s="427">
        <v>10.94097816</v>
      </c>
      <c r="DE10" s="427">
        <v>2.3767693400000001</v>
      </c>
      <c r="DF10" s="427">
        <v>2.43401786</v>
      </c>
      <c r="DG10" s="427">
        <v>1.0401058000000001</v>
      </c>
      <c r="DH10" s="427">
        <v>1.5718983700000002</v>
      </c>
      <c r="DI10" s="427">
        <v>2.2125721600000001</v>
      </c>
      <c r="DJ10" s="427">
        <v>2.8087460099999997</v>
      </c>
      <c r="DK10" s="427">
        <v>121.36596395000001</v>
      </c>
      <c r="DL10" s="427">
        <v>122.64869186</v>
      </c>
      <c r="DM10" s="427">
        <v>88.894934279999987</v>
      </c>
      <c r="DN10" s="427">
        <v>94.176867739999992</v>
      </c>
      <c r="DO10" s="427">
        <v>110.71091835999999</v>
      </c>
      <c r="DP10" s="427">
        <v>0.85268690000000003</v>
      </c>
      <c r="DQ10" s="427">
        <v>0.85826770000000008</v>
      </c>
      <c r="DR10" s="427">
        <v>7330.7567540599994</v>
      </c>
      <c r="DS10" s="427">
        <v>3692.0461924799997</v>
      </c>
      <c r="DT10" s="427">
        <v>7531.0201541599999</v>
      </c>
      <c r="DU10" s="427">
        <v>7904.0849479500002</v>
      </c>
      <c r="DV10" s="427">
        <v>4043.2264372899999</v>
      </c>
      <c r="DW10" s="427">
        <v>0.88201488000000006</v>
      </c>
      <c r="DX10" s="427">
        <v>0.55558023000000001</v>
      </c>
      <c r="DY10" s="427">
        <v>0</v>
      </c>
      <c r="DZ10" s="427">
        <v>0</v>
      </c>
      <c r="EA10" s="427">
        <v>0</v>
      </c>
      <c r="EB10" s="427">
        <v>0</v>
      </c>
      <c r="EC10" s="427">
        <v>0</v>
      </c>
      <c r="ED10" s="427">
        <v>0</v>
      </c>
      <c r="EE10" s="427">
        <v>0</v>
      </c>
      <c r="EF10" s="427">
        <v>0</v>
      </c>
      <c r="EG10" s="427">
        <v>0</v>
      </c>
      <c r="EH10" s="427">
        <v>0</v>
      </c>
      <c r="EI10" s="427">
        <v>0</v>
      </c>
      <c r="EJ10" s="427">
        <v>0</v>
      </c>
      <c r="EK10" s="427">
        <v>0</v>
      </c>
    </row>
    <row r="11" spans="1:141" ht="16.5" customHeight="1" x14ac:dyDescent="0.3">
      <c r="A11" s="95" t="s">
        <v>937</v>
      </c>
      <c r="B11" s="95" t="s">
        <v>938</v>
      </c>
      <c r="C11" s="425">
        <v>0</v>
      </c>
      <c r="D11" s="425">
        <v>0</v>
      </c>
      <c r="E11" s="425">
        <v>0</v>
      </c>
      <c r="F11" s="425">
        <v>0</v>
      </c>
      <c r="G11" s="425">
        <v>0</v>
      </c>
      <c r="H11" s="425">
        <v>0</v>
      </c>
      <c r="I11" s="425">
        <v>0</v>
      </c>
      <c r="J11" s="425">
        <v>0</v>
      </c>
      <c r="K11" s="425">
        <v>0</v>
      </c>
      <c r="L11" s="425">
        <v>0</v>
      </c>
      <c r="M11" s="425">
        <v>0</v>
      </c>
      <c r="N11" s="425">
        <v>0</v>
      </c>
      <c r="O11" s="425">
        <v>0</v>
      </c>
      <c r="P11" s="425">
        <v>0</v>
      </c>
      <c r="Q11" s="425">
        <v>0</v>
      </c>
      <c r="R11" s="425">
        <v>0</v>
      </c>
      <c r="S11" s="425">
        <v>0</v>
      </c>
      <c r="T11" s="425">
        <v>0</v>
      </c>
      <c r="U11" s="425">
        <v>0</v>
      </c>
      <c r="V11" s="425">
        <v>0</v>
      </c>
      <c r="W11" s="425">
        <v>0</v>
      </c>
      <c r="X11" s="425">
        <v>0</v>
      </c>
      <c r="Y11" s="425">
        <v>0</v>
      </c>
      <c r="Z11" s="425">
        <v>0</v>
      </c>
      <c r="AA11" s="425">
        <v>0</v>
      </c>
      <c r="AB11" s="425">
        <v>0</v>
      </c>
      <c r="AC11" s="425">
        <v>0</v>
      </c>
      <c r="AD11" s="425">
        <v>0</v>
      </c>
      <c r="AE11" s="425">
        <v>0</v>
      </c>
      <c r="AF11" s="425">
        <v>0</v>
      </c>
      <c r="AG11" s="425">
        <v>0</v>
      </c>
      <c r="AH11" s="425">
        <v>0</v>
      </c>
      <c r="AI11" s="425">
        <v>0</v>
      </c>
      <c r="AJ11" s="425">
        <v>0</v>
      </c>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c r="BH11" s="425">
        <v>0</v>
      </c>
      <c r="BI11" s="425">
        <v>0</v>
      </c>
      <c r="BJ11" s="425">
        <v>0</v>
      </c>
      <c r="BK11" s="425">
        <v>0</v>
      </c>
      <c r="BL11" s="425">
        <v>0</v>
      </c>
      <c r="BM11" s="425">
        <v>0</v>
      </c>
      <c r="BN11" s="425">
        <v>0</v>
      </c>
      <c r="BO11" s="425">
        <v>0</v>
      </c>
      <c r="BP11" s="425">
        <v>0</v>
      </c>
      <c r="BQ11" s="425">
        <v>0</v>
      </c>
      <c r="BR11" s="425">
        <v>0</v>
      </c>
      <c r="BS11" s="425">
        <v>0</v>
      </c>
      <c r="BT11" s="425">
        <v>0</v>
      </c>
      <c r="BU11" s="426">
        <v>0</v>
      </c>
      <c r="BV11" s="426">
        <v>0</v>
      </c>
      <c r="BW11" s="426">
        <v>0</v>
      </c>
      <c r="BX11" s="426">
        <v>0</v>
      </c>
      <c r="BY11" s="426">
        <v>0</v>
      </c>
      <c r="BZ11" s="426">
        <v>0</v>
      </c>
      <c r="CA11" s="426">
        <v>0</v>
      </c>
      <c r="CB11" s="426">
        <v>0</v>
      </c>
      <c r="CC11" s="426">
        <v>0</v>
      </c>
      <c r="CD11" s="426">
        <v>0</v>
      </c>
      <c r="CE11" s="426">
        <v>0</v>
      </c>
      <c r="CF11" s="426">
        <v>0</v>
      </c>
      <c r="CG11" s="426">
        <v>0</v>
      </c>
      <c r="CH11" s="426">
        <v>0</v>
      </c>
      <c r="CI11" s="96">
        <v>0</v>
      </c>
      <c r="CJ11" s="96">
        <v>0</v>
      </c>
      <c r="CK11" s="96">
        <v>0</v>
      </c>
      <c r="CL11" s="96">
        <v>0</v>
      </c>
      <c r="CM11" s="96">
        <v>0</v>
      </c>
      <c r="CN11" s="96">
        <v>0</v>
      </c>
      <c r="CO11" s="96">
        <v>0</v>
      </c>
      <c r="CP11" s="96">
        <v>0</v>
      </c>
      <c r="CQ11" s="96">
        <v>0</v>
      </c>
      <c r="CR11" s="96">
        <v>0</v>
      </c>
      <c r="CS11" s="96">
        <v>0</v>
      </c>
      <c r="CT11" s="96">
        <v>0</v>
      </c>
      <c r="CU11" s="427">
        <v>0</v>
      </c>
      <c r="CV11" s="427">
        <v>0</v>
      </c>
      <c r="CW11" s="427">
        <v>0</v>
      </c>
      <c r="CX11" s="427">
        <v>0</v>
      </c>
      <c r="CY11" s="427">
        <v>0</v>
      </c>
      <c r="CZ11" s="427">
        <v>0</v>
      </c>
      <c r="DA11" s="427">
        <v>0</v>
      </c>
      <c r="DB11" s="427">
        <v>0</v>
      </c>
      <c r="DC11" s="427">
        <v>0</v>
      </c>
      <c r="DD11" s="427">
        <v>0</v>
      </c>
      <c r="DE11" s="427">
        <v>0</v>
      </c>
      <c r="DF11" s="427">
        <v>0</v>
      </c>
      <c r="DG11" s="427">
        <v>0</v>
      </c>
      <c r="DH11" s="427">
        <v>0</v>
      </c>
      <c r="DI11" s="427">
        <v>0</v>
      </c>
      <c r="DJ11" s="427">
        <v>0</v>
      </c>
      <c r="DK11" s="427">
        <v>0</v>
      </c>
      <c r="DL11" s="427">
        <v>0</v>
      </c>
      <c r="DM11" s="427">
        <v>0</v>
      </c>
      <c r="DN11" s="427">
        <v>0</v>
      </c>
      <c r="DO11" s="427">
        <v>0</v>
      </c>
      <c r="DP11" s="427">
        <v>0</v>
      </c>
      <c r="DQ11" s="427">
        <v>0</v>
      </c>
      <c r="DR11" s="427">
        <v>0</v>
      </c>
      <c r="DS11" s="427">
        <v>0</v>
      </c>
      <c r="DT11" s="427">
        <v>0</v>
      </c>
      <c r="DU11" s="427">
        <v>0</v>
      </c>
      <c r="DV11" s="427">
        <v>0</v>
      </c>
      <c r="DW11" s="427">
        <v>0</v>
      </c>
      <c r="DX11" s="427">
        <v>0</v>
      </c>
      <c r="DY11" s="427">
        <v>0</v>
      </c>
      <c r="DZ11" s="427">
        <v>0</v>
      </c>
      <c r="EA11" s="427">
        <v>0</v>
      </c>
      <c r="EB11" s="427">
        <v>0</v>
      </c>
      <c r="EC11" s="427">
        <v>0</v>
      </c>
      <c r="ED11" s="427">
        <v>0</v>
      </c>
      <c r="EE11" s="427">
        <v>0</v>
      </c>
      <c r="EF11" s="427">
        <v>0</v>
      </c>
      <c r="EG11" s="427">
        <v>0</v>
      </c>
      <c r="EH11" s="427">
        <v>0</v>
      </c>
      <c r="EI11" s="427">
        <v>0</v>
      </c>
      <c r="EJ11" s="427">
        <v>0</v>
      </c>
      <c r="EK11" s="427">
        <v>0</v>
      </c>
    </row>
    <row r="12" spans="1:141" ht="16.5" customHeight="1" x14ac:dyDescent="0.3">
      <c r="A12" s="95"/>
      <c r="B12" s="95"/>
      <c r="C12" s="422"/>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23"/>
      <c r="BV12" s="423"/>
      <c r="BW12" s="423"/>
      <c r="BX12" s="423"/>
      <c r="BY12" s="423"/>
      <c r="BZ12" s="423"/>
      <c r="CA12" s="423"/>
      <c r="CB12" s="423"/>
      <c r="CC12" s="423"/>
      <c r="CD12" s="423"/>
      <c r="CE12" s="423"/>
      <c r="CF12" s="423"/>
      <c r="CG12" s="423"/>
      <c r="CH12" s="423"/>
      <c r="CI12" s="92"/>
      <c r="CJ12" s="92"/>
      <c r="CK12" s="92"/>
      <c r="CL12" s="92"/>
      <c r="CM12" s="92"/>
      <c r="CN12" s="92"/>
      <c r="CO12" s="92"/>
      <c r="CP12" s="92"/>
      <c r="CQ12" s="92"/>
      <c r="CR12" s="92"/>
      <c r="CS12" s="92"/>
      <c r="CT12" s="92"/>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row>
    <row r="13" spans="1:141" ht="16.5" customHeight="1" x14ac:dyDescent="0.3">
      <c r="A13" s="93" t="s">
        <v>152</v>
      </c>
      <c r="B13" s="93" t="s">
        <v>939</v>
      </c>
      <c r="C13" s="419">
        <v>12072.22659412</v>
      </c>
      <c r="D13" s="419">
        <v>12310.380973459998</v>
      </c>
      <c r="E13" s="419">
        <v>12299.3892326</v>
      </c>
      <c r="F13" s="419">
        <v>12753.430159419999</v>
      </c>
      <c r="G13" s="419">
        <v>14169.02264089</v>
      </c>
      <c r="H13" s="419">
        <v>13795.39429459</v>
      </c>
      <c r="I13" s="419">
        <v>13439.258409259999</v>
      </c>
      <c r="J13" s="419">
        <v>13996.250062699999</v>
      </c>
      <c r="K13" s="419">
        <v>14106.46864476</v>
      </c>
      <c r="L13" s="419">
        <v>21466.012411629996</v>
      </c>
      <c r="M13" s="419">
        <v>22259.942895280001</v>
      </c>
      <c r="N13" s="419">
        <v>22989.724287000001</v>
      </c>
      <c r="O13" s="419">
        <v>22602.2319183</v>
      </c>
      <c r="P13" s="419">
        <v>22691.09387561</v>
      </c>
      <c r="Q13" s="419">
        <v>22352.028991380001</v>
      </c>
      <c r="R13" s="419">
        <v>20849.54136513</v>
      </c>
      <c r="S13" s="419">
        <v>25311.236187789997</v>
      </c>
      <c r="T13" s="419">
        <v>25904.122945640003</v>
      </c>
      <c r="U13" s="419">
        <v>25448.523120929996</v>
      </c>
      <c r="V13" s="419">
        <v>26103.861314179998</v>
      </c>
      <c r="W13" s="419">
        <v>26478.396701689999</v>
      </c>
      <c r="X13" s="419">
        <v>26989.708329679997</v>
      </c>
      <c r="Y13" s="419">
        <v>28710.847810829997</v>
      </c>
      <c r="Z13" s="419">
        <v>29272.863074449997</v>
      </c>
      <c r="AA13" s="419">
        <v>29774.367504059999</v>
      </c>
      <c r="AB13" s="419">
        <v>29994.585717139998</v>
      </c>
      <c r="AC13" s="419">
        <v>29716.363131129998</v>
      </c>
      <c r="AD13" s="419">
        <v>30191.575073689997</v>
      </c>
      <c r="AE13" s="419">
        <v>30291.892443910001</v>
      </c>
      <c r="AF13" s="419">
        <v>30655.36253658</v>
      </c>
      <c r="AG13" s="419">
        <v>32696.011781870002</v>
      </c>
      <c r="AH13" s="419">
        <v>31903.367670209998</v>
      </c>
      <c r="AI13" s="419">
        <v>31757.040021659996</v>
      </c>
      <c r="AJ13" s="419">
        <v>35107.437926109997</v>
      </c>
      <c r="AK13" s="419">
        <v>33233.225229119998</v>
      </c>
      <c r="AL13" s="419">
        <v>33263.001441159999</v>
      </c>
      <c r="AM13" s="419">
        <v>34490.790181199998</v>
      </c>
      <c r="AN13" s="419">
        <v>34491.697270019999</v>
      </c>
      <c r="AO13" s="419">
        <v>35028.633662579996</v>
      </c>
      <c r="AP13" s="419">
        <v>35143.509310879999</v>
      </c>
      <c r="AQ13" s="419">
        <v>35116.670259060003</v>
      </c>
      <c r="AR13" s="419">
        <v>34785.282280559994</v>
      </c>
      <c r="AS13" s="419">
        <v>34830.731261859997</v>
      </c>
      <c r="AT13" s="419">
        <v>34803.259640700002</v>
      </c>
      <c r="AU13" s="419">
        <v>34684.586074370003</v>
      </c>
      <c r="AV13" s="419">
        <v>34903.114191610002</v>
      </c>
      <c r="AW13" s="419">
        <v>35302.550363510003</v>
      </c>
      <c r="AX13" s="419">
        <v>35206.02114995</v>
      </c>
      <c r="AY13" s="419">
        <v>35120.570964209997</v>
      </c>
      <c r="AZ13" s="419">
        <v>35087.762766209999</v>
      </c>
      <c r="BA13" s="419">
        <v>35063.49077697</v>
      </c>
      <c r="BB13" s="419">
        <v>35018.8841311</v>
      </c>
      <c r="BC13" s="419">
        <v>34763.121082159996</v>
      </c>
      <c r="BD13" s="419">
        <v>34924.906232589994</v>
      </c>
      <c r="BE13" s="419">
        <v>34696.392183399999</v>
      </c>
      <c r="BF13" s="419">
        <v>34629.470733150003</v>
      </c>
      <c r="BG13" s="419">
        <v>31574.77115457</v>
      </c>
      <c r="BH13" s="419">
        <v>33064.702984269999</v>
      </c>
      <c r="BI13" s="419">
        <v>32649.264819859996</v>
      </c>
      <c r="BJ13" s="419">
        <v>35127.371612870003</v>
      </c>
      <c r="BK13" s="419">
        <v>34889.035530839996</v>
      </c>
      <c r="BL13" s="419">
        <v>50644.848544829991</v>
      </c>
      <c r="BM13" s="419">
        <v>66797.338300970005</v>
      </c>
      <c r="BN13" s="419">
        <v>79005.39803411001</v>
      </c>
      <c r="BO13" s="419">
        <v>81936.357049509985</v>
      </c>
      <c r="BP13" s="419">
        <v>86952.937439709989</v>
      </c>
      <c r="BQ13" s="419">
        <v>86949.157375989991</v>
      </c>
      <c r="BR13" s="419">
        <v>86051.929120000001</v>
      </c>
      <c r="BS13" s="419">
        <v>90772.343108989997</v>
      </c>
      <c r="BT13" s="419">
        <v>91572.045293460003</v>
      </c>
      <c r="BU13" s="420">
        <v>91319.630561269994</v>
      </c>
      <c r="BV13" s="420">
        <v>100807.28968598002</v>
      </c>
      <c r="BW13" s="420">
        <v>94211.988522299987</v>
      </c>
      <c r="BX13" s="420">
        <v>87104.55853907</v>
      </c>
      <c r="BY13" s="420">
        <v>86993.135188810003</v>
      </c>
      <c r="BZ13" s="420">
        <v>88476.540857100001</v>
      </c>
      <c r="CA13" s="420">
        <v>92693.395777989994</v>
      </c>
      <c r="CB13" s="420">
        <v>92946.733204709992</v>
      </c>
      <c r="CC13" s="420">
        <v>96612.464812959995</v>
      </c>
      <c r="CD13" s="420">
        <v>120073.73445021</v>
      </c>
      <c r="CE13" s="420">
        <v>118150.75114173</v>
      </c>
      <c r="CF13" s="420">
        <v>123148.15360213998</v>
      </c>
      <c r="CG13" s="420">
        <v>123661.41135312001</v>
      </c>
      <c r="CH13" s="420">
        <v>124113.16470718998</v>
      </c>
      <c r="CI13" s="94">
        <v>123926.71587837</v>
      </c>
      <c r="CJ13" s="94">
        <v>123715.46142876</v>
      </c>
      <c r="CK13" s="94">
        <v>120156.14693575</v>
      </c>
      <c r="CL13" s="94">
        <v>126607.04578191003</v>
      </c>
      <c r="CM13" s="94">
        <v>126898.63283741</v>
      </c>
      <c r="CN13" s="94">
        <v>112932.86859763999</v>
      </c>
      <c r="CO13" s="94">
        <v>104114.98338152999</v>
      </c>
      <c r="CP13" s="94">
        <v>100127.16433932997</v>
      </c>
      <c r="CQ13" s="94">
        <v>95185.754130750007</v>
      </c>
      <c r="CR13" s="94">
        <v>135464.73574840999</v>
      </c>
      <c r="CS13" s="94">
        <v>143557.17032844998</v>
      </c>
      <c r="CT13" s="94">
        <v>128163.67508747001</v>
      </c>
      <c r="CU13" s="421">
        <v>128772.98020999001</v>
      </c>
      <c r="CV13" s="421">
        <v>149445.28742110002</v>
      </c>
      <c r="CW13" s="421">
        <v>140528.91580125</v>
      </c>
      <c r="CX13" s="421">
        <v>151508.43069193998</v>
      </c>
      <c r="CY13" s="421">
        <v>126325.33361418519</v>
      </c>
      <c r="CZ13" s="421">
        <v>148118.57198018971</v>
      </c>
      <c r="DA13" s="421">
        <v>147125.2301788961</v>
      </c>
      <c r="DB13" s="421">
        <v>141687.73069383728</v>
      </c>
      <c r="DC13" s="421">
        <v>139430.88456314118</v>
      </c>
      <c r="DD13" s="421">
        <v>141823.16205981487</v>
      </c>
      <c r="DE13" s="421">
        <v>136696.98702932341</v>
      </c>
      <c r="DF13" s="421">
        <v>140260.74991808756</v>
      </c>
      <c r="DG13" s="421">
        <v>138887.57522395841</v>
      </c>
      <c r="DH13" s="421">
        <v>134718.02301435734</v>
      </c>
      <c r="DI13" s="421">
        <v>140066.95298663891</v>
      </c>
      <c r="DJ13" s="421">
        <v>140315.55840746206</v>
      </c>
      <c r="DK13" s="421">
        <v>149876.11351587894</v>
      </c>
      <c r="DL13" s="421">
        <v>140138.77054756816</v>
      </c>
      <c r="DM13" s="421">
        <v>141182.8787186656</v>
      </c>
      <c r="DN13" s="421">
        <v>143643.4910501703</v>
      </c>
      <c r="DO13" s="421">
        <v>154193.25661406579</v>
      </c>
      <c r="DP13" s="421">
        <v>155892.66757797994</v>
      </c>
      <c r="DQ13" s="421">
        <v>148289.36241629146</v>
      </c>
      <c r="DR13" s="421">
        <v>148324.81455588524</v>
      </c>
      <c r="DS13" s="421">
        <v>150708.75644677205</v>
      </c>
      <c r="DT13" s="421">
        <v>159692.41662926984</v>
      </c>
      <c r="DU13" s="421">
        <v>145746.53512900625</v>
      </c>
      <c r="DV13" s="421">
        <v>153842.63926363279</v>
      </c>
      <c r="DW13" s="421">
        <v>173500.03276056063</v>
      </c>
      <c r="DX13" s="421">
        <v>184733.02390442844</v>
      </c>
      <c r="DY13" s="421">
        <v>198559.45153497602</v>
      </c>
      <c r="DZ13" s="421">
        <v>180128.32803775006</v>
      </c>
      <c r="EA13" s="421">
        <v>183195.40076435203</v>
      </c>
      <c r="EB13" s="421">
        <v>188471.20536435794</v>
      </c>
      <c r="EC13" s="421">
        <v>186903.46502287849</v>
      </c>
      <c r="ED13" s="421">
        <v>185212.8534258572</v>
      </c>
      <c r="EE13" s="421">
        <v>188732.38147475541</v>
      </c>
      <c r="EF13" s="421">
        <v>187405.79367697536</v>
      </c>
      <c r="EG13" s="421">
        <v>190817.31659994583</v>
      </c>
      <c r="EH13" s="421">
        <v>183586.56854842135</v>
      </c>
      <c r="EI13" s="421">
        <v>185006.82639066238</v>
      </c>
      <c r="EJ13" s="421">
        <v>185102.296588222</v>
      </c>
      <c r="EK13" s="421">
        <v>190921.43577064827</v>
      </c>
    </row>
    <row r="14" spans="1:141" ht="16.5" customHeight="1" x14ac:dyDescent="0.3">
      <c r="A14" s="95"/>
      <c r="B14" s="95"/>
      <c r="C14" s="422"/>
      <c r="D14" s="422"/>
      <c r="E14" s="422"/>
      <c r="F14" s="422"/>
      <c r="G14" s="422"/>
      <c r="H14" s="422"/>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23"/>
      <c r="BV14" s="423"/>
      <c r="BW14" s="423"/>
      <c r="BX14" s="423"/>
      <c r="BY14" s="423"/>
      <c r="BZ14" s="423"/>
      <c r="CA14" s="423"/>
      <c r="CB14" s="423"/>
      <c r="CC14" s="423"/>
      <c r="CD14" s="423"/>
      <c r="CE14" s="423"/>
      <c r="CF14" s="423"/>
      <c r="CG14" s="423"/>
      <c r="CH14" s="423"/>
      <c r="CI14" s="92"/>
      <c r="CJ14" s="92"/>
      <c r="CK14" s="92"/>
      <c r="CL14" s="92"/>
      <c r="CM14" s="92"/>
      <c r="CN14" s="92"/>
      <c r="CO14" s="92"/>
      <c r="CP14" s="92"/>
      <c r="CQ14" s="92"/>
      <c r="CR14" s="92"/>
      <c r="CS14" s="92"/>
      <c r="CT14" s="92"/>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row>
    <row r="15" spans="1:141" ht="16.5" customHeight="1" x14ac:dyDescent="0.3">
      <c r="A15" s="93" t="s">
        <v>153</v>
      </c>
      <c r="B15" s="93" t="s">
        <v>154</v>
      </c>
      <c r="C15" s="419">
        <v>491.84622338999992</v>
      </c>
      <c r="D15" s="419">
        <v>524.90104052999993</v>
      </c>
      <c r="E15" s="419">
        <v>473.86928965999999</v>
      </c>
      <c r="F15" s="419">
        <v>502.70682980000004</v>
      </c>
      <c r="G15" s="419">
        <v>478.72747143999999</v>
      </c>
      <c r="H15" s="419">
        <v>513.68363216</v>
      </c>
      <c r="I15" s="419">
        <v>477.29557854999996</v>
      </c>
      <c r="J15" s="419">
        <v>507.48070460999998</v>
      </c>
      <c r="K15" s="419">
        <v>684.1661249199999</v>
      </c>
      <c r="L15" s="419">
        <v>747.12506561999999</v>
      </c>
      <c r="M15" s="419">
        <v>1143.4792162199999</v>
      </c>
      <c r="N15" s="419">
        <v>1120.76761362</v>
      </c>
      <c r="O15" s="419">
        <v>1123.4188966800002</v>
      </c>
      <c r="P15" s="419">
        <v>1122.3026721700001</v>
      </c>
      <c r="Q15" s="419">
        <v>339.41735683000002</v>
      </c>
      <c r="R15" s="419">
        <v>1831.8265738599998</v>
      </c>
      <c r="S15" s="419">
        <v>738.01858803999994</v>
      </c>
      <c r="T15" s="419">
        <v>319.08661459000001</v>
      </c>
      <c r="U15" s="419">
        <v>1894.1164255000001</v>
      </c>
      <c r="V15" s="419">
        <v>1174.0161133600002</v>
      </c>
      <c r="W15" s="419">
        <v>856.10078765999992</v>
      </c>
      <c r="X15" s="419">
        <v>1051.07743783</v>
      </c>
      <c r="Y15" s="419">
        <v>1204.4816335000003</v>
      </c>
      <c r="Z15" s="419">
        <v>1260.3841304100001</v>
      </c>
      <c r="AA15" s="419">
        <v>1230.5332219800002</v>
      </c>
      <c r="AB15" s="419">
        <v>1230.5164966699999</v>
      </c>
      <c r="AC15" s="419">
        <v>1215.4940869</v>
      </c>
      <c r="AD15" s="419">
        <v>1190.11493638</v>
      </c>
      <c r="AE15" s="419">
        <v>174.57985774000002</v>
      </c>
      <c r="AF15" s="419">
        <v>561.96719344000007</v>
      </c>
      <c r="AG15" s="419">
        <v>275.87252819999998</v>
      </c>
      <c r="AH15" s="419">
        <v>557.69373244000008</v>
      </c>
      <c r="AI15" s="419">
        <v>867.05270255000005</v>
      </c>
      <c r="AJ15" s="419">
        <v>1270.9848473699999</v>
      </c>
      <c r="AK15" s="419">
        <v>1435.0759070899996</v>
      </c>
      <c r="AL15" s="419">
        <v>1912.9682759799998</v>
      </c>
      <c r="AM15" s="419">
        <v>2240.3772425499997</v>
      </c>
      <c r="AN15" s="419">
        <v>2218.0704379499998</v>
      </c>
      <c r="AO15" s="419">
        <v>2186.4500008999998</v>
      </c>
      <c r="AP15" s="419">
        <v>2356.7966116800003</v>
      </c>
      <c r="AQ15" s="419">
        <v>1331.9935625799999</v>
      </c>
      <c r="AR15" s="419">
        <v>1592.3635513900001</v>
      </c>
      <c r="AS15" s="419">
        <v>1765.0824689000001</v>
      </c>
      <c r="AT15" s="419">
        <v>2035.90239615</v>
      </c>
      <c r="AU15" s="419">
        <v>3043.2619443799999</v>
      </c>
      <c r="AV15" s="419">
        <v>2549.1096988900003</v>
      </c>
      <c r="AW15" s="419">
        <v>2687.0578584899995</v>
      </c>
      <c r="AX15" s="419">
        <v>2678.9976269699996</v>
      </c>
      <c r="AY15" s="419">
        <v>3515.0071536999999</v>
      </c>
      <c r="AZ15" s="419">
        <v>3536.8521446999998</v>
      </c>
      <c r="BA15" s="419">
        <v>3530.2889172699993</v>
      </c>
      <c r="BB15" s="419">
        <v>3532.1077040499999</v>
      </c>
      <c r="BC15" s="419">
        <v>2494.0585267800002</v>
      </c>
      <c r="BD15" s="419">
        <v>2404.2688256999995</v>
      </c>
      <c r="BE15" s="419">
        <v>1843.34392875</v>
      </c>
      <c r="BF15" s="419">
        <v>2127.4552850299997</v>
      </c>
      <c r="BG15" s="419">
        <v>2167.0183569299998</v>
      </c>
      <c r="BH15" s="419">
        <v>2155.1626769200002</v>
      </c>
      <c r="BI15" s="419">
        <v>2322.5259095099996</v>
      </c>
      <c r="BJ15" s="419">
        <v>2302.7540793499998</v>
      </c>
      <c r="BK15" s="419">
        <v>2287.40010093</v>
      </c>
      <c r="BL15" s="419">
        <v>2448.8803223999998</v>
      </c>
      <c r="BM15" s="419">
        <v>2454.0093813699996</v>
      </c>
      <c r="BN15" s="419">
        <v>2665.1367796700001</v>
      </c>
      <c r="BO15" s="419">
        <v>2072.2967368200002</v>
      </c>
      <c r="BP15" s="419">
        <v>5479.9487537899995</v>
      </c>
      <c r="BQ15" s="419">
        <v>5156.8468584199991</v>
      </c>
      <c r="BR15" s="419">
        <v>4773.1028237399996</v>
      </c>
      <c r="BS15" s="419">
        <v>4786.1066778499999</v>
      </c>
      <c r="BT15" s="419">
        <v>4655.0792346200005</v>
      </c>
      <c r="BU15" s="420">
        <v>4626.3818023900003</v>
      </c>
      <c r="BV15" s="420">
        <v>4568.5416659399998</v>
      </c>
      <c r="BW15" s="420">
        <v>4566.7053859300004</v>
      </c>
      <c r="BX15" s="420">
        <v>4565.9351240899996</v>
      </c>
      <c r="BY15" s="420">
        <v>4594.1558131900001</v>
      </c>
      <c r="BZ15" s="420">
        <v>4584.5097460400002</v>
      </c>
      <c r="CA15" s="420">
        <v>4575.3782852699997</v>
      </c>
      <c r="CB15" s="420">
        <v>4597.4719768400009</v>
      </c>
      <c r="CC15" s="420">
        <v>4591.2229257899999</v>
      </c>
      <c r="CD15" s="420">
        <v>4588.2355261499997</v>
      </c>
      <c r="CE15" s="420">
        <v>4601.1488419199995</v>
      </c>
      <c r="CF15" s="420">
        <v>4595.1524889400007</v>
      </c>
      <c r="CG15" s="420">
        <v>8172.3212049899994</v>
      </c>
      <c r="CH15" s="420">
        <v>8088.9907719700004</v>
      </c>
      <c r="CI15" s="94">
        <v>8057.2176511399994</v>
      </c>
      <c r="CJ15" s="94">
        <v>8041.6574016299992</v>
      </c>
      <c r="CK15" s="94">
        <v>11544.623044370001</v>
      </c>
      <c r="CL15" s="94">
        <v>11492.798256770002</v>
      </c>
      <c r="CM15" s="94">
        <v>14941.364143459999</v>
      </c>
      <c r="CN15" s="94">
        <v>14806.03204568</v>
      </c>
      <c r="CO15" s="94">
        <v>14499.287889290001</v>
      </c>
      <c r="CP15" s="94">
        <v>14257.473579269999</v>
      </c>
      <c r="CQ15" s="94">
        <v>14626.477588690001</v>
      </c>
      <c r="CR15" s="94">
        <v>14765.671579280001</v>
      </c>
      <c r="CS15" s="94">
        <v>14554.581966230002</v>
      </c>
      <c r="CT15" s="94">
        <v>14443.254467459999</v>
      </c>
      <c r="CU15" s="421">
        <v>14088.517232390001</v>
      </c>
      <c r="CV15" s="421">
        <v>15893.028730220001</v>
      </c>
      <c r="CW15" s="421">
        <v>16043.578703970001</v>
      </c>
      <c r="CX15" s="421">
        <v>16392.24572472</v>
      </c>
      <c r="CY15" s="421">
        <v>16457.027470460001</v>
      </c>
      <c r="CZ15" s="421">
        <v>16473.488074150002</v>
      </c>
      <c r="DA15" s="421">
        <v>16319.755025660001</v>
      </c>
      <c r="DB15" s="421">
        <v>16351.245574909999</v>
      </c>
      <c r="DC15" s="421">
        <v>16351.759252350001</v>
      </c>
      <c r="DD15" s="421">
        <v>16437.37012001</v>
      </c>
      <c r="DE15" s="421">
        <v>16392.674682049998</v>
      </c>
      <c r="DF15" s="421">
        <v>16293.671791839999</v>
      </c>
      <c r="DG15" s="421">
        <v>16233.31325868</v>
      </c>
      <c r="DH15" s="421">
        <v>16213.239165849998</v>
      </c>
      <c r="DI15" s="421">
        <v>16475.570623719999</v>
      </c>
      <c r="DJ15" s="421">
        <v>16533.422831839998</v>
      </c>
      <c r="DK15" s="421">
        <v>16732.058161350004</v>
      </c>
      <c r="DL15" s="421">
        <v>16647.477633440001</v>
      </c>
      <c r="DM15" s="421">
        <v>16825.012464660002</v>
      </c>
      <c r="DN15" s="421">
        <v>16875.293806770002</v>
      </c>
      <c r="DO15" s="421">
        <v>16862.759277599998</v>
      </c>
      <c r="DP15" s="421">
        <v>16869.573699600001</v>
      </c>
      <c r="DQ15" s="421">
        <v>20653.615206449998</v>
      </c>
      <c r="DR15" s="421">
        <v>20535.312224640002</v>
      </c>
      <c r="DS15" s="421">
        <v>20682.179157279999</v>
      </c>
      <c r="DT15" s="421">
        <v>17217.51696904</v>
      </c>
      <c r="DU15" s="421">
        <v>18407.04911869</v>
      </c>
      <c r="DV15" s="421">
        <v>18709.923378619998</v>
      </c>
      <c r="DW15" s="421">
        <v>18678.657738509999</v>
      </c>
      <c r="DX15" s="421">
        <v>24262.272588320004</v>
      </c>
      <c r="DY15" s="421">
        <v>20410.436902429999</v>
      </c>
      <c r="DZ15" s="421">
        <v>20468.073060179995</v>
      </c>
      <c r="EA15" s="421">
        <v>14871.71549749</v>
      </c>
      <c r="EB15" s="421">
        <v>47835.07925534001</v>
      </c>
      <c r="EC15" s="421">
        <v>47944.372035450004</v>
      </c>
      <c r="ED15" s="421">
        <v>41091.43352654</v>
      </c>
      <c r="EE15" s="421">
        <v>41119.610317240003</v>
      </c>
      <c r="EF15" s="421">
        <v>41282.583037470002</v>
      </c>
      <c r="EG15" s="421">
        <v>39254.214319910003</v>
      </c>
      <c r="EH15" s="421">
        <v>86600.234254780007</v>
      </c>
      <c r="EI15" s="421">
        <v>86790.899325050006</v>
      </c>
      <c r="EJ15" s="421">
        <v>87035.390183439988</v>
      </c>
      <c r="EK15" s="421">
        <v>87044.077212389995</v>
      </c>
    </row>
    <row r="16" spans="1:141" ht="16.5" customHeight="1" x14ac:dyDescent="0.3">
      <c r="A16" s="95"/>
      <c r="B16" s="95"/>
      <c r="C16" s="422"/>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23"/>
      <c r="BV16" s="423"/>
      <c r="BW16" s="423"/>
      <c r="BX16" s="423"/>
      <c r="BY16" s="423"/>
      <c r="BZ16" s="423"/>
      <c r="CA16" s="423"/>
      <c r="CB16" s="423"/>
      <c r="CC16" s="423"/>
      <c r="CD16" s="423"/>
      <c r="CE16" s="423"/>
      <c r="CF16" s="423"/>
      <c r="CG16" s="423"/>
      <c r="CH16" s="423"/>
      <c r="CI16" s="92"/>
      <c r="CJ16" s="92"/>
      <c r="CK16" s="92"/>
      <c r="CL16" s="92"/>
      <c r="CM16" s="92"/>
      <c r="CN16" s="92"/>
      <c r="CO16" s="92"/>
      <c r="CP16" s="92"/>
      <c r="CQ16" s="92"/>
      <c r="CR16" s="92"/>
      <c r="CS16" s="92"/>
      <c r="CT16" s="92"/>
      <c r="CU16" s="424"/>
      <c r="CV16" s="424"/>
      <c r="CW16" s="424"/>
      <c r="CX16" s="424"/>
      <c r="CY16" s="424"/>
      <c r="CZ16" s="424"/>
      <c r="DA16" s="424"/>
      <c r="DB16" s="424"/>
      <c r="DC16" s="424"/>
      <c r="DD16" s="424"/>
      <c r="DE16" s="424"/>
      <c r="DF16" s="424"/>
      <c r="DG16" s="424"/>
      <c r="DH16" s="424"/>
      <c r="DI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row>
    <row r="17" spans="1:141" ht="16.5" customHeight="1" x14ac:dyDescent="0.3">
      <c r="A17" s="93" t="s">
        <v>155</v>
      </c>
      <c r="B17" s="93" t="s">
        <v>940</v>
      </c>
      <c r="C17" s="419">
        <v>161.26920694999998</v>
      </c>
      <c r="D17" s="419">
        <v>166.87536215999998</v>
      </c>
      <c r="E17" s="419">
        <v>161.42028822999998</v>
      </c>
      <c r="F17" s="419">
        <v>160.23152331999998</v>
      </c>
      <c r="G17" s="419">
        <v>179.13171553999999</v>
      </c>
      <c r="H17" s="419">
        <v>174.67062755999999</v>
      </c>
      <c r="I17" s="419">
        <v>169.48025906000001</v>
      </c>
      <c r="J17" s="419">
        <v>176.93580440999997</v>
      </c>
      <c r="K17" s="419">
        <v>174.46881076</v>
      </c>
      <c r="L17" s="419">
        <v>177.56091634000001</v>
      </c>
      <c r="M17" s="419">
        <v>174.34058016</v>
      </c>
      <c r="N17" s="419">
        <v>327.91928007999996</v>
      </c>
      <c r="O17" s="419">
        <v>316.69406669</v>
      </c>
      <c r="P17" s="419">
        <v>296.98852712000001</v>
      </c>
      <c r="Q17" s="419">
        <v>235.19138181999998</v>
      </c>
      <c r="R17" s="419">
        <v>228.24569933999999</v>
      </c>
      <c r="S17" s="419">
        <v>158.11373581000001</v>
      </c>
      <c r="T17" s="419">
        <v>160.36309102999999</v>
      </c>
      <c r="U17" s="419">
        <v>156.48745005000001</v>
      </c>
      <c r="V17" s="419">
        <v>157.26738781</v>
      </c>
      <c r="W17" s="419">
        <v>163.49021656999997</v>
      </c>
      <c r="X17" s="419">
        <v>162.04376009000001</v>
      </c>
      <c r="Y17" s="419">
        <v>164.88998756999999</v>
      </c>
      <c r="Z17" s="419">
        <v>165.16484383</v>
      </c>
      <c r="AA17" s="419">
        <v>164.04060859999998</v>
      </c>
      <c r="AB17" s="419">
        <v>161.96498192999999</v>
      </c>
      <c r="AC17" s="419">
        <v>162.67566421000001</v>
      </c>
      <c r="AD17" s="419">
        <v>163.50994844999997</v>
      </c>
      <c r="AE17" s="419">
        <v>167.93374788</v>
      </c>
      <c r="AF17" s="419">
        <v>174.45067546999999</v>
      </c>
      <c r="AG17" s="419">
        <v>211.87972452</v>
      </c>
      <c r="AH17" s="419">
        <v>209.07097730999999</v>
      </c>
      <c r="AI17" s="419">
        <v>208.87521335</v>
      </c>
      <c r="AJ17" s="419">
        <v>212.53402743999999</v>
      </c>
      <c r="AK17" s="419">
        <v>210.95428206999998</v>
      </c>
      <c r="AL17" s="419">
        <v>209.43874825</v>
      </c>
      <c r="AM17" s="419">
        <v>208.60019591999998</v>
      </c>
      <c r="AN17" s="419">
        <v>211.45628828</v>
      </c>
      <c r="AO17" s="419">
        <v>213.75509184999999</v>
      </c>
      <c r="AP17" s="419">
        <v>212.55079352999999</v>
      </c>
      <c r="AQ17" s="419">
        <v>213.33963661999999</v>
      </c>
      <c r="AR17" s="419">
        <v>212.75046890000002</v>
      </c>
      <c r="AS17" s="419">
        <v>221.86549281000001</v>
      </c>
      <c r="AT17" s="419">
        <v>221.81932963</v>
      </c>
      <c r="AU17" s="419">
        <v>219.53045155999999</v>
      </c>
      <c r="AV17" s="419">
        <v>216.52573848</v>
      </c>
      <c r="AW17" s="419">
        <v>218.31653191000001</v>
      </c>
      <c r="AX17" s="419">
        <v>216.73786058000002</v>
      </c>
      <c r="AY17" s="419">
        <v>218.93019322000001</v>
      </c>
      <c r="AZ17" s="419">
        <v>218.11275381000002</v>
      </c>
      <c r="BA17" s="419">
        <v>218.10628134999999</v>
      </c>
      <c r="BB17" s="419">
        <v>217.28219397000001</v>
      </c>
      <c r="BC17" s="419">
        <v>219.29112119999999</v>
      </c>
      <c r="BD17" s="419">
        <v>227.39741284000002</v>
      </c>
      <c r="BE17" s="419">
        <v>228.99984716999998</v>
      </c>
      <c r="BF17" s="419">
        <v>232.01957019</v>
      </c>
      <c r="BG17" s="419">
        <v>235.58074550000001</v>
      </c>
      <c r="BH17" s="419">
        <v>235.57472911000002</v>
      </c>
      <c r="BI17" s="419">
        <v>236.62680281000002</v>
      </c>
      <c r="BJ17" s="419">
        <v>238.56366877000002</v>
      </c>
      <c r="BK17" s="419">
        <v>245.42686543000002</v>
      </c>
      <c r="BL17" s="419">
        <v>250.04395</v>
      </c>
      <c r="BM17" s="419">
        <v>337.16357664999998</v>
      </c>
      <c r="BN17" s="419">
        <v>327.93011097999999</v>
      </c>
      <c r="BO17" s="419">
        <v>327.53284425999999</v>
      </c>
      <c r="BP17" s="419">
        <v>325.61210411000002</v>
      </c>
      <c r="BQ17" s="419">
        <v>424.87167019999998</v>
      </c>
      <c r="BR17" s="419">
        <v>421.67678138999997</v>
      </c>
      <c r="BS17" s="419">
        <v>426.37082745999999</v>
      </c>
      <c r="BT17" s="419">
        <v>430.32526571</v>
      </c>
      <c r="BU17" s="420">
        <v>434.56412392000004</v>
      </c>
      <c r="BV17" s="420">
        <v>430.70113750000002</v>
      </c>
      <c r="BW17" s="420">
        <v>432.14307244999998</v>
      </c>
      <c r="BX17" s="420">
        <v>429.13295411000001</v>
      </c>
      <c r="BY17" s="420">
        <v>424.72257717000002</v>
      </c>
      <c r="BZ17" s="420">
        <v>419.87843735000001</v>
      </c>
      <c r="CA17" s="420">
        <v>425.07209523</v>
      </c>
      <c r="CB17" s="420">
        <v>450.79437767000002</v>
      </c>
      <c r="CC17" s="420">
        <v>449.47465805000002</v>
      </c>
      <c r="CD17" s="420">
        <v>447.01364114999996</v>
      </c>
      <c r="CE17" s="420">
        <v>449.02859986999999</v>
      </c>
      <c r="CF17" s="420">
        <v>455.14533527999998</v>
      </c>
      <c r="CG17" s="420">
        <v>456.44795629000004</v>
      </c>
      <c r="CH17" s="420">
        <v>456.62419564999999</v>
      </c>
      <c r="CI17" s="94">
        <v>451.95501432999998</v>
      </c>
      <c r="CJ17" s="94">
        <v>451.04437363</v>
      </c>
      <c r="CK17" s="94">
        <v>447.63276120999996</v>
      </c>
      <c r="CL17" s="94">
        <v>443.83589957999999</v>
      </c>
      <c r="CM17" s="94">
        <v>441.01793947000004</v>
      </c>
      <c r="CN17" s="94">
        <v>441.62176952999999</v>
      </c>
      <c r="CO17" s="94">
        <v>462.91946060999999</v>
      </c>
      <c r="CP17" s="94">
        <v>792.27196059000005</v>
      </c>
      <c r="CQ17" s="94">
        <v>820.43747261999999</v>
      </c>
      <c r="CR17" s="94">
        <v>831.69931032000011</v>
      </c>
      <c r="CS17" s="94">
        <v>821.83850754999992</v>
      </c>
      <c r="CT17" s="94">
        <v>819.08493266999994</v>
      </c>
      <c r="CU17" s="421">
        <v>790.47109610999996</v>
      </c>
      <c r="CV17" s="421">
        <v>803.40492445000007</v>
      </c>
      <c r="CW17" s="421">
        <v>813.07621497000002</v>
      </c>
      <c r="CX17" s="421">
        <v>841.88489895999999</v>
      </c>
      <c r="CY17" s="421">
        <v>847.40813234000007</v>
      </c>
      <c r="CZ17" s="421">
        <v>21043.356040378283</v>
      </c>
      <c r="DA17" s="421">
        <v>22854.155961629298</v>
      </c>
      <c r="DB17" s="421">
        <v>23092.086850039876</v>
      </c>
      <c r="DC17" s="421">
        <v>22959.197455643669</v>
      </c>
      <c r="DD17" s="421">
        <v>23379.283991752462</v>
      </c>
      <c r="DE17" s="421">
        <v>22494.485845347113</v>
      </c>
      <c r="DF17" s="421">
        <v>22480.634257145379</v>
      </c>
      <c r="DG17" s="421">
        <v>23766.529621568283</v>
      </c>
      <c r="DH17" s="421">
        <v>22881.047536068589</v>
      </c>
      <c r="DI17" s="421">
        <v>25358.589172310436</v>
      </c>
      <c r="DJ17" s="421">
        <v>25733.826218769609</v>
      </c>
      <c r="DK17" s="421">
        <v>25550.667008069409</v>
      </c>
      <c r="DL17" s="421">
        <v>26771.058209241135</v>
      </c>
      <c r="DM17" s="421">
        <v>27940.355168130638</v>
      </c>
      <c r="DN17" s="421">
        <v>27566.676826876916</v>
      </c>
      <c r="DO17" s="421">
        <v>28790.66875514682</v>
      </c>
      <c r="DP17" s="421">
        <v>29140.031385779625</v>
      </c>
      <c r="DQ17" s="421">
        <v>29644.539671080311</v>
      </c>
      <c r="DR17" s="421">
        <v>29920.264318375532</v>
      </c>
      <c r="DS17" s="421">
        <v>29691.72741636528</v>
      </c>
      <c r="DT17" s="421">
        <v>29276.168037772812</v>
      </c>
      <c r="DU17" s="421">
        <v>29540.949384109404</v>
      </c>
      <c r="DV17" s="421">
        <v>30736.794765817438</v>
      </c>
      <c r="DW17" s="421">
        <v>31197.0972477664</v>
      </c>
      <c r="DX17" s="421">
        <v>30566.41308185595</v>
      </c>
      <c r="DY17" s="421">
        <v>31896.823101034348</v>
      </c>
      <c r="DZ17" s="421">
        <v>32068.847245819525</v>
      </c>
      <c r="EA17" s="421">
        <v>32278.423302862382</v>
      </c>
      <c r="EB17" s="421">
        <v>32155.957012292758</v>
      </c>
      <c r="EC17" s="421">
        <v>34582.496505611954</v>
      </c>
      <c r="ED17" s="421">
        <v>34929.84748966882</v>
      </c>
      <c r="EE17" s="421">
        <v>35498.667466993233</v>
      </c>
      <c r="EF17" s="421">
        <v>35566.282710619322</v>
      </c>
      <c r="EG17" s="421">
        <v>36681.81101954035</v>
      </c>
      <c r="EH17" s="421">
        <v>37132.037242791725</v>
      </c>
      <c r="EI17" s="421">
        <v>38106.233635914446</v>
      </c>
      <c r="EJ17" s="421">
        <v>40405.106841956898</v>
      </c>
      <c r="EK17" s="421">
        <v>40126.476791669265</v>
      </c>
    </row>
    <row r="18" spans="1:141" ht="16.5" customHeight="1" x14ac:dyDescent="0.3">
      <c r="A18" s="95"/>
      <c r="B18" s="97"/>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23"/>
      <c r="BV18" s="423"/>
      <c r="BW18" s="423"/>
      <c r="BX18" s="423"/>
      <c r="BY18" s="423"/>
      <c r="BZ18" s="423"/>
      <c r="CA18" s="423"/>
      <c r="CB18" s="423"/>
      <c r="CC18" s="423"/>
      <c r="CD18" s="423"/>
      <c r="CE18" s="423"/>
      <c r="CF18" s="423"/>
      <c r="CG18" s="423"/>
      <c r="CH18" s="423"/>
      <c r="CI18" s="92"/>
      <c r="CJ18" s="92"/>
      <c r="CK18" s="92"/>
      <c r="CL18" s="92"/>
      <c r="CM18" s="92"/>
      <c r="CN18" s="92"/>
      <c r="CO18" s="92"/>
      <c r="CP18" s="92"/>
      <c r="CQ18" s="92"/>
      <c r="CR18" s="92"/>
      <c r="CS18" s="92"/>
      <c r="CT18" s="92"/>
      <c r="CU18" s="424"/>
      <c r="CV18" s="424"/>
      <c r="CW18" s="424"/>
      <c r="CX18" s="424"/>
      <c r="CY18" s="424"/>
      <c r="CZ18" s="424"/>
      <c r="DA18" s="424"/>
      <c r="DB18" s="424"/>
      <c r="DC18" s="424"/>
      <c r="DD18" s="424"/>
      <c r="DE18" s="424"/>
      <c r="DF18" s="424"/>
      <c r="DG18" s="424"/>
      <c r="DH18" s="424"/>
      <c r="DI18" s="424"/>
      <c r="DJ18" s="424"/>
      <c r="DK18" s="424"/>
      <c r="DL18" s="424"/>
      <c r="DM18" s="424"/>
      <c r="DN18" s="424"/>
      <c r="DO18" s="424"/>
      <c r="DP18" s="424"/>
      <c r="DQ18" s="424"/>
      <c r="DR18" s="424"/>
      <c r="DS18" s="424"/>
      <c r="DT18" s="424"/>
      <c r="DU18" s="424"/>
      <c r="DV18" s="424"/>
      <c r="DW18" s="424"/>
      <c r="DX18" s="424"/>
      <c r="DY18" s="424"/>
      <c r="DZ18" s="424"/>
      <c r="EA18" s="424"/>
      <c r="EB18" s="424"/>
      <c r="EC18" s="424"/>
      <c r="ED18" s="424"/>
      <c r="EE18" s="424"/>
      <c r="EF18" s="424"/>
      <c r="EG18" s="424"/>
      <c r="EH18" s="424"/>
      <c r="EI18" s="424"/>
      <c r="EJ18" s="424"/>
      <c r="EK18" s="424"/>
    </row>
    <row r="19" spans="1:141" ht="16.5" customHeight="1" x14ac:dyDescent="0.3">
      <c r="A19" s="93" t="s">
        <v>156</v>
      </c>
      <c r="B19" s="93" t="s">
        <v>941</v>
      </c>
      <c r="C19" s="419">
        <v>0</v>
      </c>
      <c r="D19" s="419">
        <v>0</v>
      </c>
      <c r="E19" s="419">
        <v>0</v>
      </c>
      <c r="F19" s="419">
        <v>0</v>
      </c>
      <c r="G19" s="419">
        <v>0</v>
      </c>
      <c r="H19" s="419">
        <v>0</v>
      </c>
      <c r="I19" s="419">
        <v>0</v>
      </c>
      <c r="J19" s="419">
        <v>0</v>
      </c>
      <c r="K19" s="419">
        <v>0</v>
      </c>
      <c r="L19" s="419">
        <v>0</v>
      </c>
      <c r="M19" s="419">
        <v>0</v>
      </c>
      <c r="N19" s="419">
        <v>0</v>
      </c>
      <c r="O19" s="419">
        <v>0</v>
      </c>
      <c r="P19" s="419">
        <v>0</v>
      </c>
      <c r="Q19" s="419">
        <v>0</v>
      </c>
      <c r="R19" s="419">
        <v>0</v>
      </c>
      <c r="S19" s="419">
        <v>0</v>
      </c>
      <c r="T19" s="419">
        <v>0</v>
      </c>
      <c r="U19" s="419">
        <v>0</v>
      </c>
      <c r="V19" s="419">
        <v>0</v>
      </c>
      <c r="W19" s="419">
        <v>0</v>
      </c>
      <c r="X19" s="419">
        <v>0</v>
      </c>
      <c r="Y19" s="419">
        <v>0</v>
      </c>
      <c r="Z19" s="419">
        <v>0</v>
      </c>
      <c r="AA19" s="419">
        <v>0</v>
      </c>
      <c r="AB19" s="419">
        <v>0</v>
      </c>
      <c r="AC19" s="419">
        <v>0</v>
      </c>
      <c r="AD19" s="419">
        <v>0</v>
      </c>
      <c r="AE19" s="419">
        <v>0</v>
      </c>
      <c r="AF19" s="419">
        <v>0</v>
      </c>
      <c r="AG19" s="419">
        <v>0</v>
      </c>
      <c r="AH19" s="419">
        <v>0</v>
      </c>
      <c r="AI19" s="419">
        <v>0</v>
      </c>
      <c r="AJ19" s="419">
        <v>0</v>
      </c>
      <c r="AK19" s="419">
        <v>0</v>
      </c>
      <c r="AL19" s="419">
        <v>0</v>
      </c>
      <c r="AM19" s="419">
        <v>0</v>
      </c>
      <c r="AN19" s="419">
        <v>0</v>
      </c>
      <c r="AO19" s="419">
        <v>0</v>
      </c>
      <c r="AP19" s="419">
        <v>0</v>
      </c>
      <c r="AQ19" s="419">
        <v>0</v>
      </c>
      <c r="AR19" s="419">
        <v>0</v>
      </c>
      <c r="AS19" s="419">
        <v>0</v>
      </c>
      <c r="AT19" s="419">
        <v>0</v>
      </c>
      <c r="AU19" s="419">
        <v>0</v>
      </c>
      <c r="AV19" s="419">
        <v>0</v>
      </c>
      <c r="AW19" s="419">
        <v>0</v>
      </c>
      <c r="AX19" s="419">
        <v>0</v>
      </c>
      <c r="AY19" s="419">
        <v>0</v>
      </c>
      <c r="AZ19" s="419">
        <v>0</v>
      </c>
      <c r="BA19" s="419">
        <v>0</v>
      </c>
      <c r="BB19" s="419">
        <v>0</v>
      </c>
      <c r="BC19" s="419">
        <v>0</v>
      </c>
      <c r="BD19" s="419">
        <v>0</v>
      </c>
      <c r="BE19" s="419">
        <v>0</v>
      </c>
      <c r="BF19" s="419">
        <v>0</v>
      </c>
      <c r="BG19" s="419">
        <v>0</v>
      </c>
      <c r="BH19" s="419">
        <v>0</v>
      </c>
      <c r="BI19" s="419">
        <v>0</v>
      </c>
      <c r="BJ19" s="419">
        <v>0</v>
      </c>
      <c r="BK19" s="419">
        <v>0</v>
      </c>
      <c r="BL19" s="419">
        <v>0</v>
      </c>
      <c r="BM19" s="419">
        <v>0</v>
      </c>
      <c r="BN19" s="419">
        <v>0</v>
      </c>
      <c r="BO19" s="419">
        <v>0</v>
      </c>
      <c r="BP19" s="419">
        <v>0</v>
      </c>
      <c r="BQ19" s="419">
        <v>0</v>
      </c>
      <c r="BR19" s="419">
        <v>0</v>
      </c>
      <c r="BS19" s="419">
        <v>0</v>
      </c>
      <c r="BT19" s="419">
        <v>0</v>
      </c>
      <c r="BU19" s="420">
        <v>0</v>
      </c>
      <c r="BV19" s="420">
        <v>0</v>
      </c>
      <c r="BW19" s="420">
        <v>0</v>
      </c>
      <c r="BX19" s="420">
        <v>0</v>
      </c>
      <c r="BY19" s="420">
        <v>0</v>
      </c>
      <c r="BZ19" s="420">
        <v>0</v>
      </c>
      <c r="CA19" s="420">
        <v>0</v>
      </c>
      <c r="CB19" s="420">
        <v>0</v>
      </c>
      <c r="CC19" s="420">
        <v>0</v>
      </c>
      <c r="CD19" s="420">
        <v>0</v>
      </c>
      <c r="CE19" s="420">
        <v>0</v>
      </c>
      <c r="CF19" s="420">
        <v>0</v>
      </c>
      <c r="CG19" s="420">
        <v>0</v>
      </c>
      <c r="CH19" s="420">
        <v>0</v>
      </c>
      <c r="CI19" s="94">
        <v>0</v>
      </c>
      <c r="CJ19" s="94">
        <v>0</v>
      </c>
      <c r="CK19" s="94">
        <v>0</v>
      </c>
      <c r="CL19" s="94">
        <v>0</v>
      </c>
      <c r="CM19" s="94">
        <v>0</v>
      </c>
      <c r="CN19" s="94">
        <v>0</v>
      </c>
      <c r="CO19" s="94">
        <v>0</v>
      </c>
      <c r="CP19" s="94">
        <v>0</v>
      </c>
      <c r="CQ19" s="94">
        <v>0</v>
      </c>
      <c r="CR19" s="94">
        <v>0</v>
      </c>
      <c r="CS19" s="94">
        <v>0</v>
      </c>
      <c r="CT19" s="94">
        <v>0</v>
      </c>
      <c r="CU19" s="421">
        <v>0</v>
      </c>
      <c r="CV19" s="421">
        <v>0</v>
      </c>
      <c r="CW19" s="421">
        <v>0</v>
      </c>
      <c r="CX19" s="421">
        <v>0</v>
      </c>
      <c r="CY19" s="421">
        <v>0</v>
      </c>
      <c r="CZ19" s="421">
        <v>0</v>
      </c>
      <c r="DA19" s="421">
        <v>0</v>
      </c>
      <c r="DB19" s="421">
        <v>0</v>
      </c>
      <c r="DC19" s="421">
        <v>0</v>
      </c>
      <c r="DD19" s="421">
        <v>0</v>
      </c>
      <c r="DE19" s="421">
        <v>0</v>
      </c>
      <c r="DF19" s="421">
        <v>0</v>
      </c>
      <c r="DG19" s="421">
        <v>0</v>
      </c>
      <c r="DH19" s="421">
        <v>0</v>
      </c>
      <c r="DI19" s="421">
        <v>0</v>
      </c>
      <c r="DJ19" s="421">
        <v>0</v>
      </c>
      <c r="DK19" s="421">
        <v>0</v>
      </c>
      <c r="DL19" s="421">
        <v>0</v>
      </c>
      <c r="DM19" s="421">
        <v>0</v>
      </c>
      <c r="DN19" s="421">
        <v>0</v>
      </c>
      <c r="DO19" s="421">
        <v>0</v>
      </c>
      <c r="DP19" s="421">
        <v>0</v>
      </c>
      <c r="DQ19" s="421">
        <v>0</v>
      </c>
      <c r="DR19" s="421">
        <v>0</v>
      </c>
      <c r="DS19" s="421">
        <v>0</v>
      </c>
      <c r="DT19" s="421">
        <v>0</v>
      </c>
      <c r="DU19" s="421">
        <v>0</v>
      </c>
      <c r="DV19" s="421">
        <v>0</v>
      </c>
      <c r="DW19" s="421">
        <v>0</v>
      </c>
      <c r="DX19" s="421">
        <v>0</v>
      </c>
      <c r="DY19" s="421">
        <v>0</v>
      </c>
      <c r="DZ19" s="421">
        <v>0</v>
      </c>
      <c r="EA19" s="421">
        <v>0</v>
      </c>
      <c r="EB19" s="421">
        <v>0</v>
      </c>
      <c r="EC19" s="421">
        <v>0</v>
      </c>
      <c r="ED19" s="421">
        <v>0</v>
      </c>
      <c r="EE19" s="421">
        <v>0</v>
      </c>
      <c r="EF19" s="421">
        <v>0</v>
      </c>
      <c r="EG19" s="421">
        <v>0</v>
      </c>
      <c r="EH19" s="421">
        <v>0</v>
      </c>
      <c r="EI19" s="421">
        <v>0</v>
      </c>
      <c r="EJ19" s="421">
        <v>0</v>
      </c>
      <c r="EK19" s="421">
        <v>0</v>
      </c>
    </row>
    <row r="20" spans="1:141" ht="16.5" customHeight="1" x14ac:dyDescent="0.3">
      <c r="A20" s="95"/>
      <c r="B20" s="95"/>
      <c r="C20" s="422"/>
      <c r="D20" s="422"/>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23"/>
      <c r="BV20" s="423"/>
      <c r="BW20" s="423"/>
      <c r="BX20" s="423"/>
      <c r="BY20" s="423"/>
      <c r="BZ20" s="423"/>
      <c r="CA20" s="423"/>
      <c r="CB20" s="423"/>
      <c r="CC20" s="423"/>
      <c r="CD20" s="423"/>
      <c r="CE20" s="423"/>
      <c r="CF20" s="423"/>
      <c r="CG20" s="423"/>
      <c r="CH20" s="423"/>
      <c r="CI20" s="92"/>
      <c r="CJ20" s="92"/>
      <c r="CK20" s="92"/>
      <c r="CL20" s="92"/>
      <c r="CM20" s="92"/>
      <c r="CN20" s="92"/>
      <c r="CO20" s="92"/>
      <c r="CP20" s="92"/>
      <c r="CQ20" s="92"/>
      <c r="CR20" s="92"/>
      <c r="CS20" s="92"/>
      <c r="CT20" s="92"/>
      <c r="CU20" s="424"/>
      <c r="CV20" s="424"/>
      <c r="CW20" s="424"/>
      <c r="CX20" s="424"/>
      <c r="CY20" s="424"/>
      <c r="CZ20" s="424"/>
      <c r="DA20" s="424"/>
      <c r="DB20" s="424"/>
      <c r="DC20" s="424"/>
      <c r="DD20" s="424"/>
      <c r="DE20" s="424"/>
      <c r="DF20" s="424"/>
      <c r="DG20" s="424"/>
      <c r="DH20" s="424"/>
      <c r="DI20" s="424"/>
      <c r="DJ20" s="424"/>
      <c r="DK20" s="424"/>
      <c r="DL20" s="424"/>
      <c r="DM20" s="424"/>
      <c r="DN20" s="424"/>
      <c r="DO20" s="424"/>
      <c r="DP20" s="424"/>
      <c r="DQ20" s="424"/>
      <c r="DR20" s="424"/>
      <c r="DS20" s="424"/>
      <c r="DT20" s="424"/>
      <c r="DU20" s="424"/>
      <c r="DV20" s="424"/>
      <c r="DW20" s="424"/>
      <c r="DX20" s="424"/>
      <c r="DY20" s="424"/>
      <c r="DZ20" s="424"/>
      <c r="EA20" s="424"/>
      <c r="EB20" s="424"/>
      <c r="EC20" s="424"/>
      <c r="ED20" s="424"/>
      <c r="EE20" s="424"/>
      <c r="EF20" s="424"/>
      <c r="EG20" s="424"/>
      <c r="EH20" s="424"/>
      <c r="EI20" s="424"/>
      <c r="EJ20" s="424"/>
      <c r="EK20" s="424"/>
    </row>
    <row r="21" spans="1:141" ht="16.5" customHeight="1" x14ac:dyDescent="0.3">
      <c r="A21" s="93" t="s">
        <v>157</v>
      </c>
      <c r="B21" s="93" t="s">
        <v>942</v>
      </c>
      <c r="C21" s="419">
        <v>0</v>
      </c>
      <c r="D21" s="419">
        <v>0</v>
      </c>
      <c r="E21" s="419">
        <v>0</v>
      </c>
      <c r="F21" s="419">
        <v>0</v>
      </c>
      <c r="G21" s="419">
        <v>0</v>
      </c>
      <c r="H21" s="419">
        <v>0</v>
      </c>
      <c r="I21" s="419">
        <v>0</v>
      </c>
      <c r="J21" s="419">
        <v>0</v>
      </c>
      <c r="K21" s="419">
        <v>0</v>
      </c>
      <c r="L21" s="419">
        <v>0</v>
      </c>
      <c r="M21" s="419">
        <v>0</v>
      </c>
      <c r="N21" s="419">
        <v>0</v>
      </c>
      <c r="O21" s="419">
        <v>0</v>
      </c>
      <c r="P21" s="419">
        <v>0</v>
      </c>
      <c r="Q21" s="419">
        <v>0</v>
      </c>
      <c r="R21" s="419">
        <v>0</v>
      </c>
      <c r="S21" s="419">
        <v>0</v>
      </c>
      <c r="T21" s="419">
        <v>0</v>
      </c>
      <c r="U21" s="419">
        <v>0</v>
      </c>
      <c r="V21" s="419">
        <v>0</v>
      </c>
      <c r="W21" s="419">
        <v>0</v>
      </c>
      <c r="X21" s="419">
        <v>0</v>
      </c>
      <c r="Y21" s="419">
        <v>0</v>
      </c>
      <c r="Z21" s="419">
        <v>0</v>
      </c>
      <c r="AA21" s="419">
        <v>0</v>
      </c>
      <c r="AB21" s="419">
        <v>0</v>
      </c>
      <c r="AC21" s="419">
        <v>0</v>
      </c>
      <c r="AD21" s="419">
        <v>0</v>
      </c>
      <c r="AE21" s="419">
        <v>0</v>
      </c>
      <c r="AF21" s="419">
        <v>0</v>
      </c>
      <c r="AG21" s="419">
        <v>0</v>
      </c>
      <c r="AH21" s="419">
        <v>0</v>
      </c>
      <c r="AI21" s="419">
        <v>0</v>
      </c>
      <c r="AJ21" s="419">
        <v>0</v>
      </c>
      <c r="AK21" s="419">
        <v>0</v>
      </c>
      <c r="AL21" s="419">
        <v>0</v>
      </c>
      <c r="AM21" s="419">
        <v>0</v>
      </c>
      <c r="AN21" s="419">
        <v>0</v>
      </c>
      <c r="AO21" s="419">
        <v>0</v>
      </c>
      <c r="AP21" s="419">
        <v>0</v>
      </c>
      <c r="AQ21" s="419">
        <v>0</v>
      </c>
      <c r="AR21" s="419">
        <v>0</v>
      </c>
      <c r="AS21" s="419">
        <v>0</v>
      </c>
      <c r="AT21" s="419">
        <v>0</v>
      </c>
      <c r="AU21" s="419">
        <v>0</v>
      </c>
      <c r="AV21" s="419">
        <v>0</v>
      </c>
      <c r="AW21" s="419">
        <v>0</v>
      </c>
      <c r="AX21" s="419">
        <v>0</v>
      </c>
      <c r="AY21" s="419">
        <v>0</v>
      </c>
      <c r="AZ21" s="419">
        <v>0</v>
      </c>
      <c r="BA21" s="419">
        <v>0</v>
      </c>
      <c r="BB21" s="419">
        <v>0</v>
      </c>
      <c r="BC21" s="419">
        <v>0</v>
      </c>
      <c r="BD21" s="419">
        <v>0</v>
      </c>
      <c r="BE21" s="419">
        <v>0</v>
      </c>
      <c r="BF21" s="419">
        <v>0</v>
      </c>
      <c r="BG21" s="419">
        <v>0</v>
      </c>
      <c r="BH21" s="419">
        <v>0</v>
      </c>
      <c r="BI21" s="419">
        <v>0</v>
      </c>
      <c r="BJ21" s="419">
        <v>0</v>
      </c>
      <c r="BK21" s="419">
        <v>0</v>
      </c>
      <c r="BL21" s="419">
        <v>0</v>
      </c>
      <c r="BM21" s="419">
        <v>0</v>
      </c>
      <c r="BN21" s="419">
        <v>0</v>
      </c>
      <c r="BO21" s="419">
        <v>0</v>
      </c>
      <c r="BP21" s="419">
        <v>0</v>
      </c>
      <c r="BQ21" s="419">
        <v>0</v>
      </c>
      <c r="BR21" s="419">
        <v>0</v>
      </c>
      <c r="BS21" s="419">
        <v>0</v>
      </c>
      <c r="BT21" s="419">
        <v>0</v>
      </c>
      <c r="BU21" s="420">
        <v>0</v>
      </c>
      <c r="BV21" s="420">
        <v>0</v>
      </c>
      <c r="BW21" s="420">
        <v>0</v>
      </c>
      <c r="BX21" s="420">
        <v>0</v>
      </c>
      <c r="BY21" s="420">
        <v>0</v>
      </c>
      <c r="BZ21" s="420">
        <v>0</v>
      </c>
      <c r="CA21" s="420">
        <v>0</v>
      </c>
      <c r="CB21" s="420">
        <v>0</v>
      </c>
      <c r="CC21" s="420">
        <v>0</v>
      </c>
      <c r="CD21" s="420">
        <v>0</v>
      </c>
      <c r="CE21" s="420">
        <v>0</v>
      </c>
      <c r="CF21" s="420">
        <v>0</v>
      </c>
      <c r="CG21" s="420">
        <v>0</v>
      </c>
      <c r="CH21" s="420">
        <v>0</v>
      </c>
      <c r="CI21" s="94">
        <v>0</v>
      </c>
      <c r="CJ21" s="94">
        <v>0</v>
      </c>
      <c r="CK21" s="94">
        <v>0</v>
      </c>
      <c r="CL21" s="94">
        <v>0</v>
      </c>
      <c r="CM21" s="94">
        <v>0</v>
      </c>
      <c r="CN21" s="94">
        <v>0</v>
      </c>
      <c r="CO21" s="94">
        <v>0</v>
      </c>
      <c r="CP21" s="94">
        <v>0</v>
      </c>
      <c r="CQ21" s="94">
        <v>0</v>
      </c>
      <c r="CR21" s="94">
        <v>0</v>
      </c>
      <c r="CS21" s="94">
        <v>0</v>
      </c>
      <c r="CT21" s="94">
        <v>0</v>
      </c>
      <c r="CU21" s="421">
        <v>0</v>
      </c>
      <c r="CV21" s="421">
        <v>0</v>
      </c>
      <c r="CW21" s="421">
        <v>0</v>
      </c>
      <c r="CX21" s="421">
        <v>0</v>
      </c>
      <c r="CY21" s="421">
        <v>0</v>
      </c>
      <c r="CZ21" s="421">
        <v>0</v>
      </c>
      <c r="DA21" s="421">
        <v>0</v>
      </c>
      <c r="DB21" s="421">
        <v>0</v>
      </c>
      <c r="DC21" s="421">
        <v>0</v>
      </c>
      <c r="DD21" s="421">
        <v>0</v>
      </c>
      <c r="DE21" s="421">
        <v>0</v>
      </c>
      <c r="DF21" s="421">
        <v>0</v>
      </c>
      <c r="DG21" s="421">
        <v>0</v>
      </c>
      <c r="DH21" s="421">
        <v>0</v>
      </c>
      <c r="DI21" s="421">
        <v>0</v>
      </c>
      <c r="DJ21" s="421">
        <v>0</v>
      </c>
      <c r="DK21" s="421">
        <v>0</v>
      </c>
      <c r="DL21" s="421">
        <v>0</v>
      </c>
      <c r="DM21" s="421">
        <v>0</v>
      </c>
      <c r="DN21" s="421">
        <v>0</v>
      </c>
      <c r="DO21" s="421">
        <v>0</v>
      </c>
      <c r="DP21" s="421">
        <v>0</v>
      </c>
      <c r="DQ21" s="421">
        <v>0</v>
      </c>
      <c r="DR21" s="421">
        <v>0</v>
      </c>
      <c r="DS21" s="421">
        <v>0</v>
      </c>
      <c r="DT21" s="421">
        <v>0</v>
      </c>
      <c r="DU21" s="421">
        <v>0</v>
      </c>
      <c r="DV21" s="421">
        <v>0</v>
      </c>
      <c r="DW21" s="421">
        <v>0</v>
      </c>
      <c r="DX21" s="421">
        <v>0</v>
      </c>
      <c r="DY21" s="421">
        <v>0</v>
      </c>
      <c r="DZ21" s="421">
        <v>0</v>
      </c>
      <c r="EA21" s="421">
        <v>0</v>
      </c>
      <c r="EB21" s="421">
        <v>0</v>
      </c>
      <c r="EC21" s="421">
        <v>0</v>
      </c>
      <c r="ED21" s="421">
        <v>0</v>
      </c>
      <c r="EE21" s="421">
        <v>0</v>
      </c>
      <c r="EF21" s="421">
        <v>0</v>
      </c>
      <c r="EG21" s="421">
        <v>0</v>
      </c>
      <c r="EH21" s="421">
        <v>0</v>
      </c>
      <c r="EI21" s="421">
        <v>0</v>
      </c>
      <c r="EJ21" s="421">
        <v>0</v>
      </c>
      <c r="EK21" s="421">
        <v>0</v>
      </c>
    </row>
    <row r="22" spans="1:141" ht="16.5" customHeight="1" x14ac:dyDescent="0.3">
      <c r="A22" s="95"/>
      <c r="B22" s="95"/>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23"/>
      <c r="BV22" s="423"/>
      <c r="BW22" s="423"/>
      <c r="BX22" s="423"/>
      <c r="BY22" s="423"/>
      <c r="BZ22" s="423"/>
      <c r="CA22" s="423"/>
      <c r="CB22" s="423"/>
      <c r="CC22" s="423"/>
      <c r="CD22" s="423"/>
      <c r="CE22" s="423"/>
      <c r="CF22" s="423"/>
      <c r="CG22" s="423"/>
      <c r="CH22" s="423"/>
      <c r="CI22" s="92"/>
      <c r="CJ22" s="92"/>
      <c r="CK22" s="92"/>
      <c r="CL22" s="92"/>
      <c r="CM22" s="92"/>
      <c r="CN22" s="92"/>
      <c r="CO22" s="92"/>
      <c r="CP22" s="92"/>
      <c r="CQ22" s="92"/>
      <c r="CR22" s="92"/>
      <c r="CS22" s="92"/>
      <c r="CT22" s="92"/>
      <c r="CU22" s="424"/>
      <c r="CV22" s="424"/>
      <c r="CW22" s="424"/>
      <c r="CX22" s="424"/>
      <c r="CY22" s="424"/>
      <c r="CZ22" s="424"/>
      <c r="DA22" s="424"/>
      <c r="DB22" s="424"/>
      <c r="DC22" s="424"/>
      <c r="DD22" s="424"/>
      <c r="DE22" s="424"/>
      <c r="DF22" s="424"/>
      <c r="DG22" s="424"/>
      <c r="DH22" s="424"/>
      <c r="DI22" s="424"/>
      <c r="DJ22" s="424"/>
      <c r="DK22" s="424"/>
      <c r="DL22" s="424"/>
      <c r="DM22" s="424"/>
      <c r="DN22" s="424"/>
      <c r="DO22" s="424"/>
      <c r="DP22" s="424"/>
      <c r="DQ22" s="424"/>
      <c r="DR22" s="424"/>
      <c r="DS22" s="424"/>
      <c r="DT22" s="424"/>
      <c r="DU22" s="424"/>
      <c r="DV22" s="424"/>
      <c r="DW22" s="424"/>
      <c r="DX22" s="424"/>
      <c r="DY22" s="424"/>
      <c r="DZ22" s="424"/>
      <c r="EA22" s="424"/>
      <c r="EB22" s="424"/>
      <c r="EC22" s="424"/>
      <c r="ED22" s="424"/>
      <c r="EE22" s="424"/>
      <c r="EF22" s="424"/>
      <c r="EG22" s="424"/>
      <c r="EH22" s="424"/>
      <c r="EI22" s="424"/>
      <c r="EJ22" s="424"/>
      <c r="EK22" s="424"/>
    </row>
    <row r="23" spans="1:141" ht="16.5" customHeight="1" x14ac:dyDescent="0.3">
      <c r="A23" s="93" t="s">
        <v>158</v>
      </c>
      <c r="B23" s="93" t="s">
        <v>159</v>
      </c>
      <c r="C23" s="419">
        <v>100.87174853000002</v>
      </c>
      <c r="D23" s="419">
        <v>61.454897129999992</v>
      </c>
      <c r="E23" s="419">
        <v>161.37574275</v>
      </c>
      <c r="F23" s="419">
        <v>34.115845870000001</v>
      </c>
      <c r="G23" s="419">
        <v>104.31416644999999</v>
      </c>
      <c r="H23" s="419">
        <v>94.826760669999999</v>
      </c>
      <c r="I23" s="419">
        <v>117.08089912000001</v>
      </c>
      <c r="J23" s="419">
        <v>17.912021249999999</v>
      </c>
      <c r="K23" s="419">
        <v>223.52273242999996</v>
      </c>
      <c r="L23" s="419">
        <v>154.10795172999997</v>
      </c>
      <c r="M23" s="419">
        <v>155.91394252999999</v>
      </c>
      <c r="N23" s="419">
        <v>172.57112454999998</v>
      </c>
      <c r="O23" s="419">
        <v>415.07645757999995</v>
      </c>
      <c r="P23" s="419">
        <v>143.73269343999999</v>
      </c>
      <c r="Q23" s="419">
        <v>198.36355931999998</v>
      </c>
      <c r="R23" s="419">
        <v>270.89756561000002</v>
      </c>
      <c r="S23" s="419">
        <v>262.07020447999997</v>
      </c>
      <c r="T23" s="419">
        <v>89.969799440000003</v>
      </c>
      <c r="U23" s="419">
        <v>40.614643090000001</v>
      </c>
      <c r="V23" s="419">
        <v>102.21225756</v>
      </c>
      <c r="W23" s="419">
        <v>26.833478599999999</v>
      </c>
      <c r="X23" s="419">
        <v>108.75771674999999</v>
      </c>
      <c r="Y23" s="419">
        <v>127.08106000000001</v>
      </c>
      <c r="Z23" s="419">
        <v>81.813073779999996</v>
      </c>
      <c r="AA23" s="419">
        <v>181.16817865000002</v>
      </c>
      <c r="AB23" s="419">
        <v>152.61813896000001</v>
      </c>
      <c r="AC23" s="419">
        <v>208.72010127999999</v>
      </c>
      <c r="AD23" s="419">
        <v>190.56597326999997</v>
      </c>
      <c r="AE23" s="419">
        <v>276.53585465000003</v>
      </c>
      <c r="AF23" s="419">
        <v>58.611248670000002</v>
      </c>
      <c r="AG23" s="419">
        <v>151.15780359000001</v>
      </c>
      <c r="AH23" s="419">
        <v>73.411701520000008</v>
      </c>
      <c r="AI23" s="419">
        <v>111.50296273000001</v>
      </c>
      <c r="AJ23" s="419">
        <v>107.42566719000001</v>
      </c>
      <c r="AK23" s="419">
        <v>66.706140189999999</v>
      </c>
      <c r="AL23" s="419">
        <v>130.50753857999999</v>
      </c>
      <c r="AM23" s="419">
        <v>122.77166274</v>
      </c>
      <c r="AN23" s="419">
        <v>117.70602724</v>
      </c>
      <c r="AO23" s="419">
        <v>138.89641939000001</v>
      </c>
      <c r="AP23" s="419">
        <v>206.63082968000001</v>
      </c>
      <c r="AQ23" s="419">
        <v>116.23946946000001</v>
      </c>
      <c r="AR23" s="419">
        <v>239.12644954999999</v>
      </c>
      <c r="AS23" s="419">
        <v>178.50329379000001</v>
      </c>
      <c r="AT23" s="419">
        <v>302.47471422000001</v>
      </c>
      <c r="AU23" s="419">
        <v>180.52413272000001</v>
      </c>
      <c r="AV23" s="419">
        <v>201.58305669999999</v>
      </c>
      <c r="AW23" s="419">
        <v>225.20497719999995</v>
      </c>
      <c r="AX23" s="419">
        <v>334.10311827999999</v>
      </c>
      <c r="AY23" s="419">
        <v>252.25339766999997</v>
      </c>
      <c r="AZ23" s="419">
        <v>203.01427069000002</v>
      </c>
      <c r="BA23" s="419">
        <v>290.38413364999997</v>
      </c>
      <c r="BB23" s="419">
        <v>155.35301681999999</v>
      </c>
      <c r="BC23" s="419">
        <v>155.59944632999998</v>
      </c>
      <c r="BD23" s="419">
        <v>264.22527162</v>
      </c>
      <c r="BE23" s="419">
        <v>155.22379669</v>
      </c>
      <c r="BF23" s="419">
        <v>148.18447637999998</v>
      </c>
      <c r="BG23" s="419">
        <v>156.14361699</v>
      </c>
      <c r="BH23" s="419">
        <v>185.25219944999998</v>
      </c>
      <c r="BI23" s="419">
        <v>210.96108674000001</v>
      </c>
      <c r="BJ23" s="419">
        <v>417.43839092999997</v>
      </c>
      <c r="BK23" s="419">
        <v>137.61474666000001</v>
      </c>
      <c r="BL23" s="419">
        <v>163.47300160999998</v>
      </c>
      <c r="BM23" s="419">
        <v>187.61035182000001</v>
      </c>
      <c r="BN23" s="419">
        <v>389.24553226999996</v>
      </c>
      <c r="BO23" s="419">
        <v>393.67770002999987</v>
      </c>
      <c r="BP23" s="419">
        <v>340.56190323999999</v>
      </c>
      <c r="BQ23" s="419">
        <v>171.22489893999997</v>
      </c>
      <c r="BR23" s="419">
        <v>230.27790598000001</v>
      </c>
      <c r="BS23" s="419">
        <v>297.59497189999996</v>
      </c>
      <c r="BT23" s="419">
        <v>215.58212819000002</v>
      </c>
      <c r="BU23" s="420">
        <v>226.54815564</v>
      </c>
      <c r="BV23" s="420">
        <v>297.47305231000007</v>
      </c>
      <c r="BW23" s="420">
        <v>184.30287417000002</v>
      </c>
      <c r="BX23" s="420">
        <v>215.11157694999997</v>
      </c>
      <c r="BY23" s="420">
        <v>188.38003639999997</v>
      </c>
      <c r="BZ23" s="420">
        <v>246.14235818</v>
      </c>
      <c r="CA23" s="420">
        <v>201.42409343999995</v>
      </c>
      <c r="CB23" s="420">
        <v>94.623986049999999</v>
      </c>
      <c r="CC23" s="420">
        <v>578.99666363999995</v>
      </c>
      <c r="CD23" s="420">
        <v>116.31063683999999</v>
      </c>
      <c r="CE23" s="420">
        <v>132.76709568999999</v>
      </c>
      <c r="CF23" s="420">
        <v>146.11648846999998</v>
      </c>
      <c r="CG23" s="420">
        <v>174.48669113</v>
      </c>
      <c r="CH23" s="420">
        <v>309.85292434000007</v>
      </c>
      <c r="CI23" s="94">
        <v>209.36520251000002</v>
      </c>
      <c r="CJ23" s="94">
        <v>201.80332579999998</v>
      </c>
      <c r="CK23" s="94">
        <v>226.69423159000002</v>
      </c>
      <c r="CL23" s="94">
        <v>213.18532532999998</v>
      </c>
      <c r="CM23" s="94">
        <v>205.06324686000002</v>
      </c>
      <c r="CN23" s="94">
        <v>218.92119914</v>
      </c>
      <c r="CO23" s="94">
        <v>231.07291556000001</v>
      </c>
      <c r="CP23" s="94">
        <v>238.44280649999999</v>
      </c>
      <c r="CQ23" s="94">
        <v>267.28862820999996</v>
      </c>
      <c r="CR23" s="94">
        <v>225.76911896999999</v>
      </c>
      <c r="CS23" s="94">
        <v>237.59561436999999</v>
      </c>
      <c r="CT23" s="94">
        <v>305.72559425999998</v>
      </c>
      <c r="CU23" s="421">
        <v>310.27087632000001</v>
      </c>
      <c r="CV23" s="421">
        <v>204.93398895999997</v>
      </c>
      <c r="CW23" s="421">
        <v>234.96590846999996</v>
      </c>
      <c r="CX23" s="421">
        <v>195.04017368999996</v>
      </c>
      <c r="CY23" s="421">
        <v>213.31232153999997</v>
      </c>
      <c r="CZ23" s="421">
        <v>227.61136733999999</v>
      </c>
      <c r="DA23" s="421">
        <v>161.49822879999999</v>
      </c>
      <c r="DB23" s="421">
        <v>187.87479436000001</v>
      </c>
      <c r="DC23" s="421">
        <v>172.56592301999999</v>
      </c>
      <c r="DD23" s="421">
        <v>131.95258973</v>
      </c>
      <c r="DE23" s="421">
        <v>153.76331722</v>
      </c>
      <c r="DF23" s="421">
        <v>167.85955718999998</v>
      </c>
      <c r="DG23" s="421">
        <v>112.93765403</v>
      </c>
      <c r="DH23" s="421">
        <v>132.68560528</v>
      </c>
      <c r="DI23" s="421">
        <v>139.85173856</v>
      </c>
      <c r="DJ23" s="421">
        <v>123.65837286999999</v>
      </c>
      <c r="DK23" s="421">
        <v>152.68091181</v>
      </c>
      <c r="DL23" s="421">
        <v>156.97694645999999</v>
      </c>
      <c r="DM23" s="421">
        <v>114.79751038999999</v>
      </c>
      <c r="DN23" s="421">
        <v>124.66131343999999</v>
      </c>
      <c r="DO23" s="421">
        <v>191.08549248000003</v>
      </c>
      <c r="DP23" s="421">
        <v>150.67367480999999</v>
      </c>
      <c r="DQ23" s="421">
        <v>165.30566397000001</v>
      </c>
      <c r="DR23" s="421">
        <v>128.31779293</v>
      </c>
      <c r="DS23" s="421">
        <v>150.12244304000001</v>
      </c>
      <c r="DT23" s="421">
        <v>133.49940277000002</v>
      </c>
      <c r="DU23" s="421">
        <v>123.90771698</v>
      </c>
      <c r="DV23" s="421">
        <v>112.68614022</v>
      </c>
      <c r="DW23" s="421">
        <v>123.05326148</v>
      </c>
      <c r="DX23" s="421">
        <v>74.497450489999991</v>
      </c>
      <c r="DY23" s="421">
        <v>71.947806080000007</v>
      </c>
      <c r="DZ23" s="421">
        <v>40059.118246569997</v>
      </c>
      <c r="EA23" s="421">
        <v>60098.714761050003</v>
      </c>
      <c r="EB23" s="421">
        <v>60110.862611670003</v>
      </c>
      <c r="EC23" s="421">
        <v>60114.459679429994</v>
      </c>
      <c r="ED23" s="421">
        <v>60167.655248119998</v>
      </c>
      <c r="EE23" s="421">
        <v>60137.373721639997</v>
      </c>
      <c r="EF23" s="421">
        <v>60118.729695099995</v>
      </c>
      <c r="EG23" s="421">
        <v>60108.210879309998</v>
      </c>
      <c r="EH23" s="421">
        <v>28137.753914869998</v>
      </c>
      <c r="EI23" s="421">
        <v>28154.715400299996</v>
      </c>
      <c r="EJ23" s="421">
        <v>28197.327290929999</v>
      </c>
      <c r="EK23" s="421">
        <v>28177.565639379998</v>
      </c>
    </row>
    <row r="24" spans="1:141" ht="16.5" customHeight="1" x14ac:dyDescent="0.3">
      <c r="A24" s="95"/>
      <c r="B24" s="95"/>
      <c r="C24" s="422"/>
      <c r="D24" s="422"/>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23"/>
      <c r="BV24" s="423"/>
      <c r="BW24" s="423"/>
      <c r="BX24" s="423"/>
      <c r="BY24" s="423"/>
      <c r="BZ24" s="423"/>
      <c r="CA24" s="423"/>
      <c r="CB24" s="423"/>
      <c r="CC24" s="423"/>
      <c r="CD24" s="423"/>
      <c r="CE24" s="423"/>
      <c r="CF24" s="423"/>
      <c r="CG24" s="423"/>
      <c r="CH24" s="423"/>
      <c r="CI24" s="92"/>
      <c r="CJ24" s="92"/>
      <c r="CK24" s="92"/>
      <c r="CL24" s="92"/>
      <c r="CM24" s="92"/>
      <c r="CN24" s="92"/>
      <c r="CO24" s="92"/>
      <c r="CP24" s="92"/>
      <c r="CQ24" s="92"/>
      <c r="CR24" s="92"/>
      <c r="CS24" s="92"/>
      <c r="CT24" s="92"/>
      <c r="CU24" s="424"/>
      <c r="CV24" s="424"/>
      <c r="CW24" s="424"/>
      <c r="CX24" s="424"/>
      <c r="CY24" s="424"/>
      <c r="CZ24" s="424"/>
      <c r="DA24" s="424"/>
      <c r="DB24" s="424"/>
      <c r="DC24" s="424"/>
      <c r="DD24" s="424"/>
      <c r="DE24" s="424"/>
      <c r="DF24" s="424"/>
      <c r="DG24" s="424"/>
      <c r="DH24" s="424"/>
      <c r="DI24" s="424"/>
      <c r="DJ24" s="424"/>
      <c r="DK24" s="424"/>
      <c r="DL24" s="424"/>
      <c r="DM24" s="424"/>
      <c r="DN24" s="424"/>
      <c r="DO24" s="424"/>
      <c r="DP24" s="424"/>
      <c r="DQ24" s="424"/>
      <c r="DR24" s="424"/>
      <c r="DS24" s="424"/>
      <c r="DT24" s="424"/>
      <c r="DU24" s="424"/>
      <c r="DV24" s="424"/>
      <c r="DW24" s="424"/>
      <c r="DX24" s="424"/>
      <c r="DY24" s="424"/>
      <c r="DZ24" s="424"/>
      <c r="EA24" s="424"/>
      <c r="EB24" s="424"/>
      <c r="EC24" s="424"/>
      <c r="ED24" s="424"/>
      <c r="EE24" s="424"/>
      <c r="EF24" s="424"/>
      <c r="EG24" s="424"/>
      <c r="EH24" s="424"/>
      <c r="EI24" s="424"/>
      <c r="EJ24" s="424"/>
      <c r="EK24" s="424"/>
    </row>
    <row r="25" spans="1:141" ht="16.5" customHeight="1" x14ac:dyDescent="0.3">
      <c r="A25" s="93" t="s">
        <v>943</v>
      </c>
      <c r="B25" s="93" t="s">
        <v>160</v>
      </c>
      <c r="C25" s="419">
        <v>1976.6657630399998</v>
      </c>
      <c r="D25" s="419">
        <v>1984.2185947199998</v>
      </c>
      <c r="E25" s="419">
        <v>1985.61688293</v>
      </c>
      <c r="F25" s="419">
        <v>1991.1752804099999</v>
      </c>
      <c r="G25" s="419">
        <v>1992.6125975</v>
      </c>
      <c r="H25" s="419">
        <v>1917.5217818799999</v>
      </c>
      <c r="I25" s="419">
        <v>1917.4961673199998</v>
      </c>
      <c r="J25" s="419">
        <v>1917.28120543</v>
      </c>
      <c r="K25" s="419">
        <v>1917.2325234799998</v>
      </c>
      <c r="L25" s="419">
        <v>1919.18921602</v>
      </c>
      <c r="M25" s="419">
        <v>1918.9397383599999</v>
      </c>
      <c r="N25" s="419">
        <v>1918.1092738299999</v>
      </c>
      <c r="O25" s="419">
        <v>1918.06444788</v>
      </c>
      <c r="P25" s="419">
        <v>1917.1917345799998</v>
      </c>
      <c r="Q25" s="419">
        <v>1919.72773794</v>
      </c>
      <c r="R25" s="419">
        <v>1919.4142326399999</v>
      </c>
      <c r="S25" s="419">
        <v>1921.2854840099999</v>
      </c>
      <c r="T25" s="419">
        <v>1996.35895349</v>
      </c>
      <c r="U25" s="419">
        <v>1865.7395783099998</v>
      </c>
      <c r="V25" s="419">
        <v>1865.7184242599999</v>
      </c>
      <c r="W25" s="419">
        <v>1868.6160445899998</v>
      </c>
      <c r="X25" s="419">
        <v>1868.3027242999999</v>
      </c>
      <c r="Y25" s="419">
        <v>1978.7657218599998</v>
      </c>
      <c r="Z25" s="419">
        <v>1978.4810529399999</v>
      </c>
      <c r="AA25" s="419">
        <v>1981.11967119</v>
      </c>
      <c r="AB25" s="419">
        <v>1982.9341981499999</v>
      </c>
      <c r="AC25" s="419">
        <v>1982.877802</v>
      </c>
      <c r="AD25" s="419">
        <v>1984.58480121</v>
      </c>
      <c r="AE25" s="419">
        <v>1989.52938365</v>
      </c>
      <c r="AF25" s="419">
        <v>1865.9288570599999</v>
      </c>
      <c r="AG25" s="419">
        <v>1866.5775801199998</v>
      </c>
      <c r="AH25" s="419">
        <v>1954.0414822299999</v>
      </c>
      <c r="AI25" s="419">
        <v>1954.1670820299998</v>
      </c>
      <c r="AJ25" s="419">
        <v>2087.27910208</v>
      </c>
      <c r="AK25" s="419">
        <v>2104.2370903299998</v>
      </c>
      <c r="AL25" s="419">
        <v>2097.3760829099997</v>
      </c>
      <c r="AM25" s="419">
        <v>2095.2486594500001</v>
      </c>
      <c r="AN25" s="419">
        <v>2099.2737472999997</v>
      </c>
      <c r="AO25" s="419">
        <v>2094.6208616899999</v>
      </c>
      <c r="AP25" s="419">
        <v>2113.9836782400002</v>
      </c>
      <c r="AQ25" s="419">
        <v>2109.5643318900002</v>
      </c>
      <c r="AR25" s="419">
        <v>1932.4942495500002</v>
      </c>
      <c r="AS25" s="419">
        <v>1928.8543674699999</v>
      </c>
      <c r="AT25" s="419">
        <v>1924.5813055199999</v>
      </c>
      <c r="AU25" s="419">
        <v>1920.6146878499999</v>
      </c>
      <c r="AV25" s="419">
        <v>1973.28626874</v>
      </c>
      <c r="AW25" s="419">
        <v>1968.6993700200001</v>
      </c>
      <c r="AX25" s="419">
        <v>1955.7937911900001</v>
      </c>
      <c r="AY25" s="419">
        <v>1945.17292094</v>
      </c>
      <c r="AZ25" s="419">
        <v>1944.5120906900002</v>
      </c>
      <c r="BA25" s="419">
        <v>1945.5817451</v>
      </c>
      <c r="BB25" s="419">
        <v>1950.4050652599999</v>
      </c>
      <c r="BC25" s="419">
        <v>1949.0374773599999</v>
      </c>
      <c r="BD25" s="419">
        <v>1843.2044038199999</v>
      </c>
      <c r="BE25" s="419">
        <v>1843.0075791700001</v>
      </c>
      <c r="BF25" s="419">
        <v>1848.5415386399998</v>
      </c>
      <c r="BG25" s="419">
        <v>1845.9750228399998</v>
      </c>
      <c r="BH25" s="419">
        <v>1842.28236945</v>
      </c>
      <c r="BI25" s="419">
        <v>1838.3097861600002</v>
      </c>
      <c r="BJ25" s="419">
        <v>1838.6635965099999</v>
      </c>
      <c r="BK25" s="419">
        <v>1839.33735159</v>
      </c>
      <c r="BL25" s="419">
        <v>1838.2578648399999</v>
      </c>
      <c r="BM25" s="419">
        <v>1838.9161068199999</v>
      </c>
      <c r="BN25" s="419">
        <v>1871.76677184</v>
      </c>
      <c r="BO25" s="419">
        <v>1873.0080934099999</v>
      </c>
      <c r="BP25" s="419">
        <v>1758.59652525</v>
      </c>
      <c r="BQ25" s="419">
        <v>1765.1955663700001</v>
      </c>
      <c r="BR25" s="419">
        <v>1784.7091786400001</v>
      </c>
      <c r="BS25" s="419">
        <v>1793.1225634699997</v>
      </c>
      <c r="BT25" s="419">
        <v>1800.69674044</v>
      </c>
      <c r="BU25" s="420">
        <v>1812.9527837000001</v>
      </c>
      <c r="BV25" s="420">
        <v>1825.2216799400001</v>
      </c>
      <c r="BW25" s="420">
        <v>1837.8481110999999</v>
      </c>
      <c r="BX25" s="420">
        <v>1840.3200148699998</v>
      </c>
      <c r="BY25" s="420">
        <v>1841.4631023200002</v>
      </c>
      <c r="BZ25" s="420">
        <v>1842.8854513700001</v>
      </c>
      <c r="CA25" s="420">
        <v>1855.25130616</v>
      </c>
      <c r="CB25" s="420">
        <v>1950.7770106699998</v>
      </c>
      <c r="CC25" s="420">
        <v>1817.1802062500001</v>
      </c>
      <c r="CD25" s="420">
        <v>1820.27272831</v>
      </c>
      <c r="CE25" s="420">
        <v>1858.4220648000003</v>
      </c>
      <c r="CF25" s="420">
        <v>1867.31848014</v>
      </c>
      <c r="CG25" s="420">
        <v>1867.7454139500001</v>
      </c>
      <c r="CH25" s="420">
        <v>1917.1051176200001</v>
      </c>
      <c r="CI25" s="94">
        <v>1931.6881268400002</v>
      </c>
      <c r="CJ25" s="94">
        <v>1949.6797471000002</v>
      </c>
      <c r="CK25" s="94">
        <v>2017.6605561000003</v>
      </c>
      <c r="CL25" s="94">
        <v>2048.7292062699998</v>
      </c>
      <c r="CM25" s="94">
        <v>2068.1600349</v>
      </c>
      <c r="CN25" s="94">
        <v>1964.2125651400002</v>
      </c>
      <c r="CO25" s="94">
        <v>1992.6498684000001</v>
      </c>
      <c r="CP25" s="94">
        <v>2024.3258200099999</v>
      </c>
      <c r="CQ25" s="94">
        <v>2043.89235506</v>
      </c>
      <c r="CR25" s="94">
        <v>2083.4067414300002</v>
      </c>
      <c r="CS25" s="94">
        <v>2105.30215206</v>
      </c>
      <c r="CT25" s="94">
        <v>2117.3534826</v>
      </c>
      <c r="CU25" s="421">
        <v>2126.1563762400001</v>
      </c>
      <c r="CV25" s="421">
        <v>2130.6462168500002</v>
      </c>
      <c r="CW25" s="421">
        <v>2132.78491781</v>
      </c>
      <c r="CX25" s="421">
        <v>2134.5392780899997</v>
      </c>
      <c r="CY25" s="421">
        <v>2136.52147307</v>
      </c>
      <c r="CZ25" s="421">
        <v>2033.90863408</v>
      </c>
      <c r="DA25" s="421">
        <v>2034.6565531999997</v>
      </c>
      <c r="DB25" s="421">
        <v>2049.46335555</v>
      </c>
      <c r="DC25" s="421">
        <v>2050.6327610900003</v>
      </c>
      <c r="DD25" s="421">
        <v>2081.6060169100001</v>
      </c>
      <c r="DE25" s="421">
        <v>2081.62614024</v>
      </c>
      <c r="DF25" s="421">
        <v>2083.8631646499998</v>
      </c>
      <c r="DG25" s="421">
        <v>2108.8218909699999</v>
      </c>
      <c r="DH25" s="421">
        <v>2132.1734901</v>
      </c>
      <c r="DI25" s="421">
        <v>2140.08618755</v>
      </c>
      <c r="DJ25" s="421">
        <v>2147.9134393499999</v>
      </c>
      <c r="DK25" s="421">
        <v>2152.0999325500002</v>
      </c>
      <c r="DL25" s="421">
        <v>2056.6157497099998</v>
      </c>
      <c r="DM25" s="421">
        <v>2063.3416090199999</v>
      </c>
      <c r="DN25" s="421">
        <v>2081.2235840999997</v>
      </c>
      <c r="DO25" s="421">
        <v>2087.3680648200002</v>
      </c>
      <c r="DP25" s="421">
        <v>2092.4276152500001</v>
      </c>
      <c r="DQ25" s="421">
        <v>2100.9931381199999</v>
      </c>
      <c r="DR25" s="421">
        <v>2101.29416924</v>
      </c>
      <c r="DS25" s="421">
        <v>2106.4152265299999</v>
      </c>
      <c r="DT25" s="421">
        <v>2107.0563370999998</v>
      </c>
      <c r="DU25" s="421">
        <v>2107.5174071000001</v>
      </c>
      <c r="DV25" s="421">
        <v>2107.7421171000001</v>
      </c>
      <c r="DW25" s="421">
        <v>2108.0816927400001</v>
      </c>
      <c r="DX25" s="421">
        <v>2057.0470939299998</v>
      </c>
      <c r="DY25" s="421">
        <v>2058.8049848200003</v>
      </c>
      <c r="DZ25" s="421">
        <v>2063.46499202</v>
      </c>
      <c r="EA25" s="421">
        <v>2063.7060080199999</v>
      </c>
      <c r="EB25" s="421">
        <v>2065.27010182</v>
      </c>
      <c r="EC25" s="421">
        <v>2066.1116965300002</v>
      </c>
      <c r="ED25" s="421">
        <v>2067.0118971500001</v>
      </c>
      <c r="EE25" s="421">
        <v>2069.4063365000002</v>
      </c>
      <c r="EF25" s="421">
        <v>2070.4567852199998</v>
      </c>
      <c r="EG25" s="421">
        <v>2070.6062042100002</v>
      </c>
      <c r="EH25" s="421">
        <v>2071.1973836000002</v>
      </c>
      <c r="EI25" s="421">
        <v>2073.2062911400003</v>
      </c>
      <c r="EJ25" s="421">
        <v>1984.7212815000003</v>
      </c>
      <c r="EK25" s="421">
        <v>1988.8481967900002</v>
      </c>
    </row>
    <row r="26" spans="1:141" ht="16.5" customHeight="1" x14ac:dyDescent="0.3">
      <c r="A26" s="95"/>
      <c r="B26" s="95"/>
      <c r="C26" s="425"/>
      <c r="D26" s="425"/>
      <c r="E26" s="425"/>
      <c r="F26" s="425"/>
      <c r="G26" s="425"/>
      <c r="H26" s="425"/>
      <c r="I26" s="425"/>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25"/>
      <c r="AN26" s="425"/>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23"/>
      <c r="BV26" s="423"/>
      <c r="BW26" s="423"/>
      <c r="BX26" s="423"/>
      <c r="BY26" s="423"/>
      <c r="BZ26" s="423"/>
      <c r="CA26" s="423"/>
      <c r="CB26" s="423"/>
      <c r="CC26" s="423"/>
      <c r="CD26" s="423"/>
      <c r="CE26" s="423"/>
      <c r="CF26" s="423"/>
      <c r="CG26" s="423"/>
      <c r="CH26" s="423"/>
      <c r="CI26" s="92"/>
      <c r="CJ26" s="92"/>
      <c r="CK26" s="92"/>
      <c r="CL26" s="92"/>
      <c r="CM26" s="92"/>
      <c r="CN26" s="92"/>
      <c r="CO26" s="92"/>
      <c r="CP26" s="92"/>
      <c r="CQ26" s="92"/>
      <c r="CR26" s="92"/>
      <c r="CS26" s="92"/>
      <c r="CT26" s="92"/>
      <c r="CU26" s="424"/>
      <c r="CV26" s="424"/>
      <c r="CW26" s="424"/>
      <c r="CX26" s="424"/>
      <c r="CY26" s="424"/>
      <c r="CZ26" s="424"/>
      <c r="DA26" s="424"/>
      <c r="DB26" s="424"/>
      <c r="DC26" s="424"/>
      <c r="DD26" s="424"/>
      <c r="DE26" s="424"/>
      <c r="DF26" s="424"/>
      <c r="DG26" s="424"/>
      <c r="DH26" s="424"/>
      <c r="DI26" s="424"/>
      <c r="DJ26" s="424"/>
      <c r="DK26" s="424"/>
      <c r="DL26" s="424"/>
      <c r="DM26" s="424"/>
      <c r="DN26" s="424"/>
      <c r="DO26" s="424"/>
      <c r="DP26" s="424"/>
      <c r="DQ26" s="424"/>
      <c r="DR26" s="424"/>
      <c r="DS26" s="424"/>
      <c r="DT26" s="424"/>
      <c r="DU26" s="424"/>
      <c r="DV26" s="424"/>
      <c r="DW26" s="424"/>
      <c r="DX26" s="424"/>
      <c r="DY26" s="424"/>
      <c r="DZ26" s="424"/>
      <c r="EA26" s="424"/>
      <c r="EB26" s="424"/>
      <c r="EC26" s="424"/>
      <c r="ED26" s="424"/>
      <c r="EE26" s="424"/>
      <c r="EF26" s="424"/>
      <c r="EG26" s="424"/>
      <c r="EH26" s="424"/>
      <c r="EI26" s="424"/>
      <c r="EJ26" s="424"/>
      <c r="EK26" s="424"/>
    </row>
    <row r="27" spans="1:141" ht="16.5" customHeight="1" x14ac:dyDescent="0.3">
      <c r="A27" s="93"/>
      <c r="B27" s="93" t="s">
        <v>135</v>
      </c>
      <c r="C27" s="419">
        <v>69596.492978260008</v>
      </c>
      <c r="D27" s="419">
        <v>70941.137481960002</v>
      </c>
      <c r="E27" s="419">
        <v>70499.654408689996</v>
      </c>
      <c r="F27" s="419">
        <v>71302.400434919982</v>
      </c>
      <c r="G27" s="419">
        <v>74450.371189410012</v>
      </c>
      <c r="H27" s="419">
        <v>73422.695010850002</v>
      </c>
      <c r="I27" s="419">
        <v>73741.022601379998</v>
      </c>
      <c r="J27" s="419">
        <v>74913.405534099991</v>
      </c>
      <c r="K27" s="419">
        <v>78694.334378229978</v>
      </c>
      <c r="L27" s="419">
        <v>79392.890200669979</v>
      </c>
      <c r="M27" s="419">
        <v>82982.389130539988</v>
      </c>
      <c r="N27" s="419">
        <v>86612.239956250007</v>
      </c>
      <c r="O27" s="419">
        <v>83585.412843940008</v>
      </c>
      <c r="P27" s="419">
        <v>83414.25191986002</v>
      </c>
      <c r="Q27" s="419">
        <v>84435.871825220005</v>
      </c>
      <c r="R27" s="419">
        <v>84082.643758529986</v>
      </c>
      <c r="S27" s="419">
        <v>85853.749046339988</v>
      </c>
      <c r="T27" s="419">
        <v>88592.54695193001</v>
      </c>
      <c r="U27" s="419">
        <v>88882.225354269991</v>
      </c>
      <c r="V27" s="419">
        <v>89112.098272500007</v>
      </c>
      <c r="W27" s="419">
        <v>87868.856741180018</v>
      </c>
      <c r="X27" s="419">
        <v>91091.426085909989</v>
      </c>
      <c r="Y27" s="419">
        <v>89540.306182900007</v>
      </c>
      <c r="Z27" s="419">
        <v>92681.040482939992</v>
      </c>
      <c r="AA27" s="419">
        <v>93057.427462349995</v>
      </c>
      <c r="AB27" s="419">
        <v>93216.006621159991</v>
      </c>
      <c r="AC27" s="419">
        <v>92395.195668540007</v>
      </c>
      <c r="AD27" s="419">
        <v>92343.3335161</v>
      </c>
      <c r="AE27" s="419">
        <v>90504.874658370012</v>
      </c>
      <c r="AF27" s="419">
        <v>97002.375047109992</v>
      </c>
      <c r="AG27" s="419">
        <v>98020.362661199993</v>
      </c>
      <c r="AH27" s="419">
        <v>97950.904823339995</v>
      </c>
      <c r="AI27" s="419">
        <v>98887.514703899986</v>
      </c>
      <c r="AJ27" s="419">
        <v>98497.72901571999</v>
      </c>
      <c r="AK27" s="419">
        <v>99356.306598119991</v>
      </c>
      <c r="AL27" s="419">
        <v>100930.55150610002</v>
      </c>
      <c r="AM27" s="419">
        <v>104790.87118644998</v>
      </c>
      <c r="AN27" s="419">
        <v>104458.18805176998</v>
      </c>
      <c r="AO27" s="419">
        <v>108086.37018971</v>
      </c>
      <c r="AP27" s="419">
        <v>107405.78609197997</v>
      </c>
      <c r="AQ27" s="419">
        <v>114390.36744292999</v>
      </c>
      <c r="AR27" s="419">
        <v>113988.66618238001</v>
      </c>
      <c r="AS27" s="419">
        <v>111194.33481837</v>
      </c>
      <c r="AT27" s="419">
        <v>110092.93683617002</v>
      </c>
      <c r="AU27" s="419">
        <v>112471.18276853002</v>
      </c>
      <c r="AV27" s="419">
        <v>111686.14588489001</v>
      </c>
      <c r="AW27" s="419">
        <v>111021.07280037001</v>
      </c>
      <c r="AX27" s="419">
        <v>115230.05499470999</v>
      </c>
      <c r="AY27" s="419">
        <v>115477.48536897</v>
      </c>
      <c r="AZ27" s="419">
        <v>120988.83522885997</v>
      </c>
      <c r="BA27" s="419">
        <v>122871.29449175001</v>
      </c>
      <c r="BB27" s="419">
        <v>127088.77066056998</v>
      </c>
      <c r="BC27" s="419">
        <v>128069.47628107002</v>
      </c>
      <c r="BD27" s="419">
        <v>130583.81207653</v>
      </c>
      <c r="BE27" s="419">
        <v>131173.15071659998</v>
      </c>
      <c r="BF27" s="419">
        <v>133456.09197514001</v>
      </c>
      <c r="BG27" s="419">
        <v>130765.67933947999</v>
      </c>
      <c r="BH27" s="419">
        <v>129055.71459685999</v>
      </c>
      <c r="BI27" s="419">
        <v>126942.81240936001</v>
      </c>
      <c r="BJ27" s="419">
        <v>131563.49427942</v>
      </c>
      <c r="BK27" s="419">
        <v>128415.42706364999</v>
      </c>
      <c r="BL27" s="419">
        <v>134436.63312687998</v>
      </c>
      <c r="BM27" s="419">
        <v>147415.07719723001</v>
      </c>
      <c r="BN27" s="419">
        <v>146159.68355202</v>
      </c>
      <c r="BO27" s="419">
        <v>146084.06147708997</v>
      </c>
      <c r="BP27" s="419">
        <v>149685.82964860002</v>
      </c>
      <c r="BQ27" s="419">
        <v>152617.94579202001</v>
      </c>
      <c r="BR27" s="419">
        <v>152435.10079409002</v>
      </c>
      <c r="BS27" s="419">
        <v>154676.54865548003</v>
      </c>
      <c r="BT27" s="419">
        <v>158429.68953138002</v>
      </c>
      <c r="BU27" s="420">
        <v>160069.02174411996</v>
      </c>
      <c r="BV27" s="420">
        <v>161362.55657941001</v>
      </c>
      <c r="BW27" s="420">
        <v>161629.17440413</v>
      </c>
      <c r="BX27" s="420">
        <v>164349.35004959002</v>
      </c>
      <c r="BY27" s="420">
        <v>165416.05700292002</v>
      </c>
      <c r="BZ27" s="420">
        <v>164662.21708086002</v>
      </c>
      <c r="CA27" s="420">
        <v>167951.32043451001</v>
      </c>
      <c r="CB27" s="420">
        <v>174872.48942698998</v>
      </c>
      <c r="CC27" s="420">
        <v>175421.29849749999</v>
      </c>
      <c r="CD27" s="420">
        <v>174452.08759261001</v>
      </c>
      <c r="CE27" s="420">
        <v>177108.37673411</v>
      </c>
      <c r="CF27" s="420">
        <v>178785.45480360996</v>
      </c>
      <c r="CG27" s="420">
        <v>181295.97438636003</v>
      </c>
      <c r="CH27" s="420">
        <v>185234.34054784998</v>
      </c>
      <c r="CI27" s="94">
        <v>181843.60436808999</v>
      </c>
      <c r="CJ27" s="94">
        <v>182389.03224827995</v>
      </c>
      <c r="CK27" s="94">
        <v>183206.87444175</v>
      </c>
      <c r="CL27" s="94">
        <v>186722.54971691006</v>
      </c>
      <c r="CM27" s="94">
        <v>186053.17597899999</v>
      </c>
      <c r="CN27" s="94">
        <v>187908.69362752998</v>
      </c>
      <c r="CO27" s="94">
        <v>183668.11129454998</v>
      </c>
      <c r="CP27" s="94">
        <v>183313.14445789001</v>
      </c>
      <c r="CQ27" s="94">
        <v>192610.77432565999</v>
      </c>
      <c r="CR27" s="94">
        <v>195973.24121254997</v>
      </c>
      <c r="CS27" s="94">
        <v>198971.14215291999</v>
      </c>
      <c r="CT27" s="94">
        <v>207653.27638744004</v>
      </c>
      <c r="CU27" s="421">
        <v>204499.08389622002</v>
      </c>
      <c r="CV27" s="421">
        <v>210754.66659698001</v>
      </c>
      <c r="CW27" s="421">
        <v>214723.08751194002</v>
      </c>
      <c r="CX27" s="421">
        <v>221940.01058587001</v>
      </c>
      <c r="CY27" s="421">
        <v>229327.95755876997</v>
      </c>
      <c r="CZ27" s="421">
        <v>237591.15970956156</v>
      </c>
      <c r="DA27" s="421">
        <v>229257.85809921002</v>
      </c>
      <c r="DB27" s="421">
        <v>233361.93871634995</v>
      </c>
      <c r="DC27" s="421">
        <v>226356.64214428002</v>
      </c>
      <c r="DD27" s="421">
        <v>224900.90402548001</v>
      </c>
      <c r="DE27" s="421">
        <v>222116.63754560999</v>
      </c>
      <c r="DF27" s="421">
        <v>224314.53188190999</v>
      </c>
      <c r="DG27" s="421">
        <v>226175.33672197</v>
      </c>
      <c r="DH27" s="421">
        <v>227249.11355501</v>
      </c>
      <c r="DI27" s="421">
        <v>233932.51732182002</v>
      </c>
      <c r="DJ27" s="421">
        <v>236574.99271028998</v>
      </c>
      <c r="DK27" s="421">
        <v>247887.62922751013</v>
      </c>
      <c r="DL27" s="421">
        <v>260005.77526694001</v>
      </c>
      <c r="DM27" s="421">
        <v>265909.80497572006</v>
      </c>
      <c r="DN27" s="421">
        <v>266458.11617938004</v>
      </c>
      <c r="DO27" s="421">
        <v>269687.33985771006</v>
      </c>
      <c r="DP27" s="421">
        <v>270333.30208667996</v>
      </c>
      <c r="DQ27" s="421">
        <v>275703.91501952999</v>
      </c>
      <c r="DR27" s="421">
        <v>275938.08768713998</v>
      </c>
      <c r="DS27" s="421">
        <v>285593.39157807006</v>
      </c>
      <c r="DT27" s="421">
        <v>280698.14165285003</v>
      </c>
      <c r="DU27" s="421">
        <v>283721.46444056998</v>
      </c>
      <c r="DV27" s="421">
        <v>302626.33420869999</v>
      </c>
      <c r="DW27" s="421">
        <v>297923.36164862994</v>
      </c>
      <c r="DX27" s="421">
        <v>322540.83795550006</v>
      </c>
      <c r="DY27" s="421">
        <v>340076.22582953994</v>
      </c>
      <c r="DZ27" s="421">
        <v>363505.06539320003</v>
      </c>
      <c r="EA27" s="421">
        <v>381162.95334618003</v>
      </c>
      <c r="EB27" s="421">
        <v>405336.86034859996</v>
      </c>
      <c r="EC27" s="421">
        <v>404706.26486914</v>
      </c>
      <c r="ED27" s="421">
        <v>407009.19919022004</v>
      </c>
      <c r="EE27" s="421">
        <v>427496.24914169993</v>
      </c>
      <c r="EF27" s="421">
        <v>412751.50048639002</v>
      </c>
      <c r="EG27" s="421">
        <v>414996.05421099998</v>
      </c>
      <c r="EH27" s="421">
        <v>434544.36851323</v>
      </c>
      <c r="EI27" s="421">
        <v>441668.59650290001</v>
      </c>
      <c r="EJ27" s="421">
        <v>446893.58303823002</v>
      </c>
      <c r="EK27" s="421">
        <v>452698.32127336995</v>
      </c>
    </row>
    <row r="28" spans="1:141" ht="16.5" customHeight="1" thickBot="1" x14ac:dyDescent="0.35">
      <c r="A28" s="98"/>
      <c r="B28" s="9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8"/>
      <c r="BF28" s="428"/>
      <c r="BG28" s="428"/>
      <c r="BH28" s="428"/>
      <c r="BI28" s="428"/>
      <c r="BJ28" s="428"/>
      <c r="BK28" s="428"/>
      <c r="BL28" s="428"/>
      <c r="BM28" s="428"/>
      <c r="BN28" s="428"/>
      <c r="BO28" s="428"/>
      <c r="BP28" s="428"/>
      <c r="BQ28" s="428"/>
      <c r="BR28" s="428"/>
      <c r="BS28" s="428"/>
      <c r="BT28" s="428"/>
      <c r="BU28" s="428"/>
      <c r="BV28" s="428"/>
      <c r="BW28" s="428"/>
      <c r="BX28" s="428"/>
      <c r="BY28" s="428"/>
      <c r="BZ28" s="428"/>
      <c r="CA28" s="428"/>
      <c r="CB28" s="428"/>
      <c r="CC28" s="428"/>
      <c r="CD28" s="428"/>
      <c r="CE28" s="428"/>
      <c r="CF28" s="428"/>
      <c r="CG28" s="428"/>
      <c r="CH28" s="428"/>
      <c r="CI28" s="429"/>
      <c r="CJ28" s="429"/>
      <c r="CK28" s="429"/>
      <c r="CL28" s="429"/>
      <c r="CM28" s="429"/>
      <c r="CN28" s="429"/>
      <c r="CO28" s="429"/>
      <c r="CP28" s="429"/>
      <c r="CQ28" s="429"/>
      <c r="CR28" s="429"/>
      <c r="CS28" s="429"/>
      <c r="CT28" s="429"/>
      <c r="CU28" s="429"/>
      <c r="CV28" s="429"/>
      <c r="CW28" s="429"/>
      <c r="CX28" s="429"/>
      <c r="CY28" s="430"/>
      <c r="CZ28" s="430"/>
      <c r="DA28" s="430"/>
      <c r="DB28" s="430"/>
      <c r="DC28" s="430"/>
      <c r="DD28" s="430"/>
      <c r="DE28" s="430"/>
      <c r="DF28" s="430"/>
      <c r="DG28" s="430"/>
      <c r="DH28" s="430"/>
      <c r="DI28" s="430"/>
      <c r="DJ28" s="430"/>
      <c r="DK28" s="430"/>
      <c r="DL28" s="430"/>
      <c r="DM28" s="430"/>
      <c r="DN28" s="430"/>
      <c r="DO28" s="430"/>
      <c r="DP28" s="430"/>
      <c r="DQ28" s="430"/>
      <c r="DR28" s="430"/>
      <c r="DS28" s="430"/>
      <c r="DT28" s="430"/>
      <c r="DU28" s="430"/>
      <c r="DV28" s="430"/>
      <c r="DW28" s="430"/>
      <c r="DX28" s="430"/>
      <c r="DY28" s="430"/>
      <c r="DZ28" s="430"/>
      <c r="EA28" s="430"/>
      <c r="EB28" s="430"/>
      <c r="EC28" s="430"/>
      <c r="ED28" s="430"/>
      <c r="EE28" s="430"/>
      <c r="EF28" s="430"/>
      <c r="EG28" s="430"/>
      <c r="EH28" s="430"/>
      <c r="EI28" s="430"/>
      <c r="EJ28" s="430"/>
      <c r="EK28" s="430"/>
    </row>
    <row r="29" spans="1:141" ht="12" customHeight="1" thickTop="1" x14ac:dyDescent="0.3">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row>
    <row r="30" spans="1:141" ht="18" thickBot="1" x14ac:dyDescent="0.3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L30" s="86"/>
      <c r="CP30" s="86"/>
      <c r="DC30" s="431"/>
      <c r="DE30" s="431"/>
      <c r="DF30" s="431"/>
      <c r="DG30" s="431"/>
      <c r="DI30" s="431"/>
      <c r="DJ30" s="431"/>
      <c r="DL30" s="431"/>
      <c r="DY30" s="431"/>
      <c r="DZ30" s="431"/>
      <c r="EA30" s="431"/>
      <c r="EB30" s="431"/>
      <c r="EC30" s="431"/>
      <c r="ED30" s="431"/>
      <c r="EE30" s="431"/>
      <c r="EF30" s="431"/>
      <c r="EG30" s="431"/>
      <c r="EH30" s="431"/>
      <c r="EI30" s="431"/>
      <c r="EJ30" s="431"/>
      <c r="EK30" s="431"/>
    </row>
    <row r="31" spans="1:141" ht="24.75" customHeight="1" thickTop="1" thickBot="1" x14ac:dyDescent="0.35">
      <c r="A31" s="89" t="s">
        <v>138</v>
      </c>
      <c r="B31" s="89" t="s">
        <v>161</v>
      </c>
      <c r="C31" s="90">
        <f>C3</f>
        <v>40179</v>
      </c>
      <c r="D31" s="90">
        <f>D3</f>
        <v>40211</v>
      </c>
      <c r="E31" s="90">
        <f t="shared" ref="E31:AO31" si="0">E3</f>
        <v>40239</v>
      </c>
      <c r="F31" s="90">
        <f t="shared" si="0"/>
        <v>40270</v>
      </c>
      <c r="G31" s="90">
        <f t="shared" si="0"/>
        <v>40300</v>
      </c>
      <c r="H31" s="90">
        <f t="shared" si="0"/>
        <v>40331</v>
      </c>
      <c r="I31" s="90">
        <f t="shared" si="0"/>
        <v>40361</v>
      </c>
      <c r="J31" s="90">
        <f t="shared" si="0"/>
        <v>40392</v>
      </c>
      <c r="K31" s="90">
        <f t="shared" si="0"/>
        <v>40423</v>
      </c>
      <c r="L31" s="90">
        <f t="shared" si="0"/>
        <v>40453</v>
      </c>
      <c r="M31" s="90">
        <f t="shared" si="0"/>
        <v>40484</v>
      </c>
      <c r="N31" s="90">
        <f t="shared" si="0"/>
        <v>40514</v>
      </c>
      <c r="O31" s="90">
        <f t="shared" si="0"/>
        <v>40545</v>
      </c>
      <c r="P31" s="90">
        <f t="shared" si="0"/>
        <v>40576</v>
      </c>
      <c r="Q31" s="90">
        <f t="shared" si="0"/>
        <v>40604</v>
      </c>
      <c r="R31" s="90">
        <f t="shared" si="0"/>
        <v>40635</v>
      </c>
      <c r="S31" s="90">
        <f t="shared" si="0"/>
        <v>40665</v>
      </c>
      <c r="T31" s="90">
        <f t="shared" si="0"/>
        <v>40696</v>
      </c>
      <c r="U31" s="90">
        <f t="shared" si="0"/>
        <v>40726</v>
      </c>
      <c r="V31" s="90">
        <f t="shared" si="0"/>
        <v>40757</v>
      </c>
      <c r="W31" s="90">
        <f t="shared" si="0"/>
        <v>40788</v>
      </c>
      <c r="X31" s="90">
        <f t="shared" si="0"/>
        <v>40818</v>
      </c>
      <c r="Y31" s="90">
        <f t="shared" si="0"/>
        <v>40849</v>
      </c>
      <c r="Z31" s="90">
        <f t="shared" si="0"/>
        <v>40879</v>
      </c>
      <c r="AA31" s="90">
        <f t="shared" si="0"/>
        <v>40910</v>
      </c>
      <c r="AB31" s="90">
        <f t="shared" si="0"/>
        <v>40941</v>
      </c>
      <c r="AC31" s="90">
        <f t="shared" si="0"/>
        <v>40970</v>
      </c>
      <c r="AD31" s="90">
        <f t="shared" si="0"/>
        <v>41001</v>
      </c>
      <c r="AE31" s="90">
        <f t="shared" si="0"/>
        <v>41031</v>
      </c>
      <c r="AF31" s="90">
        <f t="shared" si="0"/>
        <v>41062</v>
      </c>
      <c r="AG31" s="90">
        <f t="shared" si="0"/>
        <v>41092</v>
      </c>
      <c r="AH31" s="90">
        <f t="shared" si="0"/>
        <v>41123</v>
      </c>
      <c r="AI31" s="90">
        <f t="shared" si="0"/>
        <v>41154</v>
      </c>
      <c r="AJ31" s="90">
        <f t="shared" si="0"/>
        <v>41184</v>
      </c>
      <c r="AK31" s="90">
        <f t="shared" si="0"/>
        <v>41215</v>
      </c>
      <c r="AL31" s="90">
        <f t="shared" si="0"/>
        <v>41245</v>
      </c>
      <c r="AM31" s="90">
        <f t="shared" si="0"/>
        <v>41276</v>
      </c>
      <c r="AN31" s="90">
        <f t="shared" si="0"/>
        <v>41307</v>
      </c>
      <c r="AO31" s="90">
        <f t="shared" si="0"/>
        <v>41335</v>
      </c>
      <c r="AP31" s="90">
        <f>AP3</f>
        <v>41366</v>
      </c>
      <c r="AQ31" s="90">
        <f>AQ3</f>
        <v>41396</v>
      </c>
      <c r="AR31" s="90">
        <f>AR3</f>
        <v>41427</v>
      </c>
      <c r="AS31" s="90">
        <f>AS3</f>
        <v>41457</v>
      </c>
      <c r="AT31" s="90">
        <f>AT3</f>
        <v>41488</v>
      </c>
      <c r="AU31" s="90">
        <v>41519</v>
      </c>
      <c r="AV31" s="90">
        <f>AV3</f>
        <v>41549</v>
      </c>
      <c r="AW31" s="90">
        <v>41580</v>
      </c>
      <c r="AX31" s="90">
        <v>41610</v>
      </c>
      <c r="AY31" s="90">
        <v>41641</v>
      </c>
      <c r="AZ31" s="90">
        <v>41672</v>
      </c>
      <c r="BA31" s="90">
        <v>41700</v>
      </c>
      <c r="BB31" s="90">
        <v>41731</v>
      </c>
      <c r="BC31" s="90">
        <v>41761</v>
      </c>
      <c r="BD31" s="90">
        <f>BD3</f>
        <v>41791</v>
      </c>
      <c r="BE31" s="90">
        <v>41822</v>
      </c>
      <c r="BF31" s="90">
        <f>BF3</f>
        <v>41853</v>
      </c>
      <c r="BG31" s="90">
        <f>BG3</f>
        <v>41884</v>
      </c>
      <c r="BH31" s="90">
        <v>41914</v>
      </c>
      <c r="BI31" s="90">
        <v>41945</v>
      </c>
      <c r="BJ31" s="90">
        <v>41975</v>
      </c>
      <c r="BK31" s="90">
        <v>42006</v>
      </c>
      <c r="BL31" s="90">
        <v>42037</v>
      </c>
      <c r="BM31" s="90">
        <v>42065</v>
      </c>
      <c r="BN31" s="90">
        <v>42096</v>
      </c>
      <c r="BO31" s="90">
        <v>42126</v>
      </c>
      <c r="BP31" s="90">
        <v>42157</v>
      </c>
      <c r="BQ31" s="90">
        <v>42187</v>
      </c>
      <c r="BR31" s="90">
        <v>42218</v>
      </c>
      <c r="BS31" s="90">
        <v>42249</v>
      </c>
      <c r="BT31" s="90">
        <v>42279</v>
      </c>
      <c r="BU31" s="90">
        <v>42310</v>
      </c>
      <c r="BV31" s="90">
        <v>42340</v>
      </c>
      <c r="BW31" s="90">
        <v>42371</v>
      </c>
      <c r="BX31" s="90">
        <v>42402</v>
      </c>
      <c r="BY31" s="90">
        <v>42431</v>
      </c>
      <c r="BZ31" s="90">
        <v>42462</v>
      </c>
      <c r="CA31" s="90">
        <v>42492</v>
      </c>
      <c r="CB31" s="90">
        <v>42523</v>
      </c>
      <c r="CC31" s="90">
        <v>42553</v>
      </c>
      <c r="CD31" s="90">
        <v>42584</v>
      </c>
      <c r="CE31" s="90">
        <v>42615</v>
      </c>
      <c r="CF31" s="90">
        <v>42645</v>
      </c>
      <c r="CG31" s="90">
        <v>42676</v>
      </c>
      <c r="CH31" s="90">
        <v>42706</v>
      </c>
      <c r="CI31" s="90">
        <v>42737</v>
      </c>
      <c r="CJ31" s="90">
        <v>42768</v>
      </c>
      <c r="CK31" s="90">
        <v>42796</v>
      </c>
      <c r="CL31" s="90">
        <v>42827</v>
      </c>
      <c r="CM31" s="90">
        <v>42857</v>
      </c>
      <c r="CN31" s="90">
        <v>42888</v>
      </c>
      <c r="CO31" s="90">
        <v>42918</v>
      </c>
      <c r="CP31" s="90">
        <v>42949</v>
      </c>
      <c r="CQ31" s="90">
        <v>42980</v>
      </c>
      <c r="CR31" s="90">
        <v>43010</v>
      </c>
      <c r="CS31" s="90">
        <v>43041</v>
      </c>
      <c r="CT31" s="90">
        <v>43071</v>
      </c>
      <c r="CU31" s="90">
        <v>43102</v>
      </c>
      <c r="CV31" s="90">
        <v>43133</v>
      </c>
      <c r="CW31" s="90">
        <v>43161</v>
      </c>
      <c r="CX31" s="90">
        <v>43192</v>
      </c>
      <c r="CY31" s="90">
        <v>43222</v>
      </c>
      <c r="CZ31" s="90">
        <v>43253</v>
      </c>
      <c r="DA31" s="90">
        <v>43283</v>
      </c>
      <c r="DB31" s="90">
        <v>43314</v>
      </c>
      <c r="DC31" s="90">
        <v>43345</v>
      </c>
      <c r="DD31" s="90">
        <v>43375</v>
      </c>
      <c r="DE31" s="90">
        <v>43406</v>
      </c>
      <c r="DF31" s="90">
        <v>43436</v>
      </c>
      <c r="DG31" s="90">
        <v>43467</v>
      </c>
      <c r="DH31" s="90">
        <v>43498</v>
      </c>
      <c r="DI31" s="90">
        <v>43526</v>
      </c>
      <c r="DJ31" s="90">
        <v>43557</v>
      </c>
      <c r="DK31" s="90">
        <f>DK3</f>
        <v>43587</v>
      </c>
      <c r="DL31" s="90">
        <v>43618</v>
      </c>
      <c r="DM31" s="90">
        <v>43648</v>
      </c>
      <c r="DN31" s="90">
        <v>43679</v>
      </c>
      <c r="DO31" s="90">
        <v>43710</v>
      </c>
      <c r="DP31" s="90">
        <v>43740</v>
      </c>
      <c r="DQ31" s="90">
        <v>43771</v>
      </c>
      <c r="DR31" s="90">
        <v>43801</v>
      </c>
      <c r="DS31" s="90">
        <v>43832</v>
      </c>
      <c r="DT31" s="90">
        <v>43863</v>
      </c>
      <c r="DU31" s="91" t="s">
        <v>140</v>
      </c>
      <c r="DV31" s="91" t="s">
        <v>926</v>
      </c>
      <c r="DW31" s="90" t="s">
        <v>141</v>
      </c>
      <c r="DX31" s="90" t="s">
        <v>927</v>
      </c>
      <c r="DY31" s="91" t="s">
        <v>142</v>
      </c>
      <c r="DZ31" s="91" t="s">
        <v>143</v>
      </c>
      <c r="EA31" s="91" t="s">
        <v>144</v>
      </c>
      <c r="EB31" s="91" t="s">
        <v>145</v>
      </c>
      <c r="EC31" s="91" t="s">
        <v>146</v>
      </c>
      <c r="ED31" s="91" t="s">
        <v>147</v>
      </c>
      <c r="EE31" s="91" t="s">
        <v>148</v>
      </c>
      <c r="EF31" s="91" t="s">
        <v>928</v>
      </c>
      <c r="EG31" s="91" t="s">
        <v>929</v>
      </c>
      <c r="EH31" s="91">
        <v>44287</v>
      </c>
      <c r="EI31" s="91">
        <v>44317</v>
      </c>
      <c r="EJ31" s="91">
        <v>44348</v>
      </c>
      <c r="EK31" s="91">
        <v>44378</v>
      </c>
    </row>
    <row r="32" spans="1:141" ht="16.5" customHeight="1" thickTop="1" x14ac:dyDescent="0.3">
      <c r="A32" s="95"/>
      <c r="B32" s="100"/>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92"/>
      <c r="CN32" s="92"/>
      <c r="CO32" s="92"/>
      <c r="CP32" s="92"/>
      <c r="CQ32" s="92"/>
      <c r="CR32" s="92"/>
      <c r="CS32" s="92"/>
      <c r="CT32" s="92"/>
      <c r="CU32" s="92"/>
      <c r="CV32" s="92"/>
      <c r="CW32" s="92"/>
      <c r="CX32" s="92"/>
      <c r="CY32" s="424"/>
      <c r="CZ32" s="424"/>
      <c r="DA32" s="424"/>
      <c r="DB32" s="424"/>
      <c r="DC32" s="424"/>
      <c r="DD32" s="424"/>
      <c r="DE32" s="424"/>
      <c r="DF32" s="424"/>
      <c r="DG32" s="424"/>
      <c r="DH32" s="424"/>
      <c r="DI32" s="424"/>
      <c r="DJ32" s="424"/>
      <c r="DK32" s="424"/>
      <c r="DL32" s="424"/>
      <c r="DM32" s="424"/>
      <c r="DN32" s="424"/>
      <c r="DO32" s="424"/>
      <c r="DP32" s="424"/>
      <c r="DQ32" s="424"/>
      <c r="DR32" s="424"/>
      <c r="DS32" s="424"/>
      <c r="DT32" s="424"/>
      <c r="DU32" s="424"/>
      <c r="DV32" s="424"/>
      <c r="DW32" s="424"/>
      <c r="DX32" s="424"/>
      <c r="DY32" s="424"/>
      <c r="DZ32" s="424"/>
      <c r="EA32" s="424"/>
      <c r="EB32" s="424"/>
      <c r="EC32" s="424"/>
      <c r="ED32" s="424"/>
      <c r="EE32" s="424"/>
      <c r="EF32" s="424"/>
      <c r="EG32" s="424"/>
      <c r="EH32" s="424"/>
      <c r="EI32" s="424"/>
      <c r="EJ32" s="424"/>
      <c r="EK32" s="424"/>
    </row>
    <row r="33" spans="1:141" ht="16.5" customHeight="1" x14ac:dyDescent="0.3">
      <c r="A33" s="93" t="s">
        <v>162</v>
      </c>
      <c r="B33" s="93" t="s">
        <v>136</v>
      </c>
      <c r="C33" s="419">
        <v>18952.441887060002</v>
      </c>
      <c r="D33" s="419">
        <v>18641.061393979999</v>
      </c>
      <c r="E33" s="419">
        <v>18743.303560849996</v>
      </c>
      <c r="F33" s="419">
        <v>18751.685785169997</v>
      </c>
      <c r="G33" s="419">
        <v>18911.351549290001</v>
      </c>
      <c r="H33" s="419">
        <v>18649.461355769999</v>
      </c>
      <c r="I33" s="419">
        <v>18959.472219740001</v>
      </c>
      <c r="J33" s="419">
        <v>19099.734956819997</v>
      </c>
      <c r="K33" s="419">
        <v>19096.175257759998</v>
      </c>
      <c r="L33" s="419">
        <v>19126.732547099997</v>
      </c>
      <c r="M33" s="419">
        <v>19515.158774399999</v>
      </c>
      <c r="N33" s="419">
        <v>22591.76147184</v>
      </c>
      <c r="O33" s="419">
        <v>21236.65837347</v>
      </c>
      <c r="P33" s="419">
        <v>20538.891013150002</v>
      </c>
      <c r="Q33" s="419">
        <v>20556.85096652</v>
      </c>
      <c r="R33" s="419">
        <v>20352.834272419997</v>
      </c>
      <c r="S33" s="419">
        <v>20595.249062759998</v>
      </c>
      <c r="T33" s="419">
        <v>20453.797603709998</v>
      </c>
      <c r="U33" s="419">
        <v>20905.664051119998</v>
      </c>
      <c r="V33" s="419">
        <v>21645.42161148</v>
      </c>
      <c r="W33" s="419">
        <v>21156.80149025</v>
      </c>
      <c r="X33" s="419">
        <v>21838.137164569998</v>
      </c>
      <c r="Y33" s="419">
        <v>21414.945182689997</v>
      </c>
      <c r="Z33" s="419">
        <v>24469.755843179999</v>
      </c>
      <c r="AA33" s="419">
        <v>22588.058014799997</v>
      </c>
      <c r="AB33" s="419">
        <v>22171.260158819998</v>
      </c>
      <c r="AC33" s="419">
        <v>21862.04674324</v>
      </c>
      <c r="AD33" s="419">
        <v>21939.357956429998</v>
      </c>
      <c r="AE33" s="419">
        <v>22081.98990434</v>
      </c>
      <c r="AF33" s="419">
        <v>21745.491674569999</v>
      </c>
      <c r="AG33" s="419">
        <v>22149.626996290001</v>
      </c>
      <c r="AH33" s="419">
        <v>22572.425488049998</v>
      </c>
      <c r="AI33" s="419">
        <v>22452.776109720002</v>
      </c>
      <c r="AJ33" s="419">
        <v>23032.897365330002</v>
      </c>
      <c r="AK33" s="419">
        <v>23216.152670249998</v>
      </c>
      <c r="AL33" s="419">
        <v>26961.314001819999</v>
      </c>
      <c r="AM33" s="419">
        <v>25163.105337090001</v>
      </c>
      <c r="AN33" s="419">
        <v>24498.755108590001</v>
      </c>
      <c r="AO33" s="419">
        <v>24955.023412139999</v>
      </c>
      <c r="AP33" s="419">
        <v>24919.571457469996</v>
      </c>
      <c r="AQ33" s="419">
        <v>24588.03063723</v>
      </c>
      <c r="AR33" s="419">
        <v>24405.038596909999</v>
      </c>
      <c r="AS33" s="419">
        <v>25220.77754155</v>
      </c>
      <c r="AT33" s="419">
        <v>25317.262526309998</v>
      </c>
      <c r="AU33" s="419">
        <v>24906.271864289996</v>
      </c>
      <c r="AV33" s="419">
        <v>25514.94680301</v>
      </c>
      <c r="AW33" s="419">
        <v>25355.99961635</v>
      </c>
      <c r="AX33" s="419">
        <v>30127.65067585</v>
      </c>
      <c r="AY33" s="419">
        <v>27335.793403099997</v>
      </c>
      <c r="AZ33" s="419">
        <v>26937.436175199997</v>
      </c>
      <c r="BA33" s="419">
        <v>26769.000060089998</v>
      </c>
      <c r="BB33" s="419">
        <v>26721.178490309998</v>
      </c>
      <c r="BC33" s="419">
        <v>26022.338344529999</v>
      </c>
      <c r="BD33" s="419">
        <v>26344.899356469996</v>
      </c>
      <c r="BE33" s="419">
        <v>27338.762973989997</v>
      </c>
      <c r="BF33" s="419">
        <v>26980.232630539998</v>
      </c>
      <c r="BG33" s="419">
        <v>26570.910404800001</v>
      </c>
      <c r="BH33" s="419">
        <v>26596.024344789996</v>
      </c>
      <c r="BI33" s="419">
        <v>27231.957308459998</v>
      </c>
      <c r="BJ33" s="419">
        <v>32530.922907949996</v>
      </c>
      <c r="BK33" s="419">
        <v>28693.542673849999</v>
      </c>
      <c r="BL33" s="419">
        <v>28537.310704579999</v>
      </c>
      <c r="BM33" s="419">
        <v>28235.79267477</v>
      </c>
      <c r="BN33" s="419">
        <v>28891.639225089999</v>
      </c>
      <c r="BO33" s="419">
        <v>28381.598166739997</v>
      </c>
      <c r="BP33" s="419">
        <v>28401.159025539997</v>
      </c>
      <c r="BQ33" s="419">
        <v>29084.588811319998</v>
      </c>
      <c r="BR33" s="419">
        <v>28788.739345999998</v>
      </c>
      <c r="BS33" s="419">
        <v>28816.358797509998</v>
      </c>
      <c r="BT33" s="419">
        <v>29134.156574879999</v>
      </c>
      <c r="BU33" s="420">
        <v>29138.429183199998</v>
      </c>
      <c r="BV33" s="420">
        <v>33337.37905756</v>
      </c>
      <c r="BW33" s="420">
        <v>31171.009461819998</v>
      </c>
      <c r="BX33" s="420">
        <v>30647.284968779997</v>
      </c>
      <c r="BY33" s="420">
        <v>30743.296292809999</v>
      </c>
      <c r="BZ33" s="420">
        <v>30447.59312302</v>
      </c>
      <c r="CA33" s="420">
        <v>30571.560486869999</v>
      </c>
      <c r="CB33" s="420">
        <v>30580.84748371</v>
      </c>
      <c r="CC33" s="420">
        <v>31022.94784166</v>
      </c>
      <c r="CD33" s="420">
        <v>31154.782347649998</v>
      </c>
      <c r="CE33" s="420">
        <v>31412.19991146</v>
      </c>
      <c r="CF33" s="420">
        <v>31813.8796005</v>
      </c>
      <c r="CG33" s="420">
        <v>31992.048036119999</v>
      </c>
      <c r="CH33" s="420">
        <v>35918.397170519995</v>
      </c>
      <c r="CI33" s="420">
        <v>34021.84120132</v>
      </c>
      <c r="CJ33" s="420">
        <v>33440.569531870002</v>
      </c>
      <c r="CK33" s="420">
        <v>33640.358126409999</v>
      </c>
      <c r="CL33" s="420">
        <v>33183.677823489998</v>
      </c>
      <c r="CM33" s="94">
        <v>32557.513193549999</v>
      </c>
      <c r="CN33" s="94">
        <v>33563.811729280002</v>
      </c>
      <c r="CO33" s="94">
        <v>33350.070714089998</v>
      </c>
      <c r="CP33" s="94">
        <v>32925.326606149996</v>
      </c>
      <c r="CQ33" s="94">
        <v>33195.02502809</v>
      </c>
      <c r="CR33" s="94">
        <v>34800.521369850001</v>
      </c>
      <c r="CS33" s="94">
        <v>34608.30036668</v>
      </c>
      <c r="CT33" s="94">
        <v>38711.487522229996</v>
      </c>
      <c r="CU33" s="421">
        <v>37136.068104809994</v>
      </c>
      <c r="CV33" s="421">
        <v>36152.509834080003</v>
      </c>
      <c r="CW33" s="421">
        <v>35151.823000780001</v>
      </c>
      <c r="CX33" s="421">
        <v>34465.873527309996</v>
      </c>
      <c r="CY33" s="421">
        <v>34209.282211720005</v>
      </c>
      <c r="CZ33" s="421">
        <v>33840.939583910003</v>
      </c>
      <c r="DA33" s="421">
        <v>34354.436784220001</v>
      </c>
      <c r="DB33" s="421">
        <v>33981.630423590002</v>
      </c>
      <c r="DC33" s="421">
        <v>33490.009091289998</v>
      </c>
      <c r="DD33" s="421">
        <v>34513.611328470004</v>
      </c>
      <c r="DE33" s="421">
        <v>34749.692863690005</v>
      </c>
      <c r="DF33" s="421">
        <v>39340.472129850001</v>
      </c>
      <c r="DG33" s="421">
        <v>37248.48744307</v>
      </c>
      <c r="DH33" s="421">
        <v>35669.852744309996</v>
      </c>
      <c r="DI33" s="421">
        <v>36175.575864860002</v>
      </c>
      <c r="DJ33" s="421">
        <v>36335.002560349996</v>
      </c>
      <c r="DK33" s="421">
        <v>36329.981773430001</v>
      </c>
      <c r="DL33" s="421">
        <v>35893.39228421</v>
      </c>
      <c r="DM33" s="421">
        <v>36452.5215704</v>
      </c>
      <c r="DN33" s="421">
        <v>36472.006218720002</v>
      </c>
      <c r="DO33" s="421">
        <v>35863.320522440001</v>
      </c>
      <c r="DP33" s="421">
        <v>37885.514226650004</v>
      </c>
      <c r="DQ33" s="421">
        <v>37486.875528690005</v>
      </c>
      <c r="DR33" s="421">
        <v>42909.155061279998</v>
      </c>
      <c r="DS33" s="421">
        <v>39910.772255479998</v>
      </c>
      <c r="DT33" s="421">
        <v>39384.515622779996</v>
      </c>
      <c r="DU33" s="421">
        <v>40531.515348909998</v>
      </c>
      <c r="DV33" s="421">
        <v>42371.915842529997</v>
      </c>
      <c r="DW33" s="421">
        <v>42552.193212419996</v>
      </c>
      <c r="DX33" s="421">
        <v>41855.520518819998</v>
      </c>
      <c r="DY33" s="421">
        <v>42116.495948699994</v>
      </c>
      <c r="DZ33" s="421">
        <v>41580.369955940005</v>
      </c>
      <c r="EA33" s="421">
        <v>41766.725282209998</v>
      </c>
      <c r="EB33" s="421">
        <v>42101.064163249997</v>
      </c>
      <c r="EC33" s="421">
        <v>42301.685575169999</v>
      </c>
      <c r="ED33" s="421">
        <v>46561.469153729995</v>
      </c>
      <c r="EE33" s="421">
        <v>44509.239605659997</v>
      </c>
      <c r="EF33" s="421">
        <v>43570.631886510004</v>
      </c>
      <c r="EG33" s="421">
        <v>44859.021304490001</v>
      </c>
      <c r="EH33" s="421">
        <v>45474.997122109999</v>
      </c>
      <c r="EI33" s="421">
        <v>45652.290638890001</v>
      </c>
      <c r="EJ33" s="421">
        <v>45253.418362540004</v>
      </c>
      <c r="EK33" s="421">
        <v>45396.058863369995</v>
      </c>
    </row>
    <row r="34" spans="1:141" ht="16.5" customHeight="1" x14ac:dyDescent="0.3">
      <c r="A34" s="95"/>
      <c r="B34" s="95"/>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23"/>
      <c r="BV34" s="423"/>
      <c r="BW34" s="423"/>
      <c r="BX34" s="423"/>
      <c r="BY34" s="423"/>
      <c r="BZ34" s="423"/>
      <c r="CA34" s="423"/>
      <c r="CB34" s="423"/>
      <c r="CC34" s="423"/>
      <c r="CD34" s="423"/>
      <c r="CE34" s="423"/>
      <c r="CF34" s="423"/>
      <c r="CG34" s="423"/>
      <c r="CH34" s="423"/>
      <c r="CI34" s="423"/>
      <c r="CJ34" s="423"/>
      <c r="CK34" s="423"/>
      <c r="CL34" s="423"/>
      <c r="CM34" s="92"/>
      <c r="CN34" s="92"/>
      <c r="CO34" s="92"/>
      <c r="CP34" s="92"/>
      <c r="CQ34" s="92"/>
      <c r="CR34" s="92"/>
      <c r="CS34" s="92"/>
      <c r="CT34" s="92"/>
      <c r="CU34" s="424"/>
      <c r="CV34" s="424"/>
      <c r="CW34" s="424"/>
      <c r="CX34" s="424"/>
      <c r="CY34" s="424"/>
      <c r="CZ34" s="424"/>
      <c r="DA34" s="424"/>
      <c r="DB34" s="424"/>
      <c r="DC34" s="424"/>
      <c r="DD34" s="424"/>
      <c r="DE34" s="424"/>
      <c r="DF34" s="424"/>
      <c r="DG34" s="424"/>
      <c r="DH34" s="424"/>
      <c r="DI34" s="424"/>
      <c r="DJ34" s="424"/>
      <c r="DK34" s="424"/>
      <c r="DL34" s="424"/>
      <c r="DM34" s="424"/>
      <c r="DN34" s="424"/>
      <c r="DO34" s="424"/>
      <c r="DP34" s="424"/>
      <c r="DQ34" s="424"/>
      <c r="DR34" s="424"/>
      <c r="DS34" s="424"/>
      <c r="DT34" s="424"/>
      <c r="DU34" s="424"/>
      <c r="DV34" s="424"/>
      <c r="DW34" s="424"/>
      <c r="DX34" s="424"/>
      <c r="DY34" s="424"/>
      <c r="DZ34" s="424"/>
      <c r="EA34" s="424"/>
      <c r="EB34" s="424"/>
      <c r="EC34" s="424"/>
      <c r="ED34" s="424"/>
      <c r="EE34" s="424"/>
      <c r="EF34" s="424"/>
      <c r="EG34" s="424"/>
      <c r="EH34" s="424"/>
      <c r="EI34" s="424"/>
      <c r="EJ34" s="424"/>
      <c r="EK34" s="424"/>
    </row>
    <row r="35" spans="1:141" ht="16.5" customHeight="1" x14ac:dyDescent="0.3">
      <c r="A35" s="93" t="s">
        <v>163</v>
      </c>
      <c r="B35" s="93" t="s">
        <v>944</v>
      </c>
      <c r="C35" s="419">
        <v>173.77583848999998</v>
      </c>
      <c r="D35" s="419">
        <v>102.15030181408299</v>
      </c>
      <c r="E35" s="419">
        <v>107.57548442879599</v>
      </c>
      <c r="F35" s="419">
        <v>96.970545829999992</v>
      </c>
      <c r="G35" s="419">
        <v>92.457328589252</v>
      </c>
      <c r="H35" s="419">
        <v>440.817523815794</v>
      </c>
      <c r="I35" s="419">
        <v>144.695107660503</v>
      </c>
      <c r="J35" s="419">
        <v>139.61848140775101</v>
      </c>
      <c r="K35" s="419">
        <v>267.13934071788196</v>
      </c>
      <c r="L35" s="419">
        <v>140.39613334605099</v>
      </c>
      <c r="M35" s="419">
        <v>147.65538167153198</v>
      </c>
      <c r="N35" s="419">
        <v>156.18358312016798</v>
      </c>
      <c r="O35" s="419">
        <v>141.37216390342701</v>
      </c>
      <c r="P35" s="419">
        <v>165.14521648076197</v>
      </c>
      <c r="Q35" s="419">
        <v>156.283154672509</v>
      </c>
      <c r="R35" s="419">
        <v>170.538513680878</v>
      </c>
      <c r="S35" s="419">
        <v>118.92258400263799</v>
      </c>
      <c r="T35" s="419">
        <v>227.06391243610898</v>
      </c>
      <c r="U35" s="419">
        <v>147.606747109975</v>
      </c>
      <c r="V35" s="419">
        <v>145.05270454831998</v>
      </c>
      <c r="W35" s="419">
        <v>178.60699340812801</v>
      </c>
      <c r="X35" s="419">
        <v>228.86708454979401</v>
      </c>
      <c r="Y35" s="419">
        <v>145.94768976260698</v>
      </c>
      <c r="Z35" s="419">
        <v>144.74181716741302</v>
      </c>
      <c r="AA35" s="419">
        <v>134.190323829216</v>
      </c>
      <c r="AB35" s="419">
        <v>122.79770026911299</v>
      </c>
      <c r="AC35" s="419">
        <v>128.30850091761698</v>
      </c>
      <c r="AD35" s="419">
        <v>125.31778668365899</v>
      </c>
      <c r="AE35" s="419">
        <v>104.85266671033099</v>
      </c>
      <c r="AF35" s="419">
        <v>188.10748455776599</v>
      </c>
      <c r="AG35" s="419">
        <v>198.07162782</v>
      </c>
      <c r="AH35" s="419">
        <v>71.810326250000003</v>
      </c>
      <c r="AI35" s="419">
        <v>223.63965296000001</v>
      </c>
      <c r="AJ35" s="419">
        <v>238.61876867999996</v>
      </c>
      <c r="AK35" s="419">
        <v>151.47403553999999</v>
      </c>
      <c r="AL35" s="419">
        <v>146.47737080000002</v>
      </c>
      <c r="AM35" s="419">
        <v>69.348740169999985</v>
      </c>
      <c r="AN35" s="419">
        <v>65.960218440000006</v>
      </c>
      <c r="AO35" s="419">
        <v>64.97840020999999</v>
      </c>
      <c r="AP35" s="419">
        <v>65.584209119999997</v>
      </c>
      <c r="AQ35" s="419">
        <v>68.513367979999998</v>
      </c>
      <c r="AR35" s="419">
        <v>311.48284962999998</v>
      </c>
      <c r="AS35" s="419">
        <v>90.367219909999989</v>
      </c>
      <c r="AT35" s="419">
        <v>88.740492129999993</v>
      </c>
      <c r="AU35" s="419">
        <v>165.29868494999999</v>
      </c>
      <c r="AV35" s="419">
        <v>96.820067709999989</v>
      </c>
      <c r="AW35" s="419">
        <v>176.07912083000002</v>
      </c>
      <c r="AX35" s="419">
        <v>327.56298057999999</v>
      </c>
      <c r="AY35" s="419">
        <v>68.868365640000007</v>
      </c>
      <c r="AZ35" s="419">
        <v>92.072264139999987</v>
      </c>
      <c r="BA35" s="419">
        <v>87.70549441</v>
      </c>
      <c r="BB35" s="419">
        <v>85.291687549999992</v>
      </c>
      <c r="BC35" s="419">
        <v>79.022807060000005</v>
      </c>
      <c r="BD35" s="419">
        <v>286.60368328999999</v>
      </c>
      <c r="BE35" s="419">
        <v>117.17449668</v>
      </c>
      <c r="BF35" s="419">
        <v>93.580257980000013</v>
      </c>
      <c r="BG35" s="419">
        <v>174.95850214999999</v>
      </c>
      <c r="BH35" s="419">
        <v>198.19834580999998</v>
      </c>
      <c r="BI35" s="419">
        <v>116.58136098999999</v>
      </c>
      <c r="BJ35" s="419">
        <v>132.96940228</v>
      </c>
      <c r="BK35" s="419">
        <v>90.140118959999995</v>
      </c>
      <c r="BL35" s="419">
        <v>98.214010599999995</v>
      </c>
      <c r="BM35" s="419">
        <v>287.49325514999998</v>
      </c>
      <c r="BN35" s="419">
        <v>106.17286981999999</v>
      </c>
      <c r="BO35" s="419">
        <v>119.60855578000002</v>
      </c>
      <c r="BP35" s="419">
        <v>205.71154525</v>
      </c>
      <c r="BQ35" s="419">
        <v>303.37492168</v>
      </c>
      <c r="BR35" s="419">
        <v>973.68625691</v>
      </c>
      <c r="BS35" s="419">
        <v>160.70164977000002</v>
      </c>
      <c r="BT35" s="419">
        <v>111.26486164000001</v>
      </c>
      <c r="BU35" s="420">
        <v>94.175746759999996</v>
      </c>
      <c r="BV35" s="420">
        <v>269.32090277000003</v>
      </c>
      <c r="BW35" s="420">
        <v>87.858485169999994</v>
      </c>
      <c r="BX35" s="420">
        <v>94.195966089999999</v>
      </c>
      <c r="BY35" s="420">
        <v>94.053120899999996</v>
      </c>
      <c r="BZ35" s="420">
        <v>161.28891437999999</v>
      </c>
      <c r="CA35" s="420">
        <v>89.757791629999986</v>
      </c>
      <c r="CB35" s="420">
        <v>179.93911718000001</v>
      </c>
      <c r="CC35" s="420">
        <v>146.21655204999999</v>
      </c>
      <c r="CD35" s="420">
        <v>272.51439976</v>
      </c>
      <c r="CE35" s="420">
        <v>201.026970912292</v>
      </c>
      <c r="CF35" s="420">
        <v>108.05774693229202</v>
      </c>
      <c r="CG35" s="420">
        <v>123.29075911229199</v>
      </c>
      <c r="CH35" s="420">
        <v>501.94194608229202</v>
      </c>
      <c r="CI35" s="420">
        <v>100.121209352292</v>
      </c>
      <c r="CJ35" s="420">
        <v>123.23431674229201</v>
      </c>
      <c r="CK35" s="420">
        <v>188.695070572292</v>
      </c>
      <c r="CL35" s="420">
        <v>124.155907852292</v>
      </c>
      <c r="CM35" s="94">
        <v>116.71135166229199</v>
      </c>
      <c r="CN35" s="94">
        <v>154.50991295229201</v>
      </c>
      <c r="CO35" s="94">
        <v>135.60562615229202</v>
      </c>
      <c r="CP35" s="94">
        <v>119.37766276229199</v>
      </c>
      <c r="CQ35" s="94">
        <v>161.25076070229198</v>
      </c>
      <c r="CR35" s="94">
        <v>123.792049482292</v>
      </c>
      <c r="CS35" s="94">
        <v>96.785139372292008</v>
      </c>
      <c r="CT35" s="94">
        <v>117.1509110622919</v>
      </c>
      <c r="CU35" s="421">
        <v>102.42437505161277</v>
      </c>
      <c r="CV35" s="421">
        <v>102.68574928999996</v>
      </c>
      <c r="CW35" s="421">
        <v>90.992883340000006</v>
      </c>
      <c r="CX35" s="421">
        <v>136.97165480000001</v>
      </c>
      <c r="CY35" s="421">
        <v>90.161154210000007</v>
      </c>
      <c r="CZ35" s="421">
        <v>181.81452732</v>
      </c>
      <c r="DA35" s="421">
        <v>244.34909191</v>
      </c>
      <c r="DB35" s="421">
        <v>88.388957700000006</v>
      </c>
      <c r="DC35" s="421">
        <v>158.43232340999998</v>
      </c>
      <c r="DD35" s="421">
        <v>92.67600542000001</v>
      </c>
      <c r="DE35" s="421">
        <v>94.416789629999997</v>
      </c>
      <c r="DF35" s="421">
        <v>125.31831032999997</v>
      </c>
      <c r="DG35" s="421">
        <v>94.889142859999993</v>
      </c>
      <c r="DH35" s="421">
        <v>97.602569751300095</v>
      </c>
      <c r="DI35" s="421">
        <v>171.87512075000001</v>
      </c>
      <c r="DJ35" s="421">
        <v>113.19360673999999</v>
      </c>
      <c r="DK35" s="421">
        <v>87.118590710000007</v>
      </c>
      <c r="DL35" s="421">
        <v>174.29209967000003</v>
      </c>
      <c r="DM35" s="421">
        <v>139.92875448999999</v>
      </c>
      <c r="DN35" s="421">
        <v>153.06926948</v>
      </c>
      <c r="DO35" s="421">
        <v>151.49676460052194</v>
      </c>
      <c r="DP35" s="421">
        <v>124.37545290999998</v>
      </c>
      <c r="DQ35" s="421">
        <v>180.39076556999999</v>
      </c>
      <c r="DR35" s="421">
        <v>209.11658635000001</v>
      </c>
      <c r="DS35" s="421">
        <v>112.00605301321792</v>
      </c>
      <c r="DT35" s="421">
        <v>134.80012464999999</v>
      </c>
      <c r="DU35" s="421">
        <v>129.51373888999998</v>
      </c>
      <c r="DV35" s="421">
        <v>204.09779483000003</v>
      </c>
      <c r="DW35" s="421">
        <v>152.48577488000001</v>
      </c>
      <c r="DX35" s="421">
        <v>157.5809311400001</v>
      </c>
      <c r="DY35" s="421">
        <v>1031.3103779999999</v>
      </c>
      <c r="DZ35" s="421">
        <v>1032.36337</v>
      </c>
      <c r="EA35" s="421">
        <v>1031.980763</v>
      </c>
      <c r="EB35" s="421">
        <v>33834.113019000004</v>
      </c>
      <c r="EC35" s="421">
        <v>33834.016367999997</v>
      </c>
      <c r="ED35" s="421">
        <v>33332.021075000004</v>
      </c>
      <c r="EE35" s="421">
        <v>33246.989805999998</v>
      </c>
      <c r="EF35" s="421">
        <v>33185.131032000005</v>
      </c>
      <c r="EG35" s="421">
        <v>31909.062534999997</v>
      </c>
      <c r="EH35" s="421">
        <v>78706.811833999993</v>
      </c>
      <c r="EI35" s="421">
        <v>77827.165803000011</v>
      </c>
      <c r="EJ35" s="421">
        <v>71934.215039000002</v>
      </c>
      <c r="EK35" s="421">
        <v>70796.857119999986</v>
      </c>
    </row>
    <row r="36" spans="1:141" ht="16.5" customHeight="1" x14ac:dyDescent="0.3">
      <c r="A36" s="95" t="s">
        <v>945</v>
      </c>
      <c r="B36" s="95" t="s">
        <v>946</v>
      </c>
      <c r="C36" s="425">
        <v>22.587345850000002</v>
      </c>
      <c r="D36" s="425">
        <v>24.744540514082999</v>
      </c>
      <c r="E36" s="425">
        <v>23.849837548796</v>
      </c>
      <c r="F36" s="425">
        <v>18.228978470000001</v>
      </c>
      <c r="G36" s="425">
        <v>18.263779599251997</v>
      </c>
      <c r="H36" s="425">
        <v>20.765367005793998</v>
      </c>
      <c r="I36" s="425">
        <v>19.718758210502997</v>
      </c>
      <c r="J36" s="425">
        <v>24.796664857751008</v>
      </c>
      <c r="K36" s="425">
        <v>24.287037047881995</v>
      </c>
      <c r="L36" s="425">
        <v>19.542466706051002</v>
      </c>
      <c r="M36" s="425">
        <v>21.999239441531991</v>
      </c>
      <c r="N36" s="425">
        <v>24.493795200167998</v>
      </c>
      <c r="O36" s="425">
        <v>14.350253283427008</v>
      </c>
      <c r="P36" s="425">
        <v>12.139555840761995</v>
      </c>
      <c r="Q36" s="425">
        <v>11.978865682509007</v>
      </c>
      <c r="R36" s="425">
        <v>10.738506780878001</v>
      </c>
      <c r="S36" s="425">
        <v>11.205565562638004</v>
      </c>
      <c r="T36" s="425">
        <v>10.587319066109</v>
      </c>
      <c r="U36" s="425">
        <v>14.109763349974992</v>
      </c>
      <c r="V36" s="425">
        <v>13.63773414832</v>
      </c>
      <c r="W36" s="425">
        <v>15.698556618128009</v>
      </c>
      <c r="X36" s="425">
        <v>14.606797769794008</v>
      </c>
      <c r="Y36" s="425">
        <v>15.119194412606996</v>
      </c>
      <c r="Z36" s="425">
        <v>16.387315327413003</v>
      </c>
      <c r="AA36" s="425">
        <v>19.396711529215999</v>
      </c>
      <c r="AB36" s="425">
        <v>15.694678129113001</v>
      </c>
      <c r="AC36" s="425">
        <v>15.629992317616994</v>
      </c>
      <c r="AD36" s="425">
        <v>8.5982636536590107</v>
      </c>
      <c r="AE36" s="425">
        <v>8.3524888203310006</v>
      </c>
      <c r="AF36" s="425">
        <v>10.438192297765998</v>
      </c>
      <c r="AG36" s="425">
        <v>8.942154580000004</v>
      </c>
      <c r="AH36" s="425">
        <v>12.123119959999997</v>
      </c>
      <c r="AI36" s="425">
        <v>9.9914872199999998</v>
      </c>
      <c r="AJ36" s="425">
        <v>10.633213389999991</v>
      </c>
      <c r="AK36" s="425">
        <v>15.135496139999999</v>
      </c>
      <c r="AL36" s="425">
        <v>12.26796014</v>
      </c>
      <c r="AM36" s="425">
        <v>9.4486492399999911</v>
      </c>
      <c r="AN36" s="425">
        <v>8.5116829600000106</v>
      </c>
      <c r="AO36" s="425">
        <v>8.9783699599999913</v>
      </c>
      <c r="AP36" s="425">
        <v>9.1002109599999983</v>
      </c>
      <c r="AQ36" s="425">
        <v>9.4573140000000002</v>
      </c>
      <c r="AR36" s="425">
        <v>12.949643999999999</v>
      </c>
      <c r="AS36" s="425">
        <v>15.529333999999999</v>
      </c>
      <c r="AT36" s="425">
        <v>12.122377</v>
      </c>
      <c r="AU36" s="425">
        <v>10.837873999999999</v>
      </c>
      <c r="AV36" s="425">
        <v>12.407376999999999</v>
      </c>
      <c r="AW36" s="425">
        <v>13.756131</v>
      </c>
      <c r="AX36" s="425">
        <v>11.081707</v>
      </c>
      <c r="AY36" s="425">
        <v>12.787836</v>
      </c>
      <c r="AZ36" s="425">
        <v>19.284112</v>
      </c>
      <c r="BA36" s="425">
        <v>20.909382000000001</v>
      </c>
      <c r="BB36" s="425">
        <v>20.245926999999998</v>
      </c>
      <c r="BC36" s="425">
        <v>20.801047000000001</v>
      </c>
      <c r="BD36" s="425">
        <v>22.928493</v>
      </c>
      <c r="BE36" s="425">
        <v>21.38899</v>
      </c>
      <c r="BF36" s="425">
        <v>21.812104999999999</v>
      </c>
      <c r="BG36" s="425">
        <v>22.688719000000003</v>
      </c>
      <c r="BH36" s="425">
        <v>23.482017999999997</v>
      </c>
      <c r="BI36" s="425">
        <v>24.858671999999999</v>
      </c>
      <c r="BJ36" s="425">
        <v>27.873531999999997</v>
      </c>
      <c r="BK36" s="425">
        <v>27.794181999999999</v>
      </c>
      <c r="BL36" s="425">
        <v>27.968121999999997</v>
      </c>
      <c r="BM36" s="425">
        <v>28.234946000000001</v>
      </c>
      <c r="BN36" s="425">
        <v>27.068202000000003</v>
      </c>
      <c r="BO36" s="425">
        <v>28.037162000000002</v>
      </c>
      <c r="BP36" s="425">
        <v>21.76407</v>
      </c>
      <c r="BQ36" s="425">
        <v>21.726244000000001</v>
      </c>
      <c r="BR36" s="425">
        <v>23.647455000000001</v>
      </c>
      <c r="BS36" s="425">
        <v>27.880478</v>
      </c>
      <c r="BT36" s="425">
        <v>28.179905999999999</v>
      </c>
      <c r="BU36" s="426">
        <v>27.275673999999999</v>
      </c>
      <c r="BV36" s="426">
        <v>25.929378</v>
      </c>
      <c r="BW36" s="426">
        <v>24.763244</v>
      </c>
      <c r="BX36" s="426">
        <v>18.885643000000002</v>
      </c>
      <c r="BY36" s="426">
        <v>20.920655999999997</v>
      </c>
      <c r="BZ36" s="426">
        <v>20.846422999999998</v>
      </c>
      <c r="CA36" s="426">
        <v>20.751145999999999</v>
      </c>
      <c r="CB36" s="426">
        <v>22.350980999999997</v>
      </c>
      <c r="CC36" s="426">
        <v>23.163017999999997</v>
      </c>
      <c r="CD36" s="426">
        <v>25.491909999999997</v>
      </c>
      <c r="CE36" s="426">
        <v>37.445918952292004</v>
      </c>
      <c r="CF36" s="426">
        <v>40.065726952292003</v>
      </c>
      <c r="CG36" s="426">
        <v>42.518680952292002</v>
      </c>
      <c r="CH36" s="426">
        <v>31.871081952291998</v>
      </c>
      <c r="CI36" s="426">
        <v>31.220807952291999</v>
      </c>
      <c r="CJ36" s="426">
        <v>32.009434952291997</v>
      </c>
      <c r="CK36" s="426">
        <v>34.669512952292003</v>
      </c>
      <c r="CL36" s="426">
        <v>30.455868952291997</v>
      </c>
      <c r="CM36" s="96">
        <v>30.404271952291996</v>
      </c>
      <c r="CN36" s="96">
        <v>31.989065952291998</v>
      </c>
      <c r="CO36" s="96">
        <v>33.733735952292001</v>
      </c>
      <c r="CP36" s="96">
        <v>31.506537952291996</v>
      </c>
      <c r="CQ36" s="96">
        <v>32.778923952292004</v>
      </c>
      <c r="CR36" s="96">
        <v>31.676142952291997</v>
      </c>
      <c r="CS36" s="96">
        <v>31.230207952291998</v>
      </c>
      <c r="CT36" s="96">
        <v>31.605047952291997</v>
      </c>
      <c r="CU36" s="427">
        <v>33.656144952292003</v>
      </c>
      <c r="CV36" s="427">
        <v>24.347820000000002</v>
      </c>
      <c r="CW36" s="427">
        <v>24.983936000000003</v>
      </c>
      <c r="CX36" s="427">
        <v>26.005782000000004</v>
      </c>
      <c r="CY36" s="427">
        <v>26.523624000000002</v>
      </c>
      <c r="CZ36" s="427">
        <v>28.50403</v>
      </c>
      <c r="DA36" s="427">
        <v>24.378238</v>
      </c>
      <c r="DB36" s="427">
        <v>26.233623000000001</v>
      </c>
      <c r="DC36" s="427">
        <v>28.143712000000001</v>
      </c>
      <c r="DD36" s="427">
        <v>27.972768000000002</v>
      </c>
      <c r="DE36" s="427">
        <v>31.004217000000001</v>
      </c>
      <c r="DF36" s="427">
        <v>29.855588999999998</v>
      </c>
      <c r="DG36" s="427">
        <v>34.069088000000001</v>
      </c>
      <c r="DH36" s="427">
        <v>34.293087</v>
      </c>
      <c r="DI36" s="427">
        <v>36.117815</v>
      </c>
      <c r="DJ36" s="427">
        <v>30.671852999999999</v>
      </c>
      <c r="DK36" s="427">
        <v>28.818100000000001</v>
      </c>
      <c r="DL36" s="427">
        <v>37.232635999999999</v>
      </c>
      <c r="DM36" s="427">
        <v>38.707521999999997</v>
      </c>
      <c r="DN36" s="427">
        <v>29.148284</v>
      </c>
      <c r="DO36" s="427">
        <v>30.095746999999999</v>
      </c>
      <c r="DP36" s="427">
        <v>33.730979999999995</v>
      </c>
      <c r="DQ36" s="427">
        <v>28.341699000000002</v>
      </c>
      <c r="DR36" s="427">
        <v>32.858111999999998</v>
      </c>
      <c r="DS36" s="427">
        <v>34.490670999999999</v>
      </c>
      <c r="DT36" s="427">
        <v>34.139313999999999</v>
      </c>
      <c r="DU36" s="427">
        <v>36.981038999999996</v>
      </c>
      <c r="DV36" s="427">
        <v>44.435594999999999</v>
      </c>
      <c r="DW36" s="427">
        <v>43.218471000000008</v>
      </c>
      <c r="DX36" s="427">
        <v>31.811841999999999</v>
      </c>
      <c r="DY36" s="427">
        <v>1031.3103779999999</v>
      </c>
      <c r="DZ36" s="427">
        <v>1032.36337</v>
      </c>
      <c r="EA36" s="427">
        <v>1031.980763</v>
      </c>
      <c r="EB36" s="427">
        <v>33834.113019000004</v>
      </c>
      <c r="EC36" s="427">
        <v>33834.016367999997</v>
      </c>
      <c r="ED36" s="427">
        <v>33332.021075000004</v>
      </c>
      <c r="EE36" s="427">
        <v>33246.989805999998</v>
      </c>
      <c r="EF36" s="427">
        <v>33185.131032000005</v>
      </c>
      <c r="EG36" s="427">
        <v>31909.062534999997</v>
      </c>
      <c r="EH36" s="427">
        <v>78706.811833999993</v>
      </c>
      <c r="EI36" s="427">
        <v>77827.165803000011</v>
      </c>
      <c r="EJ36" s="427">
        <v>71934.215039000002</v>
      </c>
      <c r="EK36" s="427">
        <v>70796.857119999986</v>
      </c>
    </row>
    <row r="37" spans="1:141" ht="16.5" customHeight="1" x14ac:dyDescent="0.3">
      <c r="A37" s="95" t="s">
        <v>947</v>
      </c>
      <c r="B37" s="95" t="s">
        <v>948</v>
      </c>
      <c r="C37" s="425">
        <v>0</v>
      </c>
      <c r="D37" s="425">
        <v>0</v>
      </c>
      <c r="E37" s="425">
        <v>0</v>
      </c>
      <c r="F37" s="425">
        <v>0</v>
      </c>
      <c r="G37" s="425">
        <v>0</v>
      </c>
      <c r="H37" s="425">
        <v>0</v>
      </c>
      <c r="I37" s="425">
        <v>0</v>
      </c>
      <c r="J37" s="425">
        <v>0</v>
      </c>
      <c r="K37" s="425">
        <v>0</v>
      </c>
      <c r="L37" s="425">
        <v>0</v>
      </c>
      <c r="M37" s="425">
        <v>0</v>
      </c>
      <c r="N37" s="425">
        <v>0</v>
      </c>
      <c r="O37" s="425">
        <v>0</v>
      </c>
      <c r="P37" s="425">
        <v>0</v>
      </c>
      <c r="Q37" s="425">
        <v>0</v>
      </c>
      <c r="R37" s="425">
        <v>0</v>
      </c>
      <c r="S37" s="425">
        <v>0</v>
      </c>
      <c r="T37" s="425">
        <v>0</v>
      </c>
      <c r="U37" s="425">
        <v>0</v>
      </c>
      <c r="V37" s="425">
        <v>0</v>
      </c>
      <c r="W37" s="425">
        <v>0</v>
      </c>
      <c r="X37" s="425">
        <v>0</v>
      </c>
      <c r="Y37" s="425">
        <v>0</v>
      </c>
      <c r="Z37" s="425">
        <v>0</v>
      </c>
      <c r="AA37" s="425">
        <v>0</v>
      </c>
      <c r="AB37" s="425">
        <v>0</v>
      </c>
      <c r="AC37" s="425">
        <v>0</v>
      </c>
      <c r="AD37" s="425">
        <v>0</v>
      </c>
      <c r="AE37" s="425">
        <v>0</v>
      </c>
      <c r="AF37" s="425">
        <v>0</v>
      </c>
      <c r="AG37" s="425">
        <v>0</v>
      </c>
      <c r="AH37" s="425">
        <v>0</v>
      </c>
      <c r="AI37" s="425">
        <v>0</v>
      </c>
      <c r="AJ37" s="425">
        <v>0</v>
      </c>
      <c r="AK37" s="425">
        <v>0</v>
      </c>
      <c r="AL37" s="425">
        <v>0</v>
      </c>
      <c r="AM37" s="425">
        <v>0</v>
      </c>
      <c r="AN37" s="425">
        <v>0</v>
      </c>
      <c r="AO37" s="425">
        <v>0</v>
      </c>
      <c r="AP37" s="425">
        <v>0</v>
      </c>
      <c r="AQ37" s="425">
        <v>0</v>
      </c>
      <c r="AR37" s="425">
        <v>0</v>
      </c>
      <c r="AS37" s="425">
        <v>0</v>
      </c>
      <c r="AT37" s="425">
        <v>0</v>
      </c>
      <c r="AU37" s="425">
        <v>0</v>
      </c>
      <c r="AV37" s="425">
        <v>0</v>
      </c>
      <c r="AW37" s="425">
        <v>0</v>
      </c>
      <c r="AX37" s="425">
        <v>0</v>
      </c>
      <c r="AY37" s="425">
        <v>0</v>
      </c>
      <c r="AZ37" s="425">
        <v>0</v>
      </c>
      <c r="BA37" s="425">
        <v>0</v>
      </c>
      <c r="BB37" s="425">
        <v>0</v>
      </c>
      <c r="BC37" s="425">
        <v>0</v>
      </c>
      <c r="BD37" s="425">
        <v>0</v>
      </c>
      <c r="BE37" s="425">
        <v>0</v>
      </c>
      <c r="BF37" s="425">
        <v>0</v>
      </c>
      <c r="BG37" s="425">
        <v>0</v>
      </c>
      <c r="BH37" s="425">
        <v>0</v>
      </c>
      <c r="BI37" s="425">
        <v>0</v>
      </c>
      <c r="BJ37" s="425">
        <v>0</v>
      </c>
      <c r="BK37" s="425">
        <v>0</v>
      </c>
      <c r="BL37" s="425">
        <v>0</v>
      </c>
      <c r="BM37" s="425">
        <v>0</v>
      </c>
      <c r="BN37" s="425">
        <v>0</v>
      </c>
      <c r="BO37" s="425">
        <v>0</v>
      </c>
      <c r="BP37" s="425">
        <v>0</v>
      </c>
      <c r="BQ37" s="425">
        <v>0</v>
      </c>
      <c r="BR37" s="425">
        <v>0</v>
      </c>
      <c r="BS37" s="425">
        <v>0</v>
      </c>
      <c r="BT37" s="425">
        <v>0</v>
      </c>
      <c r="BU37" s="426">
        <v>0</v>
      </c>
      <c r="BV37" s="426">
        <v>0</v>
      </c>
      <c r="BW37" s="426">
        <v>0</v>
      </c>
      <c r="BX37" s="426">
        <v>0</v>
      </c>
      <c r="BY37" s="426">
        <v>0</v>
      </c>
      <c r="BZ37" s="426">
        <v>0</v>
      </c>
      <c r="CA37" s="426">
        <v>0</v>
      </c>
      <c r="CB37" s="426">
        <v>0</v>
      </c>
      <c r="CC37" s="426">
        <v>0</v>
      </c>
      <c r="CD37" s="426">
        <v>0</v>
      </c>
      <c r="CE37" s="426">
        <v>0</v>
      </c>
      <c r="CF37" s="426">
        <v>0</v>
      </c>
      <c r="CG37" s="426">
        <v>0</v>
      </c>
      <c r="CH37" s="426">
        <v>0</v>
      </c>
      <c r="CI37" s="426">
        <v>0</v>
      </c>
      <c r="CJ37" s="426">
        <v>0</v>
      </c>
      <c r="CK37" s="426">
        <v>0</v>
      </c>
      <c r="CL37" s="426">
        <v>0</v>
      </c>
      <c r="CM37" s="96">
        <v>0</v>
      </c>
      <c r="CN37" s="96">
        <v>0</v>
      </c>
      <c r="CO37" s="96">
        <v>0</v>
      </c>
      <c r="CP37" s="96">
        <v>0</v>
      </c>
      <c r="CQ37" s="96">
        <v>0</v>
      </c>
      <c r="CR37" s="96">
        <v>0</v>
      </c>
      <c r="CS37" s="96">
        <v>0</v>
      </c>
      <c r="CT37" s="96">
        <v>0</v>
      </c>
      <c r="CU37" s="427">
        <v>0</v>
      </c>
      <c r="CV37" s="427">
        <v>0</v>
      </c>
      <c r="CW37" s="427">
        <v>0</v>
      </c>
      <c r="CX37" s="427">
        <v>0</v>
      </c>
      <c r="CY37" s="427">
        <v>0</v>
      </c>
      <c r="CZ37" s="427">
        <v>0</v>
      </c>
      <c r="DA37" s="427">
        <v>0</v>
      </c>
      <c r="DB37" s="427">
        <v>0</v>
      </c>
      <c r="DC37" s="427">
        <v>0</v>
      </c>
      <c r="DD37" s="427">
        <v>0</v>
      </c>
      <c r="DE37" s="427">
        <v>0</v>
      </c>
      <c r="DF37" s="427">
        <v>0</v>
      </c>
      <c r="DG37" s="427">
        <v>0</v>
      </c>
      <c r="DH37" s="427">
        <v>0</v>
      </c>
      <c r="DI37" s="427">
        <v>0</v>
      </c>
      <c r="DJ37" s="427">
        <v>0</v>
      </c>
      <c r="DK37" s="427">
        <v>0</v>
      </c>
      <c r="DL37" s="427">
        <v>0</v>
      </c>
      <c r="DM37" s="427">
        <v>0</v>
      </c>
      <c r="DN37" s="427">
        <v>0</v>
      </c>
      <c r="DO37" s="427">
        <v>0</v>
      </c>
      <c r="DP37" s="427">
        <v>0</v>
      </c>
      <c r="DQ37" s="427">
        <v>0</v>
      </c>
      <c r="DR37" s="427">
        <v>0</v>
      </c>
      <c r="DS37" s="427">
        <v>0</v>
      </c>
      <c r="DT37" s="427">
        <v>0</v>
      </c>
      <c r="DU37" s="427">
        <v>0</v>
      </c>
      <c r="DV37" s="427">
        <v>0</v>
      </c>
      <c r="DW37" s="427">
        <v>0</v>
      </c>
      <c r="DX37" s="427">
        <v>0</v>
      </c>
      <c r="DY37" s="427">
        <v>0</v>
      </c>
      <c r="DZ37" s="427">
        <v>0</v>
      </c>
      <c r="EA37" s="427">
        <v>0</v>
      </c>
      <c r="EB37" s="427">
        <v>0</v>
      </c>
      <c r="EC37" s="427">
        <v>0</v>
      </c>
      <c r="ED37" s="427">
        <v>0</v>
      </c>
      <c r="EE37" s="427">
        <v>0</v>
      </c>
      <c r="EF37" s="427">
        <v>0</v>
      </c>
      <c r="EG37" s="427">
        <v>0</v>
      </c>
      <c r="EH37" s="427">
        <v>0</v>
      </c>
      <c r="EI37" s="427">
        <v>0</v>
      </c>
      <c r="EJ37" s="427">
        <v>0</v>
      </c>
      <c r="EK37" s="427">
        <v>0</v>
      </c>
    </row>
    <row r="38" spans="1:141" ht="16.5" customHeight="1" x14ac:dyDescent="0.3">
      <c r="A38" s="95" t="s">
        <v>949</v>
      </c>
      <c r="B38" s="95" t="s">
        <v>950</v>
      </c>
      <c r="C38" s="425">
        <v>151.18849263999999</v>
      </c>
      <c r="D38" s="425">
        <v>77.405761299999995</v>
      </c>
      <c r="E38" s="425">
        <v>83.725646879999985</v>
      </c>
      <c r="F38" s="425">
        <v>78.741567359999991</v>
      </c>
      <c r="G38" s="425">
        <v>74.193548989999996</v>
      </c>
      <c r="H38" s="425">
        <v>420.05215680999999</v>
      </c>
      <c r="I38" s="425">
        <v>124.97634945</v>
      </c>
      <c r="J38" s="425">
        <v>114.82181654999999</v>
      </c>
      <c r="K38" s="425">
        <v>242.85230366999997</v>
      </c>
      <c r="L38" s="425">
        <v>120.85366664</v>
      </c>
      <c r="M38" s="425">
        <v>125.65614223</v>
      </c>
      <c r="N38" s="425">
        <v>131.68978791999999</v>
      </c>
      <c r="O38" s="425">
        <v>127.02191062</v>
      </c>
      <c r="P38" s="425">
        <v>153.00566063999997</v>
      </c>
      <c r="Q38" s="425">
        <v>144.30428899</v>
      </c>
      <c r="R38" s="425">
        <v>159.8000069</v>
      </c>
      <c r="S38" s="425">
        <v>107.71701843999999</v>
      </c>
      <c r="T38" s="425">
        <v>216.47659336999999</v>
      </c>
      <c r="U38" s="425">
        <v>133.49698376000001</v>
      </c>
      <c r="V38" s="425">
        <v>131.41497039999999</v>
      </c>
      <c r="W38" s="425">
        <v>162.90843679</v>
      </c>
      <c r="X38" s="425">
        <v>214.26028678</v>
      </c>
      <c r="Y38" s="425">
        <v>130.82849535</v>
      </c>
      <c r="Z38" s="425">
        <v>128.35450184000001</v>
      </c>
      <c r="AA38" s="425">
        <v>114.79361229999999</v>
      </c>
      <c r="AB38" s="425">
        <v>107.10302213999999</v>
      </c>
      <c r="AC38" s="425">
        <v>112.67850859999999</v>
      </c>
      <c r="AD38" s="425">
        <v>116.71952302999999</v>
      </c>
      <c r="AE38" s="425">
        <v>96.500177889999989</v>
      </c>
      <c r="AF38" s="425">
        <v>177.66929225999999</v>
      </c>
      <c r="AG38" s="425">
        <v>189.12947324000001</v>
      </c>
      <c r="AH38" s="425">
        <v>59.687206289999999</v>
      </c>
      <c r="AI38" s="425">
        <v>213.64816574</v>
      </c>
      <c r="AJ38" s="425">
        <v>227.98555528999998</v>
      </c>
      <c r="AK38" s="425">
        <v>136.3385394</v>
      </c>
      <c r="AL38" s="425">
        <v>134.20941066</v>
      </c>
      <c r="AM38" s="425">
        <v>59.900090929999998</v>
      </c>
      <c r="AN38" s="425">
        <v>57.448535479999997</v>
      </c>
      <c r="AO38" s="425">
        <v>56.000030250000002</v>
      </c>
      <c r="AP38" s="425">
        <v>56.483998159999999</v>
      </c>
      <c r="AQ38" s="425">
        <v>59.056053979999994</v>
      </c>
      <c r="AR38" s="425">
        <v>298.53320563</v>
      </c>
      <c r="AS38" s="425">
        <v>74.837885909999997</v>
      </c>
      <c r="AT38" s="425">
        <v>76.618115129999993</v>
      </c>
      <c r="AU38" s="425">
        <v>154.46081095</v>
      </c>
      <c r="AV38" s="425">
        <v>84.412690709999993</v>
      </c>
      <c r="AW38" s="425">
        <v>162.32298983000001</v>
      </c>
      <c r="AX38" s="425">
        <v>316.48127357999999</v>
      </c>
      <c r="AY38" s="425">
        <v>56.080529640000002</v>
      </c>
      <c r="AZ38" s="425">
        <v>72.788152139999994</v>
      </c>
      <c r="BA38" s="425">
        <v>66.796112409999992</v>
      </c>
      <c r="BB38" s="425">
        <v>65.045760549999997</v>
      </c>
      <c r="BC38" s="425">
        <v>58.221760060000001</v>
      </c>
      <c r="BD38" s="425">
        <v>263.67519028999999</v>
      </c>
      <c r="BE38" s="425">
        <v>95.785506680000012</v>
      </c>
      <c r="BF38" s="425">
        <v>71.768152980000011</v>
      </c>
      <c r="BG38" s="425">
        <v>152.26978314999999</v>
      </c>
      <c r="BH38" s="425">
        <v>174.71632781</v>
      </c>
      <c r="BI38" s="425">
        <v>91.722688989999995</v>
      </c>
      <c r="BJ38" s="425">
        <v>105.09587028</v>
      </c>
      <c r="BK38" s="425">
        <v>62.345936960000003</v>
      </c>
      <c r="BL38" s="425">
        <v>70.245888600000001</v>
      </c>
      <c r="BM38" s="425">
        <v>259.25830915</v>
      </c>
      <c r="BN38" s="425">
        <v>79.104667819999989</v>
      </c>
      <c r="BO38" s="425">
        <v>91.571393780000008</v>
      </c>
      <c r="BP38" s="425">
        <v>183.94747525</v>
      </c>
      <c r="BQ38" s="425">
        <v>281.64867767999999</v>
      </c>
      <c r="BR38" s="425">
        <v>950.03880190999996</v>
      </c>
      <c r="BS38" s="425">
        <v>132.82117177000001</v>
      </c>
      <c r="BT38" s="425">
        <v>83.084955640000004</v>
      </c>
      <c r="BU38" s="426">
        <v>66.90007276</v>
      </c>
      <c r="BV38" s="426">
        <v>243.39152477000002</v>
      </c>
      <c r="BW38" s="426">
        <v>63.095241170000001</v>
      </c>
      <c r="BX38" s="426">
        <v>75.310323089999997</v>
      </c>
      <c r="BY38" s="426">
        <v>73.132464900000002</v>
      </c>
      <c r="BZ38" s="426">
        <v>140.44249138000001</v>
      </c>
      <c r="CA38" s="426">
        <v>69.006645629999994</v>
      </c>
      <c r="CB38" s="426">
        <v>157.58813618000002</v>
      </c>
      <c r="CC38" s="426">
        <v>123.05353405</v>
      </c>
      <c r="CD38" s="426">
        <v>247.02248975999998</v>
      </c>
      <c r="CE38" s="426">
        <v>163.58105196</v>
      </c>
      <c r="CF38" s="426">
        <v>67.992019980000009</v>
      </c>
      <c r="CG38" s="426">
        <v>80.772078159999992</v>
      </c>
      <c r="CH38" s="426">
        <v>470.07086413000002</v>
      </c>
      <c r="CI38" s="426">
        <v>68.900401400000007</v>
      </c>
      <c r="CJ38" s="426">
        <v>91.224881790000012</v>
      </c>
      <c r="CK38" s="426">
        <v>154.02555762</v>
      </c>
      <c r="CL38" s="426">
        <v>93.70003890000001</v>
      </c>
      <c r="CM38" s="96">
        <v>86.307079709999996</v>
      </c>
      <c r="CN38" s="96">
        <v>122.520847</v>
      </c>
      <c r="CO38" s="96">
        <v>101.87189020000001</v>
      </c>
      <c r="CP38" s="96">
        <v>87.871124809999998</v>
      </c>
      <c r="CQ38" s="96">
        <v>128.47183674999999</v>
      </c>
      <c r="CR38" s="96">
        <v>92.115906530000004</v>
      </c>
      <c r="CS38" s="96">
        <v>65.554931420000003</v>
      </c>
      <c r="CT38" s="96">
        <v>85.5458631099999</v>
      </c>
      <c r="CU38" s="427">
        <v>68.768230099320775</v>
      </c>
      <c r="CV38" s="427">
        <v>78.337929289999963</v>
      </c>
      <c r="CW38" s="427">
        <v>66.008947340000006</v>
      </c>
      <c r="CX38" s="427">
        <v>110.9658728</v>
      </c>
      <c r="CY38" s="427">
        <v>63.637530210000001</v>
      </c>
      <c r="CZ38" s="427">
        <v>153.31049732</v>
      </c>
      <c r="DA38" s="427">
        <v>219.97085390999999</v>
      </c>
      <c r="DB38" s="427">
        <v>62.155334700000004</v>
      </c>
      <c r="DC38" s="427">
        <v>130.28861140999999</v>
      </c>
      <c r="DD38" s="427">
        <v>64.703237420000008</v>
      </c>
      <c r="DE38" s="427">
        <v>63.412572629999993</v>
      </c>
      <c r="DF38" s="427">
        <v>95.46272132999998</v>
      </c>
      <c r="DG38" s="427">
        <v>60.820054859999999</v>
      </c>
      <c r="DH38" s="427">
        <v>63.309482751300095</v>
      </c>
      <c r="DI38" s="427">
        <v>135.75730575</v>
      </c>
      <c r="DJ38" s="427">
        <v>82.521753739999994</v>
      </c>
      <c r="DK38" s="427">
        <v>58.300490709999998</v>
      </c>
      <c r="DL38" s="427">
        <v>137.05946367000001</v>
      </c>
      <c r="DM38" s="427">
        <v>101.22123248999999</v>
      </c>
      <c r="DN38" s="427">
        <v>123.92098548</v>
      </c>
      <c r="DO38" s="427">
        <v>121.40101760052195</v>
      </c>
      <c r="DP38" s="427">
        <v>90.64447290999999</v>
      </c>
      <c r="DQ38" s="427">
        <v>152.04906656999998</v>
      </c>
      <c r="DR38" s="427">
        <v>176.25847435</v>
      </c>
      <c r="DS38" s="427">
        <v>77.515382013217931</v>
      </c>
      <c r="DT38" s="427">
        <v>100.66081064999997</v>
      </c>
      <c r="DU38" s="427">
        <v>92.532699889999989</v>
      </c>
      <c r="DV38" s="427">
        <v>159.66219983000002</v>
      </c>
      <c r="DW38" s="427">
        <v>109.26730388</v>
      </c>
      <c r="DX38" s="427">
        <v>125.7690891400001</v>
      </c>
      <c r="DY38" s="427">
        <v>0</v>
      </c>
      <c r="DZ38" s="427">
        <v>0</v>
      </c>
      <c r="EA38" s="427">
        <v>0</v>
      </c>
      <c r="EB38" s="427">
        <v>0</v>
      </c>
      <c r="EC38" s="427">
        <v>0</v>
      </c>
      <c r="ED38" s="427">
        <v>0</v>
      </c>
      <c r="EE38" s="427">
        <v>0</v>
      </c>
      <c r="EF38" s="427">
        <v>0</v>
      </c>
      <c r="EG38" s="427">
        <v>0</v>
      </c>
      <c r="EH38" s="427">
        <v>0</v>
      </c>
      <c r="EI38" s="427">
        <v>0</v>
      </c>
      <c r="EJ38" s="427">
        <v>0</v>
      </c>
      <c r="EK38" s="427">
        <v>0</v>
      </c>
    </row>
    <row r="39" spans="1:141" ht="16.5" customHeight="1" x14ac:dyDescent="0.3">
      <c r="A39" s="95"/>
      <c r="B39" s="95"/>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23"/>
      <c r="BV39" s="423"/>
      <c r="BW39" s="423"/>
      <c r="BX39" s="423"/>
      <c r="BY39" s="423"/>
      <c r="BZ39" s="423"/>
      <c r="CA39" s="423"/>
      <c r="CB39" s="423"/>
      <c r="CC39" s="423"/>
      <c r="CD39" s="423"/>
      <c r="CE39" s="423"/>
      <c r="CF39" s="423"/>
      <c r="CG39" s="423"/>
      <c r="CH39" s="423"/>
      <c r="CI39" s="423"/>
      <c r="CJ39" s="423"/>
      <c r="CK39" s="423"/>
      <c r="CL39" s="423"/>
      <c r="CM39" s="92"/>
      <c r="CN39" s="92"/>
      <c r="CO39" s="92"/>
      <c r="CP39" s="92"/>
      <c r="CQ39" s="92"/>
      <c r="CR39" s="92"/>
      <c r="CS39" s="92"/>
      <c r="CT39" s="92"/>
      <c r="CU39" s="424"/>
      <c r="CV39" s="424"/>
      <c r="CW39" s="424"/>
      <c r="CX39" s="424"/>
      <c r="CY39" s="424"/>
      <c r="CZ39" s="424"/>
      <c r="DA39" s="424"/>
      <c r="DB39" s="424"/>
      <c r="DC39" s="424"/>
      <c r="DD39" s="424"/>
      <c r="DE39" s="424"/>
      <c r="DF39" s="424"/>
      <c r="DG39" s="424"/>
      <c r="DH39" s="424"/>
      <c r="DI39" s="424"/>
      <c r="DJ39" s="424"/>
      <c r="DK39" s="424"/>
      <c r="DL39" s="424"/>
      <c r="DM39" s="424"/>
      <c r="DN39" s="424"/>
      <c r="DO39" s="424"/>
      <c r="DP39" s="424"/>
      <c r="DQ39" s="424"/>
      <c r="DR39" s="424"/>
      <c r="DS39" s="424"/>
      <c r="DT39" s="424"/>
      <c r="DU39" s="424"/>
      <c r="DV39" s="424"/>
      <c r="DW39" s="424"/>
      <c r="DX39" s="424"/>
      <c r="DY39" s="424"/>
      <c r="DZ39" s="424"/>
      <c r="EA39" s="424"/>
      <c r="EB39" s="424"/>
      <c r="EC39" s="424"/>
      <c r="ED39" s="424"/>
      <c r="EE39" s="424"/>
      <c r="EF39" s="424"/>
      <c r="EG39" s="424"/>
      <c r="EH39" s="424"/>
      <c r="EI39" s="424"/>
      <c r="EJ39" s="424"/>
      <c r="EK39" s="424"/>
    </row>
    <row r="40" spans="1:141" ht="16.5" customHeight="1" x14ac:dyDescent="0.3">
      <c r="A40" s="93" t="s">
        <v>164</v>
      </c>
      <c r="B40" s="93" t="s">
        <v>951</v>
      </c>
      <c r="C40" s="419">
        <v>29966.975270430004</v>
      </c>
      <c r="D40" s="419">
        <v>31254.647347658003</v>
      </c>
      <c r="E40" s="419">
        <v>30372.563617634001</v>
      </c>
      <c r="F40" s="419">
        <v>30963.920489230004</v>
      </c>
      <c r="G40" s="419">
        <v>30613.226018459998</v>
      </c>
      <c r="H40" s="419">
        <v>33128.330575418004</v>
      </c>
      <c r="I40" s="419">
        <v>33789.267421356002</v>
      </c>
      <c r="J40" s="419">
        <v>33020.689187719807</v>
      </c>
      <c r="K40" s="419">
        <v>30534.132591883994</v>
      </c>
      <c r="L40" s="419">
        <v>31544.458324931002</v>
      </c>
      <c r="M40" s="419">
        <v>34977.812640402</v>
      </c>
      <c r="N40" s="419">
        <v>35949.448974421</v>
      </c>
      <c r="O40" s="419">
        <v>35192.75877875572</v>
      </c>
      <c r="P40" s="419">
        <v>34541.421341773646</v>
      </c>
      <c r="Q40" s="419">
        <v>36939.507580827478</v>
      </c>
      <c r="R40" s="419">
        <v>36646.860198302456</v>
      </c>
      <c r="S40" s="419">
        <v>36053.616068564763</v>
      </c>
      <c r="T40" s="419">
        <v>36084.724062089997</v>
      </c>
      <c r="U40" s="419">
        <v>36239.179683970557</v>
      </c>
      <c r="V40" s="419">
        <v>35220.694716186779</v>
      </c>
      <c r="W40" s="419">
        <v>35968.445858579995</v>
      </c>
      <c r="X40" s="419">
        <v>36491.476768018532</v>
      </c>
      <c r="Y40" s="419">
        <v>36444.609430624776</v>
      </c>
      <c r="Z40" s="419">
        <v>38789.824571191995</v>
      </c>
      <c r="AA40" s="419">
        <v>38832.313905730829</v>
      </c>
      <c r="AB40" s="419">
        <v>39201.650866966433</v>
      </c>
      <c r="AC40" s="419">
        <v>39598.520794407035</v>
      </c>
      <c r="AD40" s="419">
        <v>39343.312606860163</v>
      </c>
      <c r="AE40" s="419">
        <v>39252.326794396096</v>
      </c>
      <c r="AF40" s="419">
        <v>42619.680820155401</v>
      </c>
      <c r="AG40" s="419">
        <v>42577.058093508051</v>
      </c>
      <c r="AH40" s="419">
        <v>43504.518758566446</v>
      </c>
      <c r="AI40" s="419">
        <v>43201.277614377948</v>
      </c>
      <c r="AJ40" s="419">
        <v>42159.302407638199</v>
      </c>
      <c r="AK40" s="419">
        <v>42910.437745755764</v>
      </c>
      <c r="AL40" s="419">
        <v>40614.66020448348</v>
      </c>
      <c r="AM40" s="419">
        <v>42825.937377875787</v>
      </c>
      <c r="AN40" s="419">
        <v>43964.981252033365</v>
      </c>
      <c r="AO40" s="419">
        <v>42932.13565626496</v>
      </c>
      <c r="AP40" s="419">
        <v>40830.506188844367</v>
      </c>
      <c r="AQ40" s="419">
        <v>47274.165556918102</v>
      </c>
      <c r="AR40" s="419">
        <v>48436.776476322426</v>
      </c>
      <c r="AS40" s="419">
        <v>44985.178309535302</v>
      </c>
      <c r="AT40" s="419">
        <v>41348.617100414427</v>
      </c>
      <c r="AU40" s="419">
        <v>44235.655758825626</v>
      </c>
      <c r="AV40" s="419">
        <v>43755.652114609475</v>
      </c>
      <c r="AW40" s="419">
        <v>44181.708255133148</v>
      </c>
      <c r="AX40" s="419">
        <v>45777.675150546376</v>
      </c>
      <c r="AY40" s="419">
        <v>47958.153422024698</v>
      </c>
      <c r="AZ40" s="419">
        <v>52887.297649936125</v>
      </c>
      <c r="BA40" s="419">
        <v>52134.949325764224</v>
      </c>
      <c r="BB40" s="419">
        <v>56217.050935438325</v>
      </c>
      <c r="BC40" s="419">
        <v>55100.478066376672</v>
      </c>
      <c r="BD40" s="419">
        <v>56440.796463404222</v>
      </c>
      <c r="BE40" s="419">
        <v>58292.819903318996</v>
      </c>
      <c r="BF40" s="419">
        <v>62112.201600465844</v>
      </c>
      <c r="BG40" s="419">
        <v>63458.390614410375</v>
      </c>
      <c r="BH40" s="419">
        <v>62322.811491108325</v>
      </c>
      <c r="BI40" s="419">
        <v>56410.697808099874</v>
      </c>
      <c r="BJ40" s="419">
        <v>55987.2849719515</v>
      </c>
      <c r="BK40" s="419">
        <v>59825.179798573226</v>
      </c>
      <c r="BL40" s="419">
        <v>65161.407995931448</v>
      </c>
      <c r="BM40" s="419">
        <v>71010.513358596872</v>
      </c>
      <c r="BN40" s="419">
        <v>70912.953684895256</v>
      </c>
      <c r="BO40" s="419">
        <v>68932.392346479101</v>
      </c>
      <c r="BP40" s="419">
        <v>68217.023590271958</v>
      </c>
      <c r="BQ40" s="419">
        <v>69100.952125154843</v>
      </c>
      <c r="BR40" s="419">
        <v>66000.244530413009</v>
      </c>
      <c r="BS40" s="419">
        <v>68660.186618714753</v>
      </c>
      <c r="BT40" s="419">
        <v>71708.192215308474</v>
      </c>
      <c r="BU40" s="420">
        <v>74485.847071344557</v>
      </c>
      <c r="BV40" s="420">
        <v>72494.120712716802</v>
      </c>
      <c r="BW40" s="420">
        <v>73387.265660208053</v>
      </c>
      <c r="BX40" s="420">
        <v>74779.201230639548</v>
      </c>
      <c r="BY40" s="420">
        <v>73618.696646692566</v>
      </c>
      <c r="BZ40" s="420">
        <v>74155.979837397506</v>
      </c>
      <c r="CA40" s="420">
        <v>77765.312972637301</v>
      </c>
      <c r="CB40" s="420">
        <v>80644.360184238016</v>
      </c>
      <c r="CC40" s="420">
        <v>80603.676751099105</v>
      </c>
      <c r="CD40" s="420">
        <v>82223.716535257263</v>
      </c>
      <c r="CE40" s="420">
        <v>83744.208376581228</v>
      </c>
      <c r="CF40" s="420">
        <v>84213.721441161208</v>
      </c>
      <c r="CG40" s="420">
        <v>88118.834941231224</v>
      </c>
      <c r="CH40" s="420">
        <v>88441.479207051219</v>
      </c>
      <c r="CI40" s="420">
        <v>87189.950623401237</v>
      </c>
      <c r="CJ40" s="420">
        <v>86446.309018551226</v>
      </c>
      <c r="CK40" s="420">
        <v>87765.205659631218</v>
      </c>
      <c r="CL40" s="420">
        <v>94547.000497511224</v>
      </c>
      <c r="CM40" s="94">
        <v>93214.983486141224</v>
      </c>
      <c r="CN40" s="94">
        <v>85749.731818561224</v>
      </c>
      <c r="CO40" s="94">
        <v>80021.470131171227</v>
      </c>
      <c r="CP40" s="94">
        <v>79842.054960191221</v>
      </c>
      <c r="CQ40" s="94">
        <v>82004.631570521218</v>
      </c>
      <c r="CR40" s="94">
        <v>80426.787731071207</v>
      </c>
      <c r="CS40" s="94">
        <v>87997.723998171219</v>
      </c>
      <c r="CT40" s="94">
        <v>91699.870868191225</v>
      </c>
      <c r="CU40" s="421">
        <v>91794.271166041901</v>
      </c>
      <c r="CV40" s="421">
        <v>89607.067906263779</v>
      </c>
      <c r="CW40" s="421">
        <v>87277.837543327871</v>
      </c>
      <c r="CX40" s="421">
        <v>89416.484585948914</v>
      </c>
      <c r="CY40" s="421">
        <v>96826.287207250585</v>
      </c>
      <c r="CZ40" s="421">
        <v>110083.65593103829</v>
      </c>
      <c r="DA40" s="421">
        <v>104521.73196517759</v>
      </c>
      <c r="DB40" s="421">
        <v>111179.29981891498</v>
      </c>
      <c r="DC40" s="421">
        <v>100384.61095970873</v>
      </c>
      <c r="DD40" s="421">
        <v>96881.238664737524</v>
      </c>
      <c r="DE40" s="421">
        <v>98755.429046798628</v>
      </c>
      <c r="DF40" s="421">
        <v>89842.427578938485</v>
      </c>
      <c r="DG40" s="421">
        <v>94472.661701492703</v>
      </c>
      <c r="DH40" s="421">
        <v>92116.511822538974</v>
      </c>
      <c r="DI40" s="421">
        <v>89379.092453990248</v>
      </c>
      <c r="DJ40" s="421">
        <v>86924.16093317153</v>
      </c>
      <c r="DK40" s="421">
        <v>89164.075766510097</v>
      </c>
      <c r="DL40" s="421">
        <v>90186.905101146898</v>
      </c>
      <c r="DM40" s="421">
        <v>94961.859608127881</v>
      </c>
      <c r="DN40" s="421">
        <v>92789.454825870358</v>
      </c>
      <c r="DO40" s="421">
        <v>92399.072075251941</v>
      </c>
      <c r="DP40" s="421">
        <v>87849.508281443021</v>
      </c>
      <c r="DQ40" s="421">
        <v>92477.068743999524</v>
      </c>
      <c r="DR40" s="421">
        <v>104079.68957931641</v>
      </c>
      <c r="DS40" s="421">
        <v>103808.54192417515</v>
      </c>
      <c r="DT40" s="421">
        <v>99321.660716402374</v>
      </c>
      <c r="DU40" s="421">
        <v>108290.62750661823</v>
      </c>
      <c r="DV40" s="421">
        <v>127204.3819319218</v>
      </c>
      <c r="DW40" s="421">
        <v>139211.25360189262</v>
      </c>
      <c r="DX40" s="421">
        <v>149810.62329122334</v>
      </c>
      <c r="DY40" s="421">
        <v>151394.32557434798</v>
      </c>
      <c r="DZ40" s="421">
        <v>162334.11951294233</v>
      </c>
      <c r="EA40" s="421">
        <v>162309.61818441364</v>
      </c>
      <c r="EB40" s="421">
        <v>159670.28013665378</v>
      </c>
      <c r="EC40" s="421">
        <v>157656.04203595335</v>
      </c>
      <c r="ED40" s="421">
        <v>157597.88016278105</v>
      </c>
      <c r="EE40" s="421">
        <v>176296.23557296811</v>
      </c>
      <c r="EF40" s="421">
        <v>161998.09108637981</v>
      </c>
      <c r="EG40" s="421">
        <v>169381.18306503288</v>
      </c>
      <c r="EH40" s="421">
        <v>155455.59569384682</v>
      </c>
      <c r="EI40" s="421">
        <v>157849.54888044443</v>
      </c>
      <c r="EJ40" s="421">
        <v>166495.42911737776</v>
      </c>
      <c r="EK40" s="421">
        <v>162548.25643135665</v>
      </c>
    </row>
    <row r="41" spans="1:141" ht="16.5" customHeight="1" x14ac:dyDescent="0.3">
      <c r="A41" s="95" t="s">
        <v>952</v>
      </c>
      <c r="B41" s="95" t="s">
        <v>946</v>
      </c>
      <c r="C41" s="425">
        <v>29905.948359430004</v>
      </c>
      <c r="D41" s="425">
        <v>31193.630936658003</v>
      </c>
      <c r="E41" s="425">
        <v>27311.545206634</v>
      </c>
      <c r="F41" s="425">
        <v>29202.901078230003</v>
      </c>
      <c r="G41" s="425">
        <v>30552.205607459997</v>
      </c>
      <c r="H41" s="425">
        <v>31067.309164418002</v>
      </c>
      <c r="I41" s="425">
        <v>33728.246010356001</v>
      </c>
      <c r="J41" s="425">
        <v>32959.665776719805</v>
      </c>
      <c r="K41" s="425">
        <v>30473.108180883995</v>
      </c>
      <c r="L41" s="425">
        <v>31483.433913931003</v>
      </c>
      <c r="M41" s="425">
        <v>34916.786229402001</v>
      </c>
      <c r="N41" s="425">
        <v>35888.421563420998</v>
      </c>
      <c r="O41" s="425">
        <v>35131.730367755721</v>
      </c>
      <c r="P41" s="425">
        <v>34480.391930773643</v>
      </c>
      <c r="Q41" s="425">
        <v>36878.477169827478</v>
      </c>
      <c r="R41" s="425">
        <v>36585.829787302457</v>
      </c>
      <c r="S41" s="425">
        <v>35982.459657564759</v>
      </c>
      <c r="T41" s="425">
        <v>36017.19423909</v>
      </c>
      <c r="U41" s="425">
        <v>36171.64986097056</v>
      </c>
      <c r="V41" s="425">
        <v>35153.164893186782</v>
      </c>
      <c r="W41" s="425">
        <v>35900.916035579998</v>
      </c>
      <c r="X41" s="425">
        <v>36423.946945018535</v>
      </c>
      <c r="Y41" s="425">
        <v>36377.079607624779</v>
      </c>
      <c r="Z41" s="425">
        <v>38722.294748191998</v>
      </c>
      <c r="AA41" s="425">
        <v>38764.784082730832</v>
      </c>
      <c r="AB41" s="425">
        <v>39134.121043966436</v>
      </c>
      <c r="AC41" s="425">
        <v>39530.990971407038</v>
      </c>
      <c r="AD41" s="425">
        <v>39275.779788860164</v>
      </c>
      <c r="AE41" s="425">
        <v>39184.793976396097</v>
      </c>
      <c r="AF41" s="425">
        <v>42552.138171155399</v>
      </c>
      <c r="AG41" s="425">
        <v>42506.010275508052</v>
      </c>
      <c r="AH41" s="425">
        <v>43433.470940566447</v>
      </c>
      <c r="AI41" s="425">
        <v>43130.22012637795</v>
      </c>
      <c r="AJ41" s="425">
        <v>42088.247914638203</v>
      </c>
      <c r="AK41" s="425">
        <v>42839.383252755768</v>
      </c>
      <c r="AL41" s="425">
        <v>40543.605711483484</v>
      </c>
      <c r="AM41" s="425">
        <v>42754.882884875791</v>
      </c>
      <c r="AN41" s="425">
        <v>43897.441759033369</v>
      </c>
      <c r="AO41" s="425">
        <v>42864.596163264956</v>
      </c>
      <c r="AP41" s="425">
        <v>40762.96669584437</v>
      </c>
      <c r="AQ41" s="425">
        <v>47206.626063918106</v>
      </c>
      <c r="AR41" s="425">
        <v>48369.236983322422</v>
      </c>
      <c r="AS41" s="425">
        <v>44917.638816535298</v>
      </c>
      <c r="AT41" s="425">
        <v>41281.077607414431</v>
      </c>
      <c r="AU41" s="425">
        <v>44168.116265825622</v>
      </c>
      <c r="AV41" s="425">
        <v>43688.112621609478</v>
      </c>
      <c r="AW41" s="425">
        <v>44114.168762133151</v>
      </c>
      <c r="AX41" s="425">
        <v>45710.135657546372</v>
      </c>
      <c r="AY41" s="425">
        <v>47890.613929024701</v>
      </c>
      <c r="AZ41" s="425">
        <v>52715.362689936119</v>
      </c>
      <c r="BA41" s="425">
        <v>51963.014365764218</v>
      </c>
      <c r="BB41" s="425">
        <v>56048.243475438321</v>
      </c>
      <c r="BC41" s="425">
        <v>54931.670606376669</v>
      </c>
      <c r="BD41" s="425">
        <v>56271.989003404218</v>
      </c>
      <c r="BE41" s="425">
        <v>58124.012443318992</v>
      </c>
      <c r="BF41" s="425">
        <v>61943.39414046584</v>
      </c>
      <c r="BG41" s="425">
        <v>63289.583154410371</v>
      </c>
      <c r="BH41" s="425">
        <v>62154.004031108321</v>
      </c>
      <c r="BI41" s="425">
        <v>56241.890348099871</v>
      </c>
      <c r="BJ41" s="425">
        <v>55818.477511951496</v>
      </c>
      <c r="BK41" s="425">
        <v>59094.987338573228</v>
      </c>
      <c r="BL41" s="425">
        <v>63683.215535931449</v>
      </c>
      <c r="BM41" s="425">
        <v>68422.250898596874</v>
      </c>
      <c r="BN41" s="425">
        <v>68324.691224895258</v>
      </c>
      <c r="BO41" s="425">
        <v>64352.684886479095</v>
      </c>
      <c r="BP41" s="425">
        <v>62659.31613027196</v>
      </c>
      <c r="BQ41" s="425">
        <v>63293.244665154845</v>
      </c>
      <c r="BR41" s="425">
        <v>59949.981070413007</v>
      </c>
      <c r="BS41" s="425">
        <v>62006.423158714751</v>
      </c>
      <c r="BT41" s="425">
        <v>64354.428755308472</v>
      </c>
      <c r="BU41" s="426">
        <v>67032.083611344569</v>
      </c>
      <c r="BV41" s="426">
        <v>65040.3572527168</v>
      </c>
      <c r="BW41" s="426">
        <v>65457.187200208049</v>
      </c>
      <c r="BX41" s="426">
        <v>66468.772770639553</v>
      </c>
      <c r="BY41" s="426">
        <v>65458.33818669257</v>
      </c>
      <c r="BZ41" s="426">
        <v>65995.621377397518</v>
      </c>
      <c r="CA41" s="426">
        <v>70596.399512637305</v>
      </c>
      <c r="CB41" s="426">
        <v>71028.93172423802</v>
      </c>
      <c r="CC41" s="426">
        <v>71238.268291099099</v>
      </c>
      <c r="CD41" s="426">
        <v>72748.864075257254</v>
      </c>
      <c r="CE41" s="426">
        <v>73340.119916581229</v>
      </c>
      <c r="CF41" s="426">
        <v>74509.632981161209</v>
      </c>
      <c r="CG41" s="426">
        <v>78514.746481231225</v>
      </c>
      <c r="CH41" s="426">
        <v>77932.39074705122</v>
      </c>
      <c r="CI41" s="426">
        <v>75207.001663401228</v>
      </c>
      <c r="CJ41" s="426">
        <v>75656.610058551218</v>
      </c>
      <c r="CK41" s="426">
        <v>76515.506699631209</v>
      </c>
      <c r="CL41" s="426">
        <v>83297.301537511215</v>
      </c>
      <c r="CM41" s="96">
        <v>80388.284526141215</v>
      </c>
      <c r="CN41" s="96">
        <v>75647.062858561214</v>
      </c>
      <c r="CO41" s="96">
        <v>69918.801171171217</v>
      </c>
      <c r="CP41" s="96">
        <v>68597.386000191211</v>
      </c>
      <c r="CQ41" s="96">
        <v>72292.698610521213</v>
      </c>
      <c r="CR41" s="96">
        <v>70714.854771071216</v>
      </c>
      <c r="CS41" s="96">
        <v>78285.791038171214</v>
      </c>
      <c r="CT41" s="96">
        <v>81872.937908191219</v>
      </c>
      <c r="CU41" s="427">
        <v>81505.338206041895</v>
      </c>
      <c r="CV41" s="427">
        <v>78180.495446263769</v>
      </c>
      <c r="CW41" s="427">
        <v>73403.365083327881</v>
      </c>
      <c r="CX41" s="427">
        <v>72978.51212594891</v>
      </c>
      <c r="CY41" s="427">
        <v>76790.314747250581</v>
      </c>
      <c r="CZ41" s="427">
        <v>90233.968471038286</v>
      </c>
      <c r="DA41" s="427">
        <v>84672.04450517759</v>
      </c>
      <c r="DB41" s="427">
        <v>92823.612358914979</v>
      </c>
      <c r="DC41" s="427">
        <v>82028.923499708733</v>
      </c>
      <c r="DD41" s="427">
        <v>78525.551204737523</v>
      </c>
      <c r="DE41" s="427">
        <v>80399.741586798627</v>
      </c>
      <c r="DF41" s="427">
        <v>72007.784085938474</v>
      </c>
      <c r="DG41" s="427">
        <v>77299.518208492707</v>
      </c>
      <c r="DH41" s="427">
        <v>77116.96832953897</v>
      </c>
      <c r="DI41" s="427">
        <v>76247.448960990252</v>
      </c>
      <c r="DJ41" s="427">
        <v>75660.017440171519</v>
      </c>
      <c r="DK41" s="427">
        <v>82074.932273510087</v>
      </c>
      <c r="DL41" s="427">
        <v>77373.361608146894</v>
      </c>
      <c r="DM41" s="427">
        <v>81069.816115127876</v>
      </c>
      <c r="DN41" s="427">
        <v>78897.411332870353</v>
      </c>
      <c r="DO41" s="427">
        <v>78507.028582251936</v>
      </c>
      <c r="DP41" s="427">
        <v>73957.464788443016</v>
      </c>
      <c r="DQ41" s="427">
        <v>78585.025250999533</v>
      </c>
      <c r="DR41" s="427">
        <v>90703.64608631641</v>
      </c>
      <c r="DS41" s="427">
        <v>90475.373414125148</v>
      </c>
      <c r="DT41" s="427">
        <v>86950.363470642376</v>
      </c>
      <c r="DU41" s="427">
        <v>91651.782427168218</v>
      </c>
      <c r="DV41" s="427">
        <v>111291.7697130318</v>
      </c>
      <c r="DW41" s="427">
        <v>123422.30060090261</v>
      </c>
      <c r="DX41" s="427">
        <v>138222.08218350334</v>
      </c>
      <c r="DY41" s="427">
        <v>144783.21386216796</v>
      </c>
      <c r="DZ41" s="427">
        <v>155704.42054048233</v>
      </c>
      <c r="EA41" s="427">
        <v>155661.93154073364</v>
      </c>
      <c r="EB41" s="427">
        <v>153004.00623268378</v>
      </c>
      <c r="EC41" s="427">
        <v>150971.78046076334</v>
      </c>
      <c r="ED41" s="427">
        <v>150895.03132732105</v>
      </c>
      <c r="EE41" s="427">
        <v>169574.79947722811</v>
      </c>
      <c r="EF41" s="427">
        <v>155259.8664974898</v>
      </c>
      <c r="EG41" s="427">
        <v>164698.57121587289</v>
      </c>
      <c r="EH41" s="427">
        <v>150760.99617344682</v>
      </c>
      <c r="EI41" s="427">
        <v>155220.84100388442</v>
      </c>
      <c r="EJ41" s="427">
        <v>166437.38562437776</v>
      </c>
      <c r="EK41" s="427">
        <v>162490.21293835665</v>
      </c>
    </row>
    <row r="42" spans="1:141" ht="16.5" customHeight="1" x14ac:dyDescent="0.3">
      <c r="A42" s="95" t="s">
        <v>953</v>
      </c>
      <c r="B42" s="95" t="s">
        <v>948</v>
      </c>
      <c r="C42" s="425">
        <v>61.026910999999927</v>
      </c>
      <c r="D42" s="425">
        <v>61.016411000000062</v>
      </c>
      <c r="E42" s="425">
        <v>61.018411000000015</v>
      </c>
      <c r="F42" s="425">
        <v>61.019411000000218</v>
      </c>
      <c r="G42" s="425">
        <v>61.020410999999967</v>
      </c>
      <c r="H42" s="425">
        <v>61.021410999999716</v>
      </c>
      <c r="I42" s="425">
        <v>61.021411000000171</v>
      </c>
      <c r="J42" s="425">
        <v>61.023411000000124</v>
      </c>
      <c r="K42" s="425">
        <v>61.024410999999873</v>
      </c>
      <c r="L42" s="425">
        <v>61.024410999999873</v>
      </c>
      <c r="M42" s="425">
        <v>61.026410999999825</v>
      </c>
      <c r="N42" s="425">
        <v>61.027411000000029</v>
      </c>
      <c r="O42" s="425">
        <v>61.028410999999778</v>
      </c>
      <c r="P42" s="425">
        <v>61.029410999999982</v>
      </c>
      <c r="Q42" s="425">
        <v>61.030411000000186</v>
      </c>
      <c r="R42" s="425">
        <v>61.030411000000186</v>
      </c>
      <c r="S42" s="425">
        <v>71.156410999999935</v>
      </c>
      <c r="T42" s="425">
        <v>67.529822999999851</v>
      </c>
      <c r="U42" s="425">
        <v>67.529822999999851</v>
      </c>
      <c r="V42" s="425">
        <v>67.529822999999851</v>
      </c>
      <c r="W42" s="425">
        <v>67.529822999999851</v>
      </c>
      <c r="X42" s="425">
        <v>67.529822999999851</v>
      </c>
      <c r="Y42" s="425">
        <v>67.529822999999851</v>
      </c>
      <c r="Z42" s="425">
        <v>67.529822999999851</v>
      </c>
      <c r="AA42" s="425">
        <v>67.529822999999851</v>
      </c>
      <c r="AB42" s="425">
        <v>67.529822999999851</v>
      </c>
      <c r="AC42" s="425">
        <v>67.529822999999851</v>
      </c>
      <c r="AD42" s="425">
        <v>67.532818000000134</v>
      </c>
      <c r="AE42" s="425">
        <v>67.532818000000134</v>
      </c>
      <c r="AF42" s="425">
        <v>67.542648999999983</v>
      </c>
      <c r="AG42" s="425">
        <v>67.532818000000006</v>
      </c>
      <c r="AH42" s="425">
        <v>67.532818000000006</v>
      </c>
      <c r="AI42" s="425">
        <v>67.542487999999921</v>
      </c>
      <c r="AJ42" s="425">
        <v>67.539493000000093</v>
      </c>
      <c r="AK42" s="425">
        <v>67.539493000000093</v>
      </c>
      <c r="AL42" s="425">
        <v>67.539493000000093</v>
      </c>
      <c r="AM42" s="425">
        <v>67.539493000000093</v>
      </c>
      <c r="AN42" s="425">
        <v>67.53949300000022</v>
      </c>
      <c r="AO42" s="425">
        <v>67.53949300000022</v>
      </c>
      <c r="AP42" s="425">
        <v>67.539492999999766</v>
      </c>
      <c r="AQ42" s="425">
        <v>67.539492999999766</v>
      </c>
      <c r="AR42" s="425">
        <v>67.53949300000022</v>
      </c>
      <c r="AS42" s="425">
        <v>67.53949300000022</v>
      </c>
      <c r="AT42" s="425">
        <v>67.53949300000022</v>
      </c>
      <c r="AU42" s="425">
        <v>67.53949300000022</v>
      </c>
      <c r="AV42" s="425">
        <v>67.539492999999766</v>
      </c>
      <c r="AW42" s="425">
        <v>67.539492999999766</v>
      </c>
      <c r="AX42" s="425">
        <v>67.53949300000022</v>
      </c>
      <c r="AY42" s="425">
        <v>67.53949300000022</v>
      </c>
      <c r="AZ42" s="425">
        <v>64.790993000000043</v>
      </c>
      <c r="BA42" s="425">
        <v>64.790993000000043</v>
      </c>
      <c r="BB42" s="425">
        <v>58.063492999999994</v>
      </c>
      <c r="BC42" s="425">
        <v>58.063492999999994</v>
      </c>
      <c r="BD42" s="425">
        <v>58.063492999999994</v>
      </c>
      <c r="BE42" s="425">
        <v>58.063492999999994</v>
      </c>
      <c r="BF42" s="425">
        <v>58.063492999999994</v>
      </c>
      <c r="BG42" s="425">
        <v>58.063492999999994</v>
      </c>
      <c r="BH42" s="425">
        <v>58.063492999999994</v>
      </c>
      <c r="BI42" s="425">
        <v>58.063492999999994</v>
      </c>
      <c r="BJ42" s="425">
        <v>58.063492999999994</v>
      </c>
      <c r="BK42" s="425">
        <v>58.063493000000221</v>
      </c>
      <c r="BL42" s="425">
        <v>58.063492999999653</v>
      </c>
      <c r="BM42" s="425">
        <v>58.063493000000562</v>
      </c>
      <c r="BN42" s="425">
        <v>58.063492999999653</v>
      </c>
      <c r="BO42" s="425">
        <v>58.063492999998743</v>
      </c>
      <c r="BP42" s="425">
        <v>58.063492999998743</v>
      </c>
      <c r="BQ42" s="425">
        <v>58.063492999998743</v>
      </c>
      <c r="BR42" s="425">
        <v>58.063492999998743</v>
      </c>
      <c r="BS42" s="425">
        <v>58.063493000000562</v>
      </c>
      <c r="BT42" s="425">
        <v>58.063492999998743</v>
      </c>
      <c r="BU42" s="426">
        <v>58.063492999998743</v>
      </c>
      <c r="BV42" s="426">
        <v>58.063492999998743</v>
      </c>
      <c r="BW42" s="426">
        <v>58.063492999998743</v>
      </c>
      <c r="BX42" s="426">
        <v>58.063492999999653</v>
      </c>
      <c r="BY42" s="426">
        <v>58.063492999999653</v>
      </c>
      <c r="BZ42" s="426">
        <v>58.063492999999653</v>
      </c>
      <c r="CA42" s="426">
        <v>58.063492999999653</v>
      </c>
      <c r="CB42" s="426">
        <v>58.063492999999653</v>
      </c>
      <c r="CC42" s="426">
        <v>58.043492999999216</v>
      </c>
      <c r="CD42" s="426">
        <v>58.043492999999216</v>
      </c>
      <c r="CE42" s="426">
        <v>58.043492999999216</v>
      </c>
      <c r="CF42" s="426">
        <v>58.043492999999216</v>
      </c>
      <c r="CG42" s="426">
        <v>58.043492999999216</v>
      </c>
      <c r="CH42" s="426">
        <v>58.043492999999216</v>
      </c>
      <c r="CI42" s="426">
        <v>58.043492999999216</v>
      </c>
      <c r="CJ42" s="426">
        <v>58.043492999997397</v>
      </c>
      <c r="CK42" s="426">
        <v>58.043492999999216</v>
      </c>
      <c r="CL42" s="426">
        <v>58.043493000001035</v>
      </c>
      <c r="CM42" s="96">
        <v>58.043492999999216</v>
      </c>
      <c r="CN42" s="96">
        <v>58.043492999999216</v>
      </c>
      <c r="CO42" s="96">
        <v>58.043492999999216</v>
      </c>
      <c r="CP42" s="96">
        <v>58.043492999999216</v>
      </c>
      <c r="CQ42" s="96">
        <v>58.043492999999216</v>
      </c>
      <c r="CR42" s="96">
        <v>58.043492999997397</v>
      </c>
      <c r="CS42" s="96">
        <v>58.043492999997397</v>
      </c>
      <c r="CT42" s="96">
        <v>58.043493000001035</v>
      </c>
      <c r="CU42" s="427">
        <v>58.043492999999216</v>
      </c>
      <c r="CV42" s="427">
        <v>58.043492999999216</v>
      </c>
      <c r="CW42" s="427">
        <v>58.043492999997397</v>
      </c>
      <c r="CX42" s="427">
        <v>58.043492999997397</v>
      </c>
      <c r="CY42" s="427">
        <v>58.043493000001035</v>
      </c>
      <c r="CZ42" s="427">
        <v>58.043493000001035</v>
      </c>
      <c r="DA42" s="427">
        <v>58.043493000001035</v>
      </c>
      <c r="DB42" s="427">
        <v>58.043493000001035</v>
      </c>
      <c r="DC42" s="427">
        <v>58.043493000001035</v>
      </c>
      <c r="DD42" s="427">
        <v>58.043493000001035</v>
      </c>
      <c r="DE42" s="427">
        <v>58.043493000001035</v>
      </c>
      <c r="DF42" s="427">
        <v>58.043493000001035</v>
      </c>
      <c r="DG42" s="427">
        <v>58.043493000001035</v>
      </c>
      <c r="DH42" s="427">
        <v>58.043493000001035</v>
      </c>
      <c r="DI42" s="427">
        <v>58.043492999997397</v>
      </c>
      <c r="DJ42" s="427">
        <v>58.043492999999216</v>
      </c>
      <c r="DK42" s="427">
        <v>58.043492999999216</v>
      </c>
      <c r="DL42" s="427">
        <v>58.043492999999216</v>
      </c>
      <c r="DM42" s="427">
        <v>58.043492999999216</v>
      </c>
      <c r="DN42" s="427">
        <v>58.043492999999216</v>
      </c>
      <c r="DO42" s="427">
        <v>58.043493000001035</v>
      </c>
      <c r="DP42" s="427">
        <v>58.043492999999216</v>
      </c>
      <c r="DQ42" s="427">
        <v>58.043492999997397</v>
      </c>
      <c r="DR42" s="427">
        <v>58.043492999997397</v>
      </c>
      <c r="DS42" s="427">
        <v>58.043492999997397</v>
      </c>
      <c r="DT42" s="427">
        <v>58.043492999999216</v>
      </c>
      <c r="DU42" s="427">
        <v>58.043493000001035</v>
      </c>
      <c r="DV42" s="427">
        <v>58.043492999997397</v>
      </c>
      <c r="DW42" s="427">
        <v>58.043492999999216</v>
      </c>
      <c r="DX42" s="427">
        <v>58.043492999999216</v>
      </c>
      <c r="DY42" s="427">
        <v>58.043493000000126</v>
      </c>
      <c r="DZ42" s="427">
        <v>58.043493000001035</v>
      </c>
      <c r="EA42" s="427">
        <v>58.043492999999216</v>
      </c>
      <c r="EB42" s="427">
        <v>58.043493000001035</v>
      </c>
      <c r="EC42" s="427">
        <v>58.043493000001035</v>
      </c>
      <c r="ED42" s="427">
        <v>58.043493000000126</v>
      </c>
      <c r="EE42" s="427">
        <v>58.043492999999216</v>
      </c>
      <c r="EF42" s="427">
        <v>58.043492999999216</v>
      </c>
      <c r="EG42" s="427">
        <v>58.043492999999216</v>
      </c>
      <c r="EH42" s="427">
        <v>58.043493000000126</v>
      </c>
      <c r="EI42" s="427">
        <v>58.043493000000126</v>
      </c>
      <c r="EJ42" s="427">
        <v>58.043493000000126</v>
      </c>
      <c r="EK42" s="427">
        <v>58.043493000000126</v>
      </c>
    </row>
    <row r="43" spans="1:141" ht="16.5" customHeight="1" x14ac:dyDescent="0.3">
      <c r="A43" s="95" t="s">
        <v>954</v>
      </c>
      <c r="B43" s="95" t="s">
        <v>950</v>
      </c>
      <c r="C43" s="425">
        <v>0</v>
      </c>
      <c r="D43" s="425">
        <v>0</v>
      </c>
      <c r="E43" s="425">
        <v>3000</v>
      </c>
      <c r="F43" s="425">
        <v>1700</v>
      </c>
      <c r="G43" s="425">
        <v>0</v>
      </c>
      <c r="H43" s="425">
        <v>2000</v>
      </c>
      <c r="I43" s="425">
        <v>0</v>
      </c>
      <c r="J43" s="425">
        <v>0</v>
      </c>
      <c r="K43" s="425">
        <v>0</v>
      </c>
      <c r="L43" s="425">
        <v>0</v>
      </c>
      <c r="M43" s="425">
        <v>0</v>
      </c>
      <c r="N43" s="425">
        <v>0</v>
      </c>
      <c r="O43" s="425">
        <v>0</v>
      </c>
      <c r="P43" s="425">
        <v>0</v>
      </c>
      <c r="Q43" s="425">
        <v>0</v>
      </c>
      <c r="R43" s="425">
        <v>0</v>
      </c>
      <c r="S43" s="425">
        <v>0</v>
      </c>
      <c r="T43" s="425">
        <v>0</v>
      </c>
      <c r="U43" s="425">
        <v>0</v>
      </c>
      <c r="V43" s="425">
        <v>0</v>
      </c>
      <c r="W43" s="425">
        <v>0</v>
      </c>
      <c r="X43" s="425">
        <v>0</v>
      </c>
      <c r="Y43" s="425">
        <v>0</v>
      </c>
      <c r="Z43" s="425">
        <v>0</v>
      </c>
      <c r="AA43" s="425">
        <v>0</v>
      </c>
      <c r="AB43" s="425">
        <v>0</v>
      </c>
      <c r="AC43" s="425">
        <v>0</v>
      </c>
      <c r="AD43" s="425">
        <v>0</v>
      </c>
      <c r="AE43" s="425">
        <v>0</v>
      </c>
      <c r="AF43" s="425">
        <v>0</v>
      </c>
      <c r="AG43" s="425">
        <v>3.5150000000000001</v>
      </c>
      <c r="AH43" s="425">
        <v>3.5150000000000001</v>
      </c>
      <c r="AI43" s="425">
        <v>3.5150000000000001</v>
      </c>
      <c r="AJ43" s="425">
        <v>3.5150000000000001</v>
      </c>
      <c r="AK43" s="425">
        <v>3.5150000000000001</v>
      </c>
      <c r="AL43" s="425">
        <v>3.5150000000000001</v>
      </c>
      <c r="AM43" s="425">
        <v>3.5150000000000001</v>
      </c>
      <c r="AN43" s="425">
        <v>0</v>
      </c>
      <c r="AO43" s="425">
        <v>0</v>
      </c>
      <c r="AP43" s="425">
        <v>0</v>
      </c>
      <c r="AQ43" s="425">
        <v>0</v>
      </c>
      <c r="AR43" s="425">
        <v>0</v>
      </c>
      <c r="AS43" s="425">
        <v>0</v>
      </c>
      <c r="AT43" s="425">
        <v>0</v>
      </c>
      <c r="AU43" s="425">
        <v>0</v>
      </c>
      <c r="AV43" s="425">
        <v>0</v>
      </c>
      <c r="AW43" s="425">
        <v>0</v>
      </c>
      <c r="AX43" s="425">
        <v>0</v>
      </c>
      <c r="AY43" s="425">
        <v>0</v>
      </c>
      <c r="AZ43" s="425">
        <v>107.143967</v>
      </c>
      <c r="BA43" s="425">
        <v>107.143967</v>
      </c>
      <c r="BB43" s="425">
        <v>110.743967</v>
      </c>
      <c r="BC43" s="425">
        <v>110.743967</v>
      </c>
      <c r="BD43" s="425">
        <v>110.743967</v>
      </c>
      <c r="BE43" s="425">
        <v>110.743967</v>
      </c>
      <c r="BF43" s="425">
        <v>110.743967</v>
      </c>
      <c r="BG43" s="425">
        <v>110.743967</v>
      </c>
      <c r="BH43" s="425">
        <v>110.743967</v>
      </c>
      <c r="BI43" s="425">
        <v>110.743967</v>
      </c>
      <c r="BJ43" s="425">
        <v>110.743967</v>
      </c>
      <c r="BK43" s="425">
        <v>672.12896699999999</v>
      </c>
      <c r="BL43" s="425">
        <v>1420.1289670000001</v>
      </c>
      <c r="BM43" s="425">
        <v>2530.1989669999998</v>
      </c>
      <c r="BN43" s="425">
        <v>2530.1989669999998</v>
      </c>
      <c r="BO43" s="425">
        <v>4521.643967</v>
      </c>
      <c r="BP43" s="425">
        <v>5499.643967</v>
      </c>
      <c r="BQ43" s="425">
        <v>5749.643967</v>
      </c>
      <c r="BR43" s="425">
        <v>5992.1999669999996</v>
      </c>
      <c r="BS43" s="425">
        <v>6595.6999669999996</v>
      </c>
      <c r="BT43" s="425">
        <v>7295.6999669999996</v>
      </c>
      <c r="BU43" s="426">
        <v>7395.6999669999996</v>
      </c>
      <c r="BV43" s="426">
        <v>7395.6999669999996</v>
      </c>
      <c r="BW43" s="426">
        <v>7872.0149670000001</v>
      </c>
      <c r="BX43" s="426">
        <v>8252.3649669999995</v>
      </c>
      <c r="BY43" s="426">
        <v>8102.2949669999998</v>
      </c>
      <c r="BZ43" s="426">
        <v>8102.2949669999998</v>
      </c>
      <c r="CA43" s="426">
        <v>7110.8499670000001</v>
      </c>
      <c r="CB43" s="426">
        <v>9557.3649669999995</v>
      </c>
      <c r="CC43" s="426">
        <v>9307.3649669999995</v>
      </c>
      <c r="CD43" s="426">
        <v>9416.8089670000008</v>
      </c>
      <c r="CE43" s="426">
        <v>10346.044967</v>
      </c>
      <c r="CF43" s="426">
        <v>9646.0449669999998</v>
      </c>
      <c r="CG43" s="426">
        <v>9546.0449669999998</v>
      </c>
      <c r="CH43" s="426">
        <v>10451.044967</v>
      </c>
      <c r="CI43" s="426">
        <v>11924.905467</v>
      </c>
      <c r="CJ43" s="426">
        <v>10731.655467</v>
      </c>
      <c r="CK43" s="426">
        <v>11191.655467</v>
      </c>
      <c r="CL43" s="426">
        <v>11191.655467</v>
      </c>
      <c r="CM43" s="96">
        <v>12768.655467</v>
      </c>
      <c r="CN43" s="96">
        <v>10044.625467</v>
      </c>
      <c r="CO43" s="96">
        <v>10044.625467</v>
      </c>
      <c r="CP43" s="96">
        <v>11186.625467</v>
      </c>
      <c r="CQ43" s="96">
        <v>9653.8894670000009</v>
      </c>
      <c r="CR43" s="96">
        <v>9653.8894670000009</v>
      </c>
      <c r="CS43" s="96">
        <v>9653.8894670000009</v>
      </c>
      <c r="CT43" s="96">
        <v>9768.8894670000009</v>
      </c>
      <c r="CU43" s="427">
        <v>10230.889467000001</v>
      </c>
      <c r="CV43" s="427">
        <v>11368.528967</v>
      </c>
      <c r="CW43" s="427">
        <v>13816.428967</v>
      </c>
      <c r="CX43" s="427">
        <v>16379.928967</v>
      </c>
      <c r="CY43" s="427">
        <v>19977.928967</v>
      </c>
      <c r="CZ43" s="427">
        <v>19791.643967</v>
      </c>
      <c r="DA43" s="427">
        <v>19791.643967</v>
      </c>
      <c r="DB43" s="427">
        <v>18297.643967</v>
      </c>
      <c r="DC43" s="427">
        <v>18297.643967</v>
      </c>
      <c r="DD43" s="427">
        <v>18297.643967</v>
      </c>
      <c r="DE43" s="427">
        <v>18297.643967</v>
      </c>
      <c r="DF43" s="427">
        <v>17776.599999999999</v>
      </c>
      <c r="DG43" s="427">
        <v>17115.099999999999</v>
      </c>
      <c r="DH43" s="427">
        <v>14941.5</v>
      </c>
      <c r="DI43" s="427">
        <v>13073.6</v>
      </c>
      <c r="DJ43" s="427">
        <v>11206.1</v>
      </c>
      <c r="DK43" s="427">
        <v>7031.1</v>
      </c>
      <c r="DL43" s="427">
        <v>12755.5</v>
      </c>
      <c r="DM43" s="427">
        <v>13834</v>
      </c>
      <c r="DN43" s="427">
        <v>13834</v>
      </c>
      <c r="DO43" s="427">
        <v>13834</v>
      </c>
      <c r="DP43" s="427">
        <v>13834</v>
      </c>
      <c r="DQ43" s="427">
        <v>13834</v>
      </c>
      <c r="DR43" s="427">
        <v>13318</v>
      </c>
      <c r="DS43" s="427">
        <v>13275.125017049999</v>
      </c>
      <c r="DT43" s="427">
        <v>12313.25375276</v>
      </c>
      <c r="DU43" s="427">
        <v>16580.801586450001</v>
      </c>
      <c r="DV43" s="427">
        <v>15854.56872589</v>
      </c>
      <c r="DW43" s="427">
        <v>15730.90950799</v>
      </c>
      <c r="DX43" s="427">
        <v>11530.497614720001</v>
      </c>
      <c r="DY43" s="427">
        <v>6553.0682191800006</v>
      </c>
      <c r="DZ43" s="427">
        <v>6571.6554794599997</v>
      </c>
      <c r="EA43" s="427">
        <v>6589.64315068</v>
      </c>
      <c r="EB43" s="427">
        <v>6608.2304109699999</v>
      </c>
      <c r="EC43" s="427">
        <v>6626.2180821899992</v>
      </c>
      <c r="ED43" s="427">
        <v>6644.8053424600002</v>
      </c>
      <c r="EE43" s="427">
        <v>6663.3926027399993</v>
      </c>
      <c r="EF43" s="427">
        <v>6680.1810958900005</v>
      </c>
      <c r="EG43" s="427">
        <v>4624.5683561599999</v>
      </c>
      <c r="EH43" s="427">
        <v>4636.5560273999999</v>
      </c>
      <c r="EI43" s="427">
        <v>2570.6643835599998</v>
      </c>
      <c r="EJ43" s="427">
        <v>0</v>
      </c>
      <c r="EK43" s="427">
        <v>0</v>
      </c>
    </row>
    <row r="44" spans="1:141" ht="16.5" customHeight="1" x14ac:dyDescent="0.3">
      <c r="A44" s="95"/>
      <c r="B44" s="95"/>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23"/>
      <c r="BV44" s="423"/>
      <c r="BW44" s="423"/>
      <c r="BX44" s="423"/>
      <c r="BY44" s="423"/>
      <c r="BZ44" s="423"/>
      <c r="CA44" s="423"/>
      <c r="CB44" s="423"/>
      <c r="CC44" s="423"/>
      <c r="CD44" s="423"/>
      <c r="CE44" s="423"/>
      <c r="CF44" s="423"/>
      <c r="CG44" s="423"/>
      <c r="CH44" s="423"/>
      <c r="CI44" s="423"/>
      <c r="CJ44" s="423"/>
      <c r="CK44" s="423"/>
      <c r="CL44" s="423"/>
      <c r="CM44" s="92"/>
      <c r="CN44" s="92"/>
      <c r="CO44" s="92"/>
      <c r="CP44" s="92"/>
      <c r="CQ44" s="92"/>
      <c r="CR44" s="92"/>
      <c r="CS44" s="92"/>
      <c r="CT44" s="92"/>
      <c r="CU44" s="424"/>
      <c r="CV44" s="424"/>
      <c r="CW44" s="424"/>
      <c r="CX44" s="424"/>
      <c r="CY44" s="424"/>
      <c r="CZ44" s="424"/>
      <c r="DA44" s="424"/>
      <c r="DB44" s="424"/>
      <c r="DC44" s="424"/>
      <c r="DD44" s="424"/>
      <c r="DE44" s="424"/>
      <c r="DF44" s="424"/>
      <c r="DG44" s="424"/>
      <c r="DH44" s="424"/>
      <c r="DI44" s="424"/>
      <c r="DJ44" s="424"/>
      <c r="DK44" s="424"/>
      <c r="DL44" s="424"/>
      <c r="DM44" s="424"/>
      <c r="DN44" s="424"/>
      <c r="DO44" s="424"/>
      <c r="DP44" s="424"/>
      <c r="DQ44" s="424"/>
      <c r="DR44" s="424"/>
      <c r="DS44" s="424"/>
      <c r="DT44" s="424"/>
      <c r="DU44" s="424"/>
      <c r="DV44" s="424"/>
      <c r="DW44" s="424"/>
      <c r="DX44" s="424"/>
      <c r="DY44" s="424"/>
      <c r="DZ44" s="424"/>
      <c r="EA44" s="424"/>
      <c r="EB44" s="424"/>
      <c r="EC44" s="424"/>
      <c r="ED44" s="424"/>
      <c r="EE44" s="424"/>
      <c r="EF44" s="424"/>
      <c r="EG44" s="424"/>
      <c r="EH44" s="424"/>
      <c r="EI44" s="424"/>
      <c r="EJ44" s="424"/>
      <c r="EK44" s="424"/>
    </row>
    <row r="45" spans="1:141" ht="16.5" customHeight="1" x14ac:dyDescent="0.3">
      <c r="A45" s="93" t="s">
        <v>165</v>
      </c>
      <c r="B45" s="93" t="s">
        <v>955</v>
      </c>
      <c r="C45" s="419">
        <v>0</v>
      </c>
      <c r="D45" s="419">
        <v>0</v>
      </c>
      <c r="E45" s="419">
        <v>0</v>
      </c>
      <c r="F45" s="419">
        <v>0</v>
      </c>
      <c r="G45" s="419">
        <v>0</v>
      </c>
      <c r="H45" s="419">
        <v>0</v>
      </c>
      <c r="I45" s="419">
        <v>0</v>
      </c>
      <c r="J45" s="419">
        <v>303.74899999999991</v>
      </c>
      <c r="K45" s="419">
        <v>502.16046600000004</v>
      </c>
      <c r="L45" s="419">
        <v>502.16046600000004</v>
      </c>
      <c r="M45" s="419">
        <v>502.16046600000004</v>
      </c>
      <c r="N45" s="419">
        <v>477.37821600000007</v>
      </c>
      <c r="O45" s="419">
        <v>522.35433200000011</v>
      </c>
      <c r="P45" s="419">
        <v>563.02008699999988</v>
      </c>
      <c r="Q45" s="419">
        <v>709.01456599999983</v>
      </c>
      <c r="R45" s="419">
        <v>760.30179399999975</v>
      </c>
      <c r="S45" s="419">
        <v>957.91281299999991</v>
      </c>
      <c r="T45" s="419">
        <v>1111.7664229999998</v>
      </c>
      <c r="U45" s="419">
        <v>1421.1139969999999</v>
      </c>
      <c r="V45" s="419">
        <v>1345.9546740000001</v>
      </c>
      <c r="W45" s="419">
        <v>1097.4000299999998</v>
      </c>
      <c r="X45" s="419">
        <v>1147.5015679999997</v>
      </c>
      <c r="Y45" s="419">
        <v>1074.3758809999999</v>
      </c>
      <c r="Z45" s="419">
        <v>973.89911399999983</v>
      </c>
      <c r="AA45" s="419">
        <v>987.01167250000026</v>
      </c>
      <c r="AB45" s="419">
        <v>987.61469880999994</v>
      </c>
      <c r="AC45" s="419">
        <v>987.90412218000029</v>
      </c>
      <c r="AD45" s="419">
        <v>964.24856999999986</v>
      </c>
      <c r="AE45" s="419">
        <v>815.01807333999989</v>
      </c>
      <c r="AF45" s="419">
        <v>829.00589168999988</v>
      </c>
      <c r="AG45" s="419">
        <v>879.56600669000034</v>
      </c>
      <c r="AH45" s="419">
        <v>783.56822769379312</v>
      </c>
      <c r="AI45" s="419">
        <v>728.4015081</v>
      </c>
      <c r="AJ45" s="419">
        <v>626.68072635999999</v>
      </c>
      <c r="AK45" s="419">
        <v>702.04092421000007</v>
      </c>
      <c r="AL45" s="419">
        <v>860.31270639999991</v>
      </c>
      <c r="AM45" s="419">
        <v>1136.02626151</v>
      </c>
      <c r="AN45" s="419">
        <v>1214.9587380400001</v>
      </c>
      <c r="AO45" s="419">
        <v>2300.1123070199992</v>
      </c>
      <c r="AP45" s="419">
        <v>2583.8162419999999</v>
      </c>
      <c r="AQ45" s="419">
        <v>2828.7816888536649</v>
      </c>
      <c r="AR45" s="419">
        <v>2783.8348632041857</v>
      </c>
      <c r="AS45" s="419">
        <v>2614.354993311681</v>
      </c>
      <c r="AT45" s="419">
        <v>2994.8673294889336</v>
      </c>
      <c r="AU45" s="419">
        <v>2660.8722954435084</v>
      </c>
      <c r="AV45" s="419">
        <v>2610.2756306442334</v>
      </c>
      <c r="AW45" s="419">
        <v>2571.964406937097</v>
      </c>
      <c r="AX45" s="419">
        <v>1818.6549297441982</v>
      </c>
      <c r="AY45" s="419">
        <v>1566.6874621341976</v>
      </c>
      <c r="AZ45" s="419">
        <v>1518.7520036264834</v>
      </c>
      <c r="BA45" s="419">
        <v>1626.8607322698992</v>
      </c>
      <c r="BB45" s="419">
        <v>1542.129128801779</v>
      </c>
      <c r="BC45" s="419">
        <v>1945.7750698424302</v>
      </c>
      <c r="BD45" s="419">
        <v>1906.2233462202012</v>
      </c>
      <c r="BE45" s="419">
        <v>1931.966328434846</v>
      </c>
      <c r="BF45" s="419">
        <v>1845.619172527418</v>
      </c>
      <c r="BG45" s="419">
        <v>1813.8576627535981</v>
      </c>
      <c r="BH45" s="419">
        <v>1809.8412517385532</v>
      </c>
      <c r="BI45" s="419">
        <v>1933.8905259506596</v>
      </c>
      <c r="BJ45" s="419">
        <v>1977.8356894148478</v>
      </c>
      <c r="BK45" s="419">
        <v>3104.4042453554771</v>
      </c>
      <c r="BL45" s="419">
        <v>3130.5526144907531</v>
      </c>
      <c r="BM45" s="419">
        <v>3028.5484233272427</v>
      </c>
      <c r="BN45" s="419">
        <v>2193.1226852449554</v>
      </c>
      <c r="BO45" s="419">
        <v>2056.4769072711374</v>
      </c>
      <c r="BP45" s="419">
        <v>1994.7740961039547</v>
      </c>
      <c r="BQ45" s="419">
        <v>2292.4223185635105</v>
      </c>
      <c r="BR45" s="419">
        <v>2822.8377000452147</v>
      </c>
      <c r="BS45" s="419">
        <v>2768.742620551197</v>
      </c>
      <c r="BT45" s="419">
        <v>2615.7408358037405</v>
      </c>
      <c r="BU45" s="420">
        <v>2820.2200533702671</v>
      </c>
      <c r="BV45" s="420">
        <v>3023.7572276985466</v>
      </c>
      <c r="BW45" s="420">
        <v>2943.8292142852647</v>
      </c>
      <c r="BX45" s="420">
        <v>3494.0050491976053</v>
      </c>
      <c r="BY45" s="420">
        <v>3737.6449013561714</v>
      </c>
      <c r="BZ45" s="420">
        <v>3818.8879124726454</v>
      </c>
      <c r="CA45" s="420">
        <v>3717.5430564371454</v>
      </c>
      <c r="CB45" s="420">
        <v>3862.37316478393</v>
      </c>
      <c r="CC45" s="420">
        <v>3937.9001757329943</v>
      </c>
      <c r="CD45" s="420">
        <v>3878.4306242567982</v>
      </c>
      <c r="CE45" s="420">
        <v>3977.0592322756002</v>
      </c>
      <c r="CF45" s="420">
        <v>3977.6923143762651</v>
      </c>
      <c r="CG45" s="420">
        <v>3978.3049744780105</v>
      </c>
      <c r="CH45" s="420">
        <v>4091.5779306704781</v>
      </c>
      <c r="CI45" s="420">
        <v>3914.7414449115086</v>
      </c>
      <c r="CJ45" s="420">
        <v>4110.653918095888</v>
      </c>
      <c r="CK45" s="420">
        <v>4220.9722888364267</v>
      </c>
      <c r="CL45" s="420">
        <v>4175.4147896630084</v>
      </c>
      <c r="CM45" s="94">
        <v>4084.4765281324408</v>
      </c>
      <c r="CN45" s="94">
        <v>4954.407946356785</v>
      </c>
      <c r="CO45" s="94">
        <v>5404.7101411440644</v>
      </c>
      <c r="CP45" s="94">
        <v>5010.1609060732771</v>
      </c>
      <c r="CQ45" s="94">
        <v>4981.4208065471712</v>
      </c>
      <c r="CR45" s="94">
        <v>5709.8381471048251</v>
      </c>
      <c r="CS45" s="94">
        <v>5708.0453873663128</v>
      </c>
      <c r="CT45" s="94">
        <v>5489.1077501127265</v>
      </c>
      <c r="CU45" s="421">
        <v>5513.8183068044691</v>
      </c>
      <c r="CV45" s="421">
        <v>7413.2134494217898</v>
      </c>
      <c r="CW45" s="421">
        <v>12594.456361176315</v>
      </c>
      <c r="CX45" s="421">
        <v>15510.233448907273</v>
      </c>
      <c r="CY45" s="421">
        <v>17476.41340155217</v>
      </c>
      <c r="CZ45" s="421">
        <v>18257.213084227442</v>
      </c>
      <c r="DA45" s="421">
        <v>19889.706420076684</v>
      </c>
      <c r="DB45" s="421">
        <v>19022.095143053666</v>
      </c>
      <c r="DC45" s="421">
        <v>20358.470923741927</v>
      </c>
      <c r="DD45" s="421">
        <v>20875.81786602833</v>
      </c>
      <c r="DE45" s="421">
        <v>20263.142446436872</v>
      </c>
      <c r="DF45" s="421">
        <v>21899.842264582279</v>
      </c>
      <c r="DG45" s="421">
        <v>21850.370016168483</v>
      </c>
      <c r="DH45" s="421">
        <v>23248.572223132323</v>
      </c>
      <c r="DI45" s="421">
        <v>24828.777496793307</v>
      </c>
      <c r="DJ45" s="421">
        <v>25147.064418188154</v>
      </c>
      <c r="DK45" s="421">
        <v>24904.207664737729</v>
      </c>
      <c r="DL45" s="421">
        <v>26982.781655601542</v>
      </c>
      <c r="DM45" s="421">
        <v>27150.945244588518</v>
      </c>
      <c r="DN45" s="421">
        <v>27059.47992788527</v>
      </c>
      <c r="DO45" s="421">
        <v>26345.787149204461</v>
      </c>
      <c r="DP45" s="421">
        <v>26795.295921734403</v>
      </c>
      <c r="DQ45" s="421">
        <v>26450.778124003409</v>
      </c>
      <c r="DR45" s="421">
        <v>26822.853961766399</v>
      </c>
      <c r="DS45" s="421">
        <v>26859.219633909466</v>
      </c>
      <c r="DT45" s="421">
        <v>24636.230833551264</v>
      </c>
      <c r="DU45" s="421">
        <v>23424.709441082585</v>
      </c>
      <c r="DV45" s="421">
        <v>22177.866305366384</v>
      </c>
      <c r="DW45" s="421">
        <v>19227.589534369341</v>
      </c>
      <c r="DX45" s="421">
        <v>18843.372285949888</v>
      </c>
      <c r="DY45" s="421">
        <v>19201.188432612289</v>
      </c>
      <c r="DZ45" s="421">
        <v>18736.923989354444</v>
      </c>
      <c r="EA45" s="421">
        <v>19016.635811612556</v>
      </c>
      <c r="EB45" s="421">
        <v>21450.662145877915</v>
      </c>
      <c r="EC45" s="421">
        <v>21751.216181135442</v>
      </c>
      <c r="ED45" s="421">
        <v>20031.561868459889</v>
      </c>
      <c r="EE45" s="421">
        <v>20614.299203660394</v>
      </c>
      <c r="EF45" s="421">
        <v>19879.918539375511</v>
      </c>
      <c r="EG45" s="421">
        <v>15883.987602071098</v>
      </c>
      <c r="EH45" s="421">
        <v>13557.896337997494</v>
      </c>
      <c r="EI45" s="421">
        <v>12828.920650047221</v>
      </c>
      <c r="EJ45" s="421">
        <v>12653.919407783218</v>
      </c>
      <c r="EK45" s="421">
        <v>12246.044642381976</v>
      </c>
    </row>
    <row r="46" spans="1:141" ht="16.5" customHeight="1" x14ac:dyDescent="0.3">
      <c r="A46" s="95"/>
      <c r="B46" s="95"/>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23"/>
      <c r="BV46" s="423"/>
      <c r="BW46" s="423"/>
      <c r="BX46" s="423"/>
      <c r="BY46" s="423"/>
      <c r="BZ46" s="423"/>
      <c r="CA46" s="423"/>
      <c r="CB46" s="423"/>
      <c r="CC46" s="423"/>
      <c r="CD46" s="423"/>
      <c r="CE46" s="423"/>
      <c r="CF46" s="423"/>
      <c r="CG46" s="423"/>
      <c r="CH46" s="423"/>
      <c r="CI46" s="423"/>
      <c r="CJ46" s="423"/>
      <c r="CK46" s="423"/>
      <c r="CL46" s="423"/>
      <c r="CM46" s="92"/>
      <c r="CN46" s="92"/>
      <c r="CO46" s="92"/>
      <c r="CP46" s="92"/>
      <c r="CQ46" s="92"/>
      <c r="CR46" s="92"/>
      <c r="CS46" s="92"/>
      <c r="CT46" s="92"/>
      <c r="CU46" s="424"/>
      <c r="CV46" s="424"/>
      <c r="CW46" s="424"/>
      <c r="CX46" s="424"/>
      <c r="CY46" s="424"/>
      <c r="CZ46" s="424"/>
      <c r="DA46" s="424"/>
      <c r="DB46" s="424"/>
      <c r="DC46" s="424"/>
      <c r="DD46" s="424"/>
      <c r="DE46" s="424"/>
      <c r="DF46" s="424"/>
      <c r="DG46" s="424"/>
      <c r="DH46" s="424"/>
      <c r="DI46" s="424"/>
      <c r="DJ46" s="424"/>
      <c r="DK46" s="424"/>
      <c r="DL46" s="424"/>
      <c r="DM46" s="424"/>
      <c r="DN46" s="424"/>
      <c r="DO46" s="424"/>
      <c r="DP46" s="424"/>
      <c r="DQ46" s="424"/>
      <c r="DR46" s="424"/>
      <c r="DS46" s="424"/>
      <c r="DT46" s="424"/>
      <c r="DU46" s="424"/>
      <c r="DV46" s="424"/>
      <c r="DW46" s="424"/>
      <c r="DX46" s="424"/>
      <c r="DY46" s="424"/>
      <c r="DZ46" s="424"/>
      <c r="EA46" s="424"/>
      <c r="EB46" s="424"/>
      <c r="EC46" s="424"/>
      <c r="ED46" s="424"/>
      <c r="EE46" s="424"/>
      <c r="EF46" s="424"/>
      <c r="EG46" s="424"/>
      <c r="EH46" s="424"/>
      <c r="EI46" s="424"/>
      <c r="EJ46" s="424"/>
      <c r="EK46" s="424"/>
    </row>
    <row r="47" spans="1:141" ht="16.5" customHeight="1" x14ac:dyDescent="0.3">
      <c r="A47" s="93" t="s">
        <v>166</v>
      </c>
      <c r="B47" s="93" t="s">
        <v>956</v>
      </c>
      <c r="C47" s="419">
        <v>0.97697899999999993</v>
      </c>
      <c r="D47" s="419">
        <v>0.97697899999999993</v>
      </c>
      <c r="E47" s="419">
        <v>0.97697899999999993</v>
      </c>
      <c r="F47" s="419">
        <v>0.97697899999999993</v>
      </c>
      <c r="G47" s="419">
        <v>700.304979</v>
      </c>
      <c r="H47" s="419">
        <v>0.97697899999999993</v>
      </c>
      <c r="I47" s="419">
        <v>0.97697899999999993</v>
      </c>
      <c r="J47" s="419">
        <v>1949.5115290000001</v>
      </c>
      <c r="K47" s="419">
        <v>6727.3778899999998</v>
      </c>
      <c r="L47" s="419">
        <v>6727.3778899999998</v>
      </c>
      <c r="M47" s="419">
        <v>6727.3778899999998</v>
      </c>
      <c r="N47" s="419">
        <v>5101.1285029999999</v>
      </c>
      <c r="O47" s="419">
        <v>5899.3738249999997</v>
      </c>
      <c r="P47" s="419">
        <v>7178.258124</v>
      </c>
      <c r="Q47" s="419">
        <v>6962.9102419999999</v>
      </c>
      <c r="R47" s="419">
        <v>7176.5287470000003</v>
      </c>
      <c r="S47" s="419">
        <v>8050.2318850000011</v>
      </c>
      <c r="T47" s="419">
        <v>9350.0623379999997</v>
      </c>
      <c r="U47" s="419">
        <v>10061.164205000001</v>
      </c>
      <c r="V47" s="419">
        <v>9783.8574340000014</v>
      </c>
      <c r="W47" s="419">
        <v>8884.4224610000001</v>
      </c>
      <c r="X47" s="419">
        <v>8906.7630180000015</v>
      </c>
      <c r="Y47" s="419">
        <v>8989.1163437203486</v>
      </c>
      <c r="Z47" s="419">
        <v>7621.8026020000007</v>
      </c>
      <c r="AA47" s="419">
        <v>8098.1933754899992</v>
      </c>
      <c r="AB47" s="419">
        <v>8103.3600904899986</v>
      </c>
      <c r="AC47" s="419">
        <v>7987.70630239</v>
      </c>
      <c r="AD47" s="419">
        <v>7666.8660758100004</v>
      </c>
      <c r="AE47" s="419">
        <v>7059.1474340511413</v>
      </c>
      <c r="AF47" s="419">
        <v>6924.8333079799986</v>
      </c>
      <c r="AG47" s="419">
        <v>6810.575498449999</v>
      </c>
      <c r="AH47" s="419">
        <v>5899.4714549999999</v>
      </c>
      <c r="AI47" s="419">
        <v>5548.3711433400003</v>
      </c>
      <c r="AJ47" s="419">
        <v>5151.53506191</v>
      </c>
      <c r="AK47" s="419">
        <v>5432.9948068099993</v>
      </c>
      <c r="AL47" s="419">
        <v>5650.9292838000001</v>
      </c>
      <c r="AM47" s="419">
        <v>8292.3251740800006</v>
      </c>
      <c r="AN47" s="419">
        <v>8229.7347259200014</v>
      </c>
      <c r="AO47" s="419">
        <v>10911.038199100001</v>
      </c>
      <c r="AP47" s="419">
        <v>12400.236332000002</v>
      </c>
      <c r="AQ47" s="419">
        <v>14397.987373506336</v>
      </c>
      <c r="AR47" s="419">
        <v>15073.430049965815</v>
      </c>
      <c r="AS47" s="419">
        <v>14639.647727208319</v>
      </c>
      <c r="AT47" s="419">
        <v>16841.729297471069</v>
      </c>
      <c r="AU47" s="419">
        <v>16527.854840426491</v>
      </c>
      <c r="AV47" s="419">
        <v>16256.050535835768</v>
      </c>
      <c r="AW47" s="419">
        <v>16006.596918962901</v>
      </c>
      <c r="AX47" s="419">
        <v>14816.341808295803</v>
      </c>
      <c r="AY47" s="419">
        <v>15805.867442425804</v>
      </c>
      <c r="AZ47" s="419">
        <v>16853.601829623516</v>
      </c>
      <c r="BA47" s="419">
        <v>19037.1664735501</v>
      </c>
      <c r="BB47" s="419">
        <v>19558.669342488218</v>
      </c>
      <c r="BC47" s="419">
        <v>21690.958455277567</v>
      </c>
      <c r="BD47" s="419">
        <v>21769.819955249801</v>
      </c>
      <c r="BE47" s="419">
        <v>20515.969835745153</v>
      </c>
      <c r="BF47" s="419">
        <v>18707.384725992579</v>
      </c>
      <c r="BG47" s="419">
        <v>17194.662906816404</v>
      </c>
      <c r="BH47" s="419">
        <v>17534.395552451446</v>
      </c>
      <c r="BI47" s="419">
        <v>21430.804232799339</v>
      </c>
      <c r="BJ47" s="419">
        <v>21819.989235755154</v>
      </c>
      <c r="BK47" s="419">
        <v>18820.833436914523</v>
      </c>
      <c r="BL47" s="419">
        <v>17561.064038939247</v>
      </c>
      <c r="BM47" s="419">
        <v>16093.248044462756</v>
      </c>
      <c r="BN47" s="419">
        <v>16303.566108505043</v>
      </c>
      <c r="BO47" s="419">
        <v>20072.59277831886</v>
      </c>
      <c r="BP47" s="419">
        <v>24761.408888216043</v>
      </c>
      <c r="BQ47" s="419">
        <v>26468.822463576485</v>
      </c>
      <c r="BR47" s="419">
        <v>29083.29511164478</v>
      </c>
      <c r="BS47" s="419">
        <v>28252.173220278808</v>
      </c>
      <c r="BT47" s="419">
        <v>27482.686239086255</v>
      </c>
      <c r="BU47" s="420">
        <v>26705.459534849728</v>
      </c>
      <c r="BV47" s="420">
        <v>26211.022620811455</v>
      </c>
      <c r="BW47" s="420">
        <v>27696.718761614735</v>
      </c>
      <c r="BX47" s="420">
        <v>28651.598215942391</v>
      </c>
      <c r="BY47" s="420">
        <v>30398.692709023828</v>
      </c>
      <c r="BZ47" s="420">
        <v>30329.007969927352</v>
      </c>
      <c r="CA47" s="420">
        <v>29634.729211632854</v>
      </c>
      <c r="CB47" s="420">
        <v>31971.949978656074</v>
      </c>
      <c r="CC47" s="420">
        <v>31905.269878307008</v>
      </c>
      <c r="CD47" s="420">
        <v>30472.831746993201</v>
      </c>
      <c r="CE47" s="420">
        <v>30379.934940104398</v>
      </c>
      <c r="CF47" s="420">
        <v>30385.224719153735</v>
      </c>
      <c r="CG47" s="420">
        <v>30390.343860181991</v>
      </c>
      <c r="CH47" s="420">
        <v>30282.993765139523</v>
      </c>
      <c r="CI47" s="420">
        <v>31546.103834498485</v>
      </c>
      <c r="CJ47" s="420">
        <v>32860.470528294114</v>
      </c>
      <c r="CK47" s="420">
        <v>32756.792770723569</v>
      </c>
      <c r="CL47" s="420">
        <v>30508.750524446983</v>
      </c>
      <c r="CM47" s="94">
        <v>32368.961424007564</v>
      </c>
      <c r="CN47" s="94">
        <v>40844.727462043214</v>
      </c>
      <c r="CO47" s="94">
        <v>45986.866742425933</v>
      </c>
      <c r="CP47" s="94">
        <v>49621.555652876727</v>
      </c>
      <c r="CQ47" s="94">
        <v>51033.269060512823</v>
      </c>
      <c r="CR47" s="94">
        <v>51593.071034535176</v>
      </c>
      <c r="CS47" s="94">
        <v>50472.940248263694</v>
      </c>
      <c r="CT47" s="94">
        <v>51579.364107647278</v>
      </c>
      <c r="CU47" s="421">
        <v>54257.438472275535</v>
      </c>
      <c r="CV47" s="421">
        <v>60010.234159538217</v>
      </c>
      <c r="CW47" s="421">
        <v>59671.616298873691</v>
      </c>
      <c r="CX47" s="421">
        <v>58028.980285152727</v>
      </c>
      <c r="CY47" s="421">
        <v>57049.372761277817</v>
      </c>
      <c r="CZ47" s="421">
        <v>53584.549816332561</v>
      </c>
      <c r="DA47" s="421">
        <v>51582.83359155331</v>
      </c>
      <c r="DB47" s="421">
        <v>50493.695366486339</v>
      </c>
      <c r="DC47" s="421">
        <v>54206.639282538083</v>
      </c>
      <c r="DD47" s="421">
        <v>53582.959091911674</v>
      </c>
      <c r="DE47" s="421">
        <v>50607.850229043121</v>
      </c>
      <c r="DF47" s="421">
        <v>54998.374549107721</v>
      </c>
      <c r="DG47" s="421">
        <v>55429.512839131516</v>
      </c>
      <c r="DH47" s="421">
        <v>57578.551645817679</v>
      </c>
      <c r="DI47" s="421">
        <v>61194.164276256692</v>
      </c>
      <c r="DJ47" s="421">
        <v>63878.08411063184</v>
      </c>
      <c r="DK47" s="421">
        <v>69612.105710522272</v>
      </c>
      <c r="DL47" s="421">
        <v>75360.160072018465</v>
      </c>
      <c r="DM47" s="421">
        <v>72315.339936051489</v>
      </c>
      <c r="DN47" s="421">
        <v>73142.704531894735</v>
      </c>
      <c r="DO47" s="421">
        <v>76142.24566582554</v>
      </c>
      <c r="DP47" s="421">
        <v>78452.586796215604</v>
      </c>
      <c r="DQ47" s="421">
        <v>78241.230307136575</v>
      </c>
      <c r="DR47" s="421">
        <v>77359.2021266136</v>
      </c>
      <c r="DS47" s="421">
        <v>88187.979669040535</v>
      </c>
      <c r="DT47" s="421">
        <v>86132.706131198735</v>
      </c>
      <c r="DU47" s="421">
        <v>76455.1478139674</v>
      </c>
      <c r="DV47" s="421">
        <v>66490.504989173627</v>
      </c>
      <c r="DW47" s="421">
        <v>50785.574111570641</v>
      </c>
      <c r="DX47" s="421">
        <v>53146.137299770111</v>
      </c>
      <c r="DY47" s="421">
        <v>61736.460905117703</v>
      </c>
      <c r="DZ47" s="421">
        <v>75514.236870145571</v>
      </c>
      <c r="EA47" s="421">
        <v>89237.831491687437</v>
      </c>
      <c r="EB47" s="421">
        <v>86262.105568022103</v>
      </c>
      <c r="EC47" s="421">
        <v>85067.53276444455</v>
      </c>
      <c r="ED47" s="421">
        <v>90826.842388530116</v>
      </c>
      <c r="EE47" s="421">
        <v>94673.513946139617</v>
      </c>
      <c r="EF47" s="421">
        <v>92350.028948794512</v>
      </c>
      <c r="EG47" s="421">
        <v>91158.04428641891</v>
      </c>
      <c r="EH47" s="421">
        <v>109546.51225023252</v>
      </c>
      <c r="EI47" s="421">
        <v>111247.47423011277</v>
      </c>
      <c r="EJ47" s="421">
        <v>101611.65625639679</v>
      </c>
      <c r="EK47" s="421">
        <v>105832.41160251803</v>
      </c>
    </row>
    <row r="48" spans="1:141" ht="16.5" customHeight="1" x14ac:dyDescent="0.3">
      <c r="A48" s="95"/>
      <c r="B48" s="95"/>
      <c r="C48" s="422"/>
      <c r="D48" s="422"/>
      <c r="E48" s="422"/>
      <c r="F48" s="422"/>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23"/>
      <c r="BV48" s="423"/>
      <c r="BW48" s="423"/>
      <c r="BX48" s="423"/>
      <c r="BY48" s="423"/>
      <c r="BZ48" s="423"/>
      <c r="CA48" s="423"/>
      <c r="CB48" s="423"/>
      <c r="CC48" s="423"/>
      <c r="CD48" s="423"/>
      <c r="CE48" s="423"/>
      <c r="CF48" s="423"/>
      <c r="CG48" s="423"/>
      <c r="CH48" s="423"/>
      <c r="CI48" s="423"/>
      <c r="CJ48" s="423"/>
      <c r="CK48" s="423"/>
      <c r="CL48" s="423"/>
      <c r="CM48" s="92"/>
      <c r="CN48" s="92"/>
      <c r="CO48" s="92"/>
      <c r="CP48" s="92"/>
      <c r="CQ48" s="92"/>
      <c r="CR48" s="92"/>
      <c r="CS48" s="92"/>
      <c r="CT48" s="92"/>
      <c r="CU48" s="424"/>
      <c r="CV48" s="424"/>
      <c r="CW48" s="424"/>
      <c r="CX48" s="424"/>
      <c r="CY48" s="424"/>
      <c r="CZ48" s="424"/>
      <c r="DA48" s="424"/>
      <c r="DB48" s="424"/>
      <c r="DC48" s="424"/>
      <c r="DD48" s="424"/>
      <c r="DE48" s="424"/>
      <c r="DF48" s="424"/>
      <c r="DG48" s="424"/>
      <c r="DH48" s="424"/>
      <c r="DI48" s="424"/>
      <c r="DJ48" s="424"/>
      <c r="DK48" s="424"/>
      <c r="DL48" s="424"/>
      <c r="DM48" s="424"/>
      <c r="DN48" s="424"/>
      <c r="DO48" s="424"/>
      <c r="DP48" s="424"/>
      <c r="DQ48" s="424"/>
      <c r="DR48" s="424"/>
      <c r="DS48" s="424"/>
      <c r="DT48" s="424"/>
      <c r="DU48" s="424"/>
      <c r="DV48" s="424"/>
      <c r="DW48" s="424"/>
      <c r="DX48" s="424"/>
      <c r="DY48" s="424"/>
      <c r="DZ48" s="424"/>
      <c r="EA48" s="424"/>
      <c r="EB48" s="424"/>
      <c r="EC48" s="424"/>
      <c r="ED48" s="424"/>
      <c r="EE48" s="424"/>
      <c r="EF48" s="424"/>
      <c r="EG48" s="424"/>
      <c r="EH48" s="424"/>
      <c r="EI48" s="424"/>
      <c r="EJ48" s="424"/>
      <c r="EK48" s="424"/>
    </row>
    <row r="49" spans="1:141" ht="16.5" customHeight="1" x14ac:dyDescent="0.3">
      <c r="A49" s="93" t="s">
        <v>167</v>
      </c>
      <c r="B49" s="93" t="s">
        <v>154</v>
      </c>
      <c r="C49" s="419">
        <v>0</v>
      </c>
      <c r="D49" s="419">
        <v>0</v>
      </c>
      <c r="E49" s="419">
        <v>0</v>
      </c>
      <c r="F49" s="419">
        <v>0</v>
      </c>
      <c r="G49" s="419">
        <v>0</v>
      </c>
      <c r="H49" s="419">
        <v>0</v>
      </c>
      <c r="I49" s="419">
        <v>0</v>
      </c>
      <c r="J49" s="419">
        <v>0</v>
      </c>
      <c r="K49" s="419">
        <v>0</v>
      </c>
      <c r="L49" s="419">
        <v>0</v>
      </c>
      <c r="M49" s="419">
        <v>0</v>
      </c>
      <c r="N49" s="419">
        <v>0</v>
      </c>
      <c r="O49" s="419">
        <v>0</v>
      </c>
      <c r="P49" s="419">
        <v>0</v>
      </c>
      <c r="Q49" s="419">
        <v>0</v>
      </c>
      <c r="R49" s="419">
        <v>0</v>
      </c>
      <c r="S49" s="419">
        <v>0</v>
      </c>
      <c r="T49" s="419">
        <v>0</v>
      </c>
      <c r="U49" s="419">
        <v>0</v>
      </c>
      <c r="V49" s="419">
        <v>0</v>
      </c>
      <c r="W49" s="419">
        <v>0</v>
      </c>
      <c r="X49" s="419">
        <v>0</v>
      </c>
      <c r="Y49" s="419">
        <v>0</v>
      </c>
      <c r="Z49" s="419">
        <v>0</v>
      </c>
      <c r="AA49" s="419">
        <v>0</v>
      </c>
      <c r="AB49" s="419">
        <v>0</v>
      </c>
      <c r="AC49" s="419">
        <v>0</v>
      </c>
      <c r="AD49" s="419">
        <v>0</v>
      </c>
      <c r="AE49" s="419">
        <v>0</v>
      </c>
      <c r="AF49" s="419">
        <v>0</v>
      </c>
      <c r="AG49" s="419">
        <v>0</v>
      </c>
      <c r="AH49" s="419">
        <v>0</v>
      </c>
      <c r="AI49" s="419">
        <v>0</v>
      </c>
      <c r="AJ49" s="419">
        <v>0</v>
      </c>
      <c r="AK49" s="419">
        <v>0</v>
      </c>
      <c r="AL49" s="419">
        <v>0</v>
      </c>
      <c r="AM49" s="419">
        <v>0</v>
      </c>
      <c r="AN49" s="419">
        <v>0</v>
      </c>
      <c r="AO49" s="419">
        <v>0</v>
      </c>
      <c r="AP49" s="419">
        <v>0</v>
      </c>
      <c r="AQ49" s="419">
        <v>0</v>
      </c>
      <c r="AR49" s="419">
        <v>0</v>
      </c>
      <c r="AS49" s="419">
        <v>0</v>
      </c>
      <c r="AT49" s="419">
        <v>0</v>
      </c>
      <c r="AU49" s="419">
        <v>0</v>
      </c>
      <c r="AV49" s="419">
        <v>0</v>
      </c>
      <c r="AW49" s="419">
        <v>0</v>
      </c>
      <c r="AX49" s="419">
        <v>0</v>
      </c>
      <c r="AY49" s="419">
        <v>900</v>
      </c>
      <c r="AZ49" s="419">
        <v>0</v>
      </c>
      <c r="BA49" s="419">
        <v>0</v>
      </c>
      <c r="BB49" s="419">
        <v>0</v>
      </c>
      <c r="BC49" s="419">
        <v>0</v>
      </c>
      <c r="BD49" s="419">
        <v>0</v>
      </c>
      <c r="BE49" s="419">
        <v>0</v>
      </c>
      <c r="BF49" s="419">
        <v>0</v>
      </c>
      <c r="BG49" s="419">
        <v>0</v>
      </c>
      <c r="BH49" s="419">
        <v>0</v>
      </c>
      <c r="BI49" s="419">
        <v>0</v>
      </c>
      <c r="BJ49" s="419">
        <v>0</v>
      </c>
      <c r="BK49" s="419">
        <v>0</v>
      </c>
      <c r="BL49" s="419">
        <v>0</v>
      </c>
      <c r="BM49" s="419">
        <v>0</v>
      </c>
      <c r="BN49" s="419">
        <v>0</v>
      </c>
      <c r="BO49" s="419">
        <v>0</v>
      </c>
      <c r="BP49" s="419">
        <v>0</v>
      </c>
      <c r="BQ49" s="419">
        <v>0</v>
      </c>
      <c r="BR49" s="419">
        <v>0</v>
      </c>
      <c r="BS49" s="419">
        <v>0</v>
      </c>
      <c r="BT49" s="419">
        <v>0</v>
      </c>
      <c r="BU49" s="420">
        <v>0</v>
      </c>
      <c r="BV49" s="420">
        <v>0</v>
      </c>
      <c r="BW49" s="420">
        <v>0</v>
      </c>
      <c r="BX49" s="420">
        <v>0</v>
      </c>
      <c r="BY49" s="420">
        <v>0</v>
      </c>
      <c r="BZ49" s="420">
        <v>0</v>
      </c>
      <c r="CA49" s="420">
        <v>0</v>
      </c>
      <c r="CB49" s="420">
        <v>0</v>
      </c>
      <c r="CC49" s="420">
        <v>0</v>
      </c>
      <c r="CD49" s="420">
        <v>0</v>
      </c>
      <c r="CE49" s="420">
        <v>0</v>
      </c>
      <c r="CF49" s="420">
        <v>0</v>
      </c>
      <c r="CG49" s="420">
        <v>0</v>
      </c>
      <c r="CH49" s="420">
        <v>0</v>
      </c>
      <c r="CI49" s="420">
        <v>0</v>
      </c>
      <c r="CJ49" s="420">
        <v>0</v>
      </c>
      <c r="CK49" s="420">
        <v>0</v>
      </c>
      <c r="CL49" s="420">
        <v>0</v>
      </c>
      <c r="CM49" s="94">
        <v>0</v>
      </c>
      <c r="CN49" s="94">
        <v>0</v>
      </c>
      <c r="CO49" s="94">
        <v>0</v>
      </c>
      <c r="CP49" s="94">
        <v>0</v>
      </c>
      <c r="CQ49" s="94">
        <v>0</v>
      </c>
      <c r="CR49" s="94">
        <v>0</v>
      </c>
      <c r="CS49" s="94">
        <v>0</v>
      </c>
      <c r="CT49" s="94">
        <v>0</v>
      </c>
      <c r="CU49" s="421">
        <v>0</v>
      </c>
      <c r="CV49" s="421">
        <v>0</v>
      </c>
      <c r="CW49" s="421">
        <v>0</v>
      </c>
      <c r="CX49" s="421">
        <v>0</v>
      </c>
      <c r="CY49" s="421">
        <v>0</v>
      </c>
      <c r="CZ49" s="421">
        <v>0</v>
      </c>
      <c r="DA49" s="421">
        <v>0</v>
      </c>
      <c r="DB49" s="421">
        <v>0</v>
      </c>
      <c r="DC49" s="421">
        <v>0</v>
      </c>
      <c r="DD49" s="421">
        <v>0</v>
      </c>
      <c r="DE49" s="421">
        <v>0</v>
      </c>
      <c r="DF49" s="421">
        <v>0</v>
      </c>
      <c r="DG49" s="421">
        <v>0</v>
      </c>
      <c r="DH49" s="421">
        <v>0</v>
      </c>
      <c r="DI49" s="421">
        <v>0</v>
      </c>
      <c r="DJ49" s="421">
        <v>0</v>
      </c>
      <c r="DK49" s="421">
        <v>0</v>
      </c>
      <c r="DL49" s="421">
        <v>0</v>
      </c>
      <c r="DM49" s="421">
        <v>0</v>
      </c>
      <c r="DN49" s="421">
        <v>0</v>
      </c>
      <c r="DO49" s="421">
        <v>0</v>
      </c>
      <c r="DP49" s="421">
        <v>0</v>
      </c>
      <c r="DQ49" s="421">
        <v>0</v>
      </c>
      <c r="DR49" s="421">
        <v>0</v>
      </c>
      <c r="DS49" s="421">
        <v>0</v>
      </c>
      <c r="DT49" s="421">
        <v>0</v>
      </c>
      <c r="DU49" s="421">
        <v>0</v>
      </c>
      <c r="DV49" s="421">
        <v>0</v>
      </c>
      <c r="DW49" s="421">
        <v>0</v>
      </c>
      <c r="DX49" s="421">
        <v>9659.004697280001</v>
      </c>
      <c r="DY49" s="421">
        <v>9604.5707403399992</v>
      </c>
      <c r="DZ49" s="421">
        <v>9567.9555798900001</v>
      </c>
      <c r="EA49" s="421">
        <v>9614.8623936900003</v>
      </c>
      <c r="EB49" s="421">
        <v>9636.30553358</v>
      </c>
      <c r="EC49" s="421">
        <v>9623.3358673099992</v>
      </c>
      <c r="ED49" s="421">
        <v>1976.6671715999998</v>
      </c>
      <c r="EE49" s="421">
        <v>1989.4531496500001</v>
      </c>
      <c r="EF49" s="421">
        <v>6000.5845226299998</v>
      </c>
      <c r="EG49" s="421">
        <v>4067.01</v>
      </c>
      <c r="EH49" s="421">
        <v>4051.17</v>
      </c>
      <c r="EI49" s="421">
        <v>4074.89</v>
      </c>
      <c r="EJ49" s="421">
        <v>8526.5273692899991</v>
      </c>
      <c r="EK49" s="421">
        <v>12860.52</v>
      </c>
    </row>
    <row r="50" spans="1:141" ht="16.5" customHeight="1" x14ac:dyDescent="0.3">
      <c r="A50" s="95"/>
      <c r="B50" s="101"/>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23"/>
      <c r="BV50" s="423"/>
      <c r="BW50" s="423"/>
      <c r="BX50" s="423"/>
      <c r="BY50" s="423"/>
      <c r="BZ50" s="423"/>
      <c r="CA50" s="423"/>
      <c r="CB50" s="423"/>
      <c r="CC50" s="423"/>
      <c r="CD50" s="423"/>
      <c r="CE50" s="423"/>
      <c r="CF50" s="423"/>
      <c r="CG50" s="423"/>
      <c r="CH50" s="423"/>
      <c r="CI50" s="423"/>
      <c r="CJ50" s="423"/>
      <c r="CK50" s="423"/>
      <c r="CL50" s="423"/>
      <c r="CM50" s="92"/>
      <c r="CN50" s="92"/>
      <c r="CO50" s="92"/>
      <c r="CP50" s="92"/>
      <c r="CQ50" s="92"/>
      <c r="CR50" s="92"/>
      <c r="CS50" s="92"/>
      <c r="CT50" s="92"/>
      <c r="CU50" s="424"/>
      <c r="CV50" s="424"/>
      <c r="CW50" s="424"/>
      <c r="CX50" s="424"/>
      <c r="CY50" s="424"/>
      <c r="CZ50" s="424"/>
      <c r="DA50" s="424"/>
      <c r="DB50" s="424"/>
      <c r="DC50" s="424"/>
      <c r="DD50" s="424"/>
      <c r="DE50" s="424"/>
      <c r="DF50" s="424"/>
      <c r="DG50" s="424"/>
      <c r="DH50" s="424"/>
      <c r="DI50" s="424"/>
      <c r="DJ50" s="424"/>
      <c r="DK50" s="424"/>
      <c r="DL50" s="424"/>
      <c r="DM50" s="424"/>
      <c r="DN50" s="424"/>
      <c r="DO50" s="424"/>
      <c r="DP50" s="424"/>
      <c r="DQ50" s="424"/>
      <c r="DR50" s="424"/>
      <c r="DS50" s="424"/>
      <c r="DT50" s="424"/>
      <c r="DU50" s="424"/>
      <c r="DV50" s="424"/>
      <c r="DW50" s="424"/>
      <c r="DX50" s="424"/>
      <c r="DY50" s="424"/>
      <c r="DZ50" s="424"/>
      <c r="EA50" s="424"/>
      <c r="EB50" s="424"/>
      <c r="EC50" s="424"/>
      <c r="ED50" s="424"/>
      <c r="EE50" s="424"/>
      <c r="EF50" s="424"/>
      <c r="EG50" s="424"/>
      <c r="EH50" s="424"/>
      <c r="EI50" s="424"/>
      <c r="EJ50" s="424"/>
      <c r="EK50" s="424"/>
    </row>
    <row r="51" spans="1:141" ht="16.5" customHeight="1" x14ac:dyDescent="0.3">
      <c r="A51" s="93" t="s">
        <v>168</v>
      </c>
      <c r="B51" s="93" t="s">
        <v>941</v>
      </c>
      <c r="C51" s="419">
        <v>0</v>
      </c>
      <c r="D51" s="419">
        <v>0</v>
      </c>
      <c r="E51" s="419">
        <v>0</v>
      </c>
      <c r="F51" s="419">
        <v>0</v>
      </c>
      <c r="G51" s="419">
        <v>0</v>
      </c>
      <c r="H51" s="419">
        <v>0</v>
      </c>
      <c r="I51" s="419">
        <v>0</v>
      </c>
      <c r="J51" s="419">
        <v>0</v>
      </c>
      <c r="K51" s="419">
        <v>0</v>
      </c>
      <c r="L51" s="419">
        <v>0</v>
      </c>
      <c r="M51" s="419">
        <v>0</v>
      </c>
      <c r="N51" s="419">
        <v>0</v>
      </c>
      <c r="O51" s="419">
        <v>0</v>
      </c>
      <c r="P51" s="419">
        <v>0</v>
      </c>
      <c r="Q51" s="419">
        <v>0</v>
      </c>
      <c r="R51" s="419">
        <v>0</v>
      </c>
      <c r="S51" s="419">
        <v>0</v>
      </c>
      <c r="T51" s="419">
        <v>0</v>
      </c>
      <c r="U51" s="419">
        <v>0</v>
      </c>
      <c r="V51" s="419">
        <v>0</v>
      </c>
      <c r="W51" s="419">
        <v>0</v>
      </c>
      <c r="X51" s="419">
        <v>0</v>
      </c>
      <c r="Y51" s="419">
        <v>0</v>
      </c>
      <c r="Z51" s="419">
        <v>0</v>
      </c>
      <c r="AA51" s="419">
        <v>0</v>
      </c>
      <c r="AB51" s="419">
        <v>0</v>
      </c>
      <c r="AC51" s="419">
        <v>0</v>
      </c>
      <c r="AD51" s="419">
        <v>0</v>
      </c>
      <c r="AE51" s="419">
        <v>0</v>
      </c>
      <c r="AF51" s="419">
        <v>0</v>
      </c>
      <c r="AG51" s="419">
        <v>0</v>
      </c>
      <c r="AH51" s="419">
        <v>0</v>
      </c>
      <c r="AI51" s="419">
        <v>0</v>
      </c>
      <c r="AJ51" s="419">
        <v>0</v>
      </c>
      <c r="AK51" s="419">
        <v>0</v>
      </c>
      <c r="AL51" s="419">
        <v>0</v>
      </c>
      <c r="AM51" s="419">
        <v>0</v>
      </c>
      <c r="AN51" s="419">
        <v>0</v>
      </c>
      <c r="AO51" s="419">
        <v>0</v>
      </c>
      <c r="AP51" s="419">
        <v>0</v>
      </c>
      <c r="AQ51" s="419">
        <v>0</v>
      </c>
      <c r="AR51" s="419">
        <v>0</v>
      </c>
      <c r="AS51" s="419">
        <v>0</v>
      </c>
      <c r="AT51" s="419">
        <v>0</v>
      </c>
      <c r="AU51" s="419">
        <v>0</v>
      </c>
      <c r="AV51" s="419">
        <v>0</v>
      </c>
      <c r="AW51" s="419">
        <v>0</v>
      </c>
      <c r="AX51" s="419">
        <v>0</v>
      </c>
      <c r="AY51" s="419">
        <v>0</v>
      </c>
      <c r="AZ51" s="419">
        <v>0</v>
      </c>
      <c r="BA51" s="419">
        <v>0</v>
      </c>
      <c r="BB51" s="419">
        <v>0</v>
      </c>
      <c r="BC51" s="419">
        <v>0</v>
      </c>
      <c r="BD51" s="419">
        <v>0</v>
      </c>
      <c r="BE51" s="419">
        <v>0</v>
      </c>
      <c r="BF51" s="419">
        <v>0</v>
      </c>
      <c r="BG51" s="419">
        <v>0</v>
      </c>
      <c r="BH51" s="419">
        <v>0</v>
      </c>
      <c r="BI51" s="419">
        <v>0</v>
      </c>
      <c r="BJ51" s="419">
        <v>0</v>
      </c>
      <c r="BK51" s="419">
        <v>0</v>
      </c>
      <c r="BL51" s="419">
        <v>0</v>
      </c>
      <c r="BM51" s="419">
        <v>0</v>
      </c>
      <c r="BN51" s="419">
        <v>0</v>
      </c>
      <c r="BO51" s="419">
        <v>0</v>
      </c>
      <c r="BP51" s="419">
        <v>0</v>
      </c>
      <c r="BQ51" s="419">
        <v>0</v>
      </c>
      <c r="BR51" s="419">
        <v>0</v>
      </c>
      <c r="BS51" s="419">
        <v>0</v>
      </c>
      <c r="BT51" s="419">
        <v>0</v>
      </c>
      <c r="BU51" s="420">
        <v>0</v>
      </c>
      <c r="BV51" s="420">
        <v>0</v>
      </c>
      <c r="BW51" s="420">
        <v>0</v>
      </c>
      <c r="BX51" s="420">
        <v>0</v>
      </c>
      <c r="BY51" s="420">
        <v>0</v>
      </c>
      <c r="BZ51" s="420">
        <v>0</v>
      </c>
      <c r="CA51" s="420">
        <v>0</v>
      </c>
      <c r="CB51" s="420">
        <v>0</v>
      </c>
      <c r="CC51" s="420">
        <v>0</v>
      </c>
      <c r="CD51" s="420">
        <v>0</v>
      </c>
      <c r="CE51" s="420">
        <v>0</v>
      </c>
      <c r="CF51" s="420">
        <v>0</v>
      </c>
      <c r="CG51" s="420">
        <v>0</v>
      </c>
      <c r="CH51" s="420">
        <v>0</v>
      </c>
      <c r="CI51" s="420">
        <v>0</v>
      </c>
      <c r="CJ51" s="420">
        <v>0</v>
      </c>
      <c r="CK51" s="420">
        <v>0</v>
      </c>
      <c r="CL51" s="420">
        <v>0</v>
      </c>
      <c r="CM51" s="94">
        <v>0</v>
      </c>
      <c r="CN51" s="94">
        <v>0</v>
      </c>
      <c r="CO51" s="94">
        <v>0</v>
      </c>
      <c r="CP51" s="94">
        <v>0</v>
      </c>
      <c r="CQ51" s="94">
        <v>0</v>
      </c>
      <c r="CR51" s="94">
        <v>0</v>
      </c>
      <c r="CS51" s="94">
        <v>0</v>
      </c>
      <c r="CT51" s="94">
        <v>0</v>
      </c>
      <c r="CU51" s="421">
        <v>0</v>
      </c>
      <c r="CV51" s="421">
        <v>0</v>
      </c>
      <c r="CW51" s="421">
        <v>0</v>
      </c>
      <c r="CX51" s="421">
        <v>0</v>
      </c>
      <c r="CY51" s="421">
        <v>0</v>
      </c>
      <c r="CZ51" s="421">
        <v>0</v>
      </c>
      <c r="DA51" s="421">
        <v>0</v>
      </c>
      <c r="DB51" s="421">
        <v>0</v>
      </c>
      <c r="DC51" s="421">
        <v>0</v>
      </c>
      <c r="DD51" s="421">
        <v>0</v>
      </c>
      <c r="DE51" s="421">
        <v>0</v>
      </c>
      <c r="DF51" s="421">
        <v>0</v>
      </c>
      <c r="DG51" s="421">
        <v>0</v>
      </c>
      <c r="DH51" s="421">
        <v>0</v>
      </c>
      <c r="DI51" s="421">
        <v>0</v>
      </c>
      <c r="DJ51" s="421">
        <v>0</v>
      </c>
      <c r="DK51" s="421">
        <v>0</v>
      </c>
      <c r="DL51" s="421">
        <v>0</v>
      </c>
      <c r="DM51" s="421">
        <v>0</v>
      </c>
      <c r="DN51" s="421">
        <v>0</v>
      </c>
      <c r="DO51" s="421">
        <v>0</v>
      </c>
      <c r="DP51" s="421">
        <v>0</v>
      </c>
      <c r="DQ51" s="421">
        <v>0</v>
      </c>
      <c r="DR51" s="421">
        <v>0</v>
      </c>
      <c r="DS51" s="421">
        <v>0</v>
      </c>
      <c r="DT51" s="421">
        <v>0</v>
      </c>
      <c r="DU51" s="421">
        <v>0</v>
      </c>
      <c r="DV51" s="421">
        <v>0</v>
      </c>
      <c r="DW51" s="421">
        <v>0</v>
      </c>
      <c r="DX51" s="421">
        <v>0</v>
      </c>
      <c r="DY51" s="421">
        <v>0</v>
      </c>
      <c r="DZ51" s="421">
        <v>0</v>
      </c>
      <c r="EA51" s="421">
        <v>0</v>
      </c>
      <c r="EB51" s="421">
        <v>0</v>
      </c>
      <c r="EC51" s="421">
        <v>0</v>
      </c>
      <c r="ED51" s="421">
        <v>0</v>
      </c>
      <c r="EE51" s="421">
        <v>0</v>
      </c>
      <c r="EF51" s="421">
        <v>0</v>
      </c>
      <c r="EG51" s="421">
        <v>0</v>
      </c>
      <c r="EH51" s="421">
        <v>0</v>
      </c>
      <c r="EI51" s="421">
        <v>0</v>
      </c>
      <c r="EJ51" s="421">
        <v>0</v>
      </c>
      <c r="EK51" s="421">
        <v>0</v>
      </c>
    </row>
    <row r="52" spans="1:141" ht="16.5" customHeight="1" x14ac:dyDescent="0.3">
      <c r="A52" s="95"/>
      <c r="B52" s="95"/>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23"/>
      <c r="BV52" s="423"/>
      <c r="BW52" s="423"/>
      <c r="BX52" s="423"/>
      <c r="BY52" s="423"/>
      <c r="BZ52" s="423"/>
      <c r="CA52" s="423"/>
      <c r="CB52" s="423"/>
      <c r="CC52" s="423"/>
      <c r="CD52" s="423"/>
      <c r="CE52" s="423"/>
      <c r="CF52" s="423"/>
      <c r="CG52" s="423"/>
      <c r="CH52" s="423"/>
      <c r="CI52" s="423"/>
      <c r="CJ52" s="423"/>
      <c r="CK52" s="423"/>
      <c r="CL52" s="423"/>
      <c r="CM52" s="92"/>
      <c r="CN52" s="92"/>
      <c r="CO52" s="92"/>
      <c r="CP52" s="92"/>
      <c r="CQ52" s="92"/>
      <c r="CR52" s="92"/>
      <c r="CS52" s="92"/>
      <c r="CT52" s="92"/>
      <c r="CU52" s="424"/>
      <c r="CV52" s="424"/>
      <c r="CW52" s="424"/>
      <c r="CX52" s="424"/>
      <c r="CY52" s="424"/>
      <c r="CZ52" s="424"/>
      <c r="DA52" s="424"/>
      <c r="DB52" s="424"/>
      <c r="DC52" s="424"/>
      <c r="DD52" s="424"/>
      <c r="DE52" s="424"/>
      <c r="DF52" s="424"/>
      <c r="DG52" s="424"/>
      <c r="DH52" s="424"/>
      <c r="DI52" s="424"/>
      <c r="DJ52" s="424"/>
      <c r="DK52" s="424"/>
      <c r="DL52" s="424"/>
      <c r="DM52" s="424"/>
      <c r="DN52" s="424"/>
      <c r="DO52" s="424"/>
      <c r="DP52" s="424"/>
      <c r="DQ52" s="424"/>
      <c r="DR52" s="424"/>
      <c r="DS52" s="424"/>
      <c r="DT52" s="424"/>
      <c r="DU52" s="424"/>
      <c r="DV52" s="424"/>
      <c r="DW52" s="424"/>
      <c r="DX52" s="424"/>
      <c r="DY52" s="424"/>
      <c r="DZ52" s="424"/>
      <c r="EA52" s="424"/>
      <c r="EB52" s="424"/>
      <c r="EC52" s="424"/>
      <c r="ED52" s="424"/>
      <c r="EE52" s="424"/>
      <c r="EF52" s="424"/>
      <c r="EG52" s="424"/>
      <c r="EH52" s="424"/>
      <c r="EI52" s="424"/>
      <c r="EJ52" s="424"/>
      <c r="EK52" s="424"/>
    </row>
    <row r="53" spans="1:141" ht="16.5" customHeight="1" x14ac:dyDescent="0.3">
      <c r="A53" s="93" t="s">
        <v>957</v>
      </c>
      <c r="B53" s="93" t="s">
        <v>942</v>
      </c>
      <c r="C53" s="419">
        <v>0</v>
      </c>
      <c r="D53" s="419">
        <v>0</v>
      </c>
      <c r="E53" s="419">
        <v>0</v>
      </c>
      <c r="F53" s="419">
        <v>0</v>
      </c>
      <c r="G53" s="419">
        <v>0</v>
      </c>
      <c r="H53" s="419">
        <v>0</v>
      </c>
      <c r="I53" s="419">
        <v>0</v>
      </c>
      <c r="J53" s="419">
        <v>0</v>
      </c>
      <c r="K53" s="419">
        <v>0</v>
      </c>
      <c r="L53" s="419">
        <v>0</v>
      </c>
      <c r="M53" s="419">
        <v>0</v>
      </c>
      <c r="N53" s="419">
        <v>0</v>
      </c>
      <c r="O53" s="419">
        <v>0</v>
      </c>
      <c r="P53" s="419">
        <v>0</v>
      </c>
      <c r="Q53" s="419">
        <v>0</v>
      </c>
      <c r="R53" s="419">
        <v>0</v>
      </c>
      <c r="S53" s="419">
        <v>0</v>
      </c>
      <c r="T53" s="419">
        <v>0</v>
      </c>
      <c r="U53" s="419">
        <v>0</v>
      </c>
      <c r="V53" s="419">
        <v>0</v>
      </c>
      <c r="W53" s="419">
        <v>0</v>
      </c>
      <c r="X53" s="419">
        <v>0</v>
      </c>
      <c r="Y53" s="419">
        <v>0</v>
      </c>
      <c r="Z53" s="419">
        <v>0</v>
      </c>
      <c r="AA53" s="419">
        <v>0</v>
      </c>
      <c r="AB53" s="419">
        <v>0</v>
      </c>
      <c r="AC53" s="419">
        <v>0</v>
      </c>
      <c r="AD53" s="419">
        <v>0</v>
      </c>
      <c r="AE53" s="419">
        <v>0</v>
      </c>
      <c r="AF53" s="419">
        <v>0</v>
      </c>
      <c r="AG53" s="419">
        <v>0</v>
      </c>
      <c r="AH53" s="419">
        <v>0</v>
      </c>
      <c r="AI53" s="419">
        <v>0</v>
      </c>
      <c r="AJ53" s="419">
        <v>0</v>
      </c>
      <c r="AK53" s="419">
        <v>0</v>
      </c>
      <c r="AL53" s="419">
        <v>0</v>
      </c>
      <c r="AM53" s="419">
        <v>0</v>
      </c>
      <c r="AN53" s="419">
        <v>0</v>
      </c>
      <c r="AO53" s="419">
        <v>0</v>
      </c>
      <c r="AP53" s="419">
        <v>0</v>
      </c>
      <c r="AQ53" s="419">
        <v>0</v>
      </c>
      <c r="AR53" s="419">
        <v>0</v>
      </c>
      <c r="AS53" s="419">
        <v>0</v>
      </c>
      <c r="AT53" s="419">
        <v>0</v>
      </c>
      <c r="AU53" s="419">
        <v>0</v>
      </c>
      <c r="AV53" s="419">
        <v>0</v>
      </c>
      <c r="AW53" s="419">
        <v>0</v>
      </c>
      <c r="AX53" s="419">
        <v>0</v>
      </c>
      <c r="AY53" s="419">
        <v>0</v>
      </c>
      <c r="AZ53" s="419">
        <v>0</v>
      </c>
      <c r="BA53" s="419">
        <v>0</v>
      </c>
      <c r="BB53" s="419">
        <v>0</v>
      </c>
      <c r="BC53" s="419">
        <v>0</v>
      </c>
      <c r="BD53" s="419">
        <v>0</v>
      </c>
      <c r="BE53" s="419">
        <v>0</v>
      </c>
      <c r="BF53" s="419">
        <v>0</v>
      </c>
      <c r="BG53" s="419">
        <v>0</v>
      </c>
      <c r="BH53" s="419">
        <v>0</v>
      </c>
      <c r="BI53" s="419">
        <v>0</v>
      </c>
      <c r="BJ53" s="419">
        <v>0</v>
      </c>
      <c r="BK53" s="419">
        <v>0</v>
      </c>
      <c r="BL53" s="419">
        <v>0</v>
      </c>
      <c r="BM53" s="419">
        <v>0</v>
      </c>
      <c r="BN53" s="419">
        <v>0</v>
      </c>
      <c r="BO53" s="419">
        <v>0</v>
      </c>
      <c r="BP53" s="419">
        <v>0</v>
      </c>
      <c r="BQ53" s="419">
        <v>0</v>
      </c>
      <c r="BR53" s="419">
        <v>0</v>
      </c>
      <c r="BS53" s="419">
        <v>0</v>
      </c>
      <c r="BT53" s="419">
        <v>0</v>
      </c>
      <c r="BU53" s="420">
        <v>0</v>
      </c>
      <c r="BV53" s="420">
        <v>0</v>
      </c>
      <c r="BW53" s="420">
        <v>0</v>
      </c>
      <c r="BX53" s="420">
        <v>0</v>
      </c>
      <c r="BY53" s="420">
        <v>0</v>
      </c>
      <c r="BZ53" s="420">
        <v>0</v>
      </c>
      <c r="CA53" s="420">
        <v>0</v>
      </c>
      <c r="CB53" s="420">
        <v>0</v>
      </c>
      <c r="CC53" s="420">
        <v>0</v>
      </c>
      <c r="CD53" s="420">
        <v>0</v>
      </c>
      <c r="CE53" s="420">
        <v>0</v>
      </c>
      <c r="CF53" s="420">
        <v>0</v>
      </c>
      <c r="CG53" s="420">
        <v>0</v>
      </c>
      <c r="CH53" s="420">
        <v>0</v>
      </c>
      <c r="CI53" s="420">
        <v>0</v>
      </c>
      <c r="CJ53" s="420">
        <v>0</v>
      </c>
      <c r="CK53" s="420">
        <v>0</v>
      </c>
      <c r="CL53" s="420">
        <v>0</v>
      </c>
      <c r="CM53" s="94">
        <v>0</v>
      </c>
      <c r="CN53" s="94">
        <v>0</v>
      </c>
      <c r="CO53" s="94">
        <v>0</v>
      </c>
      <c r="CP53" s="94">
        <v>0</v>
      </c>
      <c r="CQ53" s="94">
        <v>0</v>
      </c>
      <c r="CR53" s="94">
        <v>0</v>
      </c>
      <c r="CS53" s="94">
        <v>0</v>
      </c>
      <c r="CT53" s="94">
        <v>0</v>
      </c>
      <c r="CU53" s="421">
        <v>0</v>
      </c>
      <c r="CV53" s="421">
        <v>0</v>
      </c>
      <c r="CW53" s="421">
        <v>0</v>
      </c>
      <c r="CX53" s="421">
        <v>0</v>
      </c>
      <c r="CY53" s="421">
        <v>0</v>
      </c>
      <c r="CZ53" s="421">
        <v>0</v>
      </c>
      <c r="DA53" s="421">
        <v>0</v>
      </c>
      <c r="DB53" s="421">
        <v>0</v>
      </c>
      <c r="DC53" s="421">
        <v>0</v>
      </c>
      <c r="DD53" s="421">
        <v>0</v>
      </c>
      <c r="DE53" s="421">
        <v>0</v>
      </c>
      <c r="DF53" s="421">
        <v>0</v>
      </c>
      <c r="DG53" s="421">
        <v>0</v>
      </c>
      <c r="DH53" s="421">
        <v>0</v>
      </c>
      <c r="DI53" s="421">
        <v>0</v>
      </c>
      <c r="DJ53" s="421">
        <v>0</v>
      </c>
      <c r="DK53" s="421">
        <v>0</v>
      </c>
      <c r="DL53" s="421">
        <v>0</v>
      </c>
      <c r="DM53" s="421">
        <v>0</v>
      </c>
      <c r="DN53" s="421">
        <v>0</v>
      </c>
      <c r="DO53" s="421">
        <v>0</v>
      </c>
      <c r="DP53" s="421">
        <v>0</v>
      </c>
      <c r="DQ53" s="421">
        <v>0</v>
      </c>
      <c r="DR53" s="421">
        <v>0</v>
      </c>
      <c r="DS53" s="421">
        <v>0</v>
      </c>
      <c r="DT53" s="421">
        <v>0</v>
      </c>
      <c r="DU53" s="421">
        <v>0</v>
      </c>
      <c r="DV53" s="421">
        <v>0</v>
      </c>
      <c r="DW53" s="421">
        <v>0</v>
      </c>
      <c r="DX53" s="421">
        <v>0</v>
      </c>
      <c r="DY53" s="421">
        <v>0</v>
      </c>
      <c r="DZ53" s="421">
        <v>0</v>
      </c>
      <c r="EA53" s="421">
        <v>0</v>
      </c>
      <c r="EB53" s="421">
        <v>0</v>
      </c>
      <c r="EC53" s="421">
        <v>0</v>
      </c>
      <c r="ED53" s="421">
        <v>0</v>
      </c>
      <c r="EE53" s="421">
        <v>0</v>
      </c>
      <c r="EF53" s="421">
        <v>0</v>
      </c>
      <c r="EG53" s="421">
        <v>0</v>
      </c>
      <c r="EH53" s="421">
        <v>0</v>
      </c>
      <c r="EI53" s="421">
        <v>0</v>
      </c>
      <c r="EJ53" s="421">
        <v>0</v>
      </c>
      <c r="EK53" s="421">
        <v>0</v>
      </c>
    </row>
    <row r="54" spans="1:141" ht="16.5" customHeight="1" x14ac:dyDescent="0.3">
      <c r="A54" s="95"/>
      <c r="B54" s="95"/>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23"/>
      <c r="BV54" s="423"/>
      <c r="BW54" s="423"/>
      <c r="BX54" s="423"/>
      <c r="BY54" s="423"/>
      <c r="BZ54" s="423"/>
      <c r="CA54" s="423"/>
      <c r="CB54" s="423"/>
      <c r="CC54" s="423"/>
      <c r="CD54" s="423"/>
      <c r="CE54" s="423"/>
      <c r="CF54" s="423"/>
      <c r="CG54" s="423"/>
      <c r="CH54" s="423"/>
      <c r="CI54" s="423"/>
      <c r="CJ54" s="423"/>
      <c r="CK54" s="423"/>
      <c r="CL54" s="423"/>
      <c r="CM54" s="92"/>
      <c r="CN54" s="92"/>
      <c r="CO54" s="92"/>
      <c r="CP54" s="92"/>
      <c r="CQ54" s="92"/>
      <c r="CR54" s="92"/>
      <c r="CS54" s="92"/>
      <c r="CT54" s="92"/>
      <c r="CU54" s="424"/>
      <c r="CV54" s="424"/>
      <c r="CW54" s="424"/>
      <c r="CX54" s="424"/>
      <c r="CY54" s="424"/>
      <c r="CZ54" s="424"/>
      <c r="DA54" s="424"/>
      <c r="DB54" s="424"/>
      <c r="DC54" s="424"/>
      <c r="DD54" s="424"/>
      <c r="DE54" s="424"/>
      <c r="DF54" s="424"/>
      <c r="DG54" s="424"/>
      <c r="DH54" s="424"/>
      <c r="DI54" s="424"/>
      <c r="DJ54" s="424"/>
      <c r="DK54" s="424"/>
      <c r="DL54" s="424"/>
      <c r="DM54" s="424"/>
      <c r="DN54" s="424"/>
      <c r="DO54" s="424"/>
      <c r="DP54" s="424"/>
      <c r="DQ54" s="424"/>
      <c r="DR54" s="424"/>
      <c r="DS54" s="424"/>
      <c r="DT54" s="424"/>
      <c r="DU54" s="424"/>
      <c r="DV54" s="424"/>
      <c r="DW54" s="424"/>
      <c r="DX54" s="424"/>
      <c r="DY54" s="424"/>
      <c r="DZ54" s="424"/>
      <c r="EA54" s="424"/>
      <c r="EB54" s="424"/>
      <c r="EC54" s="424"/>
      <c r="ED54" s="424"/>
      <c r="EE54" s="424"/>
      <c r="EF54" s="424"/>
      <c r="EG54" s="424"/>
      <c r="EH54" s="424"/>
      <c r="EI54" s="424"/>
      <c r="EJ54" s="424"/>
      <c r="EK54" s="424"/>
    </row>
    <row r="55" spans="1:141" ht="16.5" customHeight="1" x14ac:dyDescent="0.3">
      <c r="A55" s="93" t="s">
        <v>958</v>
      </c>
      <c r="B55" s="93" t="s">
        <v>169</v>
      </c>
      <c r="C55" s="419">
        <v>538.21283592999998</v>
      </c>
      <c r="D55" s="419">
        <v>486.14490092999995</v>
      </c>
      <c r="E55" s="419">
        <v>618.69126218000008</v>
      </c>
      <c r="F55" s="419">
        <v>512.37668000999997</v>
      </c>
      <c r="G55" s="419">
        <v>590.64657192999994</v>
      </c>
      <c r="H55" s="419">
        <v>929.23720615000002</v>
      </c>
      <c r="I55" s="419">
        <v>2338.0420034099998</v>
      </c>
      <c r="J55" s="419">
        <v>927.75824321999994</v>
      </c>
      <c r="K55" s="419">
        <v>1072.1266438399998</v>
      </c>
      <c r="L55" s="419">
        <v>1049.9736225899999</v>
      </c>
      <c r="M55" s="419">
        <v>921.2037224899999</v>
      </c>
      <c r="N55" s="419">
        <v>975.29421922999995</v>
      </c>
      <c r="O55" s="419">
        <v>1179.0680737399998</v>
      </c>
      <c r="P55" s="419">
        <v>845.18880186000001</v>
      </c>
      <c r="Q55" s="419">
        <v>867.82027834999997</v>
      </c>
      <c r="R55" s="419">
        <v>1070.84335545</v>
      </c>
      <c r="S55" s="419">
        <v>1155.9288818900002</v>
      </c>
      <c r="T55" s="419">
        <v>1215.97244467</v>
      </c>
      <c r="U55" s="419">
        <v>1354.25470415</v>
      </c>
      <c r="V55" s="419">
        <v>1353.74939073</v>
      </c>
      <c r="W55" s="419">
        <v>978.95630284999993</v>
      </c>
      <c r="X55" s="419">
        <v>1123.9420090399999</v>
      </c>
      <c r="Y55" s="419">
        <v>1187.4279252400001</v>
      </c>
      <c r="Z55" s="419">
        <v>1138.04615612</v>
      </c>
      <c r="AA55" s="419">
        <v>1126.1566596799998</v>
      </c>
      <c r="AB55" s="419">
        <v>1034.2038716699999</v>
      </c>
      <c r="AC55" s="419">
        <v>1047.56163956</v>
      </c>
      <c r="AD55" s="419">
        <v>1100.7612842200001</v>
      </c>
      <c r="AE55" s="419">
        <v>1237.1838996199999</v>
      </c>
      <c r="AF55" s="419">
        <v>911.68682326999988</v>
      </c>
      <c r="AG55" s="419">
        <v>1625.31888514</v>
      </c>
      <c r="AH55" s="419">
        <v>1549.26650855</v>
      </c>
      <c r="AI55" s="419">
        <v>1568.3670513499999</v>
      </c>
      <c r="AJ55" s="419">
        <v>1263.2788130399999</v>
      </c>
      <c r="AK55" s="419">
        <v>1250.9957634699999</v>
      </c>
      <c r="AL55" s="419">
        <v>1312.9801299100004</v>
      </c>
      <c r="AM55" s="419">
        <v>1373.2369780400002</v>
      </c>
      <c r="AN55" s="419">
        <v>1294.51844523</v>
      </c>
      <c r="AO55" s="419">
        <v>1309.22184118</v>
      </c>
      <c r="AP55" s="419">
        <v>1381.3287188100001</v>
      </c>
      <c r="AQ55" s="419">
        <v>1284.6913234800343</v>
      </c>
      <c r="AR55" s="419">
        <v>1128.0638976000148</v>
      </c>
      <c r="AS55" s="419">
        <v>1389.1377747299755</v>
      </c>
      <c r="AT55" s="419">
        <v>1621.9914351249708</v>
      </c>
      <c r="AU55" s="419">
        <v>1429.9281341417975</v>
      </c>
      <c r="AV55" s="419">
        <v>1350.8092643812051</v>
      </c>
      <c r="AW55" s="419">
        <v>1363.481055648788</v>
      </c>
      <c r="AX55" s="419">
        <v>1481.0242033974096</v>
      </c>
      <c r="AY55" s="419">
        <v>1369.1390704724565</v>
      </c>
      <c r="AZ55" s="419">
        <v>1211.890613675366</v>
      </c>
      <c r="BA55" s="419">
        <v>1287.3444427282561</v>
      </c>
      <c r="BB55" s="419">
        <v>1167.436104729722</v>
      </c>
      <c r="BC55" s="419">
        <v>1144.7062325860024</v>
      </c>
      <c r="BD55" s="419">
        <v>1185.1920070913661</v>
      </c>
      <c r="BE55" s="419">
        <v>1296.546781784871</v>
      </c>
      <c r="BF55" s="419">
        <v>1254.3451458262853</v>
      </c>
      <c r="BG55" s="419">
        <v>1264.0378001964027</v>
      </c>
      <c r="BH55" s="419">
        <v>1616.3914386308027</v>
      </c>
      <c r="BI55" s="419">
        <v>1627.2223627918927</v>
      </c>
      <c r="BJ55" s="419">
        <v>1842.6271117917099</v>
      </c>
      <c r="BK55" s="419">
        <v>1628.6121597820661</v>
      </c>
      <c r="BL55" s="419">
        <v>1622.6072468596196</v>
      </c>
      <c r="BM55" s="419">
        <v>1753.2287598542005</v>
      </c>
      <c r="BN55" s="419">
        <v>1650.7368296397069</v>
      </c>
      <c r="BO55" s="419">
        <v>1651.2165607760658</v>
      </c>
      <c r="BP55" s="419">
        <v>1634.1071258180323</v>
      </c>
      <c r="BQ55" s="419">
        <v>1607.1944808551614</v>
      </c>
      <c r="BR55" s="419">
        <v>1683.5871585070154</v>
      </c>
      <c r="BS55" s="419">
        <v>1737.6267725551986</v>
      </c>
      <c r="BT55" s="419">
        <v>1787.4163761315695</v>
      </c>
      <c r="BU55" s="420">
        <v>1726.2648159954565</v>
      </c>
      <c r="BV55" s="420">
        <v>1696.2638843331699</v>
      </c>
      <c r="BW55" s="420">
        <v>1654.1694700219739</v>
      </c>
      <c r="BX55" s="420">
        <v>1645.8527529404216</v>
      </c>
      <c r="BY55" s="420">
        <v>1734.638064467526</v>
      </c>
      <c r="BZ55" s="420">
        <v>1658.682799772517</v>
      </c>
      <c r="CA55" s="420">
        <v>1593.5124513526839</v>
      </c>
      <c r="CB55" s="420">
        <v>1637.6252399420525</v>
      </c>
      <c r="CC55" s="420">
        <v>1872.1568749508695</v>
      </c>
      <c r="CD55" s="420">
        <v>1516.6241633027223</v>
      </c>
      <c r="CE55" s="420">
        <v>1586.4102300464212</v>
      </c>
      <c r="CF55" s="420">
        <v>2183.0596216864255</v>
      </c>
      <c r="CG55" s="420">
        <v>2250.2051788465233</v>
      </c>
      <c r="CH55" s="420">
        <v>2308.0768964665244</v>
      </c>
      <c r="CI55" s="420">
        <v>1881.9393131364548</v>
      </c>
      <c r="CJ55" s="420">
        <v>1911.0533564864943</v>
      </c>
      <c r="CK55" s="420">
        <v>2037.3547660964705</v>
      </c>
      <c r="CL55" s="420">
        <v>2139.0195345465113</v>
      </c>
      <c r="CM55" s="94">
        <v>2148.7085172564502</v>
      </c>
      <c r="CN55" s="94">
        <v>2830.0326603264839</v>
      </c>
      <c r="CO55" s="94">
        <v>2845.1891382465219</v>
      </c>
      <c r="CP55" s="94">
        <v>2712.7358011565466</v>
      </c>
      <c r="CQ55" s="94">
        <v>2766.1765475265047</v>
      </c>
      <c r="CR55" s="94">
        <v>2884.1899727164759</v>
      </c>
      <c r="CS55" s="94">
        <v>2341.8427289465762</v>
      </c>
      <c r="CT55" s="94">
        <v>2286.1076339160436</v>
      </c>
      <c r="CU55" s="421">
        <v>2341.9953491364554</v>
      </c>
      <c r="CV55" s="421">
        <v>1930.0376910963555</v>
      </c>
      <c r="CW55" s="421">
        <v>1859.9959418120668</v>
      </c>
      <c r="CX55" s="421">
        <v>1905.0163147011099</v>
      </c>
      <c r="CY55" s="421">
        <v>1912.03888268941</v>
      </c>
      <c r="CZ55" s="421">
        <v>1722.5373578516819</v>
      </c>
      <c r="DA55" s="421">
        <v>1532.2508873923521</v>
      </c>
      <c r="DB55" s="421">
        <v>1265.0870479198193</v>
      </c>
      <c r="DC55" s="421">
        <v>1103.1639609812767</v>
      </c>
      <c r="DD55" s="421">
        <v>1717.9416745223887</v>
      </c>
      <c r="DE55" s="421">
        <v>1598.5313476312404</v>
      </c>
      <c r="DF55" s="421">
        <v>1313.5426582514715</v>
      </c>
      <c r="DG55" s="421">
        <v>891.60289957732687</v>
      </c>
      <c r="DH55" s="421">
        <v>1252.0456227899999</v>
      </c>
      <c r="DI55" s="421">
        <v>1056.2499061896556</v>
      </c>
      <c r="DJ55" s="421">
        <v>899.67953126834391</v>
      </c>
      <c r="DK55" s="421">
        <v>904.07432895990348</v>
      </c>
      <c r="DL55" s="421">
        <v>612.19120356318092</v>
      </c>
      <c r="DM55" s="421">
        <v>2640.4207892121403</v>
      </c>
      <c r="DN55" s="421">
        <v>2578.2505624195401</v>
      </c>
      <c r="DO55" s="421">
        <v>2473.3718218776462</v>
      </c>
      <c r="DP55" s="421">
        <v>2408.0192686869336</v>
      </c>
      <c r="DQ55" s="421">
        <v>2386.8891345600923</v>
      </c>
      <c r="DR55" s="421">
        <v>2134.5995065035349</v>
      </c>
      <c r="DS55" s="421">
        <v>1367.616504951804</v>
      </c>
      <c r="DT55" s="421">
        <v>1173.0664875576329</v>
      </c>
      <c r="DU55" s="421">
        <v>1623.2019536617893</v>
      </c>
      <c r="DV55" s="421">
        <v>862.04535976816146</v>
      </c>
      <c r="DW55" s="421">
        <v>635.51824941016127</v>
      </c>
      <c r="DX55" s="421">
        <v>454.57915538021945</v>
      </c>
      <c r="DY55" s="421">
        <v>3047.5280253620699</v>
      </c>
      <c r="DZ55" s="421">
        <v>3032.207622197564</v>
      </c>
      <c r="EA55" s="421">
        <v>7010.349267206343</v>
      </c>
      <c r="EB55" s="421">
        <v>1234.5074823464502</v>
      </c>
      <c r="EC55" s="421">
        <v>740.90879603649887</v>
      </c>
      <c r="ED55" s="421">
        <v>1842.4301513489338</v>
      </c>
      <c r="EE55" s="421">
        <v>1341.1716621715964</v>
      </c>
      <c r="EF55" s="421">
        <v>1103.4634250198339</v>
      </c>
      <c r="EG55" s="421">
        <v>1368.3607270971531</v>
      </c>
      <c r="EH55" s="421">
        <v>617.19620753332504</v>
      </c>
      <c r="EI55" s="421">
        <v>419.52602118588601</v>
      </c>
      <c r="EJ55" s="421">
        <v>224.00052006215626</v>
      </c>
      <c r="EK55" s="421">
        <v>2834.9588518736014</v>
      </c>
    </row>
    <row r="56" spans="1:141" ht="16.5" customHeight="1" x14ac:dyDescent="0.3">
      <c r="A56" s="95"/>
      <c r="B56" s="95"/>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23"/>
      <c r="BV56" s="423"/>
      <c r="BW56" s="423"/>
      <c r="BX56" s="423"/>
      <c r="BY56" s="423"/>
      <c r="BZ56" s="423"/>
      <c r="CA56" s="423"/>
      <c r="CB56" s="423"/>
      <c r="CC56" s="423"/>
      <c r="CD56" s="423"/>
      <c r="CE56" s="423"/>
      <c r="CF56" s="423"/>
      <c r="CG56" s="423"/>
      <c r="CH56" s="423"/>
      <c r="CI56" s="423"/>
      <c r="CJ56" s="423"/>
      <c r="CK56" s="423"/>
      <c r="CL56" s="423"/>
      <c r="CM56" s="92"/>
      <c r="CN56" s="92"/>
      <c r="CO56" s="92"/>
      <c r="CP56" s="92"/>
      <c r="CQ56" s="92"/>
      <c r="CR56" s="92"/>
      <c r="CS56" s="92"/>
      <c r="CT56" s="92"/>
      <c r="CU56" s="424"/>
      <c r="CV56" s="424"/>
      <c r="CW56" s="424"/>
      <c r="CX56" s="424"/>
      <c r="CY56" s="424"/>
      <c r="CZ56" s="424"/>
      <c r="DA56" s="424"/>
      <c r="DB56" s="424"/>
      <c r="DC56" s="424"/>
      <c r="DD56" s="424"/>
      <c r="DE56" s="424"/>
      <c r="DF56" s="424"/>
      <c r="DG56" s="424"/>
      <c r="DH56" s="424"/>
      <c r="DI56" s="424"/>
      <c r="DJ56" s="424"/>
      <c r="DK56" s="424"/>
      <c r="DL56" s="424"/>
      <c r="DM56" s="424"/>
      <c r="DN56" s="424"/>
      <c r="DO56" s="424"/>
      <c r="DP56" s="424"/>
      <c r="DQ56" s="424"/>
      <c r="DR56" s="424"/>
      <c r="DS56" s="424"/>
      <c r="DT56" s="424"/>
      <c r="DU56" s="424"/>
      <c r="DV56" s="424"/>
      <c r="DW56" s="424"/>
      <c r="DX56" s="424"/>
      <c r="DY56" s="424"/>
      <c r="DZ56" s="424"/>
      <c r="EA56" s="424"/>
      <c r="EB56" s="424"/>
      <c r="EC56" s="424"/>
      <c r="ED56" s="424"/>
      <c r="EE56" s="424"/>
      <c r="EF56" s="424"/>
      <c r="EG56" s="424"/>
      <c r="EH56" s="424"/>
      <c r="EI56" s="424"/>
      <c r="EJ56" s="424"/>
      <c r="EK56" s="424"/>
    </row>
    <row r="57" spans="1:141" ht="16.5" customHeight="1" x14ac:dyDescent="0.3">
      <c r="A57" s="93" t="s">
        <v>959</v>
      </c>
      <c r="B57" s="93" t="s">
        <v>940</v>
      </c>
      <c r="C57" s="419">
        <v>19964.110167409999</v>
      </c>
      <c r="D57" s="419">
        <v>20456.15655851</v>
      </c>
      <c r="E57" s="419">
        <v>20656.54350453</v>
      </c>
      <c r="F57" s="419">
        <v>20976.469956159999</v>
      </c>
      <c r="G57" s="419">
        <v>23542.384742170001</v>
      </c>
      <c r="H57" s="419">
        <v>20273.87106505</v>
      </c>
      <c r="I57" s="419">
        <v>18508.569286829999</v>
      </c>
      <c r="J57" s="419">
        <v>19472.344551769998</v>
      </c>
      <c r="K57" s="419">
        <v>20495.222189169999</v>
      </c>
      <c r="L57" s="419">
        <v>20301.791217229998</v>
      </c>
      <c r="M57" s="419">
        <v>20191.020255150001</v>
      </c>
      <c r="N57" s="419">
        <v>21361.044988709997</v>
      </c>
      <c r="O57" s="419">
        <v>19413.827296809999</v>
      </c>
      <c r="P57" s="419">
        <v>19582.327154340001</v>
      </c>
      <c r="Q57" s="419">
        <v>18243.485036359998</v>
      </c>
      <c r="R57" s="419">
        <v>17904.736877859999</v>
      </c>
      <c r="S57" s="419">
        <v>18921.887750959999</v>
      </c>
      <c r="T57" s="419">
        <v>20149.1601701</v>
      </c>
      <c r="U57" s="419">
        <v>18753.241767789998</v>
      </c>
      <c r="V57" s="419">
        <v>19617.36774234</v>
      </c>
      <c r="W57" s="419">
        <v>19604.223607199998</v>
      </c>
      <c r="X57" s="419">
        <v>21354.738473539997</v>
      </c>
      <c r="Y57" s="419">
        <v>20283.88373102</v>
      </c>
      <c r="Z57" s="419">
        <v>19542.970377909998</v>
      </c>
      <c r="AA57" s="419">
        <v>21291.50351029</v>
      </c>
      <c r="AB57" s="419">
        <v>21595.119234289999</v>
      </c>
      <c r="AC57" s="419">
        <v>20783.147565799998</v>
      </c>
      <c r="AD57" s="419">
        <v>21203.46923585</v>
      </c>
      <c r="AE57" s="419">
        <v>19954.35588607</v>
      </c>
      <c r="AF57" s="419">
        <v>23783.569044779997</v>
      </c>
      <c r="AG57" s="419">
        <v>23780.145553330003</v>
      </c>
      <c r="AH57" s="419">
        <v>23569.844059790001</v>
      </c>
      <c r="AI57" s="419">
        <v>25164.681625080102</v>
      </c>
      <c r="AJ57" s="419">
        <v>26025.415872760001</v>
      </c>
      <c r="AK57" s="419">
        <v>25692.210255179998</v>
      </c>
      <c r="AL57" s="419">
        <v>25383.877467489987</v>
      </c>
      <c r="AM57" s="419">
        <v>25930.891317520014</v>
      </c>
      <c r="AN57" s="419">
        <v>25189.279282339961</v>
      </c>
      <c r="AO57" s="419">
        <v>25613.860504809993</v>
      </c>
      <c r="AP57" s="419">
        <v>25224.743159949947</v>
      </c>
      <c r="AQ57" s="419">
        <v>23948.197494770015</v>
      </c>
      <c r="AR57" s="419">
        <v>21850.039449129999</v>
      </c>
      <c r="AS57" s="419">
        <v>22254.871252340021</v>
      </c>
      <c r="AT57" s="419">
        <v>21879.72865525998</v>
      </c>
      <c r="AU57" s="419">
        <v>22545.301191179984</v>
      </c>
      <c r="AV57" s="419">
        <v>22101.591468449988</v>
      </c>
      <c r="AW57" s="419">
        <v>21365.243426009973</v>
      </c>
      <c r="AX57" s="419">
        <v>20881.14524601998</v>
      </c>
      <c r="AY57" s="419">
        <v>20472.976203240014</v>
      </c>
      <c r="AZ57" s="419">
        <v>21487.784692900019</v>
      </c>
      <c r="BA57" s="419">
        <v>21928.267963229922</v>
      </c>
      <c r="BB57" s="419">
        <v>21797.014970980046</v>
      </c>
      <c r="BC57" s="419">
        <v>22086.19730513003</v>
      </c>
      <c r="BD57" s="419">
        <v>22650.277264699977</v>
      </c>
      <c r="BE57" s="419">
        <v>21679.910396959978</v>
      </c>
      <c r="BF57" s="419">
        <v>22462.728441649982</v>
      </c>
      <c r="BG57" s="419">
        <v>20288.861448660031</v>
      </c>
      <c r="BH57" s="419">
        <v>18978.052171999949</v>
      </c>
      <c r="BI57" s="419">
        <v>18191.658810679994</v>
      </c>
      <c r="BJ57" s="419">
        <v>17271.864959959996</v>
      </c>
      <c r="BK57" s="419">
        <v>16252.714630709965</v>
      </c>
      <c r="BL57" s="419">
        <v>18325.476515089984</v>
      </c>
      <c r="BM57" s="419">
        <v>27006.25268139</v>
      </c>
      <c r="BN57" s="419">
        <v>26101.492148820111</v>
      </c>
      <c r="BO57" s="419">
        <v>24870.176161724856</v>
      </c>
      <c r="BP57" s="419">
        <v>24471.645377400018</v>
      </c>
      <c r="BQ57" s="419">
        <v>23760.59067086998</v>
      </c>
      <c r="BR57" s="419">
        <v>23082.71069057002</v>
      </c>
      <c r="BS57" s="419">
        <v>24280.758976100049</v>
      </c>
      <c r="BT57" s="419">
        <v>25590.232428529933</v>
      </c>
      <c r="BU57" s="420">
        <v>25098.625338600003</v>
      </c>
      <c r="BV57" s="420">
        <v>24330.692173520045</v>
      </c>
      <c r="BW57" s="420">
        <v>24688.323351009974</v>
      </c>
      <c r="BX57" s="420">
        <v>25037.211866000027</v>
      </c>
      <c r="BY57" s="420">
        <v>25089.035267669948</v>
      </c>
      <c r="BZ57" s="420">
        <v>24090.776523889981</v>
      </c>
      <c r="CA57" s="420">
        <v>24578.904463949977</v>
      </c>
      <c r="CB57" s="420">
        <v>25995.394258479944</v>
      </c>
      <c r="CC57" s="420">
        <v>25933.130423700044</v>
      </c>
      <c r="CD57" s="420">
        <v>24933.187775389986</v>
      </c>
      <c r="CE57" s="420">
        <v>25807.537072730051</v>
      </c>
      <c r="CF57" s="420">
        <v>26103.819359800116</v>
      </c>
      <c r="CG57" s="420">
        <v>24442.946636389959</v>
      </c>
      <c r="CH57" s="420">
        <v>23689.873631919989</v>
      </c>
      <c r="CI57" s="420">
        <v>23188.90674147004</v>
      </c>
      <c r="CJ57" s="420">
        <v>23496.741578239998</v>
      </c>
      <c r="CK57" s="420">
        <v>22597.495759479989</v>
      </c>
      <c r="CL57" s="420">
        <v>22044.530639399971</v>
      </c>
      <c r="CM57" s="94">
        <v>21561.821478250007</v>
      </c>
      <c r="CN57" s="94">
        <v>19811.472098009999</v>
      </c>
      <c r="CO57" s="94">
        <v>15924.198801319966</v>
      </c>
      <c r="CP57" s="94">
        <v>13081.932868679964</v>
      </c>
      <c r="CQ57" s="94">
        <v>18469.000551759982</v>
      </c>
      <c r="CR57" s="94">
        <v>20435.040907790011</v>
      </c>
      <c r="CS57" s="94">
        <v>17745.504284119903</v>
      </c>
      <c r="CT57" s="94">
        <v>17770.187594280058</v>
      </c>
      <c r="CU57" s="421">
        <v>13353.068122100005</v>
      </c>
      <c r="CV57" s="421">
        <v>15538.917807289947</v>
      </c>
      <c r="CW57" s="421">
        <v>18076.365482630034</v>
      </c>
      <c r="CX57" s="421">
        <v>22476.450769049956</v>
      </c>
      <c r="CY57" s="421">
        <v>21764.401940069976</v>
      </c>
      <c r="CZ57" s="421">
        <v>19920.449408879998</v>
      </c>
      <c r="DA57" s="421">
        <v>17132.549358880002</v>
      </c>
      <c r="DB57" s="421">
        <v>17331.741958690058</v>
      </c>
      <c r="DC57" s="421">
        <v>16655.315602609982</v>
      </c>
      <c r="DD57" s="421">
        <v>17236.659394390081</v>
      </c>
      <c r="DE57" s="421">
        <v>16047.574822380067</v>
      </c>
      <c r="DF57" s="421">
        <v>16794.55439085004</v>
      </c>
      <c r="DG57" s="421">
        <v>16187.812679669985</v>
      </c>
      <c r="DH57" s="421">
        <v>17285.976926669988</v>
      </c>
      <c r="DI57" s="421">
        <v>21126.782202980045</v>
      </c>
      <c r="DJ57" s="421">
        <v>23277.807549940124</v>
      </c>
      <c r="DK57" s="421">
        <v>26886.065392700013</v>
      </c>
      <c r="DL57" s="421">
        <v>30796.05285072992</v>
      </c>
      <c r="DM57" s="421">
        <v>32248.78907285001</v>
      </c>
      <c r="DN57" s="421">
        <v>34263.150843110052</v>
      </c>
      <c r="DO57" s="421">
        <v>36312.045858509955</v>
      </c>
      <c r="DP57" s="421">
        <v>36818.002139040036</v>
      </c>
      <c r="DQ57" s="421">
        <v>38480.682415569943</v>
      </c>
      <c r="DR57" s="421">
        <v>22423.470864930048</v>
      </c>
      <c r="DS57" s="421">
        <v>25347.25553749987</v>
      </c>
      <c r="DT57" s="421">
        <v>29915.161736709953</v>
      </c>
      <c r="DU57" s="421">
        <v>33266.74863743993</v>
      </c>
      <c r="DV57" s="421">
        <v>43315.521985109976</v>
      </c>
      <c r="DW57" s="421">
        <v>45358.747164090011</v>
      </c>
      <c r="DX57" s="421">
        <v>48614.019775939989</v>
      </c>
      <c r="DY57" s="421">
        <v>51944.345824869946</v>
      </c>
      <c r="DZ57" s="421">
        <v>51706.888492540071</v>
      </c>
      <c r="EA57" s="421">
        <v>51174.950152169957</v>
      </c>
      <c r="EB57" s="421">
        <v>51147.822299679843</v>
      </c>
      <c r="EC57" s="421">
        <v>53731.527280900147</v>
      </c>
      <c r="ED57" s="421">
        <v>54840.327218580074</v>
      </c>
      <c r="EE57" s="421">
        <v>54825.346195260252</v>
      </c>
      <c r="EF57" s="421">
        <v>54663.651045490231</v>
      </c>
      <c r="EG57" s="421">
        <v>56369.384690699953</v>
      </c>
      <c r="EH57" s="421">
        <v>27134.189067319825</v>
      </c>
      <c r="EI57" s="421">
        <v>31768.780279029783</v>
      </c>
      <c r="EJ57" s="421">
        <v>40194.416965589997</v>
      </c>
      <c r="EK57" s="421">
        <v>40183.213761679712</v>
      </c>
    </row>
    <row r="58" spans="1:141" ht="16.5" customHeight="1" x14ac:dyDescent="0.3">
      <c r="A58" s="95"/>
      <c r="B58" s="95"/>
      <c r="C58" s="425"/>
      <c r="D58" s="425"/>
      <c r="E58" s="425"/>
      <c r="F58" s="425"/>
      <c r="G58" s="425"/>
      <c r="H58" s="425"/>
      <c r="I58" s="425"/>
      <c r="J58" s="425"/>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c r="AL58" s="425"/>
      <c r="AM58" s="425"/>
      <c r="AN58" s="425"/>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23"/>
      <c r="BV58" s="423"/>
      <c r="BW58" s="423"/>
      <c r="BX58" s="423"/>
      <c r="BY58" s="423"/>
      <c r="BZ58" s="423"/>
      <c r="CA58" s="423"/>
      <c r="CB58" s="423"/>
      <c r="CC58" s="423"/>
      <c r="CD58" s="423"/>
      <c r="CE58" s="423"/>
      <c r="CF58" s="423"/>
      <c r="CG58" s="423"/>
      <c r="CH58" s="423"/>
      <c r="CI58" s="423"/>
      <c r="CJ58" s="423"/>
      <c r="CK58" s="423"/>
      <c r="CL58" s="423"/>
      <c r="CM58" s="92"/>
      <c r="CN58" s="92"/>
      <c r="CO58" s="92"/>
      <c r="CP58" s="92"/>
      <c r="CQ58" s="92"/>
      <c r="CR58" s="92"/>
      <c r="CS58" s="92"/>
      <c r="CT58" s="92"/>
      <c r="CU58" s="424"/>
      <c r="CV58" s="424"/>
      <c r="CW58" s="424"/>
      <c r="CX58" s="424"/>
      <c r="CY58" s="424"/>
      <c r="CZ58" s="424"/>
      <c r="DA58" s="424"/>
      <c r="DB58" s="424"/>
      <c r="DC58" s="424"/>
      <c r="DD58" s="424"/>
      <c r="DE58" s="424"/>
      <c r="DF58" s="424"/>
      <c r="DG58" s="424"/>
      <c r="DH58" s="424"/>
      <c r="DI58" s="424"/>
      <c r="DJ58" s="424"/>
      <c r="DK58" s="424"/>
      <c r="DL58" s="424"/>
      <c r="DM58" s="424"/>
      <c r="DN58" s="424"/>
      <c r="DO58" s="424"/>
      <c r="DP58" s="424"/>
      <c r="DQ58" s="424"/>
      <c r="DR58" s="424"/>
      <c r="DS58" s="424"/>
      <c r="DT58" s="424"/>
      <c r="DU58" s="424"/>
      <c r="DV58" s="424"/>
      <c r="DW58" s="424"/>
      <c r="DX58" s="424"/>
      <c r="DY58" s="424"/>
      <c r="DZ58" s="424"/>
      <c r="EA58" s="424"/>
      <c r="EB58" s="424"/>
      <c r="EC58" s="424"/>
      <c r="ED58" s="424"/>
      <c r="EE58" s="424"/>
      <c r="EF58" s="424"/>
      <c r="EG58" s="424"/>
      <c r="EH58" s="424"/>
      <c r="EI58" s="424"/>
      <c r="EJ58" s="424"/>
      <c r="EK58" s="424"/>
    </row>
    <row r="59" spans="1:141" ht="16.5" customHeight="1" x14ac:dyDescent="0.3">
      <c r="A59" s="93"/>
      <c r="B59" s="93" t="s">
        <v>137</v>
      </c>
      <c r="C59" s="419">
        <v>69596.492978319991</v>
      </c>
      <c r="D59" s="419">
        <v>70941.137481892089</v>
      </c>
      <c r="E59" s="419">
        <v>70499.654408622795</v>
      </c>
      <c r="F59" s="419">
        <v>71302.400435399992</v>
      </c>
      <c r="G59" s="419">
        <v>74450.371189439247</v>
      </c>
      <c r="H59" s="419">
        <v>73422.694705203787</v>
      </c>
      <c r="I59" s="419">
        <v>73741.023017996515</v>
      </c>
      <c r="J59" s="419">
        <v>74913.405949937558</v>
      </c>
      <c r="K59" s="419">
        <v>78694.334379371867</v>
      </c>
      <c r="L59" s="419">
        <v>79392.890201197049</v>
      </c>
      <c r="M59" s="419">
        <v>82982.38913011353</v>
      </c>
      <c r="N59" s="419">
        <v>86612.239956321166</v>
      </c>
      <c r="O59" s="419">
        <v>83585.412843679136</v>
      </c>
      <c r="P59" s="419">
        <v>83414.251738604406</v>
      </c>
      <c r="Q59" s="419">
        <v>84435.871824729984</v>
      </c>
      <c r="R59" s="419">
        <v>84082.643758713326</v>
      </c>
      <c r="S59" s="419">
        <v>85853.7490461774</v>
      </c>
      <c r="T59" s="419">
        <v>88592.546954006102</v>
      </c>
      <c r="U59" s="419">
        <v>88882.225156140514</v>
      </c>
      <c r="V59" s="419">
        <v>89112.098273285083</v>
      </c>
      <c r="W59" s="419">
        <v>87868.85674328811</v>
      </c>
      <c r="X59" s="419">
        <v>91091.426085718325</v>
      </c>
      <c r="Y59" s="419">
        <v>89540.306184057728</v>
      </c>
      <c r="Z59" s="419">
        <v>92681.040481569406</v>
      </c>
      <c r="AA59" s="419">
        <v>93057.427462320033</v>
      </c>
      <c r="AB59" s="419">
        <v>93216.006621315551</v>
      </c>
      <c r="AC59" s="419">
        <v>92395.195668494649</v>
      </c>
      <c r="AD59" s="419">
        <v>92343.333515853825</v>
      </c>
      <c r="AE59" s="419">
        <v>90504.874658527566</v>
      </c>
      <c r="AF59" s="419">
        <v>97002.375047003166</v>
      </c>
      <c r="AG59" s="419">
        <v>98020.36266122805</v>
      </c>
      <c r="AH59" s="419">
        <v>97950.904823900244</v>
      </c>
      <c r="AI59" s="419">
        <v>98887.514704928049</v>
      </c>
      <c r="AJ59" s="419">
        <v>98497.729015718214</v>
      </c>
      <c r="AK59" s="419">
        <v>99356.306201215775</v>
      </c>
      <c r="AL59" s="419">
        <v>100930.55116470347</v>
      </c>
      <c r="AM59" s="419">
        <v>104790.8711862858</v>
      </c>
      <c r="AN59" s="419">
        <v>104458.18777059334</v>
      </c>
      <c r="AO59" s="419">
        <v>108086.37032072496</v>
      </c>
      <c r="AP59" s="419">
        <v>107405.78630819431</v>
      </c>
      <c r="AQ59" s="419">
        <v>114390.36744273815</v>
      </c>
      <c r="AR59" s="419">
        <v>113988.66618276245</v>
      </c>
      <c r="AS59" s="419">
        <v>111194.3348185853</v>
      </c>
      <c r="AT59" s="419">
        <v>110092.93683619938</v>
      </c>
      <c r="AU59" s="419">
        <v>112471.1827692574</v>
      </c>
      <c r="AV59" s="419">
        <v>111686.14588464067</v>
      </c>
      <c r="AW59" s="419">
        <v>111021.07279987191</v>
      </c>
      <c r="AX59" s="419">
        <v>115230.05499443377</v>
      </c>
      <c r="AY59" s="419">
        <v>115477.48536903718</v>
      </c>
      <c r="AZ59" s="419">
        <v>120988.83522910152</v>
      </c>
      <c r="BA59" s="419">
        <v>122871.29449204239</v>
      </c>
      <c r="BB59" s="419">
        <v>127088.77066029809</v>
      </c>
      <c r="BC59" s="419">
        <v>128069.4762808027</v>
      </c>
      <c r="BD59" s="419">
        <v>130583.81207642556</v>
      </c>
      <c r="BE59" s="419">
        <v>131173.15071691383</v>
      </c>
      <c r="BF59" s="419">
        <v>133456.09197498212</v>
      </c>
      <c r="BG59" s="419">
        <v>130765.6793397868</v>
      </c>
      <c r="BH59" s="419">
        <v>129055.71459652908</v>
      </c>
      <c r="BI59" s="419">
        <v>126942.81240977174</v>
      </c>
      <c r="BJ59" s="419">
        <v>131563.49427910321</v>
      </c>
      <c r="BK59" s="419">
        <v>128415.42706414525</v>
      </c>
      <c r="BL59" s="419">
        <v>134436.63312649104</v>
      </c>
      <c r="BM59" s="419">
        <v>147415.07719755106</v>
      </c>
      <c r="BN59" s="419">
        <v>146159.68355201508</v>
      </c>
      <c r="BO59" s="419">
        <v>146084.06147709003</v>
      </c>
      <c r="BP59" s="419">
        <v>149685.82964859999</v>
      </c>
      <c r="BQ59" s="419">
        <v>152617.94579201998</v>
      </c>
      <c r="BR59" s="419">
        <v>152435.10079409002</v>
      </c>
      <c r="BS59" s="419">
        <v>154676.54865548</v>
      </c>
      <c r="BT59" s="419">
        <v>158429.68953137996</v>
      </c>
      <c r="BU59" s="420">
        <v>160069.02174412005</v>
      </c>
      <c r="BV59" s="420">
        <v>161362.55657941001</v>
      </c>
      <c r="BW59" s="420">
        <v>161629.17440413</v>
      </c>
      <c r="BX59" s="420">
        <v>164349.35004958996</v>
      </c>
      <c r="BY59" s="420">
        <v>165416.05700292002</v>
      </c>
      <c r="BZ59" s="420">
        <v>164662.21708085999</v>
      </c>
      <c r="CA59" s="420">
        <v>167951.32043450995</v>
      </c>
      <c r="CB59" s="420">
        <v>174872.48942699001</v>
      </c>
      <c r="CC59" s="420">
        <v>175421.29849750001</v>
      </c>
      <c r="CD59" s="420">
        <v>174452.08759260995</v>
      </c>
      <c r="CE59" s="420">
        <v>177108.37673410997</v>
      </c>
      <c r="CF59" s="420">
        <v>178785.45480361005</v>
      </c>
      <c r="CG59" s="420">
        <v>181295.97438636</v>
      </c>
      <c r="CH59" s="420">
        <v>185234.34054785004</v>
      </c>
      <c r="CI59" s="420">
        <v>181843.60436808999</v>
      </c>
      <c r="CJ59" s="420">
        <v>182389.03224828001</v>
      </c>
      <c r="CK59" s="420">
        <v>183206.87444175</v>
      </c>
      <c r="CL59" s="420">
        <v>186722.54971691</v>
      </c>
      <c r="CM59" s="94">
        <v>186053.17597899996</v>
      </c>
      <c r="CN59" s="94">
        <v>187908.69362753001</v>
      </c>
      <c r="CO59" s="94">
        <v>183668.11129455001</v>
      </c>
      <c r="CP59" s="94">
        <v>183313.14445789001</v>
      </c>
      <c r="CQ59" s="94">
        <v>192610.77432565999</v>
      </c>
      <c r="CR59" s="94">
        <v>195973.24121254997</v>
      </c>
      <c r="CS59" s="94">
        <v>198971.14215291999</v>
      </c>
      <c r="CT59" s="94">
        <v>207653.2763874396</v>
      </c>
      <c r="CU59" s="421">
        <v>204499.08389621993</v>
      </c>
      <c r="CV59" s="421">
        <v>210754.6665969801</v>
      </c>
      <c r="CW59" s="421">
        <v>214723.08751193993</v>
      </c>
      <c r="CX59" s="421">
        <v>221940.01058586998</v>
      </c>
      <c r="CY59" s="421">
        <v>229327.95755876999</v>
      </c>
      <c r="CZ59" s="421">
        <v>237591.15970955996</v>
      </c>
      <c r="DA59" s="421">
        <v>229257.85809920996</v>
      </c>
      <c r="DB59" s="421">
        <v>233361.93871635484</v>
      </c>
      <c r="DC59" s="421">
        <v>226356.64214427999</v>
      </c>
      <c r="DD59" s="421">
        <v>224900.90402548003</v>
      </c>
      <c r="DE59" s="421">
        <v>222116.63754560993</v>
      </c>
      <c r="DF59" s="421">
        <v>224314.53188190999</v>
      </c>
      <c r="DG59" s="421">
        <v>226175.33672197003</v>
      </c>
      <c r="DH59" s="421">
        <v>227249.11355501023</v>
      </c>
      <c r="DI59" s="421">
        <v>233932.51732181996</v>
      </c>
      <c r="DJ59" s="421">
        <v>236574.99271028998</v>
      </c>
      <c r="DK59" s="421">
        <v>247887.62922757003</v>
      </c>
      <c r="DL59" s="421">
        <v>260005.77526694004</v>
      </c>
      <c r="DM59" s="421">
        <v>265909.80497572001</v>
      </c>
      <c r="DN59" s="421">
        <v>266458.11617937998</v>
      </c>
      <c r="DO59" s="421">
        <v>269687.33985771006</v>
      </c>
      <c r="DP59" s="421">
        <v>270333.30208668002</v>
      </c>
      <c r="DQ59" s="421">
        <v>275703.91501952958</v>
      </c>
      <c r="DR59" s="421">
        <v>275938.08768676</v>
      </c>
      <c r="DS59" s="421">
        <v>285593.39157807006</v>
      </c>
      <c r="DT59" s="421">
        <v>280698.14165284997</v>
      </c>
      <c r="DU59" s="421">
        <v>283721.46444056992</v>
      </c>
      <c r="DV59" s="421">
        <v>302626.33420869993</v>
      </c>
      <c r="DW59" s="421">
        <v>297923.36164863274</v>
      </c>
      <c r="DX59" s="421">
        <v>322540.83795550355</v>
      </c>
      <c r="DY59" s="421">
        <v>340076.22582934995</v>
      </c>
      <c r="DZ59" s="421">
        <v>363505.06539300992</v>
      </c>
      <c r="EA59" s="421">
        <v>381162.95334598992</v>
      </c>
      <c r="EB59" s="421">
        <v>405336.86034841009</v>
      </c>
      <c r="EC59" s="421">
        <v>404706.26486895001</v>
      </c>
      <c r="ED59" s="421">
        <v>407009.19919003005</v>
      </c>
      <c r="EE59" s="421">
        <v>427496.24914150994</v>
      </c>
      <c r="EF59" s="421">
        <v>412751.50048619986</v>
      </c>
      <c r="EG59" s="421">
        <v>414996.05421080999</v>
      </c>
      <c r="EH59" s="421">
        <v>434544.36851303995</v>
      </c>
      <c r="EI59" s="421">
        <v>441668.59650271019</v>
      </c>
      <c r="EJ59" s="421">
        <v>446893.58303803991</v>
      </c>
      <c r="EK59" s="421">
        <v>452698.3212731799</v>
      </c>
    </row>
    <row r="60" spans="1:141" ht="16.5" customHeight="1" thickBot="1" x14ac:dyDescent="0.35">
      <c r="A60" s="55"/>
      <c r="B60" s="55"/>
      <c r="C60" s="432"/>
      <c r="D60" s="432"/>
      <c r="E60" s="432"/>
      <c r="F60" s="432"/>
      <c r="G60" s="432"/>
      <c r="H60" s="432"/>
      <c r="I60" s="432"/>
      <c r="J60" s="432"/>
      <c r="K60" s="432"/>
      <c r="L60" s="432"/>
      <c r="M60" s="432"/>
      <c r="N60" s="432"/>
      <c r="O60" s="432"/>
      <c r="P60" s="432"/>
      <c r="Q60" s="432"/>
      <c r="R60" s="432"/>
      <c r="S60" s="432"/>
      <c r="T60" s="432"/>
      <c r="U60" s="432"/>
      <c r="V60" s="432"/>
      <c r="W60" s="432"/>
      <c r="X60" s="432"/>
      <c r="Y60" s="432"/>
      <c r="Z60" s="432"/>
      <c r="AA60" s="432"/>
      <c r="AB60" s="432"/>
      <c r="AC60" s="432"/>
      <c r="AD60" s="432"/>
      <c r="AE60" s="432"/>
      <c r="AF60" s="432"/>
      <c r="AG60" s="432"/>
      <c r="AH60" s="432"/>
      <c r="AI60" s="432"/>
      <c r="AJ60" s="432"/>
      <c r="AK60" s="432"/>
      <c r="AL60" s="432"/>
      <c r="AM60" s="432"/>
      <c r="AN60" s="432"/>
      <c r="AO60" s="432"/>
      <c r="AP60" s="432"/>
      <c r="AQ60" s="432"/>
      <c r="AR60" s="432"/>
      <c r="AS60" s="432"/>
      <c r="AT60" s="432"/>
      <c r="AU60" s="432"/>
      <c r="AV60" s="432"/>
      <c r="AW60" s="432"/>
      <c r="AX60" s="432"/>
      <c r="AY60" s="432"/>
      <c r="AZ60" s="432"/>
      <c r="BA60" s="432"/>
      <c r="BB60" s="432"/>
      <c r="BC60" s="432"/>
      <c r="BD60" s="432"/>
      <c r="BE60" s="432"/>
      <c r="BF60" s="432"/>
      <c r="BG60" s="432"/>
      <c r="BH60" s="432"/>
      <c r="BI60" s="432"/>
      <c r="BJ60" s="432"/>
      <c r="BK60" s="432"/>
      <c r="BL60" s="432"/>
      <c r="BM60" s="432"/>
      <c r="BN60" s="432"/>
      <c r="BO60" s="432"/>
      <c r="BP60" s="432"/>
      <c r="BQ60" s="432"/>
      <c r="BR60" s="432"/>
      <c r="BS60" s="432"/>
      <c r="BT60" s="432"/>
      <c r="BU60" s="432"/>
      <c r="BV60" s="432"/>
      <c r="BW60" s="432"/>
      <c r="BX60" s="432"/>
      <c r="BY60" s="432"/>
      <c r="BZ60" s="432"/>
      <c r="CA60" s="432"/>
      <c r="CB60" s="432"/>
      <c r="CC60" s="432"/>
      <c r="CD60" s="432"/>
      <c r="CE60" s="432"/>
      <c r="CF60" s="432"/>
      <c r="CG60" s="432"/>
      <c r="CH60" s="432"/>
      <c r="CI60" s="432"/>
      <c r="CJ60" s="432"/>
      <c r="CK60" s="432"/>
      <c r="CL60" s="432"/>
      <c r="CM60" s="432"/>
      <c r="CN60" s="432"/>
      <c r="CO60" s="432"/>
      <c r="CP60" s="432"/>
      <c r="CQ60" s="432"/>
      <c r="CR60" s="432"/>
      <c r="CS60" s="432"/>
      <c r="CT60" s="432"/>
      <c r="CU60" s="432"/>
      <c r="CV60" s="432"/>
      <c r="CW60" s="432"/>
      <c r="CX60" s="432"/>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row>
    <row r="61" spans="1:141" s="417" customFormat="1" ht="15.75" customHeight="1" thickTop="1" x14ac:dyDescent="0.3">
      <c r="A61" s="102" t="s">
        <v>960</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row>
    <row r="62" spans="1:141" s="417" customFormat="1" ht="15.75" customHeight="1" x14ac:dyDescent="0.3">
      <c r="A62" s="434" t="s">
        <v>961</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row>
    <row r="63" spans="1:141" s="417" customFormat="1" ht="15.75" customHeight="1" x14ac:dyDescent="0.3">
      <c r="A63" s="102" t="s">
        <v>1003</v>
      </c>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row>
    <row r="64" spans="1:141" s="417" customFormat="1" ht="15.75" customHeight="1" x14ac:dyDescent="0.3">
      <c r="A64" s="103" t="s">
        <v>134</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row>
    <row r="65" spans="1:141" x14ac:dyDescent="0.3">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row>
    <row r="67" spans="1:141" ht="17.25" x14ac:dyDescent="0.3">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row>
    <row r="68" spans="1:141" ht="17.25" x14ac:dyDescent="0.3">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row>
    <row r="69" spans="1:141" ht="17.25" x14ac:dyDescent="0.3">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row>
    <row r="70" spans="1:141" ht="17.25" x14ac:dyDescent="0.3">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row>
  </sheetData>
  <printOptions horizontalCentered="1"/>
  <pageMargins left="0.75" right="0.75" top="0.75" bottom="0.75" header="0.3" footer="0"/>
  <pageSetup paperSize="9" scale="4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pageSetUpPr fitToPage="1"/>
  </sheetPr>
  <dimension ref="A1:XDO44"/>
  <sheetViews>
    <sheetView showGridLines="0" zoomScale="90" zoomScaleNormal="90" zoomScaleSheetLayoutView="100" workbookViewId="0">
      <pane xSplit="113" ySplit="3" topLeftCell="DX4" activePane="bottomRight" state="frozen"/>
      <selection activeCell="K39" sqref="K39"/>
      <selection pane="topRight" activeCell="K39" sqref="K39"/>
      <selection pane="bottomLeft" activeCell="K39" sqref="K39"/>
      <selection pane="bottomRight" activeCell="A46" sqref="A46"/>
    </sheetView>
  </sheetViews>
  <sheetFormatPr defaultColWidth="9.140625" defaultRowHeight="14.25" x14ac:dyDescent="0.25"/>
  <cols>
    <col min="1" max="1" width="60.140625" style="104" customWidth="1"/>
    <col min="2" max="13" width="9" style="104" hidden="1" customWidth="1"/>
    <col min="14" max="39" width="9.140625" style="104" hidden="1" customWidth="1"/>
    <col min="40" max="40" width="9.7109375" style="104" hidden="1" customWidth="1"/>
    <col min="41" max="90" width="11.28515625" style="104" hidden="1" customWidth="1"/>
    <col min="91" max="91" width="11.5703125" style="104" hidden="1" customWidth="1"/>
    <col min="92" max="127" width="11.28515625" style="104" hidden="1" customWidth="1"/>
    <col min="128" max="140" width="11.28515625" style="104" customWidth="1"/>
    <col min="141" max="214" width="9.140625" style="104" customWidth="1"/>
    <col min="215" max="215" width="55.28515625" style="104" customWidth="1"/>
    <col min="216" max="265" width="9.140625" style="104" hidden="1" customWidth="1"/>
    <col min="266" max="266" width="55.28515625" style="104" customWidth="1"/>
    <col min="267" max="304" width="9.140625" style="104" hidden="1" customWidth="1"/>
    <col min="305" max="470" width="9.140625" style="104" customWidth="1"/>
    <col min="471" max="471" width="55.28515625" style="104" customWidth="1"/>
    <col min="472" max="521" width="9.140625" style="104" hidden="1" customWidth="1"/>
    <col min="522" max="522" width="55.28515625" style="104" customWidth="1"/>
    <col min="523" max="560" width="9.140625" style="104" hidden="1" customWidth="1"/>
    <col min="561" max="726" width="9.140625" style="104" customWidth="1"/>
    <col min="727" max="727" width="55.28515625" style="104" customWidth="1"/>
    <col min="728" max="777" width="9.140625" style="104" hidden="1" customWidth="1"/>
    <col min="778" max="778" width="55.28515625" style="104" customWidth="1"/>
    <col min="779" max="816" width="9.140625" style="104" hidden="1" customWidth="1"/>
    <col min="817" max="982" width="9.140625" style="104" customWidth="1"/>
    <col min="983" max="983" width="55.28515625" style="104" customWidth="1"/>
    <col min="984" max="1033" width="9.140625" style="104" hidden="1" customWidth="1"/>
    <col min="1034" max="1034" width="55.28515625" style="104" customWidth="1"/>
    <col min="1035" max="1072" width="9.140625" style="104" hidden="1" customWidth="1"/>
    <col min="1073" max="1238" width="9.140625" style="104" customWidth="1"/>
    <col min="1239" max="1239" width="55.28515625" style="104" customWidth="1"/>
    <col min="1240" max="1289" width="9.140625" style="104" hidden="1" customWidth="1"/>
    <col min="1290" max="1290" width="55.28515625" style="104" customWidth="1"/>
    <col min="1291" max="1328" width="9.140625" style="104" hidden="1" customWidth="1"/>
    <col min="1329" max="1494" width="9.140625" style="104" customWidth="1"/>
    <col min="1495" max="1495" width="55.28515625" style="104" customWidth="1"/>
    <col min="1496" max="1545" width="9.140625" style="104" hidden="1" customWidth="1"/>
    <col min="1546" max="1546" width="55.28515625" style="104" customWidth="1"/>
    <col min="1547" max="1584" width="9.140625" style="104" hidden="1" customWidth="1"/>
    <col min="1585" max="1750" width="9.140625" style="104" customWidth="1"/>
    <col min="1751" max="1751" width="55.28515625" style="104" customWidth="1"/>
    <col min="1752" max="1801" width="9.140625" style="104" hidden="1" customWidth="1"/>
    <col min="1802" max="1802" width="55.28515625" style="104" customWidth="1"/>
    <col min="1803" max="1840" width="9.140625" style="104" hidden="1" customWidth="1"/>
    <col min="1841" max="2006" width="9.140625" style="104" customWidth="1"/>
    <col min="2007" max="2007" width="55.28515625" style="104" customWidth="1"/>
    <col min="2008" max="2057" width="9.140625" style="104" hidden="1" customWidth="1"/>
    <col min="2058" max="2058" width="55.28515625" style="104" customWidth="1"/>
    <col min="2059" max="2096" width="9.140625" style="104" hidden="1" customWidth="1"/>
    <col min="2097" max="2262" width="9.140625" style="104" customWidth="1"/>
    <col min="2263" max="2263" width="55.28515625" style="104" customWidth="1"/>
    <col min="2264" max="2313" width="9.140625" style="104" hidden="1" customWidth="1"/>
    <col min="2314" max="2314" width="55.28515625" style="104" customWidth="1"/>
    <col min="2315" max="2352" width="9.140625" style="104" hidden="1" customWidth="1"/>
    <col min="2353" max="2518" width="9.140625" style="104" customWidth="1"/>
    <col min="2519" max="2519" width="55.28515625" style="104" customWidth="1"/>
    <col min="2520" max="2569" width="9.140625" style="104" hidden="1" customWidth="1"/>
    <col min="2570" max="2570" width="55.28515625" style="104" customWidth="1"/>
    <col min="2571" max="2608" width="9.140625" style="104" hidden="1" customWidth="1"/>
    <col min="2609" max="2774" width="9.140625" style="104" customWidth="1"/>
    <col min="2775" max="2775" width="55.28515625" style="104" customWidth="1"/>
    <col min="2776" max="2825" width="9.140625" style="104" hidden="1" customWidth="1"/>
    <col min="2826" max="2826" width="55.28515625" style="104" customWidth="1"/>
    <col min="2827" max="2864" width="9.140625" style="104" hidden="1" customWidth="1"/>
    <col min="2865" max="3030" width="9.140625" style="104" customWidth="1"/>
    <col min="3031" max="3031" width="55.28515625" style="104" customWidth="1"/>
    <col min="3032" max="3081" width="9.140625" style="104" hidden="1" customWidth="1"/>
    <col min="3082" max="3082" width="55.28515625" style="104" customWidth="1"/>
    <col min="3083" max="3120" width="9.140625" style="104" hidden="1" customWidth="1"/>
    <col min="3121" max="3286" width="9.140625" style="104" customWidth="1"/>
    <col min="3287" max="3287" width="55.28515625" style="104" customWidth="1"/>
    <col min="3288" max="3337" width="9.140625" style="104" hidden="1" customWidth="1"/>
    <col min="3338" max="3338" width="55.28515625" style="104" customWidth="1"/>
    <col min="3339" max="3376" width="9.140625" style="104" hidden="1" customWidth="1"/>
    <col min="3377" max="3542" width="9.140625" style="104" customWidth="1"/>
    <col min="3543" max="3543" width="55.28515625" style="104" customWidth="1"/>
    <col min="3544" max="3593" width="9.140625" style="104" hidden="1" customWidth="1"/>
    <col min="3594" max="3594" width="55.28515625" style="104" customWidth="1"/>
    <col min="3595" max="3632" width="9.140625" style="104" hidden="1" customWidth="1"/>
    <col min="3633" max="3798" width="9.140625" style="104" customWidth="1"/>
    <col min="3799" max="3799" width="55.28515625" style="104" customWidth="1"/>
    <col min="3800" max="3849" width="9.140625" style="104" hidden="1" customWidth="1"/>
    <col min="3850" max="3850" width="55.28515625" style="104" customWidth="1"/>
    <col min="3851" max="3888" width="9.140625" style="104" hidden="1" customWidth="1"/>
    <col min="3889" max="4054" width="9.140625" style="104" customWidth="1"/>
    <col min="4055" max="4055" width="55.28515625" style="104" customWidth="1"/>
    <col min="4056" max="4105" width="9.140625" style="104" hidden="1" customWidth="1"/>
    <col min="4106" max="4106" width="55.28515625" style="104" customWidth="1"/>
    <col min="4107" max="4144" width="9.140625" style="104" hidden="1" customWidth="1"/>
    <col min="4145" max="4310" width="9.140625" style="104" customWidth="1"/>
    <col min="4311" max="4311" width="55.28515625" style="104" customWidth="1"/>
    <col min="4312" max="4361" width="9.140625" style="104" hidden="1" customWidth="1"/>
    <col min="4362" max="4362" width="55.28515625" style="104" customWidth="1"/>
    <col min="4363" max="4400" width="9.140625" style="104" hidden="1" customWidth="1"/>
    <col min="4401" max="4566" width="9.140625" style="104" customWidth="1"/>
    <col min="4567" max="4567" width="55.28515625" style="104" customWidth="1"/>
    <col min="4568" max="4617" width="9.140625" style="104" hidden="1" customWidth="1"/>
    <col min="4618" max="4618" width="55.28515625" style="104" customWidth="1"/>
    <col min="4619" max="4656" width="9.140625" style="104" hidden="1" customWidth="1"/>
    <col min="4657" max="4822" width="9.140625" style="104" customWidth="1"/>
    <col min="4823" max="4823" width="55.28515625" style="104" customWidth="1"/>
    <col min="4824" max="4873" width="9.140625" style="104" hidden="1" customWidth="1"/>
    <col min="4874" max="4874" width="55.28515625" style="104" customWidth="1"/>
    <col min="4875" max="4912" width="9.140625" style="104" hidden="1" customWidth="1"/>
    <col min="4913" max="5078" width="9.140625" style="104" customWidth="1"/>
    <col min="5079" max="5079" width="55.28515625" style="104" customWidth="1"/>
    <col min="5080" max="5129" width="9.140625" style="104" hidden="1" customWidth="1"/>
    <col min="5130" max="5130" width="55.28515625" style="104" customWidth="1"/>
    <col min="5131" max="5168" width="9.140625" style="104" hidden="1" customWidth="1"/>
    <col min="5169" max="5334" width="9.140625" style="104" customWidth="1"/>
    <col min="5335" max="5335" width="55.28515625" style="104" customWidth="1"/>
    <col min="5336" max="5385" width="9.140625" style="104" hidden="1" customWidth="1"/>
    <col min="5386" max="5386" width="55.28515625" style="104" customWidth="1"/>
    <col min="5387" max="5424" width="9.140625" style="104" hidden="1" customWidth="1"/>
    <col min="5425" max="5590" width="9.140625" style="104" customWidth="1"/>
    <col min="5591" max="5591" width="55.28515625" style="104" customWidth="1"/>
    <col min="5592" max="5641" width="9.140625" style="104" hidden="1" customWidth="1"/>
    <col min="5642" max="5642" width="55.28515625" style="104" customWidth="1"/>
    <col min="5643" max="5680" width="9.140625" style="104" hidden="1" customWidth="1"/>
    <col min="5681" max="5846" width="9.140625" style="104" customWidth="1"/>
    <col min="5847" max="5847" width="55.28515625" style="104" customWidth="1"/>
    <col min="5848" max="5897" width="9.140625" style="104" hidden="1" customWidth="1"/>
    <col min="5898" max="5898" width="55.28515625" style="104" customWidth="1"/>
    <col min="5899" max="5936" width="9.140625" style="104" hidden="1" customWidth="1"/>
    <col min="5937" max="6102" width="9.140625" style="104" customWidth="1"/>
    <col min="6103" max="6103" width="55.28515625" style="104" customWidth="1"/>
    <col min="6104" max="6153" width="9.140625" style="104" hidden="1" customWidth="1"/>
    <col min="6154" max="6154" width="55.28515625" style="104" customWidth="1"/>
    <col min="6155" max="6192" width="9.140625" style="104" hidden="1" customWidth="1"/>
    <col min="6193" max="6358" width="9.140625" style="104" customWidth="1"/>
    <col min="6359" max="6359" width="55.28515625" style="104" customWidth="1"/>
    <col min="6360" max="6409" width="9.140625" style="104" hidden="1" customWidth="1"/>
    <col min="6410" max="6410" width="55.28515625" style="104" customWidth="1"/>
    <col min="6411" max="6448" width="9.140625" style="104" hidden="1" customWidth="1"/>
    <col min="6449" max="6614" width="9.140625" style="104" customWidth="1"/>
    <col min="6615" max="6615" width="55.28515625" style="104" customWidth="1"/>
    <col min="6616" max="6665" width="9.140625" style="104" hidden="1" customWidth="1"/>
    <col min="6666" max="6666" width="55.28515625" style="104" customWidth="1"/>
    <col min="6667" max="6704" width="9.140625" style="104" hidden="1" customWidth="1"/>
    <col min="6705" max="6870" width="9.140625" style="104" customWidth="1"/>
    <col min="6871" max="6871" width="55.28515625" style="104" customWidth="1"/>
    <col min="6872" max="6921" width="9.140625" style="104" hidden="1" customWidth="1"/>
    <col min="6922" max="6922" width="55.28515625" style="104" customWidth="1"/>
    <col min="6923" max="6960" width="9.140625" style="104" hidden="1" customWidth="1"/>
    <col min="6961" max="7126" width="9.140625" style="104" customWidth="1"/>
    <col min="7127" max="7127" width="55.28515625" style="104" customWidth="1"/>
    <col min="7128" max="7177" width="9.140625" style="104" hidden="1" customWidth="1"/>
    <col min="7178" max="7178" width="55.28515625" style="104" customWidth="1"/>
    <col min="7179" max="7216" width="9.140625" style="104" hidden="1" customWidth="1"/>
    <col min="7217" max="7382" width="9.140625" style="104" customWidth="1"/>
    <col min="7383" max="7383" width="55.28515625" style="104" customWidth="1"/>
    <col min="7384" max="7433" width="9.140625" style="104" hidden="1" customWidth="1"/>
    <col min="7434" max="7434" width="55.28515625" style="104" customWidth="1"/>
    <col min="7435" max="7472" width="9.140625" style="104" hidden="1" customWidth="1"/>
    <col min="7473" max="7638" width="9.140625" style="104" customWidth="1"/>
    <col min="7639" max="7639" width="55.28515625" style="104" customWidth="1"/>
    <col min="7640" max="7689" width="9.140625" style="104" hidden="1" customWidth="1"/>
    <col min="7690" max="7690" width="55.28515625" style="104" customWidth="1"/>
    <col min="7691" max="7728" width="9.140625" style="104" hidden="1" customWidth="1"/>
    <col min="7729" max="7894" width="9.140625" style="104" customWidth="1"/>
    <col min="7895" max="7895" width="55.28515625" style="104" customWidth="1"/>
    <col min="7896" max="7945" width="9.140625" style="104" hidden="1" customWidth="1"/>
    <col min="7946" max="7946" width="55.28515625" style="104" customWidth="1"/>
    <col min="7947" max="7984" width="9.140625" style="104" hidden="1" customWidth="1"/>
    <col min="7985" max="8150" width="9.140625" style="104" customWidth="1"/>
    <col min="8151" max="8151" width="55.28515625" style="104" customWidth="1"/>
    <col min="8152" max="8201" width="9.140625" style="104" hidden="1" customWidth="1"/>
    <col min="8202" max="8202" width="55.28515625" style="104" customWidth="1"/>
    <col min="8203" max="8240" width="9.140625" style="104" hidden="1" customWidth="1"/>
    <col min="8241" max="8406" width="9.140625" style="104" customWidth="1"/>
    <col min="8407" max="8407" width="55.28515625" style="104" customWidth="1"/>
    <col min="8408" max="8457" width="9.140625" style="104" hidden="1" customWidth="1"/>
    <col min="8458" max="8458" width="55.28515625" style="104" customWidth="1"/>
    <col min="8459" max="8496" width="9.140625" style="104" hidden="1" customWidth="1"/>
    <col min="8497" max="8662" width="9.140625" style="104" customWidth="1"/>
    <col min="8663" max="8663" width="55.28515625" style="104" customWidth="1"/>
    <col min="8664" max="8713" width="9.140625" style="104" hidden="1" customWidth="1"/>
    <col min="8714" max="8714" width="55.28515625" style="104" customWidth="1"/>
    <col min="8715" max="8752" width="9.140625" style="104" hidden="1" customWidth="1"/>
    <col min="8753" max="8918" width="9.140625" style="104" customWidth="1"/>
    <col min="8919" max="8919" width="55.28515625" style="104" customWidth="1"/>
    <col min="8920" max="8969" width="9.140625" style="104" hidden="1" customWidth="1"/>
    <col min="8970" max="8970" width="55.28515625" style="104" customWidth="1"/>
    <col min="8971" max="9008" width="9.140625" style="104" hidden="1" customWidth="1"/>
    <col min="9009" max="9174" width="9.140625" style="104" customWidth="1"/>
    <col min="9175" max="9175" width="55.28515625" style="104" customWidth="1"/>
    <col min="9176" max="9225" width="9.140625" style="104" hidden="1" customWidth="1"/>
    <col min="9226" max="9226" width="55.28515625" style="104" customWidth="1"/>
    <col min="9227" max="9264" width="9.140625" style="104" hidden="1" customWidth="1"/>
    <col min="9265" max="9430" width="9.140625" style="104" customWidth="1"/>
    <col min="9431" max="9431" width="55.28515625" style="104" customWidth="1"/>
    <col min="9432" max="9481" width="9.140625" style="104" hidden="1" customWidth="1"/>
    <col min="9482" max="9482" width="55.28515625" style="104" customWidth="1"/>
    <col min="9483" max="9520" width="9.140625" style="104" hidden="1" customWidth="1"/>
    <col min="9521" max="9686" width="9.140625" style="104" customWidth="1"/>
    <col min="9687" max="9687" width="55.28515625" style="104" customWidth="1"/>
    <col min="9688" max="9737" width="9.140625" style="104" hidden="1" customWidth="1"/>
    <col min="9738" max="9738" width="55.28515625" style="104" customWidth="1"/>
    <col min="9739" max="9776" width="9.140625" style="104" hidden="1" customWidth="1"/>
    <col min="9777" max="9942" width="9.140625" style="104" customWidth="1"/>
    <col min="9943" max="9943" width="55.28515625" style="104" customWidth="1"/>
    <col min="9944" max="9993" width="9.140625" style="104" hidden="1" customWidth="1"/>
    <col min="9994" max="9994" width="55.28515625" style="104" customWidth="1"/>
    <col min="9995" max="10032" width="9.140625" style="104" hidden="1" customWidth="1"/>
    <col min="10033" max="10198" width="9.140625" style="104" customWidth="1"/>
    <col min="10199" max="10199" width="55.28515625" style="104" customWidth="1"/>
    <col min="10200" max="10249" width="9.140625" style="104" hidden="1" customWidth="1"/>
    <col min="10250" max="10250" width="55.28515625" style="104" customWidth="1"/>
    <col min="10251" max="10288" width="9.140625" style="104" hidden="1" customWidth="1"/>
    <col min="10289" max="10454" width="9.140625" style="104" customWidth="1"/>
    <col min="10455" max="10455" width="55.28515625" style="104" customWidth="1"/>
    <col min="10456" max="10505" width="9.140625" style="104" hidden="1" customWidth="1"/>
    <col min="10506" max="10506" width="55.28515625" style="104" customWidth="1"/>
    <col min="10507" max="10544" width="9.140625" style="104" hidden="1" customWidth="1"/>
    <col min="10545" max="10710" width="9.140625" style="104" customWidth="1"/>
    <col min="10711" max="10711" width="55.28515625" style="104" customWidth="1"/>
    <col min="10712" max="10761" width="9.140625" style="104" hidden="1" customWidth="1"/>
    <col min="10762" max="10762" width="55.28515625" style="104" customWidth="1"/>
    <col min="10763" max="10800" width="9.140625" style="104" hidden="1" customWidth="1"/>
    <col min="10801" max="10966" width="9.140625" style="104" customWidth="1"/>
    <col min="10967" max="10967" width="55.28515625" style="104" customWidth="1"/>
    <col min="10968" max="11017" width="9.140625" style="104" hidden="1" customWidth="1"/>
    <col min="11018" max="11018" width="55.28515625" style="104" customWidth="1"/>
    <col min="11019" max="11056" width="9.140625" style="104" hidden="1" customWidth="1"/>
    <col min="11057" max="11222" width="9.140625" style="104" customWidth="1"/>
    <col min="11223" max="11223" width="55.28515625" style="104" customWidth="1"/>
    <col min="11224" max="11273" width="9.140625" style="104" hidden="1" customWidth="1"/>
    <col min="11274" max="11274" width="55.28515625" style="104" customWidth="1"/>
    <col min="11275" max="11312" width="9.140625" style="104" hidden="1" customWidth="1"/>
    <col min="11313" max="11478" width="9.140625" style="104" customWidth="1"/>
    <col min="11479" max="11479" width="55.28515625" style="104" customWidth="1"/>
    <col min="11480" max="11529" width="9.140625" style="104" hidden="1" customWidth="1"/>
    <col min="11530" max="11530" width="55.28515625" style="104" customWidth="1"/>
    <col min="11531" max="11568" width="9.140625" style="104" hidden="1" customWidth="1"/>
    <col min="11569" max="11734" width="9.140625" style="104" customWidth="1"/>
    <col min="11735" max="11735" width="55.28515625" style="104" customWidth="1"/>
    <col min="11736" max="11785" width="9.140625" style="104" hidden="1" customWidth="1"/>
    <col min="11786" max="11786" width="55.28515625" style="104" customWidth="1"/>
    <col min="11787" max="11824" width="9.140625" style="104" hidden="1" customWidth="1"/>
    <col min="11825" max="11990" width="9.140625" style="104" customWidth="1"/>
    <col min="11991" max="11991" width="55.28515625" style="104" customWidth="1"/>
    <col min="11992" max="12041" width="9.140625" style="104" hidden="1" customWidth="1"/>
    <col min="12042" max="12042" width="55.28515625" style="104" customWidth="1"/>
    <col min="12043" max="12080" width="9.140625" style="104" hidden="1" customWidth="1"/>
    <col min="12081" max="12246" width="9.140625" style="104" customWidth="1"/>
    <col min="12247" max="12247" width="55.28515625" style="104" customWidth="1"/>
    <col min="12248" max="12297" width="9.140625" style="104" hidden="1" customWidth="1"/>
    <col min="12298" max="12298" width="55.28515625" style="104" customWidth="1"/>
    <col min="12299" max="12336" width="9.140625" style="104" hidden="1" customWidth="1"/>
    <col min="12337" max="12502" width="9.140625" style="104" customWidth="1"/>
    <col min="12503" max="12503" width="55.28515625" style="104" customWidth="1"/>
    <col min="12504" max="12553" width="9.140625" style="104" hidden="1" customWidth="1"/>
    <col min="12554" max="12554" width="55.28515625" style="104" customWidth="1"/>
    <col min="12555" max="12592" width="9.140625" style="104" hidden="1" customWidth="1"/>
    <col min="12593" max="12758" width="9.140625" style="104" customWidth="1"/>
    <col min="12759" max="12759" width="55.28515625" style="104" customWidth="1"/>
    <col min="12760" max="12809" width="9.140625" style="104" hidden="1" customWidth="1"/>
    <col min="12810" max="12810" width="55.28515625" style="104" customWidth="1"/>
    <col min="12811" max="12848" width="9.140625" style="104" hidden="1" customWidth="1"/>
    <col min="12849" max="13014" width="9.140625" style="104" customWidth="1"/>
    <col min="13015" max="13015" width="55.28515625" style="104" customWidth="1"/>
    <col min="13016" max="13065" width="9.140625" style="104" hidden="1" customWidth="1"/>
    <col min="13066" max="13066" width="55.28515625" style="104" customWidth="1"/>
    <col min="13067" max="13104" width="9.140625" style="104" hidden="1" customWidth="1"/>
    <col min="13105" max="13270" width="9.140625" style="104" customWidth="1"/>
    <col min="13271" max="13271" width="55.28515625" style="104" customWidth="1"/>
    <col min="13272" max="13321" width="9.140625" style="104" hidden="1" customWidth="1"/>
    <col min="13322" max="13322" width="55.28515625" style="104" customWidth="1"/>
    <col min="13323" max="13360" width="9.140625" style="104" hidden="1" customWidth="1"/>
    <col min="13361" max="13526" width="9.140625" style="104" customWidth="1"/>
    <col min="13527" max="13527" width="55.28515625" style="104" customWidth="1"/>
    <col min="13528" max="13577" width="9.140625" style="104" hidden="1" customWidth="1"/>
    <col min="13578" max="13578" width="55.28515625" style="104" customWidth="1"/>
    <col min="13579" max="13616" width="9.140625" style="104" hidden="1" customWidth="1"/>
    <col min="13617" max="13782" width="9.140625" style="104" customWidth="1"/>
    <col min="13783" max="13783" width="55.28515625" style="104" customWidth="1"/>
    <col min="13784" max="13833" width="9.140625" style="104" hidden="1" customWidth="1"/>
    <col min="13834" max="13834" width="55.28515625" style="104" customWidth="1"/>
    <col min="13835" max="13872" width="9.140625" style="104" hidden="1" customWidth="1"/>
    <col min="13873" max="14038" width="9.140625" style="104" customWidth="1"/>
    <col min="14039" max="14039" width="55.28515625" style="104" customWidth="1"/>
    <col min="14040" max="14089" width="9.140625" style="104" hidden="1" customWidth="1"/>
    <col min="14090" max="14090" width="55.28515625" style="104" customWidth="1"/>
    <col min="14091" max="14128" width="9.140625" style="104" hidden="1" customWidth="1"/>
    <col min="14129" max="14294" width="9.140625" style="104" customWidth="1"/>
    <col min="14295" max="14295" width="55.28515625" style="104" customWidth="1"/>
    <col min="14296" max="14345" width="9.140625" style="104" hidden="1" customWidth="1"/>
    <col min="14346" max="14346" width="55.28515625" style="104" customWidth="1"/>
    <col min="14347" max="14384" width="9.140625" style="104" hidden="1" customWidth="1"/>
    <col min="14385" max="14550" width="9.140625" style="104" customWidth="1"/>
    <col min="14551" max="14551" width="55.28515625" style="104" customWidth="1"/>
    <col min="14552" max="14601" width="9.140625" style="104" hidden="1" customWidth="1"/>
    <col min="14602" max="14602" width="55.28515625" style="104" customWidth="1"/>
    <col min="14603" max="14640" width="9.140625" style="104" hidden="1" customWidth="1"/>
    <col min="14641" max="14806" width="9.140625" style="104" customWidth="1"/>
    <col min="14807" max="14807" width="55.28515625" style="104" customWidth="1"/>
    <col min="14808" max="14857" width="9.140625" style="104" hidden="1" customWidth="1"/>
    <col min="14858" max="14858" width="55.28515625" style="104" customWidth="1"/>
    <col min="14859" max="14896" width="9.140625" style="104" hidden="1" customWidth="1"/>
    <col min="14897" max="15062" width="9.140625" style="104" customWidth="1"/>
    <col min="15063" max="15063" width="55.28515625" style="104" customWidth="1"/>
    <col min="15064" max="15113" width="9.140625" style="104" hidden="1" customWidth="1"/>
    <col min="15114" max="15114" width="55.28515625" style="104" customWidth="1"/>
    <col min="15115" max="15152" width="9.140625" style="104" hidden="1" customWidth="1"/>
    <col min="15153" max="15318" width="9.140625" style="104" customWidth="1"/>
    <col min="15319" max="15319" width="55.28515625" style="104" customWidth="1"/>
    <col min="15320" max="15369" width="9.140625" style="104" hidden="1" customWidth="1"/>
    <col min="15370" max="15370" width="55.28515625" style="104" customWidth="1"/>
    <col min="15371" max="15408" width="9.140625" style="104" hidden="1" customWidth="1"/>
    <col min="15409" max="15574" width="9.140625" style="104" customWidth="1"/>
    <col min="15575" max="15575" width="55.28515625" style="104" customWidth="1"/>
    <col min="15576" max="15625" width="9.140625" style="104" hidden="1" customWidth="1"/>
    <col min="15626" max="15626" width="55.28515625" style="104" customWidth="1"/>
    <col min="15627" max="15664" width="9.140625" style="104" hidden="1" customWidth="1"/>
    <col min="15665" max="15830" width="9.140625" style="104" customWidth="1"/>
    <col min="15831" max="15831" width="55.28515625" style="104" customWidth="1"/>
    <col min="15832" max="15881" width="9.140625" style="104" hidden="1" customWidth="1"/>
    <col min="15882" max="15882" width="55.28515625" style="104" customWidth="1"/>
    <col min="15883" max="15920" width="9.140625" style="104" hidden="1" customWidth="1"/>
    <col min="15921" max="16086" width="9.140625" style="104" customWidth="1"/>
    <col min="16087" max="16087" width="55.28515625" style="104" customWidth="1"/>
    <col min="16088" max="16137" width="9.140625" style="104" hidden="1" customWidth="1"/>
    <col min="16138" max="16138" width="55.28515625" style="104" customWidth="1"/>
    <col min="16139" max="16176" width="9.140625" style="104" hidden="1" customWidth="1"/>
    <col min="16177" max="16342" width="9.140625" style="104" customWidth="1"/>
    <col min="16343" max="16343" width="55.28515625" style="104" customWidth="1"/>
    <col min="16344" max="16384" width="9.140625" style="104" hidden="1" customWidth="1"/>
  </cols>
  <sheetData>
    <row r="1" spans="1:140" ht="18" customHeight="1" x14ac:dyDescent="0.3">
      <c r="A1" s="105" t="s">
        <v>1062</v>
      </c>
    </row>
    <row r="2" spans="1:140" ht="13.5" customHeight="1" thickBot="1" x14ac:dyDescent="0.35">
      <c r="A2" s="435"/>
      <c r="B2" s="87"/>
      <c r="C2" s="87"/>
      <c r="D2" s="87"/>
      <c r="E2" s="87"/>
      <c r="G2" s="87"/>
      <c r="H2" s="87"/>
      <c r="I2" s="87"/>
      <c r="K2" s="87"/>
      <c r="N2" s="87"/>
      <c r="O2" s="87"/>
      <c r="P2" s="87"/>
      <c r="Q2" s="87"/>
      <c r="R2" s="87"/>
      <c r="S2" s="87"/>
      <c r="T2" s="87"/>
      <c r="U2" s="87"/>
      <c r="V2" s="87"/>
      <c r="W2" s="87"/>
      <c r="X2" s="87"/>
      <c r="Y2" s="436"/>
      <c r="Z2" s="436"/>
      <c r="AA2" s="436"/>
      <c r="AB2" s="436"/>
      <c r="AC2" s="436"/>
      <c r="AD2" s="87"/>
      <c r="AE2" s="87"/>
      <c r="AF2" s="87"/>
      <c r="AG2" s="87"/>
      <c r="AH2" s="87"/>
      <c r="AI2" s="87"/>
      <c r="AJ2" s="87"/>
      <c r="AK2" s="87"/>
      <c r="AL2" s="87"/>
      <c r="AM2" s="87"/>
      <c r="AN2" s="87"/>
      <c r="AO2" s="87"/>
      <c r="AP2" s="87"/>
      <c r="AV2" s="87"/>
      <c r="AW2" s="87"/>
      <c r="AX2" s="87"/>
      <c r="BA2" s="86"/>
      <c r="BB2" s="86"/>
      <c r="BD2" s="86"/>
      <c r="BE2" s="86"/>
      <c r="BF2" s="86"/>
      <c r="BG2" s="86"/>
      <c r="BH2" s="86"/>
      <c r="BY2" s="86"/>
      <c r="CG2" s="86"/>
      <c r="CI2" s="86"/>
      <c r="CK2" s="86"/>
      <c r="CO2" s="86"/>
      <c r="DD2" s="102"/>
      <c r="DE2" s="102"/>
      <c r="DF2" s="102"/>
      <c r="DH2" s="102"/>
      <c r="DI2" s="102"/>
      <c r="DK2" s="102"/>
      <c r="DT2" s="87"/>
      <c r="DY2" s="87"/>
      <c r="EF2" s="87"/>
      <c r="EG2" s="87"/>
      <c r="EH2" s="87"/>
      <c r="EI2" s="87"/>
      <c r="EJ2" s="87" t="s">
        <v>8</v>
      </c>
    </row>
    <row r="3" spans="1:140" s="53" customFormat="1" ht="24" customHeight="1" thickTop="1" thickBot="1" x14ac:dyDescent="0.35">
      <c r="A3" s="437"/>
      <c r="B3" s="438">
        <v>40179</v>
      </c>
      <c r="C3" s="439">
        <v>40211</v>
      </c>
      <c r="D3" s="439">
        <v>40239</v>
      </c>
      <c r="E3" s="439">
        <v>40270</v>
      </c>
      <c r="F3" s="439">
        <v>40300</v>
      </c>
      <c r="G3" s="439">
        <v>40331</v>
      </c>
      <c r="H3" s="439">
        <v>40361</v>
      </c>
      <c r="I3" s="439">
        <v>40392</v>
      </c>
      <c r="J3" s="439">
        <v>40423</v>
      </c>
      <c r="K3" s="439">
        <v>40453</v>
      </c>
      <c r="L3" s="439">
        <v>40484</v>
      </c>
      <c r="M3" s="439">
        <v>40514</v>
      </c>
      <c r="N3" s="439">
        <v>40545</v>
      </c>
      <c r="O3" s="439">
        <v>40576</v>
      </c>
      <c r="P3" s="439">
        <v>40604</v>
      </c>
      <c r="Q3" s="439">
        <v>40635</v>
      </c>
      <c r="R3" s="439">
        <v>40665</v>
      </c>
      <c r="S3" s="439">
        <v>40696</v>
      </c>
      <c r="T3" s="439">
        <v>40726</v>
      </c>
      <c r="U3" s="439">
        <v>40757</v>
      </c>
      <c r="V3" s="439">
        <v>40788</v>
      </c>
      <c r="W3" s="439">
        <v>40818</v>
      </c>
      <c r="X3" s="439">
        <v>40849</v>
      </c>
      <c r="Y3" s="439">
        <v>40879</v>
      </c>
      <c r="Z3" s="439">
        <v>40910</v>
      </c>
      <c r="AA3" s="439">
        <v>40941</v>
      </c>
      <c r="AB3" s="439">
        <v>40970</v>
      </c>
      <c r="AC3" s="439">
        <v>41001</v>
      </c>
      <c r="AD3" s="439">
        <v>41031</v>
      </c>
      <c r="AE3" s="439">
        <v>41062</v>
      </c>
      <c r="AF3" s="439">
        <v>41092</v>
      </c>
      <c r="AG3" s="439">
        <v>41123</v>
      </c>
      <c r="AH3" s="439">
        <v>41154</v>
      </c>
      <c r="AI3" s="439">
        <v>41184</v>
      </c>
      <c r="AJ3" s="439">
        <v>41215</v>
      </c>
      <c r="AK3" s="439">
        <v>41245</v>
      </c>
      <c r="AL3" s="439">
        <v>41276</v>
      </c>
      <c r="AM3" s="439">
        <v>41307</v>
      </c>
      <c r="AN3" s="439">
        <v>41335</v>
      </c>
      <c r="AO3" s="439">
        <v>41366</v>
      </c>
      <c r="AP3" s="439">
        <v>41396</v>
      </c>
      <c r="AQ3" s="439">
        <v>41427</v>
      </c>
      <c r="AR3" s="439">
        <v>41457</v>
      </c>
      <c r="AS3" s="439">
        <v>41488</v>
      </c>
      <c r="AT3" s="439">
        <v>41519</v>
      </c>
      <c r="AU3" s="439">
        <v>41549</v>
      </c>
      <c r="AV3" s="439">
        <v>41580</v>
      </c>
      <c r="AW3" s="439">
        <v>41610</v>
      </c>
      <c r="AX3" s="439">
        <v>41641</v>
      </c>
      <c r="AY3" s="439">
        <v>41672</v>
      </c>
      <c r="AZ3" s="439">
        <v>41700</v>
      </c>
      <c r="BA3" s="439">
        <v>41731</v>
      </c>
      <c r="BB3" s="439">
        <v>41761</v>
      </c>
      <c r="BC3" s="439">
        <v>41791</v>
      </c>
      <c r="BD3" s="439">
        <v>41821</v>
      </c>
      <c r="BE3" s="439">
        <v>41852</v>
      </c>
      <c r="BF3" s="439">
        <v>41883</v>
      </c>
      <c r="BG3" s="439">
        <v>41914</v>
      </c>
      <c r="BH3" s="439">
        <v>41945</v>
      </c>
      <c r="BI3" s="439">
        <v>41975</v>
      </c>
      <c r="BJ3" s="439">
        <v>42006</v>
      </c>
      <c r="BK3" s="439">
        <v>42037</v>
      </c>
      <c r="BL3" s="439">
        <v>42065</v>
      </c>
      <c r="BM3" s="439">
        <v>42096</v>
      </c>
      <c r="BN3" s="439">
        <v>42126</v>
      </c>
      <c r="BO3" s="439">
        <v>42157</v>
      </c>
      <c r="BP3" s="439">
        <v>42187</v>
      </c>
      <c r="BQ3" s="439">
        <v>42218</v>
      </c>
      <c r="BR3" s="439">
        <v>42249</v>
      </c>
      <c r="BS3" s="439">
        <v>42279</v>
      </c>
      <c r="BT3" s="439">
        <v>42310</v>
      </c>
      <c r="BU3" s="439">
        <v>42340</v>
      </c>
      <c r="BV3" s="439">
        <v>42371</v>
      </c>
      <c r="BW3" s="439">
        <v>42402</v>
      </c>
      <c r="BX3" s="439">
        <v>42431</v>
      </c>
      <c r="BY3" s="439">
        <v>42462</v>
      </c>
      <c r="BZ3" s="439">
        <v>42492</v>
      </c>
      <c r="CA3" s="439">
        <v>42523</v>
      </c>
      <c r="CB3" s="439">
        <v>42553</v>
      </c>
      <c r="CC3" s="439">
        <v>42584</v>
      </c>
      <c r="CD3" s="439">
        <v>42615</v>
      </c>
      <c r="CE3" s="439">
        <v>42645</v>
      </c>
      <c r="CF3" s="439">
        <v>42676</v>
      </c>
      <c r="CG3" s="439">
        <v>42706</v>
      </c>
      <c r="CH3" s="439">
        <v>42737</v>
      </c>
      <c r="CI3" s="439">
        <v>42768</v>
      </c>
      <c r="CJ3" s="439">
        <v>42796</v>
      </c>
      <c r="CK3" s="439">
        <v>42827</v>
      </c>
      <c r="CL3" s="439">
        <v>42857</v>
      </c>
      <c r="CM3" s="439">
        <v>42888</v>
      </c>
      <c r="CN3" s="439">
        <v>42918</v>
      </c>
      <c r="CO3" s="439">
        <v>42949</v>
      </c>
      <c r="CP3" s="439">
        <v>42980</v>
      </c>
      <c r="CQ3" s="439">
        <v>43010</v>
      </c>
      <c r="CR3" s="439">
        <v>43041</v>
      </c>
      <c r="CS3" s="439">
        <v>43071</v>
      </c>
      <c r="CT3" s="439">
        <v>43102</v>
      </c>
      <c r="CU3" s="439">
        <v>43133</v>
      </c>
      <c r="CV3" s="439">
        <v>43161</v>
      </c>
      <c r="CW3" s="439">
        <v>43192</v>
      </c>
      <c r="CX3" s="439">
        <v>43222</v>
      </c>
      <c r="CY3" s="439">
        <v>43253</v>
      </c>
      <c r="CZ3" s="439">
        <v>43283</v>
      </c>
      <c r="DA3" s="439">
        <v>43314</v>
      </c>
      <c r="DB3" s="439">
        <v>43345</v>
      </c>
      <c r="DC3" s="439">
        <v>43375</v>
      </c>
      <c r="DD3" s="439">
        <v>43406</v>
      </c>
      <c r="DE3" s="439">
        <v>43436</v>
      </c>
      <c r="DF3" s="439">
        <v>43467</v>
      </c>
      <c r="DG3" s="439">
        <v>43498</v>
      </c>
      <c r="DH3" s="439">
        <v>43526</v>
      </c>
      <c r="DI3" s="439">
        <v>43557</v>
      </c>
      <c r="DJ3" s="439">
        <v>43587</v>
      </c>
      <c r="DK3" s="439">
        <v>43618</v>
      </c>
      <c r="DL3" s="439">
        <v>43648</v>
      </c>
      <c r="DM3" s="439">
        <v>43679</v>
      </c>
      <c r="DN3" s="439">
        <v>43710</v>
      </c>
      <c r="DO3" s="439">
        <v>43740</v>
      </c>
      <c r="DP3" s="439">
        <v>43771</v>
      </c>
      <c r="DQ3" s="439">
        <v>43801</v>
      </c>
      <c r="DR3" s="439">
        <v>43832</v>
      </c>
      <c r="DS3" s="439">
        <v>43863</v>
      </c>
      <c r="DT3" s="440" t="s">
        <v>140</v>
      </c>
      <c r="DU3" s="440" t="s">
        <v>926</v>
      </c>
      <c r="DV3" s="440" t="s">
        <v>503</v>
      </c>
      <c r="DW3" s="440" t="s">
        <v>962</v>
      </c>
      <c r="DX3" s="440" t="s">
        <v>963</v>
      </c>
      <c r="DY3" s="440" t="s">
        <v>964</v>
      </c>
      <c r="DZ3" s="440" t="s">
        <v>965</v>
      </c>
      <c r="EA3" s="440" t="s">
        <v>966</v>
      </c>
      <c r="EB3" s="440" t="s">
        <v>146</v>
      </c>
      <c r="EC3" s="440" t="s">
        <v>147</v>
      </c>
      <c r="ED3" s="440" t="s">
        <v>148</v>
      </c>
      <c r="EE3" s="440" t="s">
        <v>928</v>
      </c>
      <c r="EF3" s="440" t="s">
        <v>929</v>
      </c>
      <c r="EG3" s="440">
        <v>44287</v>
      </c>
      <c r="EH3" s="440">
        <v>44317</v>
      </c>
      <c r="EI3" s="440">
        <v>44348</v>
      </c>
      <c r="EJ3" s="440">
        <v>44378</v>
      </c>
    </row>
    <row r="4" spans="1:140" ht="17.25" thickTop="1" x14ac:dyDescent="0.3">
      <c r="A4" s="441"/>
      <c r="B4" s="442"/>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row>
    <row r="5" spans="1:140" ht="17.25" customHeight="1" x14ac:dyDescent="0.3">
      <c r="A5" s="444" t="s">
        <v>170</v>
      </c>
      <c r="B5" s="445">
        <v>66426.303235972882</v>
      </c>
      <c r="C5" s="446">
        <v>67813.347178623269</v>
      </c>
      <c r="D5" s="446">
        <v>67350.55298928589</v>
      </c>
      <c r="E5" s="446">
        <v>67898.424276395206</v>
      </c>
      <c r="F5" s="446">
        <v>70563.533940011592</v>
      </c>
      <c r="G5" s="446">
        <v>69029.206086238628</v>
      </c>
      <c r="H5" s="446">
        <v>69173.827566074178</v>
      </c>
      <c r="I5" s="446">
        <v>70109.753901685341</v>
      </c>
      <c r="J5" s="446">
        <v>73222.669057128718</v>
      </c>
      <c r="K5" s="446">
        <v>72628.910586909114</v>
      </c>
      <c r="L5" s="446">
        <v>74948.541309052278</v>
      </c>
      <c r="M5" s="446">
        <v>77907.26620021234</v>
      </c>
      <c r="N5" s="446">
        <v>74640.649942564065</v>
      </c>
      <c r="O5" s="446">
        <v>74618.615312754191</v>
      </c>
      <c r="P5" s="446">
        <v>76376.735414886105</v>
      </c>
      <c r="Q5" s="446">
        <v>75700.789623743025</v>
      </c>
      <c r="R5" s="446">
        <v>77269.692369705648</v>
      </c>
      <c r="S5" s="446">
        <v>79953.017943437662</v>
      </c>
      <c r="T5" s="446">
        <v>79074.75525046949</v>
      </c>
      <c r="U5" s="446">
        <v>79520.667822633579</v>
      </c>
      <c r="V5" s="446">
        <v>78671.260029511788</v>
      </c>
      <c r="W5" s="446">
        <v>81199.667306703283</v>
      </c>
      <c r="X5" s="446">
        <v>77556.049942866448</v>
      </c>
      <c r="Y5" s="446">
        <v>80100.875885288551</v>
      </c>
      <c r="Z5" s="446">
        <v>80040.746933815622</v>
      </c>
      <c r="AA5" s="446">
        <v>79939.581236785903</v>
      </c>
      <c r="AB5" s="446">
        <v>79411.668224062698</v>
      </c>
      <c r="AC5" s="446">
        <v>79032.748513622151</v>
      </c>
      <c r="AD5" s="446">
        <v>78098.527743300889</v>
      </c>
      <c r="AE5" s="446">
        <v>85159.248901662751</v>
      </c>
      <c r="AF5" s="446">
        <v>86394.874568552084</v>
      </c>
      <c r="AG5" s="446">
        <v>86880.112743733043</v>
      </c>
      <c r="AH5" s="446">
        <v>87928.224802783152</v>
      </c>
      <c r="AI5" s="446">
        <v>88106.871545446251</v>
      </c>
      <c r="AJ5" s="446">
        <v>90488.3945909303</v>
      </c>
      <c r="AK5" s="446">
        <v>91559.825805914632</v>
      </c>
      <c r="AL5" s="446">
        <v>94098.106945505308</v>
      </c>
      <c r="AM5" s="446">
        <v>93549.31388682939</v>
      </c>
      <c r="AN5" s="420">
        <v>96754.802980609718</v>
      </c>
      <c r="AO5" s="420">
        <v>95870.007278678371</v>
      </c>
      <c r="AP5" s="420">
        <v>104072.51915873688</v>
      </c>
      <c r="AQ5" s="420">
        <v>103579.9323233067</v>
      </c>
      <c r="AR5" s="420">
        <v>100694.20800170788</v>
      </c>
      <c r="AS5" s="420">
        <v>99291.769986535714</v>
      </c>
      <c r="AT5" s="420">
        <v>100933.44968334469</v>
      </c>
      <c r="AU5" s="420">
        <v>100229.18125081969</v>
      </c>
      <c r="AV5" s="420">
        <v>99261.274187500021</v>
      </c>
      <c r="AW5" s="420">
        <v>103497.94482550361</v>
      </c>
      <c r="AX5" s="420">
        <v>102921.43799632388</v>
      </c>
      <c r="AY5" s="420">
        <v>108544.33997084292</v>
      </c>
      <c r="AZ5" s="420">
        <v>110343.08859754098</v>
      </c>
      <c r="BA5" s="420">
        <v>114721.20755311572</v>
      </c>
      <c r="BB5" s="420">
        <v>117055.21513527753</v>
      </c>
      <c r="BC5" s="420">
        <v>119619.60702976644</v>
      </c>
      <c r="BD5" s="420">
        <v>121075.74227892855</v>
      </c>
      <c r="BE5" s="420">
        <v>123260.36938210644</v>
      </c>
      <c r="BF5" s="420">
        <v>120752.98616916555</v>
      </c>
      <c r="BG5" s="420">
        <v>119694.92564294937</v>
      </c>
      <c r="BH5" s="420">
        <v>117838.97237219621</v>
      </c>
      <c r="BI5" s="420">
        <v>122735.45625949455</v>
      </c>
      <c r="BJ5" s="420">
        <v>120049.19112513392</v>
      </c>
      <c r="BK5" s="420">
        <v>126047.57279302411</v>
      </c>
      <c r="BL5" s="420">
        <v>139062.48919025276</v>
      </c>
      <c r="BM5" s="420">
        <v>137586.09214340354</v>
      </c>
      <c r="BN5" s="420">
        <v>138175.21268258648</v>
      </c>
      <c r="BO5" s="420">
        <v>138628.47666558527</v>
      </c>
      <c r="BP5" s="419">
        <v>142104.72795610214</v>
      </c>
      <c r="BQ5" s="419">
        <v>142278.28919419972</v>
      </c>
      <c r="BR5" s="419">
        <v>144450.61180768846</v>
      </c>
      <c r="BS5" s="419">
        <v>148534.72719634642</v>
      </c>
      <c r="BT5" s="419">
        <v>150438.85095480151</v>
      </c>
      <c r="BU5" s="419">
        <v>151519.45790363476</v>
      </c>
      <c r="BV5" s="419">
        <v>153595.05761268668</v>
      </c>
      <c r="BW5" s="419">
        <v>156324.69065769573</v>
      </c>
      <c r="BX5" s="419">
        <v>157406.6914241621</v>
      </c>
      <c r="BY5" s="419">
        <v>156600.80811839449</v>
      </c>
      <c r="BZ5" s="419">
        <v>159897.71195550862</v>
      </c>
      <c r="CA5" s="419">
        <v>166725.92581236121</v>
      </c>
      <c r="CB5" s="419">
        <v>166910.92624923383</v>
      </c>
      <c r="CC5" s="419">
        <v>166395.73053723547</v>
      </c>
      <c r="CD5" s="419">
        <v>169580.80563689113</v>
      </c>
      <c r="CE5" s="419">
        <v>171298.85641524161</v>
      </c>
      <c r="CF5" s="419">
        <v>173801.30735711419</v>
      </c>
      <c r="CG5" s="419">
        <v>177668.55562032614</v>
      </c>
      <c r="CH5" s="94">
        <v>174394.86292201749</v>
      </c>
      <c r="CI5" s="94">
        <v>174924.25180757011</v>
      </c>
      <c r="CJ5" s="94">
        <v>175637.22381427392</v>
      </c>
      <c r="CK5" s="94">
        <v>179152.63008492597</v>
      </c>
      <c r="CL5" s="94">
        <v>178461.27118693173</v>
      </c>
      <c r="CM5" s="94">
        <v>180437.56616006474</v>
      </c>
      <c r="CN5" s="94">
        <v>176191.51600309185</v>
      </c>
      <c r="CO5" s="94">
        <v>175785.32195359335</v>
      </c>
      <c r="CP5" s="94">
        <v>185058.20583007197</v>
      </c>
      <c r="CQ5" s="94">
        <v>188375.48139406703</v>
      </c>
      <c r="CR5" s="94">
        <v>191339.81988459302</v>
      </c>
      <c r="CS5" s="94">
        <v>200039.4517179582</v>
      </c>
      <c r="CT5" s="94">
        <v>196835.78700488887</v>
      </c>
      <c r="CU5" s="94">
        <v>202954.33186410007</v>
      </c>
      <c r="CV5" s="94">
        <v>207215.69517574867</v>
      </c>
      <c r="CW5" s="421">
        <v>214373.48147916992</v>
      </c>
      <c r="CX5" s="421">
        <v>221942.12390585776</v>
      </c>
      <c r="CY5" s="421">
        <v>230238.77583979841</v>
      </c>
      <c r="CZ5" s="421">
        <v>221922.20800793669</v>
      </c>
      <c r="DA5" s="421">
        <v>225940.38191798772</v>
      </c>
      <c r="DB5" s="421">
        <v>218871.25093894106</v>
      </c>
      <c r="DC5" s="421">
        <v>217596.3036255289</v>
      </c>
      <c r="DD5" s="421">
        <v>214815.73631158541</v>
      </c>
      <c r="DE5" s="421">
        <v>217004.41993496372</v>
      </c>
      <c r="DF5" s="421">
        <v>218846.8952504606</v>
      </c>
      <c r="DG5" s="421">
        <v>219966.96050391931</v>
      </c>
      <c r="DH5" s="421">
        <v>226576.71631358506</v>
      </c>
      <c r="DI5" s="421">
        <v>229226.42152050519</v>
      </c>
      <c r="DJ5" s="421">
        <v>240408.08847555952</v>
      </c>
      <c r="DK5" s="421">
        <v>252957.68400993009</v>
      </c>
      <c r="DL5" s="421">
        <v>258964.54538824756</v>
      </c>
      <c r="DM5" s="421">
        <v>259427.82324653002</v>
      </c>
      <c r="DN5" s="421">
        <v>262761.86596508219</v>
      </c>
      <c r="DO5" s="421">
        <v>263442.84530936059</v>
      </c>
      <c r="DP5" s="421">
        <v>268691.24890248722</v>
      </c>
      <c r="DQ5" s="421">
        <v>269147.02911251434</v>
      </c>
      <c r="DR5" s="421">
        <v>278812.67778411362</v>
      </c>
      <c r="DS5" s="421">
        <v>273904.52688807907</v>
      </c>
      <c r="DT5" s="421">
        <v>276298.97259022022</v>
      </c>
      <c r="DU5" s="421">
        <v>280218.67607955547</v>
      </c>
      <c r="DV5" s="447">
        <v>275540.36607464025</v>
      </c>
      <c r="DW5" s="447">
        <v>278884.25604416308</v>
      </c>
      <c r="DX5" s="447">
        <v>295596.05314703286</v>
      </c>
      <c r="DY5" s="447">
        <v>278825.85957494081</v>
      </c>
      <c r="DZ5" s="447">
        <v>277995.11736622191</v>
      </c>
      <c r="EA5" s="447">
        <v>269143.13557219441</v>
      </c>
      <c r="EB5" s="447">
        <v>268344.11662117584</v>
      </c>
      <c r="EC5" s="447">
        <v>284981.4928212621</v>
      </c>
      <c r="ED5" s="447">
        <v>305406.72245056508</v>
      </c>
      <c r="EE5" s="447">
        <v>286606.10411991918</v>
      </c>
      <c r="EF5" s="447">
        <v>292769.16974273225</v>
      </c>
      <c r="EG5" s="447">
        <v>296822.91944970074</v>
      </c>
      <c r="EH5" s="447">
        <v>304286.70241272327</v>
      </c>
      <c r="EI5" s="447">
        <v>304753.51439039694</v>
      </c>
      <c r="EJ5" s="447">
        <v>306323.25830701092</v>
      </c>
    </row>
    <row r="6" spans="1:140" ht="17.25" customHeight="1" x14ac:dyDescent="0.3">
      <c r="A6" s="448" t="s">
        <v>967</v>
      </c>
      <c r="B6" s="449">
        <v>66492.585799862878</v>
      </c>
      <c r="C6" s="450">
        <v>67862.01856516127</v>
      </c>
      <c r="D6" s="450">
        <v>67430.017346329885</v>
      </c>
      <c r="E6" s="450">
        <v>67945.452102185212</v>
      </c>
      <c r="F6" s="450">
        <v>70614.469927441591</v>
      </c>
      <c r="G6" s="450">
        <v>69077.816955356626</v>
      </c>
      <c r="H6" s="450">
        <v>69265.429972490179</v>
      </c>
      <c r="I6" s="450">
        <v>70224.263039725134</v>
      </c>
      <c r="J6" s="450">
        <v>73306.736101442715</v>
      </c>
      <c r="K6" s="450">
        <v>72737.86993747011</v>
      </c>
      <c r="L6" s="450">
        <v>75058.895358864276</v>
      </c>
      <c r="M6" s="450">
        <v>78026.980681843343</v>
      </c>
      <c r="N6" s="450">
        <v>74759.402480359786</v>
      </c>
      <c r="O6" s="450">
        <v>74756.632415967833</v>
      </c>
      <c r="P6" s="450">
        <v>76503.314619923578</v>
      </c>
      <c r="Q6" s="450">
        <v>75822.721528235488</v>
      </c>
      <c r="R6" s="450">
        <v>77399.73435942053</v>
      </c>
      <c r="S6" s="450">
        <v>80428.540590047662</v>
      </c>
      <c r="T6" s="450">
        <v>79203.946197350044</v>
      </c>
      <c r="U6" s="450">
        <v>79650.466859240361</v>
      </c>
      <c r="V6" s="450">
        <v>78845.458772601793</v>
      </c>
      <c r="W6" s="450">
        <v>81365.965833621827</v>
      </c>
      <c r="X6" s="450">
        <v>77788.750568031581</v>
      </c>
      <c r="Y6" s="450">
        <v>80237.109940980547</v>
      </c>
      <c r="Z6" s="450">
        <v>80176.177110206452</v>
      </c>
      <c r="AA6" s="450">
        <v>80076.559609812335</v>
      </c>
      <c r="AB6" s="450">
        <v>79548.29515837974</v>
      </c>
      <c r="AC6" s="450">
        <v>79170.996508812314</v>
      </c>
      <c r="AD6" s="450">
        <v>78259.701957858124</v>
      </c>
      <c r="AE6" s="450">
        <v>85301.194492148148</v>
      </c>
      <c r="AF6" s="450">
        <v>86536.615580950136</v>
      </c>
      <c r="AG6" s="450">
        <v>86975.8829999195</v>
      </c>
      <c r="AH6" s="450">
        <v>88031.529455901109</v>
      </c>
      <c r="AI6" s="450">
        <v>88210.393405284456</v>
      </c>
      <c r="AJ6" s="450">
        <v>90592.266418886065</v>
      </c>
      <c r="AK6" s="450">
        <v>91662.001872008113</v>
      </c>
      <c r="AL6" s="450">
        <v>94206.306852081107</v>
      </c>
      <c r="AM6" s="450">
        <v>93652.94961204275</v>
      </c>
      <c r="AN6" s="426">
        <v>96856.18605491468</v>
      </c>
      <c r="AO6" s="426">
        <v>95972.828640172738</v>
      </c>
      <c r="AP6" s="426">
        <v>104173.9</v>
      </c>
      <c r="AQ6" s="426">
        <v>103679.96920214912</v>
      </c>
      <c r="AR6" s="426">
        <v>100788.00224111319</v>
      </c>
      <c r="AS6" s="426">
        <v>99389.311397990154</v>
      </c>
      <c r="AT6" s="426">
        <v>101028.76444301031</v>
      </c>
      <c r="AU6" s="426">
        <v>100323.77135378917</v>
      </c>
      <c r="AV6" s="426">
        <v>99353.672925023173</v>
      </c>
      <c r="AW6" s="426">
        <v>103588.59652304999</v>
      </c>
      <c r="AX6" s="426">
        <v>103056.83719043</v>
      </c>
      <c r="AY6" s="426">
        <v>108803.3230663904</v>
      </c>
      <c r="AZ6" s="426">
        <v>110599.60209876251</v>
      </c>
      <c r="BA6" s="426">
        <v>114974.06548828747</v>
      </c>
      <c r="BB6" s="426">
        <v>117312.07808435091</v>
      </c>
      <c r="BC6" s="426">
        <v>119944.65630671878</v>
      </c>
      <c r="BD6" s="426">
        <v>121350.88133572963</v>
      </c>
      <c r="BE6" s="426">
        <v>123535.35157167081</v>
      </c>
      <c r="BF6" s="426">
        <v>121023.82463929077</v>
      </c>
      <c r="BG6" s="426">
        <v>119863.62063081395</v>
      </c>
      <c r="BH6" s="426">
        <v>118004.01682056001</v>
      </c>
      <c r="BI6" s="426">
        <v>122902.86876265999</v>
      </c>
      <c r="BJ6" s="426">
        <v>120224.55203825</v>
      </c>
      <c r="BK6" s="426">
        <v>126134.09181294555</v>
      </c>
      <c r="BL6" s="426">
        <v>139159.55671709255</v>
      </c>
      <c r="BM6" s="426">
        <v>137675.95125165879</v>
      </c>
      <c r="BN6" s="426">
        <v>138270.08388301558</v>
      </c>
      <c r="BO6" s="426">
        <v>138736.36289079723</v>
      </c>
      <c r="BP6" s="425">
        <v>142244.00566068699</v>
      </c>
      <c r="BQ6" s="425">
        <v>142429.89123584275</v>
      </c>
      <c r="BR6" s="425">
        <v>144610.22775594323</v>
      </c>
      <c r="BS6" s="425">
        <v>148654.91652434878</v>
      </c>
      <c r="BT6" s="425">
        <v>150583.3164485539</v>
      </c>
      <c r="BU6" s="425">
        <v>151856.27698822602</v>
      </c>
      <c r="BV6" s="425">
        <v>153914.60229189318</v>
      </c>
      <c r="BW6" s="425">
        <v>156583.09698075289</v>
      </c>
      <c r="BX6" s="425">
        <v>157680.25910065058</v>
      </c>
      <c r="BY6" s="425">
        <v>156873.46849497192</v>
      </c>
      <c r="BZ6" s="425">
        <v>160176.45902006555</v>
      </c>
      <c r="CA6" s="425">
        <v>167032.80796707145</v>
      </c>
      <c r="CB6" s="425">
        <v>167228.8798811645</v>
      </c>
      <c r="CC6" s="425">
        <v>166713.84984650367</v>
      </c>
      <c r="CD6" s="425">
        <v>169897.43033160749</v>
      </c>
      <c r="CE6" s="425">
        <v>171612.71157636732</v>
      </c>
      <c r="CF6" s="425">
        <v>174115.07719089411</v>
      </c>
      <c r="CG6" s="425">
        <v>177982.24018251544</v>
      </c>
      <c r="CH6" s="96">
        <v>174708.46037187485</v>
      </c>
      <c r="CI6" s="96">
        <v>175237.75950683522</v>
      </c>
      <c r="CJ6" s="96">
        <v>175952.6463087367</v>
      </c>
      <c r="CK6" s="96">
        <v>179465.96518892606</v>
      </c>
      <c r="CL6" s="96">
        <v>178776.51799960746</v>
      </c>
      <c r="CM6" s="96">
        <v>180752.99820874218</v>
      </c>
      <c r="CN6" s="96">
        <v>176506.84425811173</v>
      </c>
      <c r="CO6" s="96">
        <v>176098.06458151151</v>
      </c>
      <c r="CP6" s="96">
        <v>185378.11028584006</v>
      </c>
      <c r="CQ6" s="96">
        <v>188691.11512823889</v>
      </c>
      <c r="CR6" s="96">
        <v>191661.21439374652</v>
      </c>
      <c r="CS6" s="96">
        <v>200357.46661399925</v>
      </c>
      <c r="CT6" s="96">
        <v>197157.87199074042</v>
      </c>
      <c r="CU6" s="96">
        <v>203471.97458774928</v>
      </c>
      <c r="CV6" s="96">
        <v>207447.98402719884</v>
      </c>
      <c r="CW6" s="427">
        <v>214698.32217989169</v>
      </c>
      <c r="CX6" s="427">
        <v>222088.08576708025</v>
      </c>
      <c r="CY6" s="427">
        <v>230432.73997287053</v>
      </c>
      <c r="CZ6" s="427">
        <v>222160.49489721187</v>
      </c>
      <c r="DA6" s="427">
        <v>226221.49445373859</v>
      </c>
      <c r="DB6" s="427">
        <v>219198.50924069801</v>
      </c>
      <c r="DC6" s="427">
        <v>218075.1054043551</v>
      </c>
      <c r="DD6" s="427">
        <v>215268.48183729209</v>
      </c>
      <c r="DE6" s="427">
        <v>217510.69066208263</v>
      </c>
      <c r="DF6" s="427">
        <v>219398.21193510189</v>
      </c>
      <c r="DG6" s="427">
        <v>220439.77410540599</v>
      </c>
      <c r="DH6" s="427">
        <v>227102.08559795868</v>
      </c>
      <c r="DI6" s="427">
        <v>229761.22258085007</v>
      </c>
      <c r="DJ6" s="427">
        <v>241026.40656957339</v>
      </c>
      <c r="DK6" s="427">
        <v>253277.5929358961</v>
      </c>
      <c r="DL6" s="427">
        <v>259219.69051045697</v>
      </c>
      <c r="DM6" s="427">
        <v>259748.62331405684</v>
      </c>
      <c r="DN6" s="427">
        <v>263075.95954760048</v>
      </c>
      <c r="DO6" s="427">
        <v>263768.03097987635</v>
      </c>
      <c r="DP6" s="427">
        <v>269108.33560197346</v>
      </c>
      <c r="DQ6" s="427">
        <v>269453.28748376196</v>
      </c>
      <c r="DR6" s="427">
        <v>279084.50841035339</v>
      </c>
      <c r="DS6" s="427">
        <v>274204.83236238995</v>
      </c>
      <c r="DT6" s="427">
        <v>276646.72659501759</v>
      </c>
      <c r="DU6" s="427">
        <v>280578.5080676424</v>
      </c>
      <c r="DV6" s="451">
        <v>275871.48829420813</v>
      </c>
      <c r="DW6" s="451">
        <v>288882.44123132731</v>
      </c>
      <c r="DX6" s="451">
        <v>305567.26319742424</v>
      </c>
      <c r="DY6" s="451">
        <v>288889.6993062853</v>
      </c>
      <c r="DZ6" s="451">
        <v>288152.65514223417</v>
      </c>
      <c r="EA6" s="451">
        <v>279341.9471077139</v>
      </c>
      <c r="EB6" s="451">
        <v>278613.23768508108</v>
      </c>
      <c r="EC6" s="451">
        <v>287690.41910373821</v>
      </c>
      <c r="ED6" s="451">
        <v>308176.63621859223</v>
      </c>
      <c r="EE6" s="451">
        <v>293246.91081012163</v>
      </c>
      <c r="EF6" s="451">
        <v>297548.07623206155</v>
      </c>
      <c r="EG6" s="451">
        <v>301706.07347049593</v>
      </c>
      <c r="EH6" s="451">
        <v>308620.16118537349</v>
      </c>
      <c r="EI6" s="451">
        <v>313659.4882232853</v>
      </c>
      <c r="EJ6" s="451">
        <v>319463.4787356357</v>
      </c>
    </row>
    <row r="7" spans="1:140" ht="17.25" customHeight="1" x14ac:dyDescent="0.3">
      <c r="A7" s="448" t="s">
        <v>968</v>
      </c>
      <c r="B7" s="449">
        <v>66.282563890000006</v>
      </c>
      <c r="C7" s="450">
        <v>48.671386537999993</v>
      </c>
      <c r="D7" s="450">
        <v>79.464357043999996</v>
      </c>
      <c r="E7" s="450">
        <v>47.027825789999994</v>
      </c>
      <c r="F7" s="450">
        <v>50.935987430000004</v>
      </c>
      <c r="G7" s="450">
        <v>48.610869118000004</v>
      </c>
      <c r="H7" s="450">
        <v>91.602406415999994</v>
      </c>
      <c r="I7" s="450">
        <v>114.50913803979999</v>
      </c>
      <c r="J7" s="450">
        <v>84.067044314</v>
      </c>
      <c r="K7" s="450">
        <v>108.95935056100001</v>
      </c>
      <c r="L7" s="450">
        <v>110.354049812</v>
      </c>
      <c r="M7" s="450">
        <v>119.71448163099998</v>
      </c>
      <c r="N7" s="450">
        <v>118.75253779572</v>
      </c>
      <c r="O7" s="450">
        <v>138.01710321363998</v>
      </c>
      <c r="P7" s="450">
        <v>126.57920503747999</v>
      </c>
      <c r="Q7" s="450">
        <v>121.93190449245998</v>
      </c>
      <c r="R7" s="450">
        <v>130.04198971488</v>
      </c>
      <c r="S7" s="450">
        <v>475.52264660999992</v>
      </c>
      <c r="T7" s="450">
        <v>129.19094688056001</v>
      </c>
      <c r="U7" s="450">
        <v>129.79903660677999</v>
      </c>
      <c r="V7" s="450">
        <v>174.19874308999999</v>
      </c>
      <c r="W7" s="450">
        <v>166.29852691854001</v>
      </c>
      <c r="X7" s="450">
        <v>232.70062516512718</v>
      </c>
      <c r="Y7" s="450">
        <v>136.234055692</v>
      </c>
      <c r="Z7" s="450">
        <v>135.43017639083101</v>
      </c>
      <c r="AA7" s="450">
        <v>136.97837302643597</v>
      </c>
      <c r="AB7" s="450">
        <v>136.62693431704</v>
      </c>
      <c r="AC7" s="450">
        <v>138.24799519016801</v>
      </c>
      <c r="AD7" s="450">
        <v>161.1742145572403</v>
      </c>
      <c r="AE7" s="450">
        <v>141.945590485396</v>
      </c>
      <c r="AF7" s="450">
        <v>141.74101239805501</v>
      </c>
      <c r="AG7" s="450">
        <v>95.770256186449998</v>
      </c>
      <c r="AH7" s="450">
        <v>103.30465311795001</v>
      </c>
      <c r="AI7" s="450">
        <v>103.5218598382</v>
      </c>
      <c r="AJ7" s="450">
        <v>103.87182795577</v>
      </c>
      <c r="AK7" s="450">
        <v>102.17606609348002</v>
      </c>
      <c r="AL7" s="450">
        <v>108.19990657579299</v>
      </c>
      <c r="AM7" s="450">
        <v>103.635725213366</v>
      </c>
      <c r="AN7" s="426">
        <v>101.38307430495601</v>
      </c>
      <c r="AO7" s="426">
        <v>102.82136149436799</v>
      </c>
      <c r="AP7" s="426">
        <v>101.433573398102</v>
      </c>
      <c r="AQ7" s="426">
        <v>100.03687884241801</v>
      </c>
      <c r="AR7" s="426">
        <v>93.794239405303003</v>
      </c>
      <c r="AS7" s="426">
        <v>97.541411454433984</v>
      </c>
      <c r="AT7" s="426">
        <v>95.314759665617004</v>
      </c>
      <c r="AU7" s="426">
        <v>94.590102969479005</v>
      </c>
      <c r="AV7" s="426">
        <v>92.398737523146991</v>
      </c>
      <c r="AW7" s="426">
        <v>90.651697546370997</v>
      </c>
      <c r="AX7" s="426">
        <v>135.39919410613217</v>
      </c>
      <c r="AY7" s="426">
        <v>258.98309554747982</v>
      </c>
      <c r="AZ7" s="426">
        <v>256.51350122152587</v>
      </c>
      <c r="BA7" s="426">
        <v>252.85793517174864</v>
      </c>
      <c r="BB7" s="426">
        <v>256.86294907339197</v>
      </c>
      <c r="BC7" s="426">
        <v>325.04927695233687</v>
      </c>
      <c r="BD7" s="426">
        <v>275.13905680107899</v>
      </c>
      <c r="BE7" s="426">
        <v>274.98218956436813</v>
      </c>
      <c r="BF7" s="426">
        <v>270.83847012521659</v>
      </c>
      <c r="BG7" s="426">
        <v>168.69498786457569</v>
      </c>
      <c r="BH7" s="426">
        <v>165.04444836380523</v>
      </c>
      <c r="BI7" s="426">
        <v>167.41250316544603</v>
      </c>
      <c r="BJ7" s="426">
        <v>175.36091311607953</v>
      </c>
      <c r="BK7" s="426">
        <v>86.519019921446016</v>
      </c>
      <c r="BL7" s="426">
        <v>97.067526839780001</v>
      </c>
      <c r="BM7" s="426">
        <v>89.859108255252991</v>
      </c>
      <c r="BN7" s="426">
        <v>94.871200429091999</v>
      </c>
      <c r="BO7" s="426">
        <v>107.886225211962</v>
      </c>
      <c r="BP7" s="425">
        <v>139.27770458484602</v>
      </c>
      <c r="BQ7" s="425">
        <v>151.60204164301402</v>
      </c>
      <c r="BR7" s="425">
        <v>159.61594825475598</v>
      </c>
      <c r="BS7" s="425">
        <v>120.1893280023761</v>
      </c>
      <c r="BT7" s="425">
        <v>144.46549375238908</v>
      </c>
      <c r="BU7" s="425">
        <v>336.81908459124696</v>
      </c>
      <c r="BV7" s="425">
        <v>319.54467920649489</v>
      </c>
      <c r="BW7" s="425">
        <v>258.40632305715008</v>
      </c>
      <c r="BX7" s="425">
        <v>273.56767648848967</v>
      </c>
      <c r="BY7" s="425">
        <v>272.66037657743135</v>
      </c>
      <c r="BZ7" s="425">
        <v>278.74706455693757</v>
      </c>
      <c r="CA7" s="425">
        <v>306.88215471024506</v>
      </c>
      <c r="CB7" s="425">
        <v>317.95363193067419</v>
      </c>
      <c r="CC7" s="425">
        <v>318.1193092681923</v>
      </c>
      <c r="CD7" s="425">
        <v>316.6246947163645</v>
      </c>
      <c r="CE7" s="425">
        <v>313.85516112571867</v>
      </c>
      <c r="CF7" s="425">
        <v>313.76983377993281</v>
      </c>
      <c r="CG7" s="425">
        <v>313.68456218928702</v>
      </c>
      <c r="CH7" s="96">
        <v>313.59744985735773</v>
      </c>
      <c r="CI7" s="96">
        <v>313.50769926511595</v>
      </c>
      <c r="CJ7" s="96">
        <v>315.42249446278299</v>
      </c>
      <c r="CK7" s="96">
        <v>313.33510400009231</v>
      </c>
      <c r="CL7" s="96">
        <v>315.24681267573493</v>
      </c>
      <c r="CM7" s="96">
        <v>315.43204867742867</v>
      </c>
      <c r="CN7" s="96">
        <v>315.32825501987185</v>
      </c>
      <c r="CO7" s="96">
        <v>312.74262791817512</v>
      </c>
      <c r="CP7" s="96">
        <v>319.90445576808406</v>
      </c>
      <c r="CQ7" s="96">
        <v>315.63373417185932</v>
      </c>
      <c r="CR7" s="96">
        <v>321.39450915348749</v>
      </c>
      <c r="CS7" s="96">
        <v>318.01489604105808</v>
      </c>
      <c r="CT7" s="96">
        <v>322.08498585152984</v>
      </c>
      <c r="CU7" s="96">
        <v>517.64272364921851</v>
      </c>
      <c r="CV7" s="96">
        <v>232.28885145015454</v>
      </c>
      <c r="CW7" s="427">
        <v>324.84070072176854</v>
      </c>
      <c r="CX7" s="427">
        <v>145.96186122248486</v>
      </c>
      <c r="CY7" s="427">
        <v>193.96413307213442</v>
      </c>
      <c r="CZ7" s="427">
        <v>238.28688927518186</v>
      </c>
      <c r="DA7" s="427">
        <v>281.11253575087039</v>
      </c>
      <c r="DB7" s="427">
        <v>327.25830175696035</v>
      </c>
      <c r="DC7" s="427">
        <v>478.80177882619785</v>
      </c>
      <c r="DD7" s="427">
        <v>452.74552570668948</v>
      </c>
      <c r="DE7" s="427">
        <v>506.27072711892373</v>
      </c>
      <c r="DF7" s="427">
        <v>551.31668464129882</v>
      </c>
      <c r="DG7" s="427">
        <v>472.81360148668875</v>
      </c>
      <c r="DH7" s="427">
        <v>525.36928437362951</v>
      </c>
      <c r="DI7" s="427">
        <v>534.80106034488847</v>
      </c>
      <c r="DJ7" s="427">
        <v>618.31809401388</v>
      </c>
      <c r="DK7" s="427">
        <v>319.90892596600099</v>
      </c>
      <c r="DL7" s="427">
        <v>255.14512220942487</v>
      </c>
      <c r="DM7" s="427">
        <v>320.80006752681857</v>
      </c>
      <c r="DN7" s="427">
        <v>314.09358251828661</v>
      </c>
      <c r="DO7" s="427">
        <v>325.18567051572711</v>
      </c>
      <c r="DP7" s="427">
        <v>417.08669948623213</v>
      </c>
      <c r="DQ7" s="427">
        <v>306.2583712476212</v>
      </c>
      <c r="DR7" s="427">
        <v>271.83062623977429</v>
      </c>
      <c r="DS7" s="427">
        <v>300.30547431085665</v>
      </c>
      <c r="DT7" s="427">
        <v>347.75400479736288</v>
      </c>
      <c r="DU7" s="427">
        <v>359.83198808693038</v>
      </c>
      <c r="DV7" s="451">
        <v>331.12221956791251</v>
      </c>
      <c r="DW7" s="451">
        <v>9998.1851871642557</v>
      </c>
      <c r="DX7" s="451">
        <v>9971.2100503913989</v>
      </c>
      <c r="DY7" s="451">
        <v>10063.839731344506</v>
      </c>
      <c r="DZ7" s="451">
        <v>10157.537776012261</v>
      </c>
      <c r="EA7" s="451">
        <v>10198.811535519491</v>
      </c>
      <c r="EB7" s="451">
        <v>10269.121063905253</v>
      </c>
      <c r="EC7" s="451">
        <v>2708.9262824761245</v>
      </c>
      <c r="ED7" s="451">
        <v>2769.913768027171</v>
      </c>
      <c r="EE7" s="451">
        <v>6640.806690202422</v>
      </c>
      <c r="EF7" s="451">
        <v>4778.9064893293162</v>
      </c>
      <c r="EG7" s="451">
        <v>4883.154020795183</v>
      </c>
      <c r="EH7" s="451">
        <v>4333.4587726501932</v>
      </c>
      <c r="EI7" s="451">
        <v>8905.9738328883705</v>
      </c>
      <c r="EJ7" s="451">
        <v>13140.220428624796</v>
      </c>
    </row>
    <row r="8" spans="1:140" ht="17.25" customHeight="1" x14ac:dyDescent="0.3">
      <c r="A8" s="448"/>
      <c r="B8" s="449"/>
      <c r="C8" s="450"/>
      <c r="D8" s="450"/>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5"/>
      <c r="BQ8" s="425"/>
      <c r="BR8" s="425"/>
      <c r="BS8" s="425"/>
      <c r="BT8" s="425"/>
      <c r="BU8" s="425"/>
      <c r="BV8" s="425"/>
      <c r="BW8" s="425"/>
      <c r="BX8" s="425"/>
      <c r="BY8" s="425"/>
      <c r="BZ8" s="425"/>
      <c r="CA8" s="425"/>
      <c r="CB8" s="425"/>
      <c r="CC8" s="425"/>
      <c r="CD8" s="425"/>
      <c r="CE8" s="425"/>
      <c r="CF8" s="425"/>
      <c r="CG8" s="425"/>
      <c r="CH8" s="96"/>
      <c r="CI8" s="96"/>
      <c r="CJ8" s="96"/>
      <c r="CK8" s="96"/>
      <c r="CL8" s="96"/>
      <c r="CM8" s="96"/>
      <c r="CN8" s="96"/>
      <c r="CO8" s="96"/>
      <c r="CP8" s="96"/>
      <c r="CQ8" s="96"/>
      <c r="CR8" s="96"/>
      <c r="CS8" s="96"/>
      <c r="CT8" s="96"/>
      <c r="CU8" s="96"/>
      <c r="CV8" s="96"/>
      <c r="CW8" s="427"/>
      <c r="CX8" s="427"/>
      <c r="CY8" s="427"/>
      <c r="CZ8" s="427"/>
      <c r="DA8" s="427"/>
      <c r="DB8" s="427"/>
      <c r="DC8" s="427"/>
      <c r="DD8" s="427"/>
      <c r="DE8" s="427"/>
      <c r="DF8" s="427"/>
      <c r="DG8" s="427"/>
      <c r="DH8" s="427"/>
      <c r="DI8" s="427"/>
      <c r="DJ8" s="427"/>
      <c r="DK8" s="427"/>
      <c r="DL8" s="427"/>
      <c r="DM8" s="427"/>
      <c r="DN8" s="427"/>
      <c r="DO8" s="427"/>
      <c r="DP8" s="427"/>
      <c r="DQ8" s="427"/>
      <c r="DR8" s="427"/>
      <c r="DS8" s="427"/>
      <c r="DT8" s="427"/>
      <c r="DU8" s="427"/>
      <c r="DV8" s="451"/>
      <c r="DW8" s="451"/>
      <c r="DX8" s="451"/>
      <c r="DY8" s="451"/>
      <c r="DZ8" s="451"/>
      <c r="EA8" s="451"/>
      <c r="EB8" s="451"/>
      <c r="EC8" s="451"/>
      <c r="ED8" s="451"/>
      <c r="EE8" s="451"/>
      <c r="EF8" s="451"/>
      <c r="EG8" s="451"/>
      <c r="EH8" s="451"/>
      <c r="EI8" s="451"/>
      <c r="EJ8" s="451"/>
    </row>
    <row r="9" spans="1:140" ht="17.25" customHeight="1" x14ac:dyDescent="0.3">
      <c r="A9" s="444" t="s">
        <v>969</v>
      </c>
      <c r="B9" s="445">
        <v>416.39877228</v>
      </c>
      <c r="C9" s="446">
        <v>398.98351687999997</v>
      </c>
      <c r="D9" s="446">
        <v>464.59303090000003</v>
      </c>
      <c r="E9" s="446">
        <v>369.60301450999998</v>
      </c>
      <c r="F9" s="446">
        <v>408.48481404999995</v>
      </c>
      <c r="G9" s="446">
        <v>451.59551101999995</v>
      </c>
      <c r="H9" s="446">
        <v>445.53247376000002</v>
      </c>
      <c r="I9" s="446">
        <v>375.32156171000003</v>
      </c>
      <c r="J9" s="446">
        <v>729.0334312199999</v>
      </c>
      <c r="K9" s="446">
        <v>725.01450312999987</v>
      </c>
      <c r="L9" s="446">
        <v>1098.9094759899999</v>
      </c>
      <c r="M9" s="446">
        <v>992.11887309000008</v>
      </c>
      <c r="N9" s="446">
        <v>1201.4398751599999</v>
      </c>
      <c r="O9" s="446">
        <v>986.17518556999994</v>
      </c>
      <c r="P9" s="446">
        <v>242.02596110999997</v>
      </c>
      <c r="Q9" s="446">
        <v>265.07175250999995</v>
      </c>
      <c r="R9" s="446">
        <v>629.2786777099999</v>
      </c>
      <c r="S9" s="446">
        <v>246.32987396999999</v>
      </c>
      <c r="T9" s="446">
        <v>1772.48621953</v>
      </c>
      <c r="U9" s="446">
        <v>1112.8485640200001</v>
      </c>
      <c r="V9" s="446">
        <v>719.99327042000004</v>
      </c>
      <c r="W9" s="446">
        <v>955.00277437</v>
      </c>
      <c r="X9" s="446">
        <v>1127.9270470100003</v>
      </c>
      <c r="Y9" s="446">
        <v>1138.7372729100002</v>
      </c>
      <c r="Z9" s="446">
        <v>1211.1530704200002</v>
      </c>
      <c r="AA9" s="446">
        <v>1131.4411226499999</v>
      </c>
      <c r="AB9" s="446">
        <v>1179.4819348599999</v>
      </c>
      <c r="AC9" s="446">
        <v>1157.8965479799999</v>
      </c>
      <c r="AD9" s="446">
        <v>218.86825797</v>
      </c>
      <c r="AE9" s="446">
        <v>450.09873363999998</v>
      </c>
      <c r="AF9" s="446">
        <v>152.5676181</v>
      </c>
      <c r="AG9" s="446">
        <v>445.32254952000005</v>
      </c>
      <c r="AH9" s="446">
        <v>763.68187892000003</v>
      </c>
      <c r="AI9" s="446">
        <v>1163.6323081500002</v>
      </c>
      <c r="AJ9" s="446">
        <v>1325.8463739199999</v>
      </c>
      <c r="AK9" s="446">
        <v>1804.5649623700001</v>
      </c>
      <c r="AL9" s="446">
        <v>2146.9082228399998</v>
      </c>
      <c r="AM9" s="446">
        <v>2114.7532336799995</v>
      </c>
      <c r="AN9" s="420">
        <v>2108.0848065299997</v>
      </c>
      <c r="AO9" s="420">
        <v>2342.2126538799998</v>
      </c>
      <c r="AP9" s="420">
        <v>1233.3859579699999</v>
      </c>
      <c r="AQ9" s="420">
        <v>1546.1322582800001</v>
      </c>
      <c r="AR9" s="420">
        <v>1729.84466681</v>
      </c>
      <c r="AS9" s="420">
        <v>2100.3866184399999</v>
      </c>
      <c r="AT9" s="420">
        <v>2973.8737531799998</v>
      </c>
      <c r="AU9" s="420">
        <v>2466.6333634100001</v>
      </c>
      <c r="AV9" s="420">
        <v>2627.7498871299995</v>
      </c>
      <c r="AW9" s="420">
        <v>2715.6635386299995</v>
      </c>
      <c r="AX9" s="420">
        <v>3505.64319918</v>
      </c>
      <c r="AY9" s="420">
        <v>3459.2269215600004</v>
      </c>
      <c r="AZ9" s="420">
        <v>3529.4347085599993</v>
      </c>
      <c r="BA9" s="420">
        <v>3453.8968748400002</v>
      </c>
      <c r="BB9" s="420">
        <v>2412.4059201499999</v>
      </c>
      <c r="BC9" s="420">
        <v>2414.3403686699999</v>
      </c>
      <c r="BD9" s="420">
        <v>1784.51822917</v>
      </c>
      <c r="BE9" s="420">
        <v>2049.3917820399997</v>
      </c>
      <c r="BF9" s="420">
        <v>2089.3361430999998</v>
      </c>
      <c r="BG9" s="420">
        <v>2102.1365570700004</v>
      </c>
      <c r="BH9" s="420">
        <v>2294.0404291999994</v>
      </c>
      <c r="BI9" s="420">
        <v>2467.8894129999999</v>
      </c>
      <c r="BJ9" s="420">
        <v>2207.8287976499996</v>
      </c>
      <c r="BK9" s="420">
        <v>2382.2947444899996</v>
      </c>
      <c r="BL9" s="420">
        <v>2443.1738772899998</v>
      </c>
      <c r="BM9" s="420">
        <v>2611.5448260100006</v>
      </c>
      <c r="BN9" s="420">
        <v>2007.7485255200002</v>
      </c>
      <c r="BO9" s="420">
        <v>2027.59553033</v>
      </c>
      <c r="BP9" s="419">
        <v>1574.8875632300001</v>
      </c>
      <c r="BQ9" s="419">
        <v>1242.43514559</v>
      </c>
      <c r="BR9" s="419">
        <v>1307.1408722699998</v>
      </c>
      <c r="BS9" s="419">
        <v>1065.56092048</v>
      </c>
      <c r="BT9" s="419">
        <v>1057.6542133000003</v>
      </c>
      <c r="BU9" s="419">
        <v>1056.7309541700001</v>
      </c>
      <c r="BV9" s="419">
        <v>996.92193865999991</v>
      </c>
      <c r="BW9" s="419">
        <v>1008.8143971</v>
      </c>
      <c r="BX9" s="419">
        <v>1011.9442757100001</v>
      </c>
      <c r="BY9" s="419">
        <v>1066.7009175000001</v>
      </c>
      <c r="BZ9" s="419">
        <v>1016.77921311</v>
      </c>
      <c r="CA9" s="419">
        <v>866.98502473000008</v>
      </c>
      <c r="CB9" s="419">
        <v>1356.7076687000001</v>
      </c>
      <c r="CC9" s="419">
        <v>876.30193002999999</v>
      </c>
      <c r="CD9" s="419">
        <v>902.85366694000004</v>
      </c>
      <c r="CE9" s="419">
        <v>874.22326047999991</v>
      </c>
      <c r="CF9" s="419">
        <v>871.67880075999994</v>
      </c>
      <c r="CG9" s="419">
        <v>884.54086482000002</v>
      </c>
      <c r="CH9" s="94">
        <v>764.88943096000003</v>
      </c>
      <c r="CI9" s="94">
        <v>759.47528250999994</v>
      </c>
      <c r="CJ9" s="94">
        <v>783.26216117999991</v>
      </c>
      <c r="CK9" s="94">
        <v>777.68830327000012</v>
      </c>
      <c r="CL9" s="94">
        <v>780.34392504000004</v>
      </c>
      <c r="CM9" s="94">
        <v>666.0651149900001</v>
      </c>
      <c r="CN9" s="94">
        <v>663.17858106999995</v>
      </c>
      <c r="CO9" s="94">
        <v>662.97412502999987</v>
      </c>
      <c r="CP9" s="94">
        <v>679.88341018999995</v>
      </c>
      <c r="CQ9" s="94">
        <v>680.51631947999999</v>
      </c>
      <c r="CR9" s="94">
        <v>686.30011655999999</v>
      </c>
      <c r="CS9" s="94">
        <v>675.2423620400001</v>
      </c>
      <c r="CT9" s="94">
        <v>728.38201835000007</v>
      </c>
      <c r="CU9" s="94">
        <v>618.91564277000009</v>
      </c>
      <c r="CV9" s="94">
        <v>647.7223449899999</v>
      </c>
      <c r="CW9" s="421">
        <v>619.35890265</v>
      </c>
      <c r="CX9" s="421">
        <v>615.95369096000013</v>
      </c>
      <c r="CY9" s="421">
        <v>532.94062998999993</v>
      </c>
      <c r="CZ9" s="421">
        <v>486.13695540999993</v>
      </c>
      <c r="DA9" s="421">
        <v>504.09098372999995</v>
      </c>
      <c r="DB9" s="421">
        <v>490.31621081999998</v>
      </c>
      <c r="DC9" s="421">
        <v>486.93154324999995</v>
      </c>
      <c r="DD9" s="421">
        <v>505.02529141000002</v>
      </c>
      <c r="DE9" s="421">
        <v>448.45071628999995</v>
      </c>
      <c r="DF9" s="421">
        <v>424.32515734000003</v>
      </c>
      <c r="DG9" s="421">
        <v>415.21715676999997</v>
      </c>
      <c r="DH9" s="421">
        <v>425.40114375000002</v>
      </c>
      <c r="DI9" s="421">
        <v>408.29458506000003</v>
      </c>
      <c r="DJ9" s="421">
        <v>436.04864189999995</v>
      </c>
      <c r="DK9" s="421">
        <v>290.27401915000002</v>
      </c>
      <c r="DL9" s="421">
        <v>262.41021176999999</v>
      </c>
      <c r="DM9" s="421">
        <v>270.84950722999997</v>
      </c>
      <c r="DN9" s="421">
        <v>162.27015924</v>
      </c>
      <c r="DO9" s="421">
        <v>117.93738719999999</v>
      </c>
      <c r="DP9" s="421">
        <v>136.1017042</v>
      </c>
      <c r="DQ9" s="421">
        <v>22.977313389999999</v>
      </c>
      <c r="DR9" s="421">
        <v>55.86070909</v>
      </c>
      <c r="DS9" s="421">
        <v>37.523696020000003</v>
      </c>
      <c r="DT9" s="421">
        <v>581.83854550000001</v>
      </c>
      <c r="DU9" s="421">
        <v>588.79924046999997</v>
      </c>
      <c r="DV9" s="447">
        <v>595.43215739000004</v>
      </c>
      <c r="DW9" s="447">
        <v>12103.041259670001</v>
      </c>
      <c r="DX9" s="447">
        <v>12052.1134747</v>
      </c>
      <c r="DY9" s="447">
        <v>12003.757200059999</v>
      </c>
      <c r="DZ9" s="447">
        <v>10233.65064851</v>
      </c>
      <c r="EA9" s="447">
        <v>10266.188454180001</v>
      </c>
      <c r="EB9" s="447">
        <v>10257.780566359997</v>
      </c>
      <c r="EC9" s="447">
        <v>2052.56562381</v>
      </c>
      <c r="ED9" s="447">
        <v>2039.6351765099998</v>
      </c>
      <c r="EE9" s="447">
        <v>2037.7262019</v>
      </c>
      <c r="EF9" s="447">
        <v>14.186722280000001</v>
      </c>
      <c r="EG9" s="447">
        <v>29.864407589999999</v>
      </c>
      <c r="EH9" s="447">
        <v>44.455103069999993</v>
      </c>
      <c r="EI9" s="447">
        <v>39.964073280000001</v>
      </c>
      <c r="EJ9" s="447">
        <v>29.675978439999998</v>
      </c>
    </row>
    <row r="10" spans="1:140" ht="17.25" customHeight="1" x14ac:dyDescent="0.3">
      <c r="A10" s="448"/>
      <c r="B10" s="449"/>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5"/>
      <c r="BQ10" s="425"/>
      <c r="BR10" s="425"/>
      <c r="BS10" s="425"/>
      <c r="BT10" s="425"/>
      <c r="BU10" s="425"/>
      <c r="BV10" s="425"/>
      <c r="BW10" s="425"/>
      <c r="BX10" s="425"/>
      <c r="BY10" s="425"/>
      <c r="BZ10" s="425"/>
      <c r="CA10" s="425"/>
      <c r="CB10" s="425"/>
      <c r="CC10" s="425"/>
      <c r="CD10" s="425"/>
      <c r="CE10" s="425"/>
      <c r="CF10" s="425"/>
      <c r="CG10" s="425"/>
      <c r="CH10" s="96"/>
      <c r="CI10" s="96"/>
      <c r="CJ10" s="96"/>
      <c r="CK10" s="96"/>
      <c r="CL10" s="96"/>
      <c r="CM10" s="96"/>
      <c r="CN10" s="96"/>
      <c r="CO10" s="96"/>
      <c r="CP10" s="96"/>
      <c r="CQ10" s="96"/>
      <c r="CR10" s="96"/>
      <c r="CS10" s="96"/>
      <c r="CT10" s="96"/>
      <c r="CU10" s="96"/>
      <c r="CV10" s="96"/>
      <c r="CW10" s="427"/>
      <c r="CX10" s="427"/>
      <c r="CY10" s="427"/>
      <c r="CZ10" s="427"/>
      <c r="DA10" s="427"/>
      <c r="DB10" s="427"/>
      <c r="DC10" s="427"/>
      <c r="DD10" s="427"/>
      <c r="DE10" s="427"/>
      <c r="DF10" s="427"/>
      <c r="DG10" s="427"/>
      <c r="DH10" s="427"/>
      <c r="DI10" s="427"/>
      <c r="DJ10" s="427"/>
      <c r="DK10" s="427"/>
      <c r="DL10" s="427"/>
      <c r="DM10" s="427"/>
      <c r="DN10" s="427"/>
      <c r="DO10" s="427"/>
      <c r="DP10" s="427"/>
      <c r="DQ10" s="427"/>
      <c r="DR10" s="427"/>
      <c r="DS10" s="427"/>
      <c r="DT10" s="427"/>
      <c r="DU10" s="427"/>
      <c r="DV10" s="451"/>
      <c r="DW10" s="451"/>
      <c r="DX10" s="451"/>
      <c r="DY10" s="451"/>
      <c r="DZ10" s="451"/>
      <c r="EA10" s="451"/>
      <c r="EB10" s="451"/>
      <c r="EC10" s="451"/>
      <c r="ED10" s="451"/>
      <c r="EE10" s="451"/>
      <c r="EF10" s="451"/>
      <c r="EG10" s="451"/>
      <c r="EH10" s="451"/>
      <c r="EI10" s="451"/>
      <c r="EJ10" s="451"/>
    </row>
    <row r="11" spans="1:140" ht="17.25" customHeight="1" x14ac:dyDescent="0.3">
      <c r="A11" s="444" t="s">
        <v>970</v>
      </c>
      <c r="B11" s="445">
        <v>-16094.591653099998</v>
      </c>
      <c r="C11" s="446">
        <v>-15133.990915980001</v>
      </c>
      <c r="D11" s="446">
        <v>-10574.257390679999</v>
      </c>
      <c r="E11" s="446">
        <v>-13160.13132181</v>
      </c>
      <c r="F11" s="446">
        <v>-13184.197336680001</v>
      </c>
      <c r="G11" s="446">
        <v>-12603.214470860001</v>
      </c>
      <c r="H11" s="446">
        <v>-12649.402737140001</v>
      </c>
      <c r="I11" s="446">
        <v>-13999.36386032</v>
      </c>
      <c r="J11" s="446">
        <v>-12309.791425859999</v>
      </c>
      <c r="K11" s="446">
        <v>-9506.4930552200003</v>
      </c>
      <c r="L11" s="446">
        <v>-11316.247423609999</v>
      </c>
      <c r="M11" s="446">
        <v>-9687.6799926800013</v>
      </c>
      <c r="N11" s="446">
        <v>-8384.2803368000004</v>
      </c>
      <c r="O11" s="446">
        <v>-7735.6408573600002</v>
      </c>
      <c r="P11" s="446">
        <v>-11176.693028849997</v>
      </c>
      <c r="Q11" s="446">
        <v>-9606.6951597400002</v>
      </c>
      <c r="R11" s="446">
        <v>-11320.184787369999</v>
      </c>
      <c r="S11" s="446">
        <v>-10168.74607549</v>
      </c>
      <c r="T11" s="446">
        <v>-11201.799995440004</v>
      </c>
      <c r="U11" s="446">
        <v>-8361.1217992800011</v>
      </c>
      <c r="V11" s="446">
        <v>-10561.849022570001</v>
      </c>
      <c r="W11" s="446">
        <v>-11253.339342660001</v>
      </c>
      <c r="X11" s="446">
        <v>-9436.6171233200002</v>
      </c>
      <c r="Y11" s="446">
        <v>-7837.3001372700001</v>
      </c>
      <c r="Z11" s="446">
        <v>-10079.960773000003</v>
      </c>
      <c r="AA11" s="446">
        <v>-8692.3302772299994</v>
      </c>
      <c r="AB11" s="446">
        <v>-9372.881900270002</v>
      </c>
      <c r="AC11" s="446">
        <v>-8880.1699302400029</v>
      </c>
      <c r="AD11" s="446">
        <v>-8780.1530179400033</v>
      </c>
      <c r="AE11" s="446">
        <v>-11179.910112040001</v>
      </c>
      <c r="AF11" s="446">
        <v>-11456.030725809998</v>
      </c>
      <c r="AG11" s="446">
        <v>-13179.341982179998</v>
      </c>
      <c r="AH11" s="446">
        <v>-11879.09227354</v>
      </c>
      <c r="AI11" s="446">
        <v>-13350.546611650003</v>
      </c>
      <c r="AJ11" s="446">
        <v>-16898.939951499997</v>
      </c>
      <c r="AK11" s="446">
        <v>-11466.967172649998</v>
      </c>
      <c r="AL11" s="446">
        <v>-13650.276193949998</v>
      </c>
      <c r="AM11" s="446">
        <v>-12018.874950829999</v>
      </c>
      <c r="AN11" s="420">
        <v>-12476.195903029999</v>
      </c>
      <c r="AO11" s="420">
        <v>-14313.36957282</v>
      </c>
      <c r="AP11" s="420">
        <v>-17374.062681929754</v>
      </c>
      <c r="AQ11" s="420">
        <v>-18112.053482993684</v>
      </c>
      <c r="AR11" s="420">
        <v>-14044.60487612374</v>
      </c>
      <c r="AS11" s="420">
        <v>-13816.06028582856</v>
      </c>
      <c r="AT11" s="420">
        <v>-17341.511666418828</v>
      </c>
      <c r="AU11" s="420">
        <v>-15217.901120033093</v>
      </c>
      <c r="AV11" s="420">
        <v>-13552.266238281474</v>
      </c>
      <c r="AW11" s="420">
        <v>-10932.694839660657</v>
      </c>
      <c r="AX11" s="420">
        <v>-13197.887711877294</v>
      </c>
      <c r="AY11" s="420">
        <v>-12463.583303451964</v>
      </c>
      <c r="AZ11" s="420">
        <v>-13387.690245879574</v>
      </c>
      <c r="BA11" s="420">
        <v>-17897.114501728862</v>
      </c>
      <c r="BB11" s="420">
        <v>-16472.475734490621</v>
      </c>
      <c r="BC11" s="420">
        <v>-18912.303265928196</v>
      </c>
      <c r="BD11" s="420">
        <v>-19181.228839505362</v>
      </c>
      <c r="BE11" s="420">
        <v>-20865.026249724659</v>
      </c>
      <c r="BF11" s="420">
        <v>-24581.233548614022</v>
      </c>
      <c r="BG11" s="420">
        <v>-22626.159615587952</v>
      </c>
      <c r="BH11" s="420">
        <v>-19870.683686191223</v>
      </c>
      <c r="BI11" s="420">
        <v>-20743.429970004472</v>
      </c>
      <c r="BJ11" s="420">
        <v>-19352.681883520723</v>
      </c>
      <c r="BK11" s="420">
        <v>-22349.474304150681</v>
      </c>
      <c r="BL11" s="420">
        <v>-23502.995871067244</v>
      </c>
      <c r="BM11" s="420">
        <v>-22661.474497705807</v>
      </c>
      <c r="BN11" s="420">
        <v>-22878.465939326445</v>
      </c>
      <c r="BO11" s="420">
        <v>-21714.827886328236</v>
      </c>
      <c r="BP11" s="419">
        <v>-26328.382232080454</v>
      </c>
      <c r="BQ11" s="419">
        <v>-25956.873075779848</v>
      </c>
      <c r="BR11" s="419">
        <v>-26828.959248950447</v>
      </c>
      <c r="BS11" s="419">
        <v>-25650.317494534476</v>
      </c>
      <c r="BT11" s="419">
        <v>-29430.173450514856</v>
      </c>
      <c r="BU11" s="419">
        <v>-28634.857079610647</v>
      </c>
      <c r="BV11" s="419">
        <v>-26971.136303966399</v>
      </c>
      <c r="BW11" s="419">
        <v>-29312.760556908066</v>
      </c>
      <c r="BX11" s="419">
        <v>-31958.729724419147</v>
      </c>
      <c r="BY11" s="419">
        <v>-34518.630189887648</v>
      </c>
      <c r="BZ11" s="419">
        <v>-29765.040157252177</v>
      </c>
      <c r="CA11" s="419">
        <v>-35913.45428410665</v>
      </c>
      <c r="CB11" s="419">
        <v>-35783.323356305329</v>
      </c>
      <c r="CC11" s="419">
        <v>-37224.626337385162</v>
      </c>
      <c r="CD11" s="419">
        <v>-37942.026526596077</v>
      </c>
      <c r="CE11" s="419">
        <v>-41152.21912881577</v>
      </c>
      <c r="CF11" s="419">
        <v>-41550.868337346699</v>
      </c>
      <c r="CG11" s="419">
        <v>-38386.59096716639</v>
      </c>
      <c r="CH11" s="94">
        <v>-32405.033911957518</v>
      </c>
      <c r="CI11" s="94">
        <v>-35191.526846515859</v>
      </c>
      <c r="CJ11" s="94">
        <v>-40506.141151634103</v>
      </c>
      <c r="CK11" s="94">
        <v>-39546.197622725238</v>
      </c>
      <c r="CL11" s="94">
        <v>-35351.569054948355</v>
      </c>
      <c r="CM11" s="94">
        <v>-34907.183384128431</v>
      </c>
      <c r="CN11" s="94">
        <v>-27481.992926843894</v>
      </c>
      <c r="CO11" s="94">
        <v>-28939.114406344157</v>
      </c>
      <c r="CP11" s="94">
        <v>-26135.339736256545</v>
      </c>
      <c r="CQ11" s="94">
        <v>-29274.277120821997</v>
      </c>
      <c r="CR11" s="94">
        <v>-29484.768431556058</v>
      </c>
      <c r="CS11" s="94">
        <v>-24932.121414385856</v>
      </c>
      <c r="CT11" s="94">
        <v>-23701.260518967501</v>
      </c>
      <c r="CU11" s="94">
        <v>-19829.780191346192</v>
      </c>
      <c r="CV11" s="94">
        <v>-18394.546459666919</v>
      </c>
      <c r="CW11" s="421">
        <v>-17571.779205522427</v>
      </c>
      <c r="CX11" s="421">
        <v>-18573.606077410073</v>
      </c>
      <c r="CY11" s="421">
        <v>-22246.375063844021</v>
      </c>
      <c r="CZ11" s="421">
        <v>-25283.029247717244</v>
      </c>
      <c r="DA11" s="421">
        <v>-21010.18099120606</v>
      </c>
      <c r="DB11" s="421">
        <v>-22958.469095949196</v>
      </c>
      <c r="DC11" s="421">
        <v>-22390.423569186998</v>
      </c>
      <c r="DD11" s="421">
        <v>-19647.914046480033</v>
      </c>
      <c r="DE11" s="421">
        <v>-19273.09610646783</v>
      </c>
      <c r="DF11" s="421">
        <v>-20935.306592958881</v>
      </c>
      <c r="DG11" s="421">
        <v>-19289.037028424798</v>
      </c>
      <c r="DH11" s="421">
        <v>-20772.733527978315</v>
      </c>
      <c r="DI11" s="421">
        <v>-18967.234455908358</v>
      </c>
      <c r="DJ11" s="421">
        <v>-21200.26106011423</v>
      </c>
      <c r="DK11" s="421">
        <v>-18445.956216161783</v>
      </c>
      <c r="DL11" s="421">
        <v>-18377.2636097016</v>
      </c>
      <c r="DM11" s="421">
        <v>-21627.090344343022</v>
      </c>
      <c r="DN11" s="421">
        <v>-19402.232828217911</v>
      </c>
      <c r="DO11" s="421">
        <v>-18081.413977269593</v>
      </c>
      <c r="DP11" s="421">
        <v>-19279.206900320001</v>
      </c>
      <c r="DQ11" s="421">
        <v>-23863.349618259625</v>
      </c>
      <c r="DR11" s="421">
        <v>-24211.561883350314</v>
      </c>
      <c r="DS11" s="421">
        <v>-13684.554506002109</v>
      </c>
      <c r="DT11" s="421">
        <v>-13755.411136558921</v>
      </c>
      <c r="DU11" s="421">
        <v>-12727.236643302333</v>
      </c>
      <c r="DV11" s="447">
        <v>1025.7089805331761</v>
      </c>
      <c r="DW11" s="447">
        <v>-22127.335113032943</v>
      </c>
      <c r="DX11" s="447">
        <v>-21088.749873838813</v>
      </c>
      <c r="DY11" s="447">
        <v>-49104.374233031187</v>
      </c>
      <c r="DZ11" s="447">
        <v>-51513.327108830243</v>
      </c>
      <c r="EA11" s="447">
        <v>-42431.598791852331</v>
      </c>
      <c r="EB11" s="447">
        <v>-34259.903045684754</v>
      </c>
      <c r="EC11" s="447">
        <v>-27032.858213989537</v>
      </c>
      <c r="ED11" s="447">
        <v>-29267.717830482128</v>
      </c>
      <c r="EE11" s="447">
        <v>-30965.464448109906</v>
      </c>
      <c r="EF11" s="447">
        <v>-40247.084593347718</v>
      </c>
      <c r="EG11" s="447">
        <v>-36882.971087025631</v>
      </c>
      <c r="EH11" s="447">
        <v>-34161.745417146652</v>
      </c>
      <c r="EI11" s="447">
        <v>-39984.162914329703</v>
      </c>
      <c r="EJ11" s="447">
        <v>-31392.598979757619</v>
      </c>
    </row>
    <row r="12" spans="1:140" ht="17.25" customHeight="1" x14ac:dyDescent="0.3">
      <c r="A12" s="448" t="s">
        <v>971</v>
      </c>
      <c r="B12" s="449">
        <v>549.75010699000006</v>
      </c>
      <c r="C12" s="450">
        <v>550.85699225999997</v>
      </c>
      <c r="D12" s="450">
        <v>477.41486412</v>
      </c>
      <c r="E12" s="450">
        <v>858.95183839999993</v>
      </c>
      <c r="F12" s="450">
        <v>1303.6483870500001</v>
      </c>
      <c r="G12" s="450">
        <v>1844.10998189</v>
      </c>
      <c r="H12" s="450">
        <v>1965.83924781</v>
      </c>
      <c r="I12" s="450">
        <v>2258.9554319200001</v>
      </c>
      <c r="J12" s="450">
        <v>2585.9917589500001</v>
      </c>
      <c r="K12" s="450">
        <v>3852.9324706999996</v>
      </c>
      <c r="L12" s="450">
        <v>4715.6667137699997</v>
      </c>
      <c r="M12" s="450">
        <v>5382.3653765999998</v>
      </c>
      <c r="N12" s="450">
        <v>5373.29925731</v>
      </c>
      <c r="O12" s="450">
        <v>5497.6521717300002</v>
      </c>
      <c r="P12" s="450">
        <v>5506.0446070600001</v>
      </c>
      <c r="Q12" s="450">
        <v>5753.6136106899994</v>
      </c>
      <c r="R12" s="450">
        <v>5568.8466461199996</v>
      </c>
      <c r="S12" s="450">
        <v>5785.0552399299995</v>
      </c>
      <c r="T12" s="450">
        <v>5888.7961917399998</v>
      </c>
      <c r="U12" s="450">
        <v>6327.5861512699994</v>
      </c>
      <c r="V12" s="450">
        <v>6270.1117044499997</v>
      </c>
      <c r="W12" s="450">
        <v>6681.2161204800004</v>
      </c>
      <c r="X12" s="450">
        <v>8446.9020713999998</v>
      </c>
      <c r="Y12" s="450">
        <v>9153.0711483899995</v>
      </c>
      <c r="Z12" s="450">
        <v>9515.2999755599994</v>
      </c>
      <c r="AA12" s="450">
        <v>9793.35363435</v>
      </c>
      <c r="AB12" s="450">
        <v>9467.6423170699982</v>
      </c>
      <c r="AC12" s="450">
        <v>9830.5223254699977</v>
      </c>
      <c r="AD12" s="450">
        <v>9826.4607385599993</v>
      </c>
      <c r="AE12" s="450">
        <v>9264.1876788000009</v>
      </c>
      <c r="AF12" s="450">
        <v>9218.8616261900006</v>
      </c>
      <c r="AG12" s="450">
        <v>8422.1579610000008</v>
      </c>
      <c r="AH12" s="450">
        <v>7958.31289956</v>
      </c>
      <c r="AI12" s="450">
        <v>6858.3900487000001</v>
      </c>
      <c r="AJ12" s="450">
        <v>5187.7303872000002</v>
      </c>
      <c r="AK12" s="450">
        <v>5183.1208412000005</v>
      </c>
      <c r="AL12" s="450">
        <v>6185.9692967000001</v>
      </c>
      <c r="AM12" s="450">
        <v>6441.3858202000001</v>
      </c>
      <c r="AN12" s="426">
        <v>6886.9248842000006</v>
      </c>
      <c r="AO12" s="426">
        <v>6821.7543517000004</v>
      </c>
      <c r="AP12" s="426">
        <v>6745.0943592000003</v>
      </c>
      <c r="AQ12" s="426">
        <v>6632.2029702399996</v>
      </c>
      <c r="AR12" s="426">
        <v>6616.6135157399995</v>
      </c>
      <c r="AS12" s="426">
        <v>6524.0395767399996</v>
      </c>
      <c r="AT12" s="426">
        <v>6390.45828833</v>
      </c>
      <c r="AU12" s="426">
        <v>6741.4355393300002</v>
      </c>
      <c r="AV12" s="426">
        <v>6907.6845558300001</v>
      </c>
      <c r="AW12" s="426">
        <v>6797.7968853299999</v>
      </c>
      <c r="AX12" s="426">
        <v>6826.0566403299999</v>
      </c>
      <c r="AY12" s="426">
        <v>6653.6253613299996</v>
      </c>
      <c r="AZ12" s="426">
        <v>6637.9881083299997</v>
      </c>
      <c r="BA12" s="426">
        <v>6548.2404078299996</v>
      </c>
      <c r="BB12" s="426">
        <v>6228.14650463</v>
      </c>
      <c r="BC12" s="426">
        <v>6228.1632066299999</v>
      </c>
      <c r="BD12" s="426">
        <v>6072.2898871300004</v>
      </c>
      <c r="BE12" s="426">
        <v>5894.4752891300004</v>
      </c>
      <c r="BF12" s="426">
        <v>5656.9743366299999</v>
      </c>
      <c r="BG12" s="426">
        <v>5100.8797456299999</v>
      </c>
      <c r="BH12" s="426">
        <v>4666.6661986300005</v>
      </c>
      <c r="BI12" s="426">
        <v>4203.0171466299998</v>
      </c>
      <c r="BJ12" s="426">
        <v>4030.7490541300003</v>
      </c>
      <c r="BK12" s="426">
        <v>3933.0082186300001</v>
      </c>
      <c r="BL12" s="426">
        <v>3832.90427821</v>
      </c>
      <c r="BM12" s="426">
        <v>3664.3168907099998</v>
      </c>
      <c r="BN12" s="426">
        <v>3556.5026962100001</v>
      </c>
      <c r="BO12" s="426">
        <v>3469.8331357100001</v>
      </c>
      <c r="BP12" s="425">
        <v>3371.3919509900002</v>
      </c>
      <c r="BQ12" s="425">
        <v>3292.2506004900001</v>
      </c>
      <c r="BR12" s="425">
        <v>3287.7796684899999</v>
      </c>
      <c r="BS12" s="425">
        <v>3239.0791874900001</v>
      </c>
      <c r="BT12" s="425">
        <v>2953.8688154900001</v>
      </c>
      <c r="BU12" s="425">
        <v>2951.3984189900002</v>
      </c>
      <c r="BV12" s="425">
        <v>1256.1697714900001</v>
      </c>
      <c r="BW12" s="425">
        <v>1267.1481914800002</v>
      </c>
      <c r="BX12" s="425">
        <v>1266.68282348</v>
      </c>
      <c r="BY12" s="425">
        <v>1267.75872918</v>
      </c>
      <c r="BZ12" s="425">
        <v>1271.2213200800002</v>
      </c>
      <c r="CA12" s="425">
        <v>1270.1970060400001</v>
      </c>
      <c r="CB12" s="425">
        <v>1269.5592713799999</v>
      </c>
      <c r="CC12" s="425">
        <v>1274.3591263799999</v>
      </c>
      <c r="CD12" s="425">
        <v>680.20247987999994</v>
      </c>
      <c r="CE12" s="425">
        <v>679.32373400999995</v>
      </c>
      <c r="CF12" s="425">
        <v>679.75371801000006</v>
      </c>
      <c r="CG12" s="425">
        <v>677.59673900999996</v>
      </c>
      <c r="CH12" s="96">
        <v>677.5846510099999</v>
      </c>
      <c r="CI12" s="96">
        <v>679.28750899999989</v>
      </c>
      <c r="CJ12" s="96">
        <v>678.21470899999986</v>
      </c>
      <c r="CK12" s="96">
        <v>675.0807329999999</v>
      </c>
      <c r="CL12" s="96">
        <v>674.0697491599999</v>
      </c>
      <c r="CM12" s="96">
        <v>675.40254516000005</v>
      </c>
      <c r="CN12" s="96">
        <v>673.92669716</v>
      </c>
      <c r="CO12" s="96">
        <v>672.50556515999995</v>
      </c>
      <c r="CP12" s="96">
        <v>671.50418516000002</v>
      </c>
      <c r="CQ12" s="96">
        <v>670.72260515999994</v>
      </c>
      <c r="CR12" s="96">
        <v>673.02324915999998</v>
      </c>
      <c r="CS12" s="96">
        <v>670.24310723000008</v>
      </c>
      <c r="CT12" s="96">
        <v>669.13547523000011</v>
      </c>
      <c r="CU12" s="96">
        <v>667.01135523000005</v>
      </c>
      <c r="CV12" s="96">
        <v>658.39386723000007</v>
      </c>
      <c r="CW12" s="427">
        <v>657.44243523</v>
      </c>
      <c r="CX12" s="427">
        <v>657.31593656999996</v>
      </c>
      <c r="CY12" s="427">
        <v>656.75836056999992</v>
      </c>
      <c r="CZ12" s="427">
        <v>657.50156456999991</v>
      </c>
      <c r="DA12" s="427">
        <v>656.84853256999997</v>
      </c>
      <c r="DB12" s="427">
        <v>656.25362456999994</v>
      </c>
      <c r="DC12" s="427">
        <v>345.49703656999998</v>
      </c>
      <c r="DD12" s="427">
        <v>344.72837256999998</v>
      </c>
      <c r="DE12" s="427">
        <v>343.61427656999996</v>
      </c>
      <c r="DF12" s="427">
        <v>342.79893256999998</v>
      </c>
      <c r="DG12" s="427">
        <v>342.04582856999997</v>
      </c>
      <c r="DH12" s="427">
        <v>341.27405256999998</v>
      </c>
      <c r="DI12" s="427">
        <v>340.43070057</v>
      </c>
      <c r="DJ12" s="427">
        <v>339.35423749</v>
      </c>
      <c r="DK12" s="427">
        <v>341.95275749000001</v>
      </c>
      <c r="DL12" s="427">
        <v>341.22661338</v>
      </c>
      <c r="DM12" s="427">
        <v>328.32999187000001</v>
      </c>
      <c r="DN12" s="427">
        <v>328.44463454000004</v>
      </c>
      <c r="DO12" s="427">
        <v>328.48326414000002</v>
      </c>
      <c r="DP12" s="427">
        <v>328.52064762000003</v>
      </c>
      <c r="DQ12" s="427">
        <v>328.55927722000001</v>
      </c>
      <c r="DR12" s="427">
        <v>328.59790681999999</v>
      </c>
      <c r="DS12" s="427">
        <v>328.63404418000005</v>
      </c>
      <c r="DT12" s="427">
        <v>328.67267377999997</v>
      </c>
      <c r="DU12" s="427">
        <v>15338.3962032</v>
      </c>
      <c r="DV12" s="451">
        <v>15350.203978269999</v>
      </c>
      <c r="DW12" s="451">
        <v>15363.708138739999</v>
      </c>
      <c r="DX12" s="451">
        <v>15039.50281532</v>
      </c>
      <c r="DY12" s="451">
        <v>15058.612404360001</v>
      </c>
      <c r="DZ12" s="451">
        <v>15067.8589797</v>
      </c>
      <c r="EA12" s="451">
        <v>15077.41377422</v>
      </c>
      <c r="EB12" s="451">
        <v>15086.660349559999</v>
      </c>
      <c r="EC12" s="451">
        <v>15096.215144080001</v>
      </c>
      <c r="ED12" s="451">
        <v>15105.7699386</v>
      </c>
      <c r="EE12" s="451">
        <v>15114.400075590002</v>
      </c>
      <c r="EF12" s="451">
        <v>15123.954870110001</v>
      </c>
      <c r="EG12" s="451">
        <v>15133.20144545</v>
      </c>
      <c r="EH12" s="451">
        <v>15142.77223997</v>
      </c>
      <c r="EI12" s="451">
        <v>15153.24013896</v>
      </c>
      <c r="EJ12" s="451">
        <v>15162.79493348</v>
      </c>
    </row>
    <row r="13" spans="1:140" ht="17.25" customHeight="1" x14ac:dyDescent="0.3">
      <c r="A13" s="448" t="s">
        <v>972</v>
      </c>
      <c r="B13" s="449">
        <v>16644.341760089999</v>
      </c>
      <c r="C13" s="450">
        <v>15684.847908240001</v>
      </c>
      <c r="D13" s="450">
        <v>11051.6722548</v>
      </c>
      <c r="E13" s="450">
        <v>14019.083160210001</v>
      </c>
      <c r="F13" s="450">
        <v>14487.845723730001</v>
      </c>
      <c r="G13" s="450">
        <v>14447.324452750001</v>
      </c>
      <c r="H13" s="450">
        <v>14615.24198495</v>
      </c>
      <c r="I13" s="450">
        <v>16258.319292239999</v>
      </c>
      <c r="J13" s="450">
        <v>14895.78318481</v>
      </c>
      <c r="K13" s="450">
        <v>13359.42552592</v>
      </c>
      <c r="L13" s="450">
        <v>16031.914137379999</v>
      </c>
      <c r="M13" s="450">
        <v>15070.04536928</v>
      </c>
      <c r="N13" s="450">
        <v>13757.57959411</v>
      </c>
      <c r="O13" s="450">
        <v>13233.29302909</v>
      </c>
      <c r="P13" s="450">
        <v>16682.737635909998</v>
      </c>
      <c r="Q13" s="450">
        <v>15360.30877043</v>
      </c>
      <c r="R13" s="450">
        <v>16889.031433489999</v>
      </c>
      <c r="S13" s="450">
        <v>15953.80131542</v>
      </c>
      <c r="T13" s="450">
        <v>17090.596187180003</v>
      </c>
      <c r="U13" s="450">
        <v>14688.707950550001</v>
      </c>
      <c r="V13" s="450">
        <v>16831.960727019999</v>
      </c>
      <c r="W13" s="450">
        <v>17934.555463140001</v>
      </c>
      <c r="X13" s="450">
        <v>17883.51919472</v>
      </c>
      <c r="Y13" s="450">
        <v>16990.37128566</v>
      </c>
      <c r="Z13" s="450">
        <v>19595.260748560002</v>
      </c>
      <c r="AA13" s="450">
        <v>18485.683911579999</v>
      </c>
      <c r="AB13" s="450">
        <v>18840.52421734</v>
      </c>
      <c r="AC13" s="450">
        <v>18710.692255710001</v>
      </c>
      <c r="AD13" s="450">
        <v>18606.613756500003</v>
      </c>
      <c r="AE13" s="450">
        <v>20444.097790840002</v>
      </c>
      <c r="AF13" s="450">
        <v>20674.892351999999</v>
      </c>
      <c r="AG13" s="450">
        <v>21601.499943179999</v>
      </c>
      <c r="AH13" s="450">
        <v>19837.4051731</v>
      </c>
      <c r="AI13" s="450">
        <v>20208.936660350002</v>
      </c>
      <c r="AJ13" s="450">
        <v>22086.670338699998</v>
      </c>
      <c r="AK13" s="450">
        <v>16650.08801385</v>
      </c>
      <c r="AL13" s="450">
        <v>19836.245490649999</v>
      </c>
      <c r="AM13" s="450">
        <v>18460.26077103</v>
      </c>
      <c r="AN13" s="426">
        <v>19363.12078723</v>
      </c>
      <c r="AO13" s="426">
        <v>21135.123924520001</v>
      </c>
      <c r="AP13" s="426">
        <v>24119.157041129754</v>
      </c>
      <c r="AQ13" s="426">
        <v>24744.256453233684</v>
      </c>
      <c r="AR13" s="426">
        <v>20661.218391863738</v>
      </c>
      <c r="AS13" s="426">
        <v>20340.099862568561</v>
      </c>
      <c r="AT13" s="426">
        <v>23731.969954748827</v>
      </c>
      <c r="AU13" s="426">
        <v>21959.336659363093</v>
      </c>
      <c r="AV13" s="426">
        <v>20459.950794111475</v>
      </c>
      <c r="AW13" s="426">
        <v>17730.491724990658</v>
      </c>
      <c r="AX13" s="426">
        <v>20023.944352207294</v>
      </c>
      <c r="AY13" s="426">
        <v>19117.208664781963</v>
      </c>
      <c r="AZ13" s="426">
        <v>20025.678354209573</v>
      </c>
      <c r="BA13" s="426">
        <v>24445.354909558861</v>
      </c>
      <c r="BB13" s="426">
        <v>22700.622239120621</v>
      </c>
      <c r="BC13" s="426">
        <v>25140.466472558197</v>
      </c>
      <c r="BD13" s="426">
        <v>25253.518726635361</v>
      </c>
      <c r="BE13" s="426">
        <v>26759.50153885466</v>
      </c>
      <c r="BF13" s="426">
        <v>30238.207885244021</v>
      </c>
      <c r="BG13" s="426">
        <v>27727.03936121795</v>
      </c>
      <c r="BH13" s="426">
        <v>24537.349884821222</v>
      </c>
      <c r="BI13" s="426">
        <v>24946.447116634474</v>
      </c>
      <c r="BJ13" s="426">
        <v>23383.430937650723</v>
      </c>
      <c r="BK13" s="426">
        <v>26282.48252278068</v>
      </c>
      <c r="BL13" s="426">
        <v>27335.900149277244</v>
      </c>
      <c r="BM13" s="426">
        <v>26325.791388415808</v>
      </c>
      <c r="BN13" s="426">
        <v>26434.968635536447</v>
      </c>
      <c r="BO13" s="426">
        <v>25184.661022038235</v>
      </c>
      <c r="BP13" s="425">
        <v>29699.774183070454</v>
      </c>
      <c r="BQ13" s="425">
        <v>29249.123676269846</v>
      </c>
      <c r="BR13" s="425">
        <v>30116.738917440445</v>
      </c>
      <c r="BS13" s="425">
        <v>28889.396682024475</v>
      </c>
      <c r="BT13" s="425">
        <v>32384.042266004857</v>
      </c>
      <c r="BU13" s="425">
        <v>31586.255498600647</v>
      </c>
      <c r="BV13" s="425">
        <v>28227.306075456399</v>
      </c>
      <c r="BW13" s="425">
        <v>30579.908748388065</v>
      </c>
      <c r="BX13" s="425">
        <v>33225.412547899148</v>
      </c>
      <c r="BY13" s="425">
        <v>35786.388919067649</v>
      </c>
      <c r="BZ13" s="425">
        <v>31036.261477332177</v>
      </c>
      <c r="CA13" s="425">
        <v>37183.651290146649</v>
      </c>
      <c r="CB13" s="425">
        <v>37052.882627685329</v>
      </c>
      <c r="CC13" s="425">
        <v>38498.985463765159</v>
      </c>
      <c r="CD13" s="425">
        <v>38622.229006476075</v>
      </c>
      <c r="CE13" s="425">
        <v>41831.542862825772</v>
      </c>
      <c r="CF13" s="425">
        <v>42230.622055356696</v>
      </c>
      <c r="CG13" s="425">
        <v>39064.187706176388</v>
      </c>
      <c r="CH13" s="96">
        <v>33082.618562967516</v>
      </c>
      <c r="CI13" s="96">
        <v>35870.81435551586</v>
      </c>
      <c r="CJ13" s="96">
        <v>41184.355860634103</v>
      </c>
      <c r="CK13" s="96">
        <v>40221.278355725241</v>
      </c>
      <c r="CL13" s="96">
        <v>36025.638804108356</v>
      </c>
      <c r="CM13" s="96">
        <v>35582.585929288434</v>
      </c>
      <c r="CN13" s="96">
        <v>28155.919624003895</v>
      </c>
      <c r="CO13" s="96">
        <v>29611.619971504158</v>
      </c>
      <c r="CP13" s="96">
        <v>26806.843921416545</v>
      </c>
      <c r="CQ13" s="96">
        <v>29944.999725981997</v>
      </c>
      <c r="CR13" s="96">
        <v>30157.791680716058</v>
      </c>
      <c r="CS13" s="96">
        <v>25602.364521615855</v>
      </c>
      <c r="CT13" s="96">
        <v>24370.395994197501</v>
      </c>
      <c r="CU13" s="96">
        <v>20496.791546576191</v>
      </c>
      <c r="CV13" s="96">
        <v>19052.940326896918</v>
      </c>
      <c r="CW13" s="427">
        <v>18229.221640752428</v>
      </c>
      <c r="CX13" s="427">
        <v>19230.922013980075</v>
      </c>
      <c r="CY13" s="427">
        <v>22903.13342441402</v>
      </c>
      <c r="CZ13" s="427">
        <v>25940.530812287245</v>
      </c>
      <c r="DA13" s="427">
        <v>21667.029523776058</v>
      </c>
      <c r="DB13" s="427">
        <v>23614.722720519196</v>
      </c>
      <c r="DC13" s="427">
        <v>22735.920605756997</v>
      </c>
      <c r="DD13" s="427">
        <v>19992.642419050033</v>
      </c>
      <c r="DE13" s="427">
        <v>19616.710383037829</v>
      </c>
      <c r="DF13" s="427">
        <v>21278.105525528881</v>
      </c>
      <c r="DG13" s="427">
        <v>19631.082856994799</v>
      </c>
      <c r="DH13" s="427">
        <v>21114.007580548314</v>
      </c>
      <c r="DI13" s="427">
        <v>19307.665156478357</v>
      </c>
      <c r="DJ13" s="427">
        <v>21539.615297604229</v>
      </c>
      <c r="DK13" s="427">
        <v>18787.908973651782</v>
      </c>
      <c r="DL13" s="427">
        <v>18718.490223081601</v>
      </c>
      <c r="DM13" s="427">
        <v>21955.420336213021</v>
      </c>
      <c r="DN13" s="427">
        <v>19730.677462757911</v>
      </c>
      <c r="DO13" s="427">
        <v>18409.897241409592</v>
      </c>
      <c r="DP13" s="427">
        <v>19607.727547940001</v>
      </c>
      <c r="DQ13" s="427">
        <v>24191.908895479624</v>
      </c>
      <c r="DR13" s="427">
        <v>24540.159790170313</v>
      </c>
      <c r="DS13" s="427">
        <v>14013.188550182109</v>
      </c>
      <c r="DT13" s="427">
        <v>14084.083810338921</v>
      </c>
      <c r="DU13" s="427">
        <v>28065.632846502333</v>
      </c>
      <c r="DV13" s="451">
        <v>14324.494997736823</v>
      </c>
      <c r="DW13" s="451">
        <v>37491.043251772942</v>
      </c>
      <c r="DX13" s="451">
        <v>36128.252689158813</v>
      </c>
      <c r="DY13" s="451">
        <v>64162.986637391186</v>
      </c>
      <c r="DZ13" s="451">
        <v>66581.186088530245</v>
      </c>
      <c r="EA13" s="451">
        <v>57509.012566072335</v>
      </c>
      <c r="EB13" s="451">
        <v>49346.563395244753</v>
      </c>
      <c r="EC13" s="451">
        <v>42129.073358069538</v>
      </c>
      <c r="ED13" s="451">
        <v>44373.48776908213</v>
      </c>
      <c r="EE13" s="451">
        <v>46079.864523699907</v>
      </c>
      <c r="EF13" s="451">
        <v>55371.039463457717</v>
      </c>
      <c r="EG13" s="451">
        <v>52016.172532475633</v>
      </c>
      <c r="EH13" s="451">
        <v>49304.517657116652</v>
      </c>
      <c r="EI13" s="451">
        <v>55137.403053289701</v>
      </c>
      <c r="EJ13" s="451">
        <v>46555.393913237618</v>
      </c>
    </row>
    <row r="14" spans="1:140" ht="17.25" customHeight="1" x14ac:dyDescent="0.3">
      <c r="A14" s="448"/>
      <c r="B14" s="449"/>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0"/>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5"/>
      <c r="BQ14" s="425"/>
      <c r="BR14" s="425"/>
      <c r="BS14" s="425"/>
      <c r="BT14" s="425"/>
      <c r="BU14" s="425"/>
      <c r="BV14" s="425"/>
      <c r="BW14" s="425"/>
      <c r="BX14" s="425"/>
      <c r="BY14" s="425"/>
      <c r="BZ14" s="425"/>
      <c r="CA14" s="425"/>
      <c r="CB14" s="425"/>
      <c r="CC14" s="425"/>
      <c r="CD14" s="425"/>
      <c r="CE14" s="425"/>
      <c r="CF14" s="425"/>
      <c r="CG14" s="425"/>
      <c r="CH14" s="96"/>
      <c r="CI14" s="96"/>
      <c r="CJ14" s="96"/>
      <c r="CK14" s="96"/>
      <c r="CL14" s="96"/>
      <c r="CM14" s="96"/>
      <c r="CN14" s="96"/>
      <c r="CO14" s="96"/>
      <c r="CP14" s="96"/>
      <c r="CQ14" s="96"/>
      <c r="CR14" s="96"/>
      <c r="CS14" s="96"/>
      <c r="CT14" s="96"/>
      <c r="CU14" s="96"/>
      <c r="CV14" s="96"/>
      <c r="CW14" s="427"/>
      <c r="CX14" s="427"/>
      <c r="CY14" s="427"/>
      <c r="CZ14" s="427"/>
      <c r="DA14" s="427"/>
      <c r="DB14" s="427"/>
      <c r="DC14" s="427"/>
      <c r="DD14" s="427"/>
      <c r="DE14" s="427"/>
      <c r="DF14" s="427"/>
      <c r="DG14" s="427"/>
      <c r="DH14" s="427"/>
      <c r="DI14" s="427"/>
      <c r="DJ14" s="427"/>
      <c r="DK14" s="427"/>
      <c r="DL14" s="427"/>
      <c r="DM14" s="427"/>
      <c r="DN14" s="427"/>
      <c r="DO14" s="427"/>
      <c r="DP14" s="427"/>
      <c r="DQ14" s="427"/>
      <c r="DR14" s="427"/>
      <c r="DS14" s="427"/>
      <c r="DT14" s="427"/>
      <c r="DU14" s="427"/>
      <c r="DV14" s="451"/>
      <c r="DW14" s="451"/>
      <c r="DX14" s="451"/>
      <c r="DY14" s="451"/>
      <c r="DZ14" s="451"/>
      <c r="EA14" s="451"/>
      <c r="EB14" s="451"/>
      <c r="EC14" s="451"/>
      <c r="ED14" s="451"/>
      <c r="EE14" s="451"/>
      <c r="EF14" s="451"/>
      <c r="EG14" s="451"/>
      <c r="EH14" s="451"/>
      <c r="EI14" s="451"/>
      <c r="EJ14" s="451"/>
    </row>
    <row r="15" spans="1:140" ht="17.25" customHeight="1" x14ac:dyDescent="0.3">
      <c r="A15" s="444" t="s">
        <v>973</v>
      </c>
      <c r="B15" s="445">
        <v>153.19780331999999</v>
      </c>
      <c r="C15" s="446">
        <v>154.31596911</v>
      </c>
      <c r="D15" s="446">
        <v>138.70587049999997</v>
      </c>
      <c r="E15" s="446">
        <v>145.20146566999998</v>
      </c>
      <c r="F15" s="446">
        <v>139.64907062999998</v>
      </c>
      <c r="G15" s="446">
        <v>144.54348844999998</v>
      </c>
      <c r="H15" s="446">
        <v>136.46690247999999</v>
      </c>
      <c r="I15" s="446">
        <v>137.70103456999999</v>
      </c>
      <c r="J15" s="446">
        <v>166.28222216</v>
      </c>
      <c r="K15" s="446">
        <v>164.10271523999998</v>
      </c>
      <c r="L15" s="446">
        <v>188.36966712999998</v>
      </c>
      <c r="M15" s="446">
        <v>289.10614802999993</v>
      </c>
      <c r="N15" s="446">
        <v>325.25928297999997</v>
      </c>
      <c r="O15" s="446">
        <v>266.26099159999995</v>
      </c>
      <c r="P15" s="446">
        <v>282.16233682000001</v>
      </c>
      <c r="Q15" s="446">
        <v>326.19289162000001</v>
      </c>
      <c r="R15" s="446">
        <v>355.96613649</v>
      </c>
      <c r="S15" s="446">
        <v>144.95301177000002</v>
      </c>
      <c r="T15" s="446">
        <v>145.04960496999999</v>
      </c>
      <c r="U15" s="446">
        <v>146.18456738</v>
      </c>
      <c r="V15" s="446">
        <v>147.98835771</v>
      </c>
      <c r="W15" s="446">
        <v>189.87692557</v>
      </c>
      <c r="X15" s="446">
        <v>188.68572480999998</v>
      </c>
      <c r="Y15" s="446">
        <v>187.66180904000001</v>
      </c>
      <c r="Z15" s="446">
        <v>184.76241243000001</v>
      </c>
      <c r="AA15" s="446">
        <v>235.96431477000002</v>
      </c>
      <c r="AB15" s="446">
        <v>228.80128807000003</v>
      </c>
      <c r="AC15" s="446">
        <v>202.30284356000001</v>
      </c>
      <c r="AD15" s="446">
        <v>207.31680611000002</v>
      </c>
      <c r="AE15" s="446">
        <v>142.31707372000002</v>
      </c>
      <c r="AF15" s="446">
        <v>246.29880878</v>
      </c>
      <c r="AG15" s="446">
        <v>157.61338316000001</v>
      </c>
      <c r="AH15" s="446">
        <v>186.53756657</v>
      </c>
      <c r="AI15" s="446">
        <v>186.00266166</v>
      </c>
      <c r="AJ15" s="446">
        <v>148.20166657000001</v>
      </c>
      <c r="AK15" s="446">
        <v>184.47326498999999</v>
      </c>
      <c r="AL15" s="446">
        <v>158.50110899000001</v>
      </c>
      <c r="AM15" s="446">
        <v>151.81138362999999</v>
      </c>
      <c r="AN15" s="420">
        <v>144.74117856000001</v>
      </c>
      <c r="AO15" s="420">
        <v>154.39851223000002</v>
      </c>
      <c r="AP15" s="420">
        <v>135.40763834000001</v>
      </c>
      <c r="AQ15" s="420">
        <v>198.07188681</v>
      </c>
      <c r="AR15" s="420">
        <v>126.59522910000001</v>
      </c>
      <c r="AS15" s="420">
        <v>150.84449430999999</v>
      </c>
      <c r="AT15" s="420">
        <v>162.74188365000003</v>
      </c>
      <c r="AU15" s="420">
        <v>164.49673319999999</v>
      </c>
      <c r="AV15" s="420">
        <v>163.62766462999997</v>
      </c>
      <c r="AW15" s="420">
        <v>172.66457023999999</v>
      </c>
      <c r="AX15" s="420">
        <v>134.78201322999996</v>
      </c>
      <c r="AY15" s="420">
        <v>146.16603488000001</v>
      </c>
      <c r="AZ15" s="420">
        <v>154.80724961999994</v>
      </c>
      <c r="BA15" s="420">
        <v>158.50427366000002</v>
      </c>
      <c r="BB15" s="420">
        <v>161.91662781999997</v>
      </c>
      <c r="BC15" s="420">
        <v>159.59387422</v>
      </c>
      <c r="BD15" s="420">
        <v>117.25199542000001</v>
      </c>
      <c r="BE15" s="420">
        <v>129.45984655000001</v>
      </c>
      <c r="BF15" s="420">
        <v>134.73078520999996</v>
      </c>
      <c r="BG15" s="420">
        <v>140.02408560999999</v>
      </c>
      <c r="BH15" s="420">
        <v>139.35857369000001</v>
      </c>
      <c r="BI15" s="420">
        <v>152.22108252999999</v>
      </c>
      <c r="BJ15" s="420">
        <v>115.15130846999999</v>
      </c>
      <c r="BK15" s="420">
        <v>126.01319054</v>
      </c>
      <c r="BL15" s="420">
        <v>127.1554088</v>
      </c>
      <c r="BM15" s="420">
        <v>371.52363643000001</v>
      </c>
      <c r="BN15" s="420">
        <v>379.96656151999991</v>
      </c>
      <c r="BO15" s="420">
        <v>3704.0103747000003</v>
      </c>
      <c r="BP15" s="419">
        <v>3664.27348949</v>
      </c>
      <c r="BQ15" s="419">
        <v>3670.1731644900001</v>
      </c>
      <c r="BR15" s="419">
        <v>3675.21057273</v>
      </c>
      <c r="BS15" s="419">
        <v>3683.2173269999998</v>
      </c>
      <c r="BT15" s="419">
        <v>3657.3844738899998</v>
      </c>
      <c r="BU15" s="419">
        <v>3668.5319508899997</v>
      </c>
      <c r="BV15" s="419">
        <v>3617.0592188099999</v>
      </c>
      <c r="BW15" s="419">
        <v>3626.6453938499999</v>
      </c>
      <c r="BX15" s="419">
        <v>3623.0380289999998</v>
      </c>
      <c r="BY15" s="419">
        <v>3622.9704508099999</v>
      </c>
      <c r="BZ15" s="419">
        <v>3621.55255085</v>
      </c>
      <c r="CA15" s="419">
        <v>3760.6580941399998</v>
      </c>
      <c r="CB15" s="419">
        <v>3749.1737147999997</v>
      </c>
      <c r="CC15" s="419">
        <v>3761.8094959199998</v>
      </c>
      <c r="CD15" s="419">
        <v>3762.2770625399999</v>
      </c>
      <c r="CE15" s="419">
        <v>3758.5232117199998</v>
      </c>
      <c r="CF15" s="419">
        <v>3767.8315939099998</v>
      </c>
      <c r="CG15" s="419">
        <v>3786.0611617799996</v>
      </c>
      <c r="CH15" s="94">
        <v>3776.0857908899998</v>
      </c>
      <c r="CI15" s="94">
        <v>3765.93455279</v>
      </c>
      <c r="CJ15" s="94">
        <v>3765.1976652000003</v>
      </c>
      <c r="CK15" s="94">
        <v>3761.3297814900002</v>
      </c>
      <c r="CL15" s="94">
        <v>3766.3030819800001</v>
      </c>
      <c r="CM15" s="94">
        <v>3851.56925434</v>
      </c>
      <c r="CN15" s="94">
        <v>3838.2095615300004</v>
      </c>
      <c r="CO15" s="94">
        <v>3841.6459451600003</v>
      </c>
      <c r="CP15" s="94">
        <v>3854.8684223200003</v>
      </c>
      <c r="CQ15" s="94">
        <v>3851.2765629800001</v>
      </c>
      <c r="CR15" s="94">
        <v>3841.4149903800003</v>
      </c>
      <c r="CS15" s="94">
        <v>3843.0021967400003</v>
      </c>
      <c r="CT15" s="94">
        <v>3829.80791262</v>
      </c>
      <c r="CU15" s="94">
        <v>3850.1254325200002</v>
      </c>
      <c r="CV15" s="94">
        <v>3837.4422250600001</v>
      </c>
      <c r="CW15" s="421">
        <v>3832.0039649100004</v>
      </c>
      <c r="CX15" s="421">
        <v>3838.5214351200002</v>
      </c>
      <c r="CY15" s="421">
        <v>3939.3595319200003</v>
      </c>
      <c r="CZ15" s="421">
        <v>3924.4904188699998</v>
      </c>
      <c r="DA15" s="421">
        <v>3928.2821452100002</v>
      </c>
      <c r="DB15" s="421">
        <v>3940.63574281</v>
      </c>
      <c r="DC15" s="421">
        <v>3911.6779075099998</v>
      </c>
      <c r="DD15" s="421">
        <v>3916.1275332999999</v>
      </c>
      <c r="DE15" s="421">
        <v>3927.1168639899997</v>
      </c>
      <c r="DF15" s="421">
        <v>3915.7525036699999</v>
      </c>
      <c r="DG15" s="421">
        <v>3920.3112408100001</v>
      </c>
      <c r="DH15" s="421">
        <v>3923.40452461</v>
      </c>
      <c r="DI15" s="421">
        <v>3926.9384735599997</v>
      </c>
      <c r="DJ15" s="421">
        <v>3935.6997193899997</v>
      </c>
      <c r="DK15" s="421">
        <v>4040.11773928</v>
      </c>
      <c r="DL15" s="421">
        <v>4022.36362465</v>
      </c>
      <c r="DM15" s="421">
        <v>4023.9363366299999</v>
      </c>
      <c r="DN15" s="421">
        <v>4030.76345545</v>
      </c>
      <c r="DO15" s="421">
        <v>4034.9671928500002</v>
      </c>
      <c r="DP15" s="421">
        <v>4030.7474261400002</v>
      </c>
      <c r="DQ15" s="421">
        <v>4032.3685415700002</v>
      </c>
      <c r="DR15" s="421">
        <v>4021.3580319799999</v>
      </c>
      <c r="DS15" s="421">
        <v>4031.9189057100002</v>
      </c>
      <c r="DT15" s="421">
        <v>4036.5619587200003</v>
      </c>
      <c r="DU15" s="421">
        <v>4021.3721522400001</v>
      </c>
      <c r="DV15" s="447">
        <v>4021.8372684700003</v>
      </c>
      <c r="DW15" s="447">
        <v>4119.7111005500001</v>
      </c>
      <c r="DX15" s="447">
        <v>5379.726790910001</v>
      </c>
      <c r="DY15" s="447">
        <v>5489.9843629499983</v>
      </c>
      <c r="DZ15" s="447">
        <v>5645.9314230800037</v>
      </c>
      <c r="EA15" s="447">
        <v>38584.592081740004</v>
      </c>
      <c r="EB15" s="447">
        <v>38698.5757381</v>
      </c>
      <c r="EC15" s="447">
        <v>40100.677529779998</v>
      </c>
      <c r="ED15" s="447">
        <v>40111.402101599997</v>
      </c>
      <c r="EE15" s="447">
        <v>40256.463010569998</v>
      </c>
      <c r="EF15" s="447">
        <v>40239.019081019993</v>
      </c>
      <c r="EG15" s="447">
        <v>87597.159286900001</v>
      </c>
      <c r="EH15" s="447">
        <v>87788.728449970004</v>
      </c>
      <c r="EI15" s="447">
        <v>88054.309445469989</v>
      </c>
      <c r="EJ15" s="447">
        <v>88057.297381139986</v>
      </c>
    </row>
    <row r="16" spans="1:140" ht="17.25" customHeight="1" x14ac:dyDescent="0.3">
      <c r="A16" s="444"/>
      <c r="B16" s="452"/>
      <c r="C16" s="453"/>
      <c r="D16" s="453"/>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c r="BP16" s="455"/>
      <c r="BQ16" s="455"/>
      <c r="BR16" s="455"/>
      <c r="BS16" s="455"/>
      <c r="BT16" s="455"/>
      <c r="BU16" s="455"/>
      <c r="BV16" s="455"/>
      <c r="BW16" s="455"/>
      <c r="BX16" s="455"/>
      <c r="BY16" s="455"/>
      <c r="BZ16" s="455"/>
      <c r="CA16" s="455"/>
      <c r="CB16" s="455"/>
      <c r="CC16" s="455"/>
      <c r="CD16" s="455"/>
      <c r="CE16" s="455"/>
      <c r="CF16" s="455"/>
      <c r="CG16" s="455"/>
      <c r="CH16" s="456"/>
      <c r="CI16" s="456"/>
      <c r="CJ16" s="456"/>
      <c r="CK16" s="456"/>
      <c r="CL16" s="456"/>
      <c r="CM16" s="456"/>
      <c r="CN16" s="456"/>
      <c r="CO16" s="456"/>
      <c r="CP16" s="456"/>
      <c r="CQ16" s="456"/>
      <c r="CR16" s="456"/>
      <c r="CS16" s="456"/>
      <c r="CT16" s="456"/>
      <c r="CU16" s="456"/>
      <c r="CV16" s="456"/>
      <c r="CW16" s="457"/>
      <c r="CX16" s="457"/>
      <c r="CY16" s="457"/>
      <c r="CZ16" s="457"/>
      <c r="DA16" s="457"/>
      <c r="DB16" s="457"/>
      <c r="DC16" s="457"/>
      <c r="DD16" s="457"/>
      <c r="DE16" s="457"/>
      <c r="DF16" s="457"/>
      <c r="DG16" s="457"/>
      <c r="DH16" s="457"/>
      <c r="DI16" s="457"/>
      <c r="DJ16" s="457"/>
      <c r="DK16" s="457"/>
      <c r="DL16" s="457"/>
      <c r="DM16" s="457"/>
      <c r="DN16" s="457"/>
      <c r="DO16" s="457"/>
      <c r="DP16" s="457"/>
      <c r="DQ16" s="457"/>
      <c r="DR16" s="457"/>
      <c r="DS16" s="457"/>
      <c r="DT16" s="457"/>
      <c r="DU16" s="457"/>
      <c r="DV16" s="458"/>
      <c r="DW16" s="458"/>
      <c r="DX16" s="458"/>
      <c r="DY16" s="458"/>
      <c r="DZ16" s="458"/>
      <c r="EA16" s="458"/>
      <c r="EB16" s="458"/>
      <c r="EC16" s="458"/>
      <c r="ED16" s="458"/>
      <c r="EE16" s="458"/>
      <c r="EF16" s="458"/>
      <c r="EG16" s="458"/>
      <c r="EH16" s="458"/>
      <c r="EI16" s="458"/>
      <c r="EJ16" s="458"/>
    </row>
    <row r="17" spans="1:140" ht="17.25" customHeight="1" x14ac:dyDescent="0.3">
      <c r="A17" s="444" t="s">
        <v>974</v>
      </c>
      <c r="B17" s="445">
        <v>32306.578817460002</v>
      </c>
      <c r="C17" s="446">
        <v>34188.331145164084</v>
      </c>
      <c r="D17" s="446">
        <v>35018.925947288786</v>
      </c>
      <c r="E17" s="446">
        <v>33972.916108010002</v>
      </c>
      <c r="F17" s="446">
        <v>35004.952882689249</v>
      </c>
      <c r="G17" s="446">
        <v>35648.822886965798</v>
      </c>
      <c r="H17" s="446">
        <v>38111.517277910505</v>
      </c>
      <c r="I17" s="446">
        <v>36422.298472737748</v>
      </c>
      <c r="J17" s="446">
        <v>36444.26897664788</v>
      </c>
      <c r="K17" s="446">
        <v>38868.215593856054</v>
      </c>
      <c r="L17" s="446">
        <v>40023.459073151535</v>
      </c>
      <c r="M17" s="446">
        <v>44935.527259780167</v>
      </c>
      <c r="N17" s="446">
        <v>44220.858916383426</v>
      </c>
      <c r="O17" s="446">
        <v>43457.966264730763</v>
      </c>
      <c r="P17" s="446">
        <v>42616.030383652505</v>
      </c>
      <c r="Q17" s="446">
        <v>43519.537135460872</v>
      </c>
      <c r="R17" s="446">
        <v>41534.157818012638</v>
      </c>
      <c r="S17" s="446">
        <v>42236.711520816105</v>
      </c>
      <c r="T17" s="446">
        <v>42073.932665119974</v>
      </c>
      <c r="U17" s="446">
        <v>44194.178057538316</v>
      </c>
      <c r="V17" s="446">
        <v>42292.116241218129</v>
      </c>
      <c r="W17" s="446">
        <v>42459.190507549785</v>
      </c>
      <c r="X17" s="446">
        <v>41967.209032272607</v>
      </c>
      <c r="Y17" s="446">
        <v>48280.871327637411</v>
      </c>
      <c r="Z17" s="446">
        <v>43850.805226779208</v>
      </c>
      <c r="AA17" s="446">
        <v>44901.044055009108</v>
      </c>
      <c r="AB17" s="446">
        <v>44639.243475667608</v>
      </c>
      <c r="AC17" s="446">
        <v>44527.063578133653</v>
      </c>
      <c r="AD17" s="446">
        <v>44662.991762790327</v>
      </c>
      <c r="AE17" s="446">
        <v>45910.968640197767</v>
      </c>
      <c r="AF17" s="446">
        <v>46049.629763349993</v>
      </c>
      <c r="AG17" s="446">
        <v>46185.34960224</v>
      </c>
      <c r="AH17" s="446">
        <v>47267.960582840002</v>
      </c>
      <c r="AI17" s="446">
        <v>46439.120953459998</v>
      </c>
      <c r="AJ17" s="446">
        <v>45499.108851889992</v>
      </c>
      <c r="AK17" s="446">
        <v>52622.930014159996</v>
      </c>
      <c r="AL17" s="446">
        <v>50086.680641910003</v>
      </c>
      <c r="AM17" s="446">
        <v>52362.476793820002</v>
      </c>
      <c r="AN17" s="420">
        <v>51963.297140969997</v>
      </c>
      <c r="AO17" s="420">
        <v>48815.614415420001</v>
      </c>
      <c r="AP17" s="420">
        <v>52745.513655169998</v>
      </c>
      <c r="AQ17" s="420">
        <v>53094.012917469998</v>
      </c>
      <c r="AR17" s="420">
        <v>54156.365501669992</v>
      </c>
      <c r="AS17" s="420">
        <v>51451.915537709996</v>
      </c>
      <c r="AT17" s="420">
        <v>50185.234078640002</v>
      </c>
      <c r="AU17" s="420">
        <v>51977.864655339996</v>
      </c>
      <c r="AV17" s="420">
        <v>53757.247619950002</v>
      </c>
      <c r="AW17" s="420">
        <v>62350.012214779999</v>
      </c>
      <c r="AX17" s="420">
        <v>58668.6515592</v>
      </c>
      <c r="AY17" s="420">
        <v>64091.710065689993</v>
      </c>
      <c r="AZ17" s="420">
        <v>62483.452767250004</v>
      </c>
      <c r="BA17" s="420">
        <v>62070.370892899999</v>
      </c>
      <c r="BB17" s="420">
        <v>62582.034079030003</v>
      </c>
      <c r="BC17" s="420">
        <v>62137.03930633</v>
      </c>
      <c r="BD17" s="420">
        <v>64802.243488449996</v>
      </c>
      <c r="BE17" s="420">
        <v>66521.777726829998</v>
      </c>
      <c r="BF17" s="420">
        <v>63788.91463728001</v>
      </c>
      <c r="BG17" s="420">
        <v>65201.016736970007</v>
      </c>
      <c r="BH17" s="420">
        <v>63358.074917500002</v>
      </c>
      <c r="BI17" s="420">
        <v>67933.588631679988</v>
      </c>
      <c r="BJ17" s="420">
        <v>68888.095795009998</v>
      </c>
      <c r="BK17" s="420">
        <v>70440.636755090003</v>
      </c>
      <c r="BL17" s="420">
        <v>73577.833934157083</v>
      </c>
      <c r="BM17" s="420">
        <v>75159.682994820003</v>
      </c>
      <c r="BN17" s="420">
        <v>70803.746954400005</v>
      </c>
      <c r="BO17" s="420">
        <v>71594.147533340001</v>
      </c>
      <c r="BP17" s="419">
        <v>68773.183555700001</v>
      </c>
      <c r="BQ17" s="419">
        <v>66569.861976040003</v>
      </c>
      <c r="BR17" s="419">
        <v>66947.281883979987</v>
      </c>
      <c r="BS17" s="419">
        <v>71167.770713139995</v>
      </c>
      <c r="BT17" s="419">
        <v>70496.418338069998</v>
      </c>
      <c r="BU17" s="419">
        <v>73569.047286450019</v>
      </c>
      <c r="BV17" s="419">
        <v>74498.380112810002</v>
      </c>
      <c r="BW17" s="419">
        <v>72917.527185889994</v>
      </c>
      <c r="BX17" s="419">
        <v>69446.043452650003</v>
      </c>
      <c r="BY17" s="419">
        <v>67413.995906790005</v>
      </c>
      <c r="BZ17" s="419">
        <v>76072.559399120015</v>
      </c>
      <c r="CA17" s="419">
        <v>70419.836853589994</v>
      </c>
      <c r="CB17" s="419">
        <v>71811.108306740003</v>
      </c>
      <c r="CC17" s="419">
        <v>72274.423068129996</v>
      </c>
      <c r="CD17" s="419">
        <v>73083.794152372298</v>
      </c>
      <c r="CE17" s="419">
        <v>71156.268825432286</v>
      </c>
      <c r="CF17" s="419">
        <v>75050.0283712323</v>
      </c>
      <c r="CG17" s="419">
        <v>82062.454314372284</v>
      </c>
      <c r="CH17" s="94">
        <v>83073.876301282304</v>
      </c>
      <c r="CI17" s="94">
        <v>79888.073268022301</v>
      </c>
      <c r="CJ17" s="94">
        <v>76270.488560842292</v>
      </c>
      <c r="CK17" s="94">
        <v>83832.736179042287</v>
      </c>
      <c r="CL17" s="94">
        <v>83944.908098642292</v>
      </c>
      <c r="CM17" s="94">
        <v>80702.470558452289</v>
      </c>
      <c r="CN17" s="94">
        <v>82261.311799362287</v>
      </c>
      <c r="CO17" s="94">
        <v>79068.213393302271</v>
      </c>
      <c r="CP17" s="94">
        <v>85929.687596322285</v>
      </c>
      <c r="CQ17" s="94">
        <v>82776.070675572293</v>
      </c>
      <c r="CR17" s="94">
        <v>90055.720543022297</v>
      </c>
      <c r="CS17" s="94">
        <v>102148.08102707227</v>
      </c>
      <c r="CT17" s="94">
        <v>101146.4532061323</v>
      </c>
      <c r="CU17" s="94">
        <v>100844.38988327001</v>
      </c>
      <c r="CV17" s="94">
        <v>96927.471336200004</v>
      </c>
      <c r="CW17" s="421">
        <v>96764.55682713</v>
      </c>
      <c r="CX17" s="421">
        <v>99355.801623730003</v>
      </c>
      <c r="CY17" s="421">
        <v>109048.86314920001</v>
      </c>
      <c r="CZ17" s="421">
        <v>100660.04772514</v>
      </c>
      <c r="DA17" s="421">
        <v>112956.84348928501</v>
      </c>
      <c r="DB17" s="421">
        <v>99760.407825670001</v>
      </c>
      <c r="DC17" s="421">
        <v>98097.455155949996</v>
      </c>
      <c r="DD17" s="421">
        <v>103092.81229459001</v>
      </c>
      <c r="DE17" s="421">
        <v>100867.11153924999</v>
      </c>
      <c r="DF17" s="421">
        <v>102818.30863134001</v>
      </c>
      <c r="DG17" s="421">
        <v>103484.58947791997</v>
      </c>
      <c r="DH17" s="421">
        <v>101879.04529465</v>
      </c>
      <c r="DI17" s="421">
        <v>103555.29581359999</v>
      </c>
      <c r="DJ17" s="421">
        <v>108531.09996019001</v>
      </c>
      <c r="DK17" s="421">
        <v>105729.95689803</v>
      </c>
      <c r="DL17" s="421">
        <v>109852.72986275</v>
      </c>
      <c r="DM17" s="421">
        <v>104721.8047168</v>
      </c>
      <c r="DN17" s="421">
        <v>105737.83124584</v>
      </c>
      <c r="DO17" s="421">
        <v>104610.96385879</v>
      </c>
      <c r="DP17" s="421">
        <v>110785.70627631999</v>
      </c>
      <c r="DQ17" s="421">
        <v>123351.49617376002</v>
      </c>
      <c r="DR17" s="421">
        <v>117687.05444165999</v>
      </c>
      <c r="DS17" s="421">
        <v>122047.23474776</v>
      </c>
      <c r="DT17" s="421">
        <v>126402.72820919001</v>
      </c>
      <c r="DU17" s="421">
        <v>132395.77679220002</v>
      </c>
      <c r="DV17" s="447">
        <v>156851.00422211</v>
      </c>
      <c r="DW17" s="447">
        <v>148346.77809906</v>
      </c>
      <c r="DX17" s="447">
        <v>153873.26013765999</v>
      </c>
      <c r="DY17" s="447">
        <v>137459.95647142001</v>
      </c>
      <c r="DZ17" s="447">
        <v>135923.33982882</v>
      </c>
      <c r="EA17" s="447">
        <v>178037.25319116001</v>
      </c>
      <c r="EB17" s="447">
        <v>184213.58975858003</v>
      </c>
      <c r="EC17" s="447">
        <v>194715.73296597999</v>
      </c>
      <c r="ED17" s="447">
        <v>214151.32237446998</v>
      </c>
      <c r="EE17" s="447">
        <v>195991.62394393003</v>
      </c>
      <c r="EF17" s="447">
        <v>196250.02692538002</v>
      </c>
      <c r="EG17" s="447">
        <v>235432.66699435998</v>
      </c>
      <c r="EH17" s="447">
        <v>242527.10344161</v>
      </c>
      <c r="EI17" s="447">
        <v>238940.32614782001</v>
      </c>
      <c r="EJ17" s="447">
        <v>243110.72012456</v>
      </c>
    </row>
    <row r="18" spans="1:140" ht="17.25" customHeight="1" x14ac:dyDescent="0.3">
      <c r="A18" s="448" t="s">
        <v>975</v>
      </c>
      <c r="B18" s="449">
        <v>18952.441887060002</v>
      </c>
      <c r="C18" s="450">
        <v>18641.061393979999</v>
      </c>
      <c r="D18" s="450">
        <v>18743.303560849996</v>
      </c>
      <c r="E18" s="450">
        <v>18751.685785169997</v>
      </c>
      <c r="F18" s="450">
        <v>18911.351549290001</v>
      </c>
      <c r="G18" s="450">
        <v>18649.461355769999</v>
      </c>
      <c r="H18" s="450">
        <v>18959.472219740001</v>
      </c>
      <c r="I18" s="450">
        <v>19099.734956819997</v>
      </c>
      <c r="J18" s="450">
        <v>19096.175257759998</v>
      </c>
      <c r="K18" s="450">
        <v>19126.732547099997</v>
      </c>
      <c r="L18" s="450">
        <v>19515.158774399999</v>
      </c>
      <c r="M18" s="450">
        <v>22591.76147184</v>
      </c>
      <c r="N18" s="450">
        <v>21236.65837347</v>
      </c>
      <c r="O18" s="450">
        <v>20538.891013150002</v>
      </c>
      <c r="P18" s="450">
        <v>20556.85096652</v>
      </c>
      <c r="Q18" s="450">
        <v>20352.834272419997</v>
      </c>
      <c r="R18" s="450">
        <v>20595.249062759998</v>
      </c>
      <c r="S18" s="450">
        <v>20453.797603709998</v>
      </c>
      <c r="T18" s="450">
        <v>20905.664051119998</v>
      </c>
      <c r="U18" s="450">
        <v>21645.42161148</v>
      </c>
      <c r="V18" s="450">
        <v>21156.80149025</v>
      </c>
      <c r="W18" s="450">
        <v>21838.137164569998</v>
      </c>
      <c r="X18" s="450">
        <v>21414.945182689997</v>
      </c>
      <c r="Y18" s="450">
        <v>24469.755843179999</v>
      </c>
      <c r="Z18" s="450">
        <v>22588.058014799997</v>
      </c>
      <c r="AA18" s="450">
        <v>22171.260158819998</v>
      </c>
      <c r="AB18" s="450">
        <v>21862.04674324</v>
      </c>
      <c r="AC18" s="450">
        <v>21939.357956429998</v>
      </c>
      <c r="AD18" s="450">
        <v>22081.98990434</v>
      </c>
      <c r="AE18" s="450">
        <v>21745.491674569999</v>
      </c>
      <c r="AF18" s="450">
        <v>22149.626996290001</v>
      </c>
      <c r="AG18" s="450">
        <v>22572.425488049998</v>
      </c>
      <c r="AH18" s="450">
        <v>22452.776109720002</v>
      </c>
      <c r="AI18" s="450">
        <v>23032.897365330002</v>
      </c>
      <c r="AJ18" s="450">
        <v>23216.152670249998</v>
      </c>
      <c r="AK18" s="450">
        <v>26961.314001819999</v>
      </c>
      <c r="AL18" s="450">
        <v>25163.105337090001</v>
      </c>
      <c r="AM18" s="450">
        <v>24498.755108590001</v>
      </c>
      <c r="AN18" s="426">
        <v>24955.023412139999</v>
      </c>
      <c r="AO18" s="426">
        <v>24919.571457469996</v>
      </c>
      <c r="AP18" s="426">
        <v>24588.03063723</v>
      </c>
      <c r="AQ18" s="426">
        <v>24405.038596909999</v>
      </c>
      <c r="AR18" s="426">
        <v>25220.77754155</v>
      </c>
      <c r="AS18" s="426">
        <v>25317.262526309998</v>
      </c>
      <c r="AT18" s="426">
        <v>24906.271864289996</v>
      </c>
      <c r="AU18" s="426">
        <v>25514.94680301</v>
      </c>
      <c r="AV18" s="426">
        <v>25355.99961635</v>
      </c>
      <c r="AW18" s="426">
        <v>30127.65067585</v>
      </c>
      <c r="AX18" s="426">
        <v>27335.793403099997</v>
      </c>
      <c r="AY18" s="426">
        <v>26937.436175199997</v>
      </c>
      <c r="AZ18" s="426">
        <v>26769.000060089998</v>
      </c>
      <c r="BA18" s="426">
        <v>26721.178490309998</v>
      </c>
      <c r="BB18" s="426">
        <v>26022.338344529999</v>
      </c>
      <c r="BC18" s="426">
        <v>26344.899356469996</v>
      </c>
      <c r="BD18" s="426">
        <v>27338.762973989997</v>
      </c>
      <c r="BE18" s="426">
        <v>26980.232630539998</v>
      </c>
      <c r="BF18" s="426">
        <v>26570.910404800001</v>
      </c>
      <c r="BG18" s="426">
        <v>26596.024344789996</v>
      </c>
      <c r="BH18" s="426">
        <v>27231.957308459998</v>
      </c>
      <c r="BI18" s="426">
        <v>32530.922907949996</v>
      </c>
      <c r="BJ18" s="426">
        <v>28693.542673849999</v>
      </c>
      <c r="BK18" s="426">
        <v>28537.310704579999</v>
      </c>
      <c r="BL18" s="426">
        <v>28235.79267477</v>
      </c>
      <c r="BM18" s="426">
        <v>28891.639225089999</v>
      </c>
      <c r="BN18" s="426">
        <v>28381.598166739997</v>
      </c>
      <c r="BO18" s="426">
        <v>28401.159025539997</v>
      </c>
      <c r="BP18" s="425">
        <v>29084.588811319998</v>
      </c>
      <c r="BQ18" s="425">
        <v>28788.739345999998</v>
      </c>
      <c r="BR18" s="425">
        <v>28816.358797509998</v>
      </c>
      <c r="BS18" s="425">
        <v>29134.156574879999</v>
      </c>
      <c r="BT18" s="425">
        <v>29138.429183199998</v>
      </c>
      <c r="BU18" s="425">
        <v>33337.37905756</v>
      </c>
      <c r="BV18" s="425">
        <v>31171.009461819998</v>
      </c>
      <c r="BW18" s="425">
        <v>30647.284968779997</v>
      </c>
      <c r="BX18" s="425">
        <v>30743.296292809999</v>
      </c>
      <c r="BY18" s="425">
        <v>30447.59312302</v>
      </c>
      <c r="BZ18" s="425">
        <v>30571.560486869999</v>
      </c>
      <c r="CA18" s="425">
        <v>30580.84748371</v>
      </c>
      <c r="CB18" s="425">
        <v>31022.94784166</v>
      </c>
      <c r="CC18" s="425">
        <v>31154.782347649998</v>
      </c>
      <c r="CD18" s="425">
        <v>31412.19991146</v>
      </c>
      <c r="CE18" s="425">
        <v>31813.8796005</v>
      </c>
      <c r="CF18" s="425">
        <v>31992.048036119999</v>
      </c>
      <c r="CG18" s="425">
        <v>35918.397170519995</v>
      </c>
      <c r="CH18" s="96">
        <v>34021.84120132</v>
      </c>
      <c r="CI18" s="96">
        <v>33440.569531870002</v>
      </c>
      <c r="CJ18" s="96">
        <v>33640.358126409999</v>
      </c>
      <c r="CK18" s="96">
        <v>33183.677823489998</v>
      </c>
      <c r="CL18" s="96">
        <v>32557.513193549999</v>
      </c>
      <c r="CM18" s="96">
        <v>33563.811729280002</v>
      </c>
      <c r="CN18" s="96">
        <v>33350.070714089998</v>
      </c>
      <c r="CO18" s="96">
        <v>32925.326606149996</v>
      </c>
      <c r="CP18" s="96">
        <v>33195.02502809</v>
      </c>
      <c r="CQ18" s="96">
        <v>34800.521369850001</v>
      </c>
      <c r="CR18" s="96">
        <v>34608.30036668</v>
      </c>
      <c r="CS18" s="96">
        <v>38711.487522229996</v>
      </c>
      <c r="CT18" s="96">
        <v>37136.068104809994</v>
      </c>
      <c r="CU18" s="96">
        <v>36152.509834080003</v>
      </c>
      <c r="CV18" s="96">
        <v>35151.823000780001</v>
      </c>
      <c r="CW18" s="427">
        <v>34465.873527309996</v>
      </c>
      <c r="CX18" s="427">
        <v>34209.282211720005</v>
      </c>
      <c r="CY18" s="427">
        <v>33840.939583910003</v>
      </c>
      <c r="CZ18" s="427">
        <v>34354.436784220001</v>
      </c>
      <c r="DA18" s="427">
        <v>33981.630423590002</v>
      </c>
      <c r="DB18" s="427">
        <v>33490.009091289998</v>
      </c>
      <c r="DC18" s="427">
        <v>34513.611328470004</v>
      </c>
      <c r="DD18" s="427">
        <v>34749.692863690005</v>
      </c>
      <c r="DE18" s="427">
        <v>39340.472129850001</v>
      </c>
      <c r="DF18" s="427">
        <v>37248.48744307</v>
      </c>
      <c r="DG18" s="427">
        <v>35669.852744309996</v>
      </c>
      <c r="DH18" s="427">
        <v>36175.575864860002</v>
      </c>
      <c r="DI18" s="427">
        <v>36335.002560349996</v>
      </c>
      <c r="DJ18" s="427">
        <v>36329.981773430001</v>
      </c>
      <c r="DK18" s="427">
        <v>35893.39228421</v>
      </c>
      <c r="DL18" s="427">
        <v>36452.5215704</v>
      </c>
      <c r="DM18" s="427">
        <v>36472.006218720002</v>
      </c>
      <c r="DN18" s="427">
        <v>35863.320522440001</v>
      </c>
      <c r="DO18" s="427">
        <v>37885.514226650004</v>
      </c>
      <c r="DP18" s="427">
        <v>37486.875528690005</v>
      </c>
      <c r="DQ18" s="427">
        <v>42909.155061279998</v>
      </c>
      <c r="DR18" s="427">
        <v>39910.772255479998</v>
      </c>
      <c r="DS18" s="427">
        <v>39384.515622779996</v>
      </c>
      <c r="DT18" s="427">
        <v>40531.515348909998</v>
      </c>
      <c r="DU18" s="427">
        <v>42371.915842529997</v>
      </c>
      <c r="DV18" s="451">
        <v>42552.193212419996</v>
      </c>
      <c r="DW18" s="451">
        <v>41855.520518819998</v>
      </c>
      <c r="DX18" s="451">
        <v>42116.495948699994</v>
      </c>
      <c r="DY18" s="451">
        <v>41580.369955940005</v>
      </c>
      <c r="DZ18" s="451">
        <v>41766.725282209998</v>
      </c>
      <c r="EA18" s="451">
        <v>42101.064163249997</v>
      </c>
      <c r="EB18" s="451">
        <v>42301.685575169999</v>
      </c>
      <c r="EC18" s="451">
        <v>46561.469153729995</v>
      </c>
      <c r="ED18" s="451">
        <v>44509.239605659997</v>
      </c>
      <c r="EE18" s="451">
        <v>43570.631886510004</v>
      </c>
      <c r="EF18" s="451">
        <v>44859.021304490001</v>
      </c>
      <c r="EG18" s="451">
        <v>45474.997122109999</v>
      </c>
      <c r="EH18" s="451">
        <v>45652.290638890001</v>
      </c>
      <c r="EI18" s="451">
        <v>45253.418362540004</v>
      </c>
      <c r="EJ18" s="451">
        <v>45396.058863369995</v>
      </c>
    </row>
    <row r="19" spans="1:140" ht="17.25" customHeight="1" x14ac:dyDescent="0.3">
      <c r="A19" s="448" t="s">
        <v>976</v>
      </c>
      <c r="B19" s="449">
        <v>13180.361091909999</v>
      </c>
      <c r="C19" s="450">
        <v>15445.119449369999</v>
      </c>
      <c r="D19" s="450">
        <v>16168.046902009999</v>
      </c>
      <c r="E19" s="450">
        <v>15124.25977701</v>
      </c>
      <c r="F19" s="450">
        <v>16001.144004809998</v>
      </c>
      <c r="G19" s="450">
        <v>16558.544007380002</v>
      </c>
      <c r="H19" s="450">
        <v>19007.349950509997</v>
      </c>
      <c r="I19" s="450">
        <v>17182.945034510001</v>
      </c>
      <c r="J19" s="450">
        <v>17080.954378169998</v>
      </c>
      <c r="K19" s="450">
        <v>19601.086913409999</v>
      </c>
      <c r="L19" s="450">
        <v>20360.644917080001</v>
      </c>
      <c r="M19" s="450">
        <v>22187.582204819999</v>
      </c>
      <c r="N19" s="450">
        <v>22842.828379009999</v>
      </c>
      <c r="O19" s="450">
        <v>22753.930035100002</v>
      </c>
      <c r="P19" s="450">
        <v>21902.896262459999</v>
      </c>
      <c r="Q19" s="450">
        <v>22996.164349359999</v>
      </c>
      <c r="R19" s="450">
        <v>20819.986171249999</v>
      </c>
      <c r="S19" s="450">
        <v>21555.850004669999</v>
      </c>
      <c r="T19" s="450">
        <v>21020.661866890001</v>
      </c>
      <c r="U19" s="450">
        <v>22403.703741509999</v>
      </c>
      <c r="V19" s="450">
        <v>20956.707757559998</v>
      </c>
      <c r="W19" s="450">
        <v>20392.186258429996</v>
      </c>
      <c r="X19" s="450">
        <v>20406.316159820002</v>
      </c>
      <c r="Y19" s="450">
        <v>23666.373667289998</v>
      </c>
      <c r="Z19" s="450">
        <v>21128.55688815</v>
      </c>
      <c r="AA19" s="450">
        <v>22606.986195919999</v>
      </c>
      <c r="AB19" s="450">
        <v>22648.888231509998</v>
      </c>
      <c r="AC19" s="450">
        <v>22462.387835019999</v>
      </c>
      <c r="AD19" s="450">
        <v>22476.149191739998</v>
      </c>
      <c r="AE19" s="450">
        <v>23977.369481069996</v>
      </c>
      <c r="AF19" s="450">
        <v>23701.931139239998</v>
      </c>
      <c r="AG19" s="450">
        <v>23541.113787940001</v>
      </c>
      <c r="AH19" s="450">
        <v>24591.544820159997</v>
      </c>
      <c r="AI19" s="450">
        <v>23167.60481945</v>
      </c>
      <c r="AJ19" s="450">
        <v>22131.482146099999</v>
      </c>
      <c r="AK19" s="450">
        <v>25515.138641540001</v>
      </c>
      <c r="AL19" s="450">
        <v>24854.226564650002</v>
      </c>
      <c r="AM19" s="450">
        <v>27797.761466790002</v>
      </c>
      <c r="AN19" s="426">
        <v>26943.295328619999</v>
      </c>
      <c r="AO19" s="426">
        <v>23830.458748830002</v>
      </c>
      <c r="AP19" s="426">
        <v>28088.96964996</v>
      </c>
      <c r="AQ19" s="426">
        <v>28377.491470929999</v>
      </c>
      <c r="AR19" s="426">
        <v>28845.220740209999</v>
      </c>
      <c r="AS19" s="426">
        <v>26045.912519270001</v>
      </c>
      <c r="AT19" s="426">
        <v>25113.663529400004</v>
      </c>
      <c r="AU19" s="426">
        <v>26366.097784619997</v>
      </c>
      <c r="AV19" s="426">
        <v>28225.168882770002</v>
      </c>
      <c r="AW19" s="426">
        <v>31894.798558349998</v>
      </c>
      <c r="AX19" s="426">
        <v>31263.989790459997</v>
      </c>
      <c r="AY19" s="426">
        <v>37062.201626349997</v>
      </c>
      <c r="AZ19" s="426">
        <v>35626.74721275</v>
      </c>
      <c r="BA19" s="426">
        <v>35263.900715039999</v>
      </c>
      <c r="BB19" s="426">
        <v>36480.672927440006</v>
      </c>
      <c r="BC19" s="426">
        <v>35505.536266570001</v>
      </c>
      <c r="BD19" s="426">
        <v>37346.30601778</v>
      </c>
      <c r="BE19" s="426">
        <v>39447.964838309999</v>
      </c>
      <c r="BF19" s="426">
        <v>37043.045730330006</v>
      </c>
      <c r="BG19" s="426">
        <v>38406.794046370007</v>
      </c>
      <c r="BH19" s="426">
        <v>36009.536248050004</v>
      </c>
      <c r="BI19" s="426">
        <v>35269.696321449999</v>
      </c>
      <c r="BJ19" s="426">
        <v>40104.413002199995</v>
      </c>
      <c r="BK19" s="426">
        <v>41805.112039910004</v>
      </c>
      <c r="BL19" s="426">
        <v>45054.548004237091</v>
      </c>
      <c r="BM19" s="426">
        <v>46161.870899910005</v>
      </c>
      <c r="BN19" s="426">
        <v>42302.540231880004</v>
      </c>
      <c r="BO19" s="426">
        <v>42987.27696255</v>
      </c>
      <c r="BP19" s="425">
        <v>39385.219822699997</v>
      </c>
      <c r="BQ19" s="425">
        <v>36807.436373129996</v>
      </c>
      <c r="BR19" s="425">
        <v>37970.221436699998</v>
      </c>
      <c r="BS19" s="425">
        <v>41922.34927662</v>
      </c>
      <c r="BT19" s="425">
        <v>41263.81340811</v>
      </c>
      <c r="BU19" s="425">
        <v>39962.347326120005</v>
      </c>
      <c r="BV19" s="425">
        <v>43239.512165820001</v>
      </c>
      <c r="BW19" s="425">
        <v>42176.046251020001</v>
      </c>
      <c r="BX19" s="425">
        <v>38608.694038940004</v>
      </c>
      <c r="BY19" s="425">
        <v>36805.113869389999</v>
      </c>
      <c r="BZ19" s="425">
        <v>45411.241120620005</v>
      </c>
      <c r="CA19" s="425">
        <v>39659.050252699992</v>
      </c>
      <c r="CB19" s="425">
        <v>40641.943913030002</v>
      </c>
      <c r="CC19" s="425">
        <v>40847.126320720003</v>
      </c>
      <c r="CD19" s="425">
        <v>41470.56727</v>
      </c>
      <c r="CE19" s="425">
        <v>39234.331478</v>
      </c>
      <c r="CF19" s="425">
        <v>42934.689576000004</v>
      </c>
      <c r="CG19" s="425">
        <v>45642.115197769999</v>
      </c>
      <c r="CH19" s="96">
        <v>48951.913890610005</v>
      </c>
      <c r="CI19" s="96">
        <v>46324.269419410004</v>
      </c>
      <c r="CJ19" s="96">
        <v>42441.435363860001</v>
      </c>
      <c r="CK19" s="96">
        <v>50524.902447699991</v>
      </c>
      <c r="CL19" s="96">
        <v>51270.683553429997</v>
      </c>
      <c r="CM19" s="96">
        <v>46984.148916220001</v>
      </c>
      <c r="CN19" s="96">
        <v>48775.635459120007</v>
      </c>
      <c r="CO19" s="96">
        <v>46023.509124389995</v>
      </c>
      <c r="CP19" s="96">
        <v>52573.411807529999</v>
      </c>
      <c r="CQ19" s="96">
        <v>47851.757256239995</v>
      </c>
      <c r="CR19" s="96">
        <v>55350.635036970001</v>
      </c>
      <c r="CS19" s="96">
        <v>63319.442593779997</v>
      </c>
      <c r="CT19" s="96">
        <v>63907.960726270678</v>
      </c>
      <c r="CU19" s="96">
        <v>64589.194299900002</v>
      </c>
      <c r="CV19" s="96">
        <v>61684.655452080005</v>
      </c>
      <c r="CW19" s="427">
        <v>62161.711645019997</v>
      </c>
      <c r="CX19" s="427">
        <v>65056.358257800006</v>
      </c>
      <c r="CY19" s="427">
        <v>75026.109037970004</v>
      </c>
      <c r="CZ19" s="427">
        <v>66061.261849009999</v>
      </c>
      <c r="DA19" s="427">
        <v>78886.824107995009</v>
      </c>
      <c r="DB19" s="427">
        <v>66111.966410969995</v>
      </c>
      <c r="DC19" s="427">
        <v>63491.167822060001</v>
      </c>
      <c r="DD19" s="427">
        <v>68248.702641269992</v>
      </c>
      <c r="DE19" s="427">
        <v>61401.321099070003</v>
      </c>
      <c r="DF19" s="427">
        <v>65474.932045410009</v>
      </c>
      <c r="DG19" s="427">
        <v>67717.134163858689</v>
      </c>
      <c r="DH19" s="427">
        <v>65531.594309039996</v>
      </c>
      <c r="DI19" s="427">
        <v>67107.099646510003</v>
      </c>
      <c r="DJ19" s="427">
        <v>72113.999596050009</v>
      </c>
      <c r="DK19" s="427">
        <v>69662.272514149998</v>
      </c>
      <c r="DL19" s="427">
        <v>73260.279537859999</v>
      </c>
      <c r="DM19" s="427">
        <v>68096.729228600001</v>
      </c>
      <c r="DN19" s="427">
        <v>69723.013958799478</v>
      </c>
      <c r="DO19" s="427">
        <v>66601.074179229996</v>
      </c>
      <c r="DP19" s="427">
        <v>73118.439982059994</v>
      </c>
      <c r="DQ19" s="427">
        <v>80233.224526130012</v>
      </c>
      <c r="DR19" s="427">
        <v>77664.276133166772</v>
      </c>
      <c r="DS19" s="427">
        <v>82527.919000330003</v>
      </c>
      <c r="DT19" s="427">
        <v>85741.699121390004</v>
      </c>
      <c r="DU19" s="427">
        <v>89819.763154839995</v>
      </c>
      <c r="DV19" s="451">
        <v>114146.32523480999</v>
      </c>
      <c r="DW19" s="451">
        <v>106333.6766491</v>
      </c>
      <c r="DX19" s="451">
        <v>110725.45381096001</v>
      </c>
      <c r="DY19" s="451">
        <v>94847.223145479991</v>
      </c>
      <c r="DZ19" s="451">
        <v>93124.633783609999</v>
      </c>
      <c r="EA19" s="451">
        <v>102102.07600891001</v>
      </c>
      <c r="EB19" s="451">
        <v>108077.88781541001</v>
      </c>
      <c r="EC19" s="451">
        <v>114822.24273725</v>
      </c>
      <c r="ED19" s="451">
        <v>136395.09296280998</v>
      </c>
      <c r="EE19" s="451">
        <v>119235.86102542</v>
      </c>
      <c r="EF19" s="451">
        <v>119481.94308589</v>
      </c>
      <c r="EG19" s="451">
        <v>111250.85803824999</v>
      </c>
      <c r="EH19" s="451">
        <v>119047.64699972</v>
      </c>
      <c r="EI19" s="451">
        <v>121752.69274627999</v>
      </c>
      <c r="EJ19" s="451">
        <v>126917.80414119</v>
      </c>
    </row>
    <row r="20" spans="1:140" ht="17.25" customHeight="1" x14ac:dyDescent="0.3">
      <c r="A20" s="448" t="s">
        <v>977</v>
      </c>
      <c r="B20" s="449">
        <v>173.77583848999998</v>
      </c>
      <c r="C20" s="450">
        <v>102.15030181408299</v>
      </c>
      <c r="D20" s="450">
        <v>107.57548442879599</v>
      </c>
      <c r="E20" s="450">
        <v>96.970545829999992</v>
      </c>
      <c r="F20" s="450">
        <v>92.457328589252</v>
      </c>
      <c r="G20" s="450">
        <v>440.817523815794</v>
      </c>
      <c r="H20" s="450">
        <v>144.695107660503</v>
      </c>
      <c r="I20" s="450">
        <v>139.61848140775101</v>
      </c>
      <c r="J20" s="450">
        <v>267.13934071788196</v>
      </c>
      <c r="K20" s="450">
        <v>140.39613334605099</v>
      </c>
      <c r="L20" s="450">
        <v>147.65538167153198</v>
      </c>
      <c r="M20" s="450">
        <v>156.18358312016798</v>
      </c>
      <c r="N20" s="450">
        <v>141.37216390342701</v>
      </c>
      <c r="O20" s="450">
        <v>165.14521648076197</v>
      </c>
      <c r="P20" s="450">
        <v>156.283154672509</v>
      </c>
      <c r="Q20" s="450">
        <v>170.538513680878</v>
      </c>
      <c r="R20" s="450">
        <v>118.92258400263799</v>
      </c>
      <c r="S20" s="450">
        <v>227.06391243610898</v>
      </c>
      <c r="T20" s="450">
        <v>147.606747109975</v>
      </c>
      <c r="U20" s="450">
        <v>145.05270454831998</v>
      </c>
      <c r="V20" s="450">
        <v>178.60699340812801</v>
      </c>
      <c r="W20" s="450">
        <v>228.86708454979401</v>
      </c>
      <c r="X20" s="450">
        <v>145.94768976260698</v>
      </c>
      <c r="Y20" s="450">
        <v>144.74181716741302</v>
      </c>
      <c r="Z20" s="450">
        <v>134.190323829216</v>
      </c>
      <c r="AA20" s="450">
        <v>122.79770026911299</v>
      </c>
      <c r="AB20" s="450">
        <v>128.30850091761698</v>
      </c>
      <c r="AC20" s="450">
        <v>125.31778668365899</v>
      </c>
      <c r="AD20" s="450">
        <v>104.85266671033099</v>
      </c>
      <c r="AE20" s="450">
        <v>188.10748455776599</v>
      </c>
      <c r="AF20" s="450">
        <v>198.07162782</v>
      </c>
      <c r="AG20" s="450">
        <v>71.810326250000003</v>
      </c>
      <c r="AH20" s="450">
        <v>223.63965296000001</v>
      </c>
      <c r="AI20" s="450">
        <v>238.61876867999996</v>
      </c>
      <c r="AJ20" s="450">
        <v>151.47403553999999</v>
      </c>
      <c r="AK20" s="450">
        <v>146.47737080000002</v>
      </c>
      <c r="AL20" s="450">
        <v>69.348740169999985</v>
      </c>
      <c r="AM20" s="450">
        <v>65.960218440000006</v>
      </c>
      <c r="AN20" s="426">
        <v>64.97840020999999</v>
      </c>
      <c r="AO20" s="426">
        <v>65.584209119999997</v>
      </c>
      <c r="AP20" s="426">
        <v>68.513367979999998</v>
      </c>
      <c r="AQ20" s="426">
        <v>311.48284962999998</v>
      </c>
      <c r="AR20" s="426">
        <v>90.367219909999989</v>
      </c>
      <c r="AS20" s="426">
        <v>88.740492129999993</v>
      </c>
      <c r="AT20" s="426">
        <v>165.29868494999999</v>
      </c>
      <c r="AU20" s="426">
        <v>96.820067709999989</v>
      </c>
      <c r="AV20" s="426">
        <v>176.07912083000002</v>
      </c>
      <c r="AW20" s="426">
        <v>327.56298057999999</v>
      </c>
      <c r="AX20" s="426">
        <v>68.868365640000007</v>
      </c>
      <c r="AY20" s="426">
        <v>92.072264139999987</v>
      </c>
      <c r="AZ20" s="426">
        <v>87.70549441</v>
      </c>
      <c r="BA20" s="426">
        <v>85.291687549999992</v>
      </c>
      <c r="BB20" s="426">
        <v>79.022807060000005</v>
      </c>
      <c r="BC20" s="426">
        <v>286.60368328999999</v>
      </c>
      <c r="BD20" s="426">
        <v>117.17449668</v>
      </c>
      <c r="BE20" s="426">
        <v>93.580257980000013</v>
      </c>
      <c r="BF20" s="426">
        <v>174.95850214999999</v>
      </c>
      <c r="BG20" s="426">
        <v>198.19834580999998</v>
      </c>
      <c r="BH20" s="426">
        <v>116.58136098999999</v>
      </c>
      <c r="BI20" s="426">
        <v>132.96940228</v>
      </c>
      <c r="BJ20" s="426">
        <v>90.140118959999995</v>
      </c>
      <c r="BK20" s="426">
        <v>98.214010599999995</v>
      </c>
      <c r="BL20" s="426">
        <v>287.49325514999998</v>
      </c>
      <c r="BM20" s="426">
        <v>106.17286981999999</v>
      </c>
      <c r="BN20" s="426">
        <v>119.60855578000002</v>
      </c>
      <c r="BO20" s="426">
        <v>205.71154525</v>
      </c>
      <c r="BP20" s="425">
        <v>303.37492168</v>
      </c>
      <c r="BQ20" s="425">
        <v>973.68625691</v>
      </c>
      <c r="BR20" s="425">
        <v>160.70164977000002</v>
      </c>
      <c r="BS20" s="425">
        <v>111.26486164000001</v>
      </c>
      <c r="BT20" s="425">
        <v>94.175746759999996</v>
      </c>
      <c r="BU20" s="425">
        <v>269.32090277000003</v>
      </c>
      <c r="BV20" s="425">
        <v>87.858485169999994</v>
      </c>
      <c r="BW20" s="425">
        <v>94.195966089999999</v>
      </c>
      <c r="BX20" s="425">
        <v>94.053120899999996</v>
      </c>
      <c r="BY20" s="425">
        <v>161.28891437999999</v>
      </c>
      <c r="BZ20" s="425">
        <v>89.757791629999986</v>
      </c>
      <c r="CA20" s="425">
        <v>179.93911718000001</v>
      </c>
      <c r="CB20" s="425">
        <v>146.21655204999999</v>
      </c>
      <c r="CC20" s="425">
        <v>272.51439976</v>
      </c>
      <c r="CD20" s="425">
        <v>201.026970912292</v>
      </c>
      <c r="CE20" s="425">
        <v>108.05774693229202</v>
      </c>
      <c r="CF20" s="425">
        <v>123.29075911229199</v>
      </c>
      <c r="CG20" s="425">
        <v>501.94194608229202</v>
      </c>
      <c r="CH20" s="96">
        <v>100.121209352292</v>
      </c>
      <c r="CI20" s="96">
        <v>123.23431674229201</v>
      </c>
      <c r="CJ20" s="96">
        <v>188.695070572292</v>
      </c>
      <c r="CK20" s="96">
        <v>124.155907852292</v>
      </c>
      <c r="CL20" s="96">
        <v>116.71135166229199</v>
      </c>
      <c r="CM20" s="96">
        <v>154.50991295229201</v>
      </c>
      <c r="CN20" s="96">
        <v>135.60562615229202</v>
      </c>
      <c r="CO20" s="96">
        <v>119.37766276229199</v>
      </c>
      <c r="CP20" s="96">
        <v>161.25076070229198</v>
      </c>
      <c r="CQ20" s="96">
        <v>123.792049482292</v>
      </c>
      <c r="CR20" s="96">
        <v>96.785139372292008</v>
      </c>
      <c r="CS20" s="96">
        <v>117.1509110622919</v>
      </c>
      <c r="CT20" s="96">
        <v>102.42437505161277</v>
      </c>
      <c r="CU20" s="96">
        <v>102.68574928999996</v>
      </c>
      <c r="CV20" s="96">
        <v>90.992883340000006</v>
      </c>
      <c r="CW20" s="427">
        <v>136.97165480000001</v>
      </c>
      <c r="CX20" s="427">
        <v>90.161154210000007</v>
      </c>
      <c r="CY20" s="427">
        <v>181.81452732</v>
      </c>
      <c r="CZ20" s="427">
        <v>244.34909191</v>
      </c>
      <c r="DA20" s="427">
        <v>88.388957700000006</v>
      </c>
      <c r="DB20" s="427">
        <v>158.43232340999998</v>
      </c>
      <c r="DC20" s="427">
        <v>92.67600542000001</v>
      </c>
      <c r="DD20" s="427">
        <v>94.416789629999997</v>
      </c>
      <c r="DE20" s="427">
        <v>125.31831032999997</v>
      </c>
      <c r="DF20" s="427">
        <v>94.889142859999993</v>
      </c>
      <c r="DG20" s="427">
        <v>97.602569751300095</v>
      </c>
      <c r="DH20" s="427">
        <v>171.87512075000001</v>
      </c>
      <c r="DI20" s="427">
        <v>113.19360673999999</v>
      </c>
      <c r="DJ20" s="427">
        <v>87.118590710000007</v>
      </c>
      <c r="DK20" s="427">
        <v>174.29209967000003</v>
      </c>
      <c r="DL20" s="427">
        <v>139.92875448999999</v>
      </c>
      <c r="DM20" s="427">
        <v>153.06926948</v>
      </c>
      <c r="DN20" s="427">
        <v>151.49676460052194</v>
      </c>
      <c r="DO20" s="427">
        <v>124.37545290999998</v>
      </c>
      <c r="DP20" s="427">
        <v>180.39076556999999</v>
      </c>
      <c r="DQ20" s="427">
        <v>209.11658635000001</v>
      </c>
      <c r="DR20" s="427">
        <v>112.00605301321792</v>
      </c>
      <c r="DS20" s="427">
        <v>134.80012464999999</v>
      </c>
      <c r="DT20" s="427">
        <v>129.51373888999998</v>
      </c>
      <c r="DU20" s="427">
        <v>204.09779483000003</v>
      </c>
      <c r="DV20" s="451">
        <v>152.48577488000001</v>
      </c>
      <c r="DW20" s="451">
        <v>157.5809311400001</v>
      </c>
      <c r="DX20" s="451">
        <v>1031.3103779999999</v>
      </c>
      <c r="DY20" s="451">
        <v>1032.36337</v>
      </c>
      <c r="DZ20" s="451">
        <v>1031.980763</v>
      </c>
      <c r="EA20" s="451">
        <v>33834.113019000004</v>
      </c>
      <c r="EB20" s="451">
        <v>33834.016367999997</v>
      </c>
      <c r="EC20" s="451">
        <v>33332.021075000004</v>
      </c>
      <c r="ED20" s="451">
        <v>33246.989805999998</v>
      </c>
      <c r="EE20" s="451">
        <v>33185.131032000005</v>
      </c>
      <c r="EF20" s="451">
        <v>31909.062534999997</v>
      </c>
      <c r="EG20" s="451">
        <v>78706.811833999993</v>
      </c>
      <c r="EH20" s="451">
        <v>77827.165802999996</v>
      </c>
      <c r="EI20" s="451">
        <v>71934.215039000002</v>
      </c>
      <c r="EJ20" s="451">
        <v>70796.857119999986</v>
      </c>
    </row>
    <row r="21" spans="1:140" s="106" customFormat="1" ht="17.25" customHeight="1" x14ac:dyDescent="0.3">
      <c r="A21" s="444"/>
      <c r="B21" s="445"/>
      <c r="C21" s="446"/>
      <c r="D21" s="446"/>
      <c r="E21" s="446"/>
      <c r="F21" s="446"/>
      <c r="G21" s="446"/>
      <c r="H21" s="446"/>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446"/>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c r="BO21" s="420"/>
      <c r="BP21" s="419"/>
      <c r="BQ21" s="419"/>
      <c r="BR21" s="419"/>
      <c r="BS21" s="419"/>
      <c r="BT21" s="419"/>
      <c r="BU21" s="419"/>
      <c r="BV21" s="419"/>
      <c r="BW21" s="419"/>
      <c r="BX21" s="419"/>
      <c r="BY21" s="419"/>
      <c r="BZ21" s="419"/>
      <c r="CA21" s="419"/>
      <c r="CB21" s="419"/>
      <c r="CC21" s="419"/>
      <c r="CD21" s="419"/>
      <c r="CE21" s="419"/>
      <c r="CF21" s="419"/>
      <c r="CG21" s="419"/>
      <c r="CH21" s="94"/>
      <c r="CI21" s="94"/>
      <c r="CJ21" s="94"/>
      <c r="CK21" s="94"/>
      <c r="CL21" s="94"/>
      <c r="CM21" s="94"/>
      <c r="CN21" s="94"/>
      <c r="CO21" s="94"/>
      <c r="CP21" s="94"/>
      <c r="CQ21" s="94"/>
      <c r="CR21" s="94"/>
      <c r="CS21" s="94"/>
      <c r="CT21" s="94"/>
      <c r="CU21" s="94"/>
      <c r="CV21" s="94"/>
      <c r="CW21" s="421"/>
      <c r="CX21" s="421"/>
      <c r="CY21" s="421"/>
      <c r="CZ21" s="421"/>
      <c r="DA21" s="421"/>
      <c r="DB21" s="421"/>
      <c r="DC21" s="421"/>
      <c r="DD21" s="421"/>
      <c r="DE21" s="421"/>
      <c r="DF21" s="421"/>
      <c r="DG21" s="421"/>
      <c r="DH21" s="421"/>
      <c r="DI21" s="421"/>
      <c r="DJ21" s="421"/>
      <c r="DK21" s="421"/>
      <c r="DL21" s="421"/>
      <c r="DM21" s="421"/>
      <c r="DN21" s="421"/>
      <c r="DO21" s="421"/>
      <c r="DP21" s="421"/>
      <c r="DQ21" s="421"/>
      <c r="DR21" s="421"/>
      <c r="DS21" s="421"/>
      <c r="DT21" s="421"/>
      <c r="DU21" s="421"/>
      <c r="DV21" s="447"/>
      <c r="DW21" s="447"/>
      <c r="DX21" s="447"/>
      <c r="DY21" s="447"/>
      <c r="DZ21" s="447"/>
      <c r="EA21" s="447"/>
      <c r="EB21" s="447"/>
      <c r="EC21" s="447"/>
      <c r="ED21" s="447"/>
      <c r="EE21" s="447"/>
      <c r="EF21" s="447"/>
      <c r="EG21" s="447"/>
      <c r="EH21" s="447"/>
      <c r="EI21" s="447"/>
      <c r="EJ21" s="447"/>
    </row>
    <row r="22" spans="1:140" s="106" customFormat="1" ht="17.25" customHeight="1" x14ac:dyDescent="0.3">
      <c r="A22" s="444" t="s">
        <v>978</v>
      </c>
      <c r="B22" s="445">
        <v>3.2826279999999999</v>
      </c>
      <c r="C22" s="446">
        <v>3.314241</v>
      </c>
      <c r="D22" s="446">
        <v>3000.9265999999998</v>
      </c>
      <c r="E22" s="446">
        <v>1700.6814320000001</v>
      </c>
      <c r="F22" s="446">
        <v>699.75814700000001</v>
      </c>
      <c r="G22" s="446">
        <v>2000.7242080000001</v>
      </c>
      <c r="H22" s="446">
        <v>2.2690159999999997</v>
      </c>
      <c r="I22" s="446">
        <v>1341.8492100000001</v>
      </c>
      <c r="J22" s="446">
        <v>5128.4740229999998</v>
      </c>
      <c r="K22" s="446">
        <v>5128.1453949999996</v>
      </c>
      <c r="L22" s="446">
        <v>5128.4205029999994</v>
      </c>
      <c r="M22" s="446">
        <v>3601.2955139999999</v>
      </c>
      <c r="N22" s="446">
        <v>4300.9844399999993</v>
      </c>
      <c r="O22" s="446">
        <v>5521.2657589999999</v>
      </c>
      <c r="P22" s="446">
        <v>5115.5879569999997</v>
      </c>
      <c r="Q22" s="446">
        <v>5270.8159759999999</v>
      </c>
      <c r="R22" s="446">
        <v>6179.4558196098806</v>
      </c>
      <c r="S22" s="446">
        <v>7369.3783779999994</v>
      </c>
      <c r="T22" s="446">
        <v>7978.472409</v>
      </c>
      <c r="U22" s="446">
        <v>7701.2890559999996</v>
      </c>
      <c r="V22" s="446">
        <v>6808.9861029999993</v>
      </c>
      <c r="W22" s="446">
        <v>6824.6997160000001</v>
      </c>
      <c r="X22" s="446">
        <v>6832.397766</v>
      </c>
      <c r="Y22" s="446">
        <v>5539.7681860000002</v>
      </c>
      <c r="Z22" s="446">
        <v>5990.9276864899994</v>
      </c>
      <c r="AA22" s="446">
        <v>5995.4285614899991</v>
      </c>
      <c r="AB22" s="446">
        <v>5880.2209123899993</v>
      </c>
      <c r="AC22" s="446">
        <v>5617.2358228100002</v>
      </c>
      <c r="AD22" s="446">
        <v>4989.6683796699999</v>
      </c>
      <c r="AE22" s="446">
        <v>4898.3141219799991</v>
      </c>
      <c r="AF22" s="446">
        <v>4786.2925804499992</v>
      </c>
      <c r="AG22" s="446">
        <v>4084.3136649999997</v>
      </c>
      <c r="AH22" s="446">
        <v>4135.2781543399997</v>
      </c>
      <c r="AI22" s="446">
        <v>3748.6611679099997</v>
      </c>
      <c r="AJ22" s="446">
        <v>3939.5502778099994</v>
      </c>
      <c r="AK22" s="446">
        <v>3916.3288048000004</v>
      </c>
      <c r="AL22" s="446">
        <v>6237.8790290799998</v>
      </c>
      <c r="AM22" s="446">
        <v>5751.6014539199996</v>
      </c>
      <c r="AN22" s="420">
        <v>7353.9181042099999</v>
      </c>
      <c r="AO22" s="420">
        <v>8080.8819250000006</v>
      </c>
      <c r="AP22" s="420">
        <v>9281.3911049365797</v>
      </c>
      <c r="AQ22" s="420">
        <v>10206.952514282129</v>
      </c>
      <c r="AR22" s="420">
        <v>9940.5944312645825</v>
      </c>
      <c r="AS22" s="420">
        <v>11624.223345592512</v>
      </c>
      <c r="AT22" s="420">
        <v>11740.110552437664</v>
      </c>
      <c r="AU22" s="420">
        <v>11509.382800492676</v>
      </c>
      <c r="AV22" s="420">
        <v>11328.958581691428</v>
      </c>
      <c r="AW22" s="420">
        <v>10796.401029955146</v>
      </c>
      <c r="AX22" s="420">
        <v>13159.013579677081</v>
      </c>
      <c r="AY22" s="420">
        <v>13223.361749880189</v>
      </c>
      <c r="AZ22" s="420">
        <v>15184.032388133219</v>
      </c>
      <c r="BA22" s="420">
        <v>15739.714602155935</v>
      </c>
      <c r="BB22" s="420">
        <v>17279.760604020215</v>
      </c>
      <c r="BC22" s="420">
        <v>17166.046600573485</v>
      </c>
      <c r="BD22" s="420">
        <v>15862.505260847705</v>
      </c>
      <c r="BE22" s="420">
        <v>14261.453276729397</v>
      </c>
      <c r="BF22" s="420">
        <v>13025.65777052753</v>
      </c>
      <c r="BG22" s="420">
        <v>13481.572108107228</v>
      </c>
      <c r="BH22" s="420">
        <v>17057.069495664175</v>
      </c>
      <c r="BI22" s="420">
        <v>17351.425600456736</v>
      </c>
      <c r="BJ22" s="420">
        <v>14907.784388520955</v>
      </c>
      <c r="BK22" s="420">
        <v>14474.276758258571</v>
      </c>
      <c r="BL22" s="420">
        <v>14541.500017705517</v>
      </c>
      <c r="BM22" s="420">
        <v>14564.219112819235</v>
      </c>
      <c r="BN22" s="420">
        <v>20095.352897952424</v>
      </c>
      <c r="BO22" s="420">
        <v>24623.980044687807</v>
      </c>
      <c r="BP22" s="419">
        <v>26273.529903376031</v>
      </c>
      <c r="BQ22" s="419">
        <v>28800.780641014939</v>
      </c>
      <c r="BR22" s="419">
        <v>28591.220205598358</v>
      </c>
      <c r="BS22" s="419">
        <v>28187.013239747881</v>
      </c>
      <c r="BT22" s="419">
        <v>27327.05551032706</v>
      </c>
      <c r="BU22" s="419">
        <v>26747.791496216349</v>
      </c>
      <c r="BV22" s="419">
        <v>29223.358555339888</v>
      </c>
      <c r="BW22" s="419">
        <v>30337.122140116731</v>
      </c>
      <c r="BX22" s="419">
        <v>31830.399108388759</v>
      </c>
      <c r="BY22" s="419">
        <v>31539.297200289788</v>
      </c>
      <c r="BZ22" s="419">
        <v>30592.244601761035</v>
      </c>
      <c r="CA22" s="419">
        <v>35387.9123833372</v>
      </c>
      <c r="CB22" s="419">
        <v>34420.2719087601</v>
      </c>
      <c r="CC22" s="419">
        <v>32956.422640497112</v>
      </c>
      <c r="CD22" s="419">
        <v>33638.82779749317</v>
      </c>
      <c r="CE22" s="419">
        <v>33138.406274363457</v>
      </c>
      <c r="CF22" s="419">
        <v>32949.286952276583</v>
      </c>
      <c r="CG22" s="419">
        <v>33624.034285055066</v>
      </c>
      <c r="CH22" s="94">
        <v>36307.833333464827</v>
      </c>
      <c r="CI22" s="94">
        <v>36718.130081654352</v>
      </c>
      <c r="CJ22" s="94">
        <v>36503.149052397901</v>
      </c>
      <c r="CK22" s="94">
        <v>33916.381787532868</v>
      </c>
      <c r="CL22" s="94">
        <v>37892.665699934689</v>
      </c>
      <c r="CM22" s="94">
        <v>43635.168655418565</v>
      </c>
      <c r="CN22" s="94">
        <v>48687.233252453385</v>
      </c>
      <c r="CO22" s="94">
        <v>53438.932297255611</v>
      </c>
      <c r="CP22" s="94">
        <v>53260.93385431941</v>
      </c>
      <c r="CQ22" s="94">
        <v>53828.564905212537</v>
      </c>
      <c r="CR22" s="94">
        <v>52561.939875595359</v>
      </c>
      <c r="CS22" s="94">
        <v>53960.561558401583</v>
      </c>
      <c r="CT22" s="94">
        <v>57371.319973997714</v>
      </c>
      <c r="CU22" s="94">
        <v>63933.725537676575</v>
      </c>
      <c r="CV22" s="94">
        <v>65899.621253774487</v>
      </c>
      <c r="CW22" s="421">
        <v>66652.838774607444</v>
      </c>
      <c r="CX22" s="421">
        <v>69365.085013525837</v>
      </c>
      <c r="CY22" s="421">
        <v>65469.404282914693</v>
      </c>
      <c r="CZ22" s="421">
        <v>63788.891137158484</v>
      </c>
      <c r="DA22" s="421">
        <v>60755.60822587939</v>
      </c>
      <c r="DB22" s="421">
        <v>64454.882017000666</v>
      </c>
      <c r="DC22" s="421">
        <v>63676.396758006005</v>
      </c>
      <c r="DD22" s="421">
        <v>60592.526197815045</v>
      </c>
      <c r="DE22" s="421">
        <v>63233.06880581945</v>
      </c>
      <c r="DF22" s="421">
        <v>62516.477372044028</v>
      </c>
      <c r="DG22" s="421">
        <v>61797.009957016468</v>
      </c>
      <c r="DH22" s="421">
        <v>63318.867177285014</v>
      </c>
      <c r="DI22" s="421">
        <v>63771.333757470129</v>
      </c>
      <c r="DJ22" s="421">
        <v>64426.440162364248</v>
      </c>
      <c r="DK22" s="421">
        <v>76700.99095239758</v>
      </c>
      <c r="DL22" s="421">
        <v>74967.426014028344</v>
      </c>
      <c r="DM22" s="421">
        <v>75475.974871425249</v>
      </c>
      <c r="DN22" s="421">
        <v>78692.206834001801</v>
      </c>
      <c r="DO22" s="421">
        <v>80885.764189503287</v>
      </c>
      <c r="DP22" s="421">
        <v>77495.582386649898</v>
      </c>
      <c r="DQ22" s="421">
        <v>76629.925167072739</v>
      </c>
      <c r="DR22" s="421">
        <v>89443.711316648827</v>
      </c>
      <c r="DS22" s="421">
        <v>88535.124625788143</v>
      </c>
      <c r="DT22" s="421">
        <v>84495.173491069349</v>
      </c>
      <c r="DU22" s="421">
        <v>75361.281827836152</v>
      </c>
      <c r="DV22" s="447">
        <v>61075.76986333853</v>
      </c>
      <c r="DW22" s="447">
        <v>58199.919143826235</v>
      </c>
      <c r="DX22" s="447">
        <v>64926.502875705461</v>
      </c>
      <c r="DY22" s="447">
        <v>77121.261890462236</v>
      </c>
      <c r="DZ22" s="447">
        <v>89771.403987248559</v>
      </c>
      <c r="EA22" s="447">
        <v>84084.923196204007</v>
      </c>
      <c r="EB22" s="447">
        <v>82860.064102877906</v>
      </c>
      <c r="EC22" s="447">
        <v>88741.051674615504</v>
      </c>
      <c r="ED22" s="447">
        <v>87295.214947268425</v>
      </c>
      <c r="EE22" s="447">
        <v>86146.635283111944</v>
      </c>
      <c r="EF22" s="447">
        <v>82686.250383824736</v>
      </c>
      <c r="EG22" s="447">
        <v>98528.056534798539</v>
      </c>
      <c r="EH22" s="447">
        <v>97771.813226170343</v>
      </c>
      <c r="EI22" s="447">
        <v>87610.56793724648</v>
      </c>
      <c r="EJ22" s="447">
        <v>91425.968498712289</v>
      </c>
    </row>
    <row r="23" spans="1:140" s="106" customFormat="1" ht="17.25" customHeight="1" x14ac:dyDescent="0.3">
      <c r="A23" s="444"/>
      <c r="B23" s="445"/>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20"/>
      <c r="AO23" s="420"/>
      <c r="AP23" s="420"/>
      <c r="AQ23" s="420"/>
      <c r="AR23" s="420"/>
      <c r="AS23" s="420"/>
      <c r="AT23" s="420"/>
      <c r="AU23" s="420"/>
      <c r="AV23" s="420"/>
      <c r="AW23" s="420"/>
      <c r="AX23" s="420"/>
      <c r="AY23" s="420"/>
      <c r="AZ23" s="420"/>
      <c r="BA23" s="420"/>
      <c r="BB23" s="420"/>
      <c r="BC23" s="420"/>
      <c r="BD23" s="420"/>
      <c r="BE23" s="420"/>
      <c r="BF23" s="420"/>
      <c r="BG23" s="420"/>
      <c r="BH23" s="420"/>
      <c r="BI23" s="420"/>
      <c r="BJ23" s="420"/>
      <c r="BK23" s="420"/>
      <c r="BL23" s="420"/>
      <c r="BM23" s="420"/>
      <c r="BN23" s="420"/>
      <c r="BO23" s="420"/>
      <c r="BP23" s="419"/>
      <c r="BQ23" s="419"/>
      <c r="BR23" s="419"/>
      <c r="BS23" s="419"/>
      <c r="BT23" s="419"/>
      <c r="BU23" s="419"/>
      <c r="BV23" s="419"/>
      <c r="BW23" s="419"/>
      <c r="BX23" s="419"/>
      <c r="BY23" s="419"/>
      <c r="BZ23" s="419"/>
      <c r="CA23" s="419"/>
      <c r="CB23" s="419"/>
      <c r="CC23" s="419"/>
      <c r="CD23" s="419"/>
      <c r="CE23" s="419"/>
      <c r="CF23" s="419"/>
      <c r="CG23" s="419"/>
      <c r="CH23" s="94"/>
      <c r="CI23" s="94"/>
      <c r="CJ23" s="94"/>
      <c r="CK23" s="94"/>
      <c r="CL23" s="94"/>
      <c r="CM23" s="94"/>
      <c r="CN23" s="94"/>
      <c r="CO23" s="94"/>
      <c r="CP23" s="94"/>
      <c r="CQ23" s="94"/>
      <c r="CR23" s="94"/>
      <c r="CS23" s="94"/>
      <c r="CT23" s="94"/>
      <c r="CU23" s="94"/>
      <c r="CV23" s="94"/>
      <c r="CW23" s="421"/>
      <c r="CX23" s="421"/>
      <c r="CY23" s="421"/>
      <c r="CZ23" s="421"/>
      <c r="DA23" s="421"/>
      <c r="DB23" s="421"/>
      <c r="DC23" s="421"/>
      <c r="DD23" s="421"/>
      <c r="DE23" s="421"/>
      <c r="DF23" s="421"/>
      <c r="DG23" s="421"/>
      <c r="DH23" s="421"/>
      <c r="DI23" s="421"/>
      <c r="DJ23" s="421"/>
      <c r="DK23" s="421"/>
      <c r="DL23" s="421"/>
      <c r="DM23" s="421"/>
      <c r="DN23" s="421"/>
      <c r="DO23" s="421"/>
      <c r="DP23" s="421"/>
      <c r="DQ23" s="421"/>
      <c r="DR23" s="421"/>
      <c r="DS23" s="421"/>
      <c r="DT23" s="421"/>
      <c r="DU23" s="421"/>
      <c r="DV23" s="447"/>
      <c r="DW23" s="447"/>
      <c r="DX23" s="447"/>
      <c r="DY23" s="447"/>
      <c r="DZ23" s="447"/>
      <c r="EA23" s="447"/>
      <c r="EB23" s="447"/>
      <c r="EC23" s="447"/>
      <c r="ED23" s="447"/>
      <c r="EE23" s="447"/>
      <c r="EF23" s="447"/>
      <c r="EG23" s="447"/>
      <c r="EH23" s="447"/>
      <c r="EI23" s="447"/>
      <c r="EJ23" s="447"/>
    </row>
    <row r="24" spans="1:140" s="106" customFormat="1" ht="33" x14ac:dyDescent="0.3">
      <c r="A24" s="459" t="s">
        <v>979</v>
      </c>
      <c r="B24" s="460">
        <v>62.003889999999998</v>
      </c>
      <c r="C24" s="461">
        <v>61.993389999999998</v>
      </c>
      <c r="D24" s="461">
        <v>61.99539</v>
      </c>
      <c r="E24" s="461">
        <v>61.996389999999998</v>
      </c>
      <c r="F24" s="461">
        <v>61.997389999999996</v>
      </c>
      <c r="G24" s="461">
        <v>61.998390000000001</v>
      </c>
      <c r="H24" s="461">
        <v>61.998390000000001</v>
      </c>
      <c r="I24" s="461">
        <v>365.74938999999989</v>
      </c>
      <c r="J24" s="461">
        <v>564.16185600000006</v>
      </c>
      <c r="K24" s="461">
        <v>564.16185600000006</v>
      </c>
      <c r="L24" s="461">
        <v>564.16385600000012</v>
      </c>
      <c r="M24" s="461">
        <v>539.38260600000012</v>
      </c>
      <c r="N24" s="461">
        <v>584.35972200000015</v>
      </c>
      <c r="O24" s="461">
        <v>625.02647699999989</v>
      </c>
      <c r="P24" s="461">
        <v>771.01945599999976</v>
      </c>
      <c r="Q24" s="461">
        <v>822.30668399999968</v>
      </c>
      <c r="R24" s="461">
        <v>1030.0437029999998</v>
      </c>
      <c r="S24" s="461">
        <v>1180.2707249999999</v>
      </c>
      <c r="T24" s="461">
        <v>1489.618299</v>
      </c>
      <c r="U24" s="461">
        <v>1414.4254760000001</v>
      </c>
      <c r="V24" s="461">
        <v>1165.8708319999998</v>
      </c>
      <c r="W24" s="461">
        <v>1215.9723699999997</v>
      </c>
      <c r="X24" s="461">
        <v>1142.846683</v>
      </c>
      <c r="Y24" s="461">
        <v>1042.3699159999999</v>
      </c>
      <c r="Z24" s="461">
        <v>1055.4824745000003</v>
      </c>
      <c r="AA24" s="461">
        <v>1056.08550081</v>
      </c>
      <c r="AB24" s="461">
        <v>1056.3749241800003</v>
      </c>
      <c r="AC24" s="461">
        <v>1032.7223669999998</v>
      </c>
      <c r="AD24" s="461">
        <v>883.49187033999988</v>
      </c>
      <c r="AE24" s="461">
        <v>897.48951968999984</v>
      </c>
      <c r="AF24" s="461">
        <v>948.03980369000033</v>
      </c>
      <c r="AG24" s="461">
        <v>852.04202469379311</v>
      </c>
      <c r="AH24" s="461">
        <v>796.88497510000002</v>
      </c>
      <c r="AI24" s="461">
        <v>695.16119835999996</v>
      </c>
      <c r="AJ24" s="461">
        <v>770.52139621000003</v>
      </c>
      <c r="AK24" s="461">
        <v>928.79317839999987</v>
      </c>
      <c r="AL24" s="461">
        <v>1204.50673351</v>
      </c>
      <c r="AM24" s="461">
        <v>1283.43921004</v>
      </c>
      <c r="AN24" s="462">
        <v>2368.5927790199994</v>
      </c>
      <c r="AO24" s="462">
        <v>2652.2967140000001</v>
      </c>
      <c r="AP24" s="462">
        <v>2897.2</v>
      </c>
      <c r="AQ24" s="462">
        <v>2852.3153352041854</v>
      </c>
      <c r="AR24" s="462">
        <v>2682.8354653116812</v>
      </c>
      <c r="AS24" s="462">
        <v>3063.3478014889333</v>
      </c>
      <c r="AT24" s="462">
        <v>2729.3527674435081</v>
      </c>
      <c r="AU24" s="462">
        <v>2678.7561026442336</v>
      </c>
      <c r="AV24" s="462">
        <v>2640.4448789370972</v>
      </c>
      <c r="AW24" s="462">
        <v>1887.1354017441981</v>
      </c>
      <c r="AX24" s="462">
        <v>1635.1679341341976</v>
      </c>
      <c r="AY24" s="462">
        <v>1584.4839756264835</v>
      </c>
      <c r="AZ24" s="462">
        <v>1692.5927042698993</v>
      </c>
      <c r="BA24" s="462">
        <v>1601.133600801779</v>
      </c>
      <c r="BB24" s="462">
        <v>2004.7795418424303</v>
      </c>
      <c r="BC24" s="462">
        <v>1965.2278182202012</v>
      </c>
      <c r="BD24" s="462">
        <v>1990.9708004348461</v>
      </c>
      <c r="BE24" s="462">
        <v>1904.623644527418</v>
      </c>
      <c r="BF24" s="462">
        <v>1872.8621347535982</v>
      </c>
      <c r="BG24" s="462">
        <v>1868.8457237385533</v>
      </c>
      <c r="BH24" s="462">
        <v>1992.8949979506597</v>
      </c>
      <c r="BI24" s="462">
        <v>2036.8401614148479</v>
      </c>
      <c r="BJ24" s="462">
        <v>3163.4087173554772</v>
      </c>
      <c r="BK24" s="462">
        <v>3189.5570864907531</v>
      </c>
      <c r="BL24" s="462">
        <v>3087.5193163272429</v>
      </c>
      <c r="BM24" s="462">
        <v>2252.1271572449555</v>
      </c>
      <c r="BN24" s="462">
        <v>2115.4813792711375</v>
      </c>
      <c r="BO24" s="462">
        <v>2053.7785681039545</v>
      </c>
      <c r="BP24" s="463">
        <v>2351.4267905635106</v>
      </c>
      <c r="BQ24" s="463">
        <v>2881.8421720452147</v>
      </c>
      <c r="BR24" s="463">
        <v>2827.7135135511971</v>
      </c>
      <c r="BS24" s="463">
        <v>2674.7453078037406</v>
      </c>
      <c r="BT24" s="463">
        <v>2879.2245253702672</v>
      </c>
      <c r="BU24" s="463">
        <v>3082.7616996985466</v>
      </c>
      <c r="BV24" s="463">
        <v>3002.8336862852648</v>
      </c>
      <c r="BW24" s="463">
        <v>3553.0095211976054</v>
      </c>
      <c r="BX24" s="463">
        <v>3796.6493733561715</v>
      </c>
      <c r="BY24" s="463">
        <v>3877.8923844726455</v>
      </c>
      <c r="BZ24" s="463">
        <v>3776.5475284371455</v>
      </c>
      <c r="CA24" s="463">
        <v>3921.37763678393</v>
      </c>
      <c r="CB24" s="463">
        <v>3996.8846477329948</v>
      </c>
      <c r="CC24" s="463">
        <v>3937.4150962567983</v>
      </c>
      <c r="CD24" s="463">
        <v>4036.0437042756007</v>
      </c>
      <c r="CE24" s="463">
        <v>4036.6767863762652</v>
      </c>
      <c r="CF24" s="463">
        <v>4037.2894464780102</v>
      </c>
      <c r="CG24" s="463">
        <v>4150.5624026704781</v>
      </c>
      <c r="CH24" s="107">
        <v>3973.7259169115091</v>
      </c>
      <c r="CI24" s="107">
        <v>4169.6383900958881</v>
      </c>
      <c r="CJ24" s="107">
        <v>4279.9567608364268</v>
      </c>
      <c r="CK24" s="107">
        <v>4234.3992616630085</v>
      </c>
      <c r="CL24" s="107">
        <v>4143.4610001324409</v>
      </c>
      <c r="CM24" s="107">
        <v>5013.3924183567851</v>
      </c>
      <c r="CN24" s="107">
        <v>5463.6946131440645</v>
      </c>
      <c r="CO24" s="107">
        <v>5069.1453780732763</v>
      </c>
      <c r="CP24" s="107">
        <v>5040.4052785471713</v>
      </c>
      <c r="CQ24" s="107">
        <v>5768.8226191048252</v>
      </c>
      <c r="CR24" s="107">
        <v>5767.0298593663128</v>
      </c>
      <c r="CS24" s="107">
        <v>5548.0922221127257</v>
      </c>
      <c r="CT24" s="107">
        <v>5572.8027788044692</v>
      </c>
      <c r="CU24" s="107">
        <v>7472.1979214217899</v>
      </c>
      <c r="CV24" s="107">
        <v>12653.440833176315</v>
      </c>
      <c r="CW24" s="108">
        <v>15569.217920907273</v>
      </c>
      <c r="CX24" s="108">
        <v>17535.39787355217</v>
      </c>
      <c r="CY24" s="108">
        <v>18316.197556227438</v>
      </c>
      <c r="CZ24" s="108">
        <v>19948.690892076684</v>
      </c>
      <c r="DA24" s="108">
        <v>19081.079615053666</v>
      </c>
      <c r="DB24" s="108">
        <v>20417.455395741927</v>
      </c>
      <c r="DC24" s="108">
        <v>20934.80233802833</v>
      </c>
      <c r="DD24" s="108">
        <v>20322.126918436872</v>
      </c>
      <c r="DE24" s="108">
        <v>21958.826736582279</v>
      </c>
      <c r="DF24" s="108">
        <v>21909.354488168483</v>
      </c>
      <c r="DG24" s="108">
        <v>23307.556695132324</v>
      </c>
      <c r="DH24" s="108">
        <v>24887.761968793307</v>
      </c>
      <c r="DI24" s="108">
        <v>25206.048890188154</v>
      </c>
      <c r="DJ24" s="108">
        <v>24963.192136737729</v>
      </c>
      <c r="DK24" s="108">
        <v>27041.766127601539</v>
      </c>
      <c r="DL24" s="108">
        <v>27209.929716588522</v>
      </c>
      <c r="DM24" s="108">
        <v>27118.46439988527</v>
      </c>
      <c r="DN24" s="108">
        <v>26404.771621204462</v>
      </c>
      <c r="DO24" s="108">
        <v>26854.280393734403</v>
      </c>
      <c r="DP24" s="108">
        <v>26509.72901700341</v>
      </c>
      <c r="DQ24" s="108">
        <v>26881.838433766399</v>
      </c>
      <c r="DR24" s="108">
        <v>26918.334884899468</v>
      </c>
      <c r="DS24" s="108">
        <v>24695.346084541266</v>
      </c>
      <c r="DT24" s="108">
        <v>23483.824692072587</v>
      </c>
      <c r="DU24" s="108">
        <v>22248.988200196385</v>
      </c>
      <c r="DV24" s="464">
        <v>19328.726773379341</v>
      </c>
      <c r="DW24" s="464">
        <v>19411.17055235989</v>
      </c>
      <c r="DX24" s="464">
        <v>20161.207031202292</v>
      </c>
      <c r="DY24" s="464">
        <v>19939.133964654444</v>
      </c>
      <c r="DZ24" s="464">
        <v>20526.096078002556</v>
      </c>
      <c r="EA24" s="464">
        <v>23103.481393427915</v>
      </c>
      <c r="EB24" s="464">
        <v>23522.011055405441</v>
      </c>
      <c r="EC24" s="464">
        <v>22009.865050959888</v>
      </c>
      <c r="ED24" s="464">
        <v>22718.712076230393</v>
      </c>
      <c r="EE24" s="464">
        <v>22106.757216745511</v>
      </c>
      <c r="EF24" s="464">
        <v>18154.138401021097</v>
      </c>
      <c r="EG24" s="464">
        <v>15916.198179757492</v>
      </c>
      <c r="EH24" s="464">
        <v>15517.19735994722</v>
      </c>
      <c r="EI24" s="464">
        <v>15854.285722143215</v>
      </c>
      <c r="EJ24" s="464">
        <v>15422.514910491973</v>
      </c>
    </row>
    <row r="25" spans="1:140" s="106" customFormat="1" ht="17.25" customHeight="1" x14ac:dyDescent="0.3">
      <c r="A25" s="448" t="s">
        <v>980</v>
      </c>
      <c r="B25" s="449">
        <v>0</v>
      </c>
      <c r="C25" s="450">
        <v>0</v>
      </c>
      <c r="D25" s="450">
        <v>0</v>
      </c>
      <c r="E25" s="450">
        <v>0</v>
      </c>
      <c r="F25" s="450">
        <v>0</v>
      </c>
      <c r="G25" s="450">
        <v>0</v>
      </c>
      <c r="H25" s="450">
        <v>0</v>
      </c>
      <c r="I25" s="450">
        <v>0</v>
      </c>
      <c r="J25" s="450">
        <v>0</v>
      </c>
      <c r="K25" s="450">
        <v>0</v>
      </c>
      <c r="L25" s="450">
        <v>0</v>
      </c>
      <c r="M25" s="450">
        <v>0</v>
      </c>
      <c r="N25" s="450">
        <v>0</v>
      </c>
      <c r="O25" s="450">
        <v>0</v>
      </c>
      <c r="P25" s="450">
        <v>0</v>
      </c>
      <c r="Q25" s="450">
        <v>0</v>
      </c>
      <c r="R25" s="450">
        <v>0</v>
      </c>
      <c r="S25" s="450">
        <v>0</v>
      </c>
      <c r="T25" s="450">
        <v>0</v>
      </c>
      <c r="U25" s="450">
        <v>0</v>
      </c>
      <c r="V25" s="450">
        <v>0</v>
      </c>
      <c r="W25" s="450">
        <v>0</v>
      </c>
      <c r="X25" s="450">
        <v>0</v>
      </c>
      <c r="Y25" s="450">
        <v>0</v>
      </c>
      <c r="Z25" s="450">
        <v>0</v>
      </c>
      <c r="AA25" s="450">
        <v>0</v>
      </c>
      <c r="AB25" s="450">
        <v>0</v>
      </c>
      <c r="AC25" s="450">
        <v>0</v>
      </c>
      <c r="AD25" s="450">
        <v>0</v>
      </c>
      <c r="AE25" s="450">
        <v>0</v>
      </c>
      <c r="AF25" s="450">
        <v>0</v>
      </c>
      <c r="AG25" s="450">
        <v>0</v>
      </c>
      <c r="AH25" s="450">
        <v>0</v>
      </c>
      <c r="AI25" s="450">
        <v>0</v>
      </c>
      <c r="AJ25" s="450">
        <v>0</v>
      </c>
      <c r="AK25" s="450">
        <v>0</v>
      </c>
      <c r="AL25" s="450">
        <v>0</v>
      </c>
      <c r="AM25" s="450">
        <v>0</v>
      </c>
      <c r="AN25" s="426">
        <v>0</v>
      </c>
      <c r="AO25" s="426">
        <v>0</v>
      </c>
      <c r="AP25" s="426">
        <v>0</v>
      </c>
      <c r="AQ25" s="426">
        <v>0</v>
      </c>
      <c r="AR25" s="426">
        <v>0</v>
      </c>
      <c r="AS25" s="426">
        <v>0</v>
      </c>
      <c r="AT25" s="426">
        <v>0</v>
      </c>
      <c r="AU25" s="426">
        <v>0</v>
      </c>
      <c r="AV25" s="426">
        <v>0</v>
      </c>
      <c r="AW25" s="426">
        <v>0</v>
      </c>
      <c r="AX25" s="426">
        <v>0</v>
      </c>
      <c r="AY25" s="426">
        <v>0</v>
      </c>
      <c r="AZ25" s="426">
        <v>0</v>
      </c>
      <c r="BA25" s="426">
        <v>0</v>
      </c>
      <c r="BB25" s="426">
        <v>0</v>
      </c>
      <c r="BC25" s="426">
        <v>0</v>
      </c>
      <c r="BD25" s="426">
        <v>0</v>
      </c>
      <c r="BE25" s="426">
        <v>0</v>
      </c>
      <c r="BF25" s="426">
        <v>0</v>
      </c>
      <c r="BG25" s="426">
        <v>0</v>
      </c>
      <c r="BH25" s="426">
        <v>0</v>
      </c>
      <c r="BI25" s="426">
        <v>0</v>
      </c>
      <c r="BJ25" s="426">
        <v>0</v>
      </c>
      <c r="BK25" s="426">
        <v>0</v>
      </c>
      <c r="BL25" s="426">
        <v>0</v>
      </c>
      <c r="BM25" s="426">
        <v>0</v>
      </c>
      <c r="BN25" s="426">
        <v>0</v>
      </c>
      <c r="BO25" s="426">
        <v>0</v>
      </c>
      <c r="BP25" s="425">
        <v>0</v>
      </c>
      <c r="BQ25" s="425">
        <v>0</v>
      </c>
      <c r="BR25" s="425">
        <v>0</v>
      </c>
      <c r="BS25" s="425">
        <v>0</v>
      </c>
      <c r="BT25" s="425">
        <v>0</v>
      </c>
      <c r="BU25" s="425">
        <v>0</v>
      </c>
      <c r="BV25" s="425">
        <v>0</v>
      </c>
      <c r="BW25" s="425">
        <v>0</v>
      </c>
      <c r="BX25" s="425">
        <v>0</v>
      </c>
      <c r="BY25" s="425">
        <v>0</v>
      </c>
      <c r="BZ25" s="425">
        <v>0</v>
      </c>
      <c r="CA25" s="425">
        <v>0</v>
      </c>
      <c r="CB25" s="425">
        <v>0</v>
      </c>
      <c r="CC25" s="425">
        <v>0</v>
      </c>
      <c r="CD25" s="425">
        <v>0</v>
      </c>
      <c r="CE25" s="425">
        <v>0</v>
      </c>
      <c r="CF25" s="425">
        <v>0</v>
      </c>
      <c r="CG25" s="425">
        <v>0</v>
      </c>
      <c r="CH25" s="96">
        <v>0</v>
      </c>
      <c r="CI25" s="96">
        <v>0</v>
      </c>
      <c r="CJ25" s="96">
        <v>0</v>
      </c>
      <c r="CK25" s="96">
        <v>0</v>
      </c>
      <c r="CL25" s="96">
        <v>0</v>
      </c>
      <c r="CM25" s="96">
        <v>0</v>
      </c>
      <c r="CN25" s="96">
        <v>0</v>
      </c>
      <c r="CO25" s="96">
        <v>0</v>
      </c>
      <c r="CP25" s="96">
        <v>0</v>
      </c>
      <c r="CQ25" s="96">
        <v>0</v>
      </c>
      <c r="CR25" s="96">
        <v>0</v>
      </c>
      <c r="CS25" s="96">
        <v>0</v>
      </c>
      <c r="CT25" s="96">
        <v>0</v>
      </c>
      <c r="CU25" s="96">
        <v>0</v>
      </c>
      <c r="CV25" s="96">
        <v>0</v>
      </c>
      <c r="CW25" s="427">
        <v>0</v>
      </c>
      <c r="CX25" s="427">
        <v>0</v>
      </c>
      <c r="CY25" s="427">
        <v>0</v>
      </c>
      <c r="CZ25" s="427">
        <v>0</v>
      </c>
      <c r="DA25" s="427">
        <v>0</v>
      </c>
      <c r="DB25" s="427">
        <v>0</v>
      </c>
      <c r="DC25" s="427">
        <v>0</v>
      </c>
      <c r="DD25" s="427">
        <v>0</v>
      </c>
      <c r="DE25" s="427">
        <v>0</v>
      </c>
      <c r="DF25" s="427">
        <v>0</v>
      </c>
      <c r="DG25" s="427">
        <v>0</v>
      </c>
      <c r="DH25" s="427">
        <v>0</v>
      </c>
      <c r="DI25" s="427">
        <v>0</v>
      </c>
      <c r="DJ25" s="427">
        <v>0</v>
      </c>
      <c r="DK25" s="427">
        <v>0</v>
      </c>
      <c r="DL25" s="427">
        <v>0</v>
      </c>
      <c r="DM25" s="427">
        <v>0</v>
      </c>
      <c r="DN25" s="427">
        <v>0</v>
      </c>
      <c r="DO25" s="427">
        <v>0</v>
      </c>
      <c r="DP25" s="427">
        <v>0</v>
      </c>
      <c r="DQ25" s="427">
        <v>0</v>
      </c>
      <c r="DR25" s="427">
        <v>0</v>
      </c>
      <c r="DS25" s="427">
        <v>0</v>
      </c>
      <c r="DT25" s="427">
        <v>0</v>
      </c>
      <c r="DU25" s="427">
        <v>0</v>
      </c>
      <c r="DV25" s="451">
        <v>0</v>
      </c>
      <c r="DW25" s="451">
        <v>0</v>
      </c>
      <c r="DX25" s="451">
        <v>0</v>
      </c>
      <c r="DY25" s="451">
        <v>0</v>
      </c>
      <c r="DZ25" s="451">
        <v>0</v>
      </c>
      <c r="EA25" s="451">
        <v>0</v>
      </c>
      <c r="EB25" s="451">
        <v>0</v>
      </c>
      <c r="EC25" s="451">
        <v>0</v>
      </c>
      <c r="ED25" s="451">
        <v>0</v>
      </c>
      <c r="EE25" s="451">
        <v>0</v>
      </c>
      <c r="EF25" s="451">
        <v>0</v>
      </c>
      <c r="EG25" s="451">
        <v>0</v>
      </c>
      <c r="EH25" s="451">
        <v>0</v>
      </c>
      <c r="EI25" s="451">
        <v>0</v>
      </c>
      <c r="EJ25" s="451">
        <v>0</v>
      </c>
    </row>
    <row r="26" spans="1:140" s="106" customFormat="1" ht="17.25" customHeight="1" x14ac:dyDescent="0.3">
      <c r="A26" s="448" t="s">
        <v>981</v>
      </c>
      <c r="B26" s="449">
        <v>0</v>
      </c>
      <c r="C26" s="450">
        <v>0</v>
      </c>
      <c r="D26" s="450">
        <v>0</v>
      </c>
      <c r="E26" s="450">
        <v>0</v>
      </c>
      <c r="F26" s="450">
        <v>0</v>
      </c>
      <c r="G26" s="450">
        <v>0</v>
      </c>
      <c r="H26" s="450">
        <v>0</v>
      </c>
      <c r="I26" s="450">
        <v>303.74899999999991</v>
      </c>
      <c r="J26" s="450">
        <v>502.16046600000004</v>
      </c>
      <c r="K26" s="450">
        <v>502.16046600000004</v>
      </c>
      <c r="L26" s="450">
        <v>502.16046600000004</v>
      </c>
      <c r="M26" s="450">
        <v>477.37821600000007</v>
      </c>
      <c r="N26" s="450">
        <v>522.35433200000011</v>
      </c>
      <c r="O26" s="450">
        <v>563.02008699999988</v>
      </c>
      <c r="P26" s="450">
        <v>709.01456599999983</v>
      </c>
      <c r="Q26" s="450">
        <v>760.30179399999975</v>
      </c>
      <c r="R26" s="450">
        <v>957.91281299999991</v>
      </c>
      <c r="S26" s="450">
        <v>1111.7664229999998</v>
      </c>
      <c r="T26" s="450">
        <v>1421.1139969999999</v>
      </c>
      <c r="U26" s="450">
        <v>1345.9546740000001</v>
      </c>
      <c r="V26" s="450">
        <v>1097.4000299999998</v>
      </c>
      <c r="W26" s="450">
        <v>1147.5015679999997</v>
      </c>
      <c r="X26" s="450">
        <v>1074.3758809999999</v>
      </c>
      <c r="Y26" s="450">
        <v>973.89911399999983</v>
      </c>
      <c r="Z26" s="450">
        <v>987.01167250000026</v>
      </c>
      <c r="AA26" s="450">
        <v>987.61469880999994</v>
      </c>
      <c r="AB26" s="450">
        <v>987.90412218000029</v>
      </c>
      <c r="AC26" s="450">
        <v>964.24856999999986</v>
      </c>
      <c r="AD26" s="450">
        <v>815.01807333999989</v>
      </c>
      <c r="AE26" s="450">
        <v>829.00589168999988</v>
      </c>
      <c r="AF26" s="450">
        <v>879.56600669000034</v>
      </c>
      <c r="AG26" s="450">
        <v>783.56822769379312</v>
      </c>
      <c r="AH26" s="450">
        <v>728.4015081</v>
      </c>
      <c r="AI26" s="450">
        <v>626.68072635999999</v>
      </c>
      <c r="AJ26" s="450">
        <v>702.04092421000007</v>
      </c>
      <c r="AK26" s="450">
        <v>860.31270639999991</v>
      </c>
      <c r="AL26" s="450">
        <v>1136.02626151</v>
      </c>
      <c r="AM26" s="450">
        <v>1214.9587380400001</v>
      </c>
      <c r="AN26" s="426">
        <v>2300.1123070199992</v>
      </c>
      <c r="AO26" s="426">
        <v>2583.8162419999999</v>
      </c>
      <c r="AP26" s="426">
        <v>2828.7816888536599</v>
      </c>
      <c r="AQ26" s="426">
        <v>2783.8348632041857</v>
      </c>
      <c r="AR26" s="426">
        <v>2614.354993311681</v>
      </c>
      <c r="AS26" s="426">
        <v>2994.8673294889336</v>
      </c>
      <c r="AT26" s="426">
        <v>2660.8722954435084</v>
      </c>
      <c r="AU26" s="426">
        <v>2610.2756306442334</v>
      </c>
      <c r="AV26" s="426">
        <v>2571.964406937097</v>
      </c>
      <c r="AW26" s="426">
        <v>1818.6549297441982</v>
      </c>
      <c r="AX26" s="426">
        <v>1566.6874621341976</v>
      </c>
      <c r="AY26" s="426">
        <v>1518.7520036264834</v>
      </c>
      <c r="AZ26" s="426">
        <v>1626.8607322698992</v>
      </c>
      <c r="BA26" s="426">
        <v>1542.129128801779</v>
      </c>
      <c r="BB26" s="426">
        <v>1945.7750698424302</v>
      </c>
      <c r="BC26" s="426">
        <v>1906.2233462202012</v>
      </c>
      <c r="BD26" s="426">
        <v>1931.966328434846</v>
      </c>
      <c r="BE26" s="426">
        <v>1845.619172527418</v>
      </c>
      <c r="BF26" s="426">
        <v>1813.8576627535981</v>
      </c>
      <c r="BG26" s="426">
        <v>1809.8412517385532</v>
      </c>
      <c r="BH26" s="426">
        <v>1933.8905259506596</v>
      </c>
      <c r="BI26" s="426">
        <v>1977.8356894148478</v>
      </c>
      <c r="BJ26" s="426">
        <v>3104.4042453554771</v>
      </c>
      <c r="BK26" s="426">
        <v>3130.5526144907531</v>
      </c>
      <c r="BL26" s="426">
        <v>3028.5484233272427</v>
      </c>
      <c r="BM26" s="426">
        <v>2193.1226852449554</v>
      </c>
      <c r="BN26" s="426">
        <v>2056.4769072711374</v>
      </c>
      <c r="BO26" s="426">
        <v>1994.7740961039547</v>
      </c>
      <c r="BP26" s="425">
        <v>2292.4223185635105</v>
      </c>
      <c r="BQ26" s="425">
        <v>2822.8377000452147</v>
      </c>
      <c r="BR26" s="425">
        <v>2768.742620551197</v>
      </c>
      <c r="BS26" s="425">
        <v>2615.7408358037405</v>
      </c>
      <c r="BT26" s="425">
        <v>2820.2200533702671</v>
      </c>
      <c r="BU26" s="425">
        <v>3023.7572276985466</v>
      </c>
      <c r="BV26" s="425">
        <v>2943.8292142852647</v>
      </c>
      <c r="BW26" s="425">
        <v>3494.0050491976053</v>
      </c>
      <c r="BX26" s="425">
        <v>3737.6449013561714</v>
      </c>
      <c r="BY26" s="425">
        <v>3818.8879124726454</v>
      </c>
      <c r="BZ26" s="425">
        <v>3717.5430564371454</v>
      </c>
      <c r="CA26" s="425">
        <v>3862.37316478393</v>
      </c>
      <c r="CB26" s="425">
        <v>3937.9001757329947</v>
      </c>
      <c r="CC26" s="425">
        <v>3878.4306242567982</v>
      </c>
      <c r="CD26" s="425">
        <v>3977.0592322756006</v>
      </c>
      <c r="CE26" s="425">
        <v>3977.6923143762651</v>
      </c>
      <c r="CF26" s="425">
        <v>3978.3049744780101</v>
      </c>
      <c r="CG26" s="425">
        <v>4091.5779306704781</v>
      </c>
      <c r="CH26" s="96">
        <v>3914.741444911509</v>
      </c>
      <c r="CI26" s="96">
        <v>4110.653918095888</v>
      </c>
      <c r="CJ26" s="96">
        <v>4220.9722888364267</v>
      </c>
      <c r="CK26" s="96">
        <v>4175.4147896630084</v>
      </c>
      <c r="CL26" s="96">
        <v>4084.4765281324408</v>
      </c>
      <c r="CM26" s="96">
        <v>4954.407946356785</v>
      </c>
      <c r="CN26" s="96">
        <v>5404.7101411440644</v>
      </c>
      <c r="CO26" s="96">
        <v>5010.1609060732762</v>
      </c>
      <c r="CP26" s="96">
        <v>4981.4208065471712</v>
      </c>
      <c r="CQ26" s="96">
        <v>5709.8381471048251</v>
      </c>
      <c r="CR26" s="96">
        <v>5708.0453873663128</v>
      </c>
      <c r="CS26" s="96">
        <v>5489.1077501127256</v>
      </c>
      <c r="CT26" s="96">
        <v>5513.8183068044691</v>
      </c>
      <c r="CU26" s="96">
        <v>7413.2134494217898</v>
      </c>
      <c r="CV26" s="96">
        <v>12594.456361176315</v>
      </c>
      <c r="CW26" s="427">
        <v>15510.233448907273</v>
      </c>
      <c r="CX26" s="427">
        <v>17476.41340155217</v>
      </c>
      <c r="CY26" s="427">
        <v>18257.213084227438</v>
      </c>
      <c r="CZ26" s="427">
        <v>19889.706420076684</v>
      </c>
      <c r="DA26" s="427">
        <v>19022.095143053666</v>
      </c>
      <c r="DB26" s="427">
        <v>20358.470923741927</v>
      </c>
      <c r="DC26" s="427">
        <v>20875.81786602833</v>
      </c>
      <c r="DD26" s="427">
        <v>20263.142446436872</v>
      </c>
      <c r="DE26" s="427">
        <v>21899.842264582279</v>
      </c>
      <c r="DF26" s="427">
        <v>21850.370016168483</v>
      </c>
      <c r="DG26" s="427">
        <v>23248.572223132323</v>
      </c>
      <c r="DH26" s="427">
        <v>24828.777496793307</v>
      </c>
      <c r="DI26" s="427">
        <v>25147.064418188154</v>
      </c>
      <c r="DJ26" s="427">
        <v>24904.207664737729</v>
      </c>
      <c r="DK26" s="427">
        <v>26982.781655601539</v>
      </c>
      <c r="DL26" s="427">
        <v>27150.945244588522</v>
      </c>
      <c r="DM26" s="427">
        <v>27059.47992788527</v>
      </c>
      <c r="DN26" s="427">
        <v>26345.787149204461</v>
      </c>
      <c r="DO26" s="427">
        <v>26795.295921734403</v>
      </c>
      <c r="DP26" s="427">
        <v>26450.778124003409</v>
      </c>
      <c r="DQ26" s="427">
        <v>26822.853961766399</v>
      </c>
      <c r="DR26" s="427">
        <v>26859.219633909466</v>
      </c>
      <c r="DS26" s="427">
        <v>24636.230833551264</v>
      </c>
      <c r="DT26" s="427">
        <v>23424.709441082585</v>
      </c>
      <c r="DU26" s="427">
        <v>22177.866305366384</v>
      </c>
      <c r="DV26" s="451">
        <v>19227.589534369341</v>
      </c>
      <c r="DW26" s="451">
        <v>18843.372285949888</v>
      </c>
      <c r="DX26" s="451">
        <v>19201.188432612289</v>
      </c>
      <c r="DY26" s="451">
        <v>18736.923989354444</v>
      </c>
      <c r="DZ26" s="451">
        <v>19016.635811612556</v>
      </c>
      <c r="EA26" s="451">
        <v>21450.662145877915</v>
      </c>
      <c r="EB26" s="451">
        <v>21751.216181135442</v>
      </c>
      <c r="EC26" s="451">
        <v>20031.561868459889</v>
      </c>
      <c r="ED26" s="451">
        <v>20614.299203660394</v>
      </c>
      <c r="EE26" s="451">
        <v>19879.918539375511</v>
      </c>
      <c r="EF26" s="451">
        <v>15883.987602071098</v>
      </c>
      <c r="EG26" s="451">
        <v>13557.896337997492</v>
      </c>
      <c r="EH26" s="451">
        <v>12828.920650047221</v>
      </c>
      <c r="EI26" s="451">
        <v>12653.919407783216</v>
      </c>
      <c r="EJ26" s="451">
        <v>12246.044642381974</v>
      </c>
    </row>
    <row r="27" spans="1:140" s="106" customFormat="1" ht="17.25" customHeight="1" x14ac:dyDescent="0.3">
      <c r="A27" s="448" t="s">
        <v>982</v>
      </c>
      <c r="B27" s="449">
        <v>61.026910999999998</v>
      </c>
      <c r="C27" s="450">
        <v>61.016410999999998</v>
      </c>
      <c r="D27" s="450">
        <v>61.018411</v>
      </c>
      <c r="E27" s="450">
        <v>61.019410999999998</v>
      </c>
      <c r="F27" s="450">
        <v>61.020410999999996</v>
      </c>
      <c r="G27" s="450">
        <v>61.021411000000001</v>
      </c>
      <c r="H27" s="450">
        <v>61.021411000000001</v>
      </c>
      <c r="I27" s="450">
        <v>61.023410999999996</v>
      </c>
      <c r="J27" s="450">
        <v>61.024411000000001</v>
      </c>
      <c r="K27" s="450">
        <v>61.024411000000001</v>
      </c>
      <c r="L27" s="450">
        <v>61.026410999999996</v>
      </c>
      <c r="M27" s="450">
        <v>61.027411000000001</v>
      </c>
      <c r="N27" s="450">
        <v>61.028410999999998</v>
      </c>
      <c r="O27" s="450">
        <v>61.029410999999996</v>
      </c>
      <c r="P27" s="450">
        <v>61.030410999999994</v>
      </c>
      <c r="Q27" s="450">
        <v>61.030410999999994</v>
      </c>
      <c r="R27" s="450">
        <v>71.156410999999991</v>
      </c>
      <c r="S27" s="450">
        <v>67.529822999999993</v>
      </c>
      <c r="T27" s="450">
        <v>67.529822999999993</v>
      </c>
      <c r="U27" s="450">
        <v>67.529822999999993</v>
      </c>
      <c r="V27" s="450">
        <v>67.529822999999993</v>
      </c>
      <c r="W27" s="450">
        <v>67.529822999999993</v>
      </c>
      <c r="X27" s="450">
        <v>67.529822999999993</v>
      </c>
      <c r="Y27" s="450">
        <v>67.529822999999993</v>
      </c>
      <c r="Z27" s="450">
        <v>67.529822999999993</v>
      </c>
      <c r="AA27" s="450">
        <v>67.529822999999993</v>
      </c>
      <c r="AB27" s="450">
        <v>67.529822999999993</v>
      </c>
      <c r="AC27" s="450">
        <v>67.532817999999992</v>
      </c>
      <c r="AD27" s="450">
        <v>67.532817999999992</v>
      </c>
      <c r="AE27" s="450">
        <v>67.542648999999997</v>
      </c>
      <c r="AF27" s="450">
        <v>67.532817999999992</v>
      </c>
      <c r="AG27" s="450">
        <v>67.532817999999992</v>
      </c>
      <c r="AH27" s="450">
        <v>67.542487999999992</v>
      </c>
      <c r="AI27" s="450">
        <v>67.539492999999993</v>
      </c>
      <c r="AJ27" s="450">
        <v>67.539492999999993</v>
      </c>
      <c r="AK27" s="450">
        <v>67.539492999999993</v>
      </c>
      <c r="AL27" s="450">
        <v>67.539492999999993</v>
      </c>
      <c r="AM27" s="450">
        <v>67.539492999999993</v>
      </c>
      <c r="AN27" s="426">
        <v>67.539492999999993</v>
      </c>
      <c r="AO27" s="426">
        <v>67.539492999999993</v>
      </c>
      <c r="AP27" s="426">
        <v>67.539492999999993</v>
      </c>
      <c r="AQ27" s="426">
        <v>67.539492999999993</v>
      </c>
      <c r="AR27" s="426">
        <v>67.539492999999993</v>
      </c>
      <c r="AS27" s="426">
        <v>67.539492999999993</v>
      </c>
      <c r="AT27" s="426">
        <v>67.539492999999993</v>
      </c>
      <c r="AU27" s="426">
        <v>67.539492999999993</v>
      </c>
      <c r="AV27" s="426">
        <v>67.539492999999993</v>
      </c>
      <c r="AW27" s="426">
        <v>67.539492999999993</v>
      </c>
      <c r="AX27" s="426">
        <v>67.539492999999993</v>
      </c>
      <c r="AY27" s="426">
        <v>64.790993</v>
      </c>
      <c r="AZ27" s="426">
        <v>64.790993</v>
      </c>
      <c r="BA27" s="426">
        <v>58.063493000000001</v>
      </c>
      <c r="BB27" s="426">
        <v>58.063493000000001</v>
      </c>
      <c r="BC27" s="426">
        <v>58.063493000000001</v>
      </c>
      <c r="BD27" s="426">
        <v>58.063493000000001</v>
      </c>
      <c r="BE27" s="426">
        <v>58.063493000000001</v>
      </c>
      <c r="BF27" s="426">
        <v>58.063493000000001</v>
      </c>
      <c r="BG27" s="426">
        <v>58.063493000000001</v>
      </c>
      <c r="BH27" s="426">
        <v>58.063493000000001</v>
      </c>
      <c r="BI27" s="426">
        <v>58.063493000000001</v>
      </c>
      <c r="BJ27" s="426">
        <v>58.063493000000001</v>
      </c>
      <c r="BK27" s="426">
        <v>58.063493000000001</v>
      </c>
      <c r="BL27" s="426">
        <v>58.063493000000001</v>
      </c>
      <c r="BM27" s="426">
        <v>58.063493000000001</v>
      </c>
      <c r="BN27" s="426">
        <v>58.063493000000001</v>
      </c>
      <c r="BO27" s="426">
        <v>58.063493000000001</v>
      </c>
      <c r="BP27" s="425">
        <v>58.063493000000001</v>
      </c>
      <c r="BQ27" s="425">
        <v>58.063493000000001</v>
      </c>
      <c r="BR27" s="425">
        <v>58.063493000000001</v>
      </c>
      <c r="BS27" s="425">
        <v>58.063493000000001</v>
      </c>
      <c r="BT27" s="425">
        <v>58.063493000000001</v>
      </c>
      <c r="BU27" s="425">
        <v>58.063493000000001</v>
      </c>
      <c r="BV27" s="425">
        <v>58.063493000000001</v>
      </c>
      <c r="BW27" s="425">
        <v>58.063493000000001</v>
      </c>
      <c r="BX27" s="425">
        <v>58.063493000000001</v>
      </c>
      <c r="BY27" s="425">
        <v>58.063493000000001</v>
      </c>
      <c r="BZ27" s="425">
        <v>58.063493000000001</v>
      </c>
      <c r="CA27" s="425">
        <v>58.063493000000001</v>
      </c>
      <c r="CB27" s="425">
        <v>58.043492999999998</v>
      </c>
      <c r="CC27" s="425">
        <v>58.043492999999998</v>
      </c>
      <c r="CD27" s="425">
        <v>58.043492999999998</v>
      </c>
      <c r="CE27" s="425">
        <v>58.043492999999998</v>
      </c>
      <c r="CF27" s="425">
        <v>58.043492999999998</v>
      </c>
      <c r="CG27" s="425">
        <v>58.043492999999998</v>
      </c>
      <c r="CH27" s="96">
        <v>58.043492999999998</v>
      </c>
      <c r="CI27" s="96">
        <v>58.043492999999998</v>
      </c>
      <c r="CJ27" s="96">
        <v>58.043492999999998</v>
      </c>
      <c r="CK27" s="96">
        <v>58.043492999999998</v>
      </c>
      <c r="CL27" s="96">
        <v>58.043492999999998</v>
      </c>
      <c r="CM27" s="96">
        <v>58.043492999999998</v>
      </c>
      <c r="CN27" s="96">
        <v>58.043492999999998</v>
      </c>
      <c r="CO27" s="96">
        <v>58.043492999999998</v>
      </c>
      <c r="CP27" s="96">
        <v>58.043492999999998</v>
      </c>
      <c r="CQ27" s="96">
        <v>58.043492999999998</v>
      </c>
      <c r="CR27" s="96">
        <v>58.043492999999998</v>
      </c>
      <c r="CS27" s="96">
        <v>58.043492999999998</v>
      </c>
      <c r="CT27" s="96">
        <v>58.043492999999998</v>
      </c>
      <c r="CU27" s="96">
        <v>58.043492999999998</v>
      </c>
      <c r="CV27" s="96">
        <v>58.043492999999998</v>
      </c>
      <c r="CW27" s="427">
        <v>58.043492999999998</v>
      </c>
      <c r="CX27" s="427">
        <v>58.043492999999998</v>
      </c>
      <c r="CY27" s="427">
        <v>58.043492999999998</v>
      </c>
      <c r="CZ27" s="427">
        <v>58.043492999999998</v>
      </c>
      <c r="DA27" s="427">
        <v>58.043492999999998</v>
      </c>
      <c r="DB27" s="427">
        <v>58.043492999999998</v>
      </c>
      <c r="DC27" s="427">
        <v>58.043492999999998</v>
      </c>
      <c r="DD27" s="427">
        <v>58.043492999999998</v>
      </c>
      <c r="DE27" s="427">
        <v>58.043492999999998</v>
      </c>
      <c r="DF27" s="427">
        <v>58.043492999999998</v>
      </c>
      <c r="DG27" s="427">
        <v>58.043492999999998</v>
      </c>
      <c r="DH27" s="427">
        <v>58.043492999999998</v>
      </c>
      <c r="DI27" s="427">
        <v>58.043492999999998</v>
      </c>
      <c r="DJ27" s="427">
        <v>58.043492999999998</v>
      </c>
      <c r="DK27" s="427">
        <v>58.043492999999998</v>
      </c>
      <c r="DL27" s="427">
        <v>58.043492999999998</v>
      </c>
      <c r="DM27" s="427">
        <v>58.043492999999998</v>
      </c>
      <c r="DN27" s="427">
        <v>58.043492999999998</v>
      </c>
      <c r="DO27" s="427">
        <v>58.043492999999998</v>
      </c>
      <c r="DP27" s="427">
        <v>58.043492999999998</v>
      </c>
      <c r="DQ27" s="427">
        <v>58.043492999999998</v>
      </c>
      <c r="DR27" s="427">
        <v>58.043492999999998</v>
      </c>
      <c r="DS27" s="427">
        <v>58.043492999999998</v>
      </c>
      <c r="DT27" s="427">
        <v>58.043492999999998</v>
      </c>
      <c r="DU27" s="427">
        <v>58.043492999999998</v>
      </c>
      <c r="DV27" s="451">
        <v>58.043492999999998</v>
      </c>
      <c r="DW27" s="451">
        <v>58.043492999999998</v>
      </c>
      <c r="DX27" s="451">
        <v>58.043492999999998</v>
      </c>
      <c r="DY27" s="451">
        <v>58.043492999999998</v>
      </c>
      <c r="DZ27" s="451">
        <v>58.043492999999998</v>
      </c>
      <c r="EA27" s="451">
        <v>58.043492999999998</v>
      </c>
      <c r="EB27" s="451">
        <v>58.043492999999998</v>
      </c>
      <c r="EC27" s="451">
        <v>58.043492999999998</v>
      </c>
      <c r="ED27" s="451">
        <v>58.043492999999998</v>
      </c>
      <c r="EE27" s="451">
        <v>58.043492999999998</v>
      </c>
      <c r="EF27" s="451">
        <v>58.043492999999998</v>
      </c>
      <c r="EG27" s="451">
        <v>58.043492999999998</v>
      </c>
      <c r="EH27" s="451">
        <v>58.043492999999998</v>
      </c>
      <c r="EI27" s="451">
        <v>58.043492999999998</v>
      </c>
      <c r="EJ27" s="451">
        <v>58.043492999999998</v>
      </c>
    </row>
    <row r="28" spans="1:140" s="106" customFormat="1" ht="17.25" customHeight="1" x14ac:dyDescent="0.3">
      <c r="A28" s="448" t="s">
        <v>983</v>
      </c>
      <c r="B28" s="449">
        <v>0.97697899999999993</v>
      </c>
      <c r="C28" s="450">
        <v>0.97697899999999993</v>
      </c>
      <c r="D28" s="450">
        <v>0.97697899999999993</v>
      </c>
      <c r="E28" s="450">
        <v>0.97697899999999993</v>
      </c>
      <c r="F28" s="450">
        <v>0.97697899999999993</v>
      </c>
      <c r="G28" s="450">
        <v>0.97697899999999993</v>
      </c>
      <c r="H28" s="450">
        <v>0.97697899999999993</v>
      </c>
      <c r="I28" s="450">
        <v>0.97697899999999993</v>
      </c>
      <c r="J28" s="450">
        <v>0.97697899999999993</v>
      </c>
      <c r="K28" s="450">
        <v>0.97697899999999993</v>
      </c>
      <c r="L28" s="450">
        <v>0.97697899999999993</v>
      </c>
      <c r="M28" s="450">
        <v>0.97697899999999993</v>
      </c>
      <c r="N28" s="450">
        <v>0.97697899999999993</v>
      </c>
      <c r="O28" s="450">
        <v>0.97697899999999993</v>
      </c>
      <c r="P28" s="450">
        <v>0.97447899999999998</v>
      </c>
      <c r="Q28" s="450">
        <v>0.97447899999999998</v>
      </c>
      <c r="R28" s="450">
        <v>0.97447899999999998</v>
      </c>
      <c r="S28" s="450">
        <v>0.97447899999999998</v>
      </c>
      <c r="T28" s="450">
        <v>0.97447899999999998</v>
      </c>
      <c r="U28" s="450">
        <v>0.94097900000000001</v>
      </c>
      <c r="V28" s="450">
        <v>0.94097900000000001</v>
      </c>
      <c r="W28" s="450">
        <v>0.94097900000000001</v>
      </c>
      <c r="X28" s="450">
        <v>0.94097900000000001</v>
      </c>
      <c r="Y28" s="450">
        <v>0.94097900000000001</v>
      </c>
      <c r="Z28" s="450">
        <v>0.94097900000000001</v>
      </c>
      <c r="AA28" s="450">
        <v>0.94097900000000001</v>
      </c>
      <c r="AB28" s="450">
        <v>0.94097900000000001</v>
      </c>
      <c r="AC28" s="450">
        <v>0.94097900000000001</v>
      </c>
      <c r="AD28" s="450">
        <v>0.94097900000000001</v>
      </c>
      <c r="AE28" s="450">
        <v>0.94097900000000001</v>
      </c>
      <c r="AF28" s="450">
        <v>0.94097900000000001</v>
      </c>
      <c r="AG28" s="450">
        <v>0.94097900000000001</v>
      </c>
      <c r="AH28" s="450">
        <v>0.94097900000000001</v>
      </c>
      <c r="AI28" s="450">
        <v>0.94097900000000001</v>
      </c>
      <c r="AJ28" s="450">
        <v>0.94097900000000001</v>
      </c>
      <c r="AK28" s="450">
        <v>0.94097900000000001</v>
      </c>
      <c r="AL28" s="450">
        <v>0.94097900000000001</v>
      </c>
      <c r="AM28" s="450">
        <v>0.94097900000000001</v>
      </c>
      <c r="AN28" s="426">
        <v>0.94097900000000001</v>
      </c>
      <c r="AO28" s="426">
        <v>0.94097900000000001</v>
      </c>
      <c r="AP28" s="426">
        <v>0.94097900000000001</v>
      </c>
      <c r="AQ28" s="426">
        <v>0.94097900000000001</v>
      </c>
      <c r="AR28" s="426">
        <v>0.94097900000000001</v>
      </c>
      <c r="AS28" s="426">
        <v>0.94097900000000001</v>
      </c>
      <c r="AT28" s="426">
        <v>0.94097900000000001</v>
      </c>
      <c r="AU28" s="426">
        <v>0.94097900000000001</v>
      </c>
      <c r="AV28" s="426">
        <v>0.94097900000000001</v>
      </c>
      <c r="AW28" s="426">
        <v>0.94097900000000001</v>
      </c>
      <c r="AX28" s="426">
        <v>0.94097900000000001</v>
      </c>
      <c r="AY28" s="426">
        <v>0.94097900000000001</v>
      </c>
      <c r="AZ28" s="426">
        <v>0.94097900000000001</v>
      </c>
      <c r="BA28" s="426">
        <v>0.94097900000000001</v>
      </c>
      <c r="BB28" s="426">
        <v>0.94097900000000001</v>
      </c>
      <c r="BC28" s="426">
        <v>0.94097900000000001</v>
      </c>
      <c r="BD28" s="426">
        <v>0.94097900000000001</v>
      </c>
      <c r="BE28" s="426">
        <v>0.94097900000000001</v>
      </c>
      <c r="BF28" s="426">
        <v>0.94097900000000001</v>
      </c>
      <c r="BG28" s="426">
        <v>0.94097900000000001</v>
      </c>
      <c r="BH28" s="426">
        <v>0.94097900000000001</v>
      </c>
      <c r="BI28" s="426">
        <v>0.94097900000000001</v>
      </c>
      <c r="BJ28" s="426">
        <v>0.94097900000000001</v>
      </c>
      <c r="BK28" s="426">
        <v>0.94097900000000001</v>
      </c>
      <c r="BL28" s="426">
        <v>0.90739999999999998</v>
      </c>
      <c r="BM28" s="426">
        <v>0.94097900000000001</v>
      </c>
      <c r="BN28" s="426">
        <v>0.94097900000000001</v>
      </c>
      <c r="BO28" s="426">
        <v>0.94097900000000001</v>
      </c>
      <c r="BP28" s="425">
        <v>0.94097900000000001</v>
      </c>
      <c r="BQ28" s="425">
        <v>0.94097900000000001</v>
      </c>
      <c r="BR28" s="425">
        <v>0.90739999999999998</v>
      </c>
      <c r="BS28" s="425">
        <v>0.94097900000000001</v>
      </c>
      <c r="BT28" s="425">
        <v>0.94097900000000001</v>
      </c>
      <c r="BU28" s="425">
        <v>0.94097900000000001</v>
      </c>
      <c r="BV28" s="425">
        <v>0.94097900000000001</v>
      </c>
      <c r="BW28" s="425">
        <v>0.94097900000000001</v>
      </c>
      <c r="BX28" s="425">
        <v>0.94097900000000001</v>
      </c>
      <c r="BY28" s="425">
        <v>0.94097900000000001</v>
      </c>
      <c r="BZ28" s="425">
        <v>0.94097900000000001</v>
      </c>
      <c r="CA28" s="425">
        <v>0.94097900000000001</v>
      </c>
      <c r="CB28" s="425">
        <v>0.94097900000000001</v>
      </c>
      <c r="CC28" s="425">
        <v>0.94097900000000001</v>
      </c>
      <c r="CD28" s="425">
        <v>0.94097900000000001</v>
      </c>
      <c r="CE28" s="425">
        <v>0.94097900000000001</v>
      </c>
      <c r="CF28" s="425">
        <v>0.94097900000000001</v>
      </c>
      <c r="CG28" s="425">
        <v>0.94097900000000001</v>
      </c>
      <c r="CH28" s="96">
        <v>0.94097900000000001</v>
      </c>
      <c r="CI28" s="96">
        <v>0.94097900000000001</v>
      </c>
      <c r="CJ28" s="96">
        <v>0.94097900000000001</v>
      </c>
      <c r="CK28" s="96">
        <v>0.94097900000000001</v>
      </c>
      <c r="CL28" s="96">
        <v>0.94097900000000001</v>
      </c>
      <c r="CM28" s="96">
        <v>0.94097900000000001</v>
      </c>
      <c r="CN28" s="96">
        <v>0.94097900000000001</v>
      </c>
      <c r="CO28" s="96">
        <v>0.94097900000000001</v>
      </c>
      <c r="CP28" s="96">
        <v>0.94097900000000001</v>
      </c>
      <c r="CQ28" s="96">
        <v>0.94097900000000001</v>
      </c>
      <c r="CR28" s="96">
        <v>0.94097900000000001</v>
      </c>
      <c r="CS28" s="96">
        <v>0.94097900000000001</v>
      </c>
      <c r="CT28" s="96">
        <v>0.94097900000000001</v>
      </c>
      <c r="CU28" s="96">
        <v>0.94097900000000001</v>
      </c>
      <c r="CV28" s="96">
        <v>0.94097900000000001</v>
      </c>
      <c r="CW28" s="427">
        <v>0.94097900000000001</v>
      </c>
      <c r="CX28" s="427">
        <v>0.94097900000000001</v>
      </c>
      <c r="CY28" s="427">
        <v>0.94097900000000001</v>
      </c>
      <c r="CZ28" s="427">
        <v>0.94097900000000001</v>
      </c>
      <c r="DA28" s="427">
        <v>0.94097900000000001</v>
      </c>
      <c r="DB28" s="427">
        <v>0.94097900000000001</v>
      </c>
      <c r="DC28" s="427">
        <v>0.94097900000000001</v>
      </c>
      <c r="DD28" s="427">
        <v>0.94097900000000001</v>
      </c>
      <c r="DE28" s="427">
        <v>0.94097900000000001</v>
      </c>
      <c r="DF28" s="427">
        <v>0.94097900000000001</v>
      </c>
      <c r="DG28" s="427">
        <v>0.94097900000000001</v>
      </c>
      <c r="DH28" s="427">
        <v>0.94097900000000001</v>
      </c>
      <c r="DI28" s="427">
        <v>0.94097900000000001</v>
      </c>
      <c r="DJ28" s="427">
        <v>0.94097900000000001</v>
      </c>
      <c r="DK28" s="427">
        <v>0.94097900000000001</v>
      </c>
      <c r="DL28" s="427">
        <v>0.94097900000000001</v>
      </c>
      <c r="DM28" s="427">
        <v>0.94097900000000001</v>
      </c>
      <c r="DN28" s="427">
        <v>0.94097900000000001</v>
      </c>
      <c r="DO28" s="427">
        <v>0.94097900000000001</v>
      </c>
      <c r="DP28" s="427">
        <v>0.90739999999999998</v>
      </c>
      <c r="DQ28" s="427">
        <v>0.94097900000000001</v>
      </c>
      <c r="DR28" s="427">
        <v>1.07175799</v>
      </c>
      <c r="DS28" s="427">
        <v>1.07175799</v>
      </c>
      <c r="DT28" s="427">
        <v>1.07175799</v>
      </c>
      <c r="DU28" s="427">
        <v>13.078401830000001</v>
      </c>
      <c r="DV28" s="451">
        <v>43.093746010000004</v>
      </c>
      <c r="DW28" s="451">
        <v>509.75477341000004</v>
      </c>
      <c r="DX28" s="451">
        <v>901.97510559</v>
      </c>
      <c r="DY28" s="451">
        <v>1144.1664822999999</v>
      </c>
      <c r="DZ28" s="451">
        <v>1451.4167733900001</v>
      </c>
      <c r="EA28" s="451">
        <v>1594.7757545499999</v>
      </c>
      <c r="EB28" s="451">
        <v>1712.7513812699999</v>
      </c>
      <c r="EC28" s="451">
        <v>1920.2596894999999</v>
      </c>
      <c r="ED28" s="451">
        <v>2046.3693795699999</v>
      </c>
      <c r="EE28" s="451">
        <v>2168.7951843699998</v>
      </c>
      <c r="EF28" s="451">
        <v>2212.10730595</v>
      </c>
      <c r="EG28" s="451">
        <v>2300.2583487599995</v>
      </c>
      <c r="EH28" s="451">
        <v>2630.2332168999997</v>
      </c>
      <c r="EI28" s="451">
        <v>3142.3228213599996</v>
      </c>
      <c r="EJ28" s="451">
        <v>3118.4267751099997</v>
      </c>
    </row>
    <row r="29" spans="1:140" ht="17.25" x14ac:dyDescent="0.3">
      <c r="A29" s="448"/>
      <c r="B29" s="449"/>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c r="BP29" s="425"/>
      <c r="BQ29" s="425"/>
      <c r="BR29" s="425"/>
      <c r="BS29" s="425"/>
      <c r="BT29" s="425"/>
      <c r="BU29" s="425"/>
      <c r="BV29" s="425"/>
      <c r="BW29" s="425"/>
      <c r="BX29" s="425"/>
      <c r="BY29" s="425"/>
      <c r="BZ29" s="425"/>
      <c r="CA29" s="425"/>
      <c r="CB29" s="425"/>
      <c r="CC29" s="425"/>
      <c r="CD29" s="425"/>
      <c r="CE29" s="425"/>
      <c r="CF29" s="425"/>
      <c r="CG29" s="425"/>
      <c r="CH29" s="96"/>
      <c r="CI29" s="96"/>
      <c r="CJ29" s="96"/>
      <c r="CK29" s="96"/>
      <c r="CL29" s="96"/>
      <c r="CM29" s="96"/>
      <c r="CN29" s="96"/>
      <c r="CO29" s="96"/>
      <c r="CP29" s="96"/>
      <c r="CQ29" s="96"/>
      <c r="CR29" s="96"/>
      <c r="CS29" s="96"/>
      <c r="CT29" s="96"/>
      <c r="CU29" s="96"/>
      <c r="CV29" s="96"/>
      <c r="CW29" s="427"/>
      <c r="CX29" s="427"/>
      <c r="CY29" s="427"/>
      <c r="CZ29" s="427"/>
      <c r="DA29" s="427"/>
      <c r="DB29" s="427"/>
      <c r="DC29" s="427"/>
      <c r="DD29" s="427"/>
      <c r="DE29" s="427"/>
      <c r="DF29" s="427"/>
      <c r="DG29" s="427"/>
      <c r="DH29" s="427"/>
      <c r="DI29" s="427"/>
      <c r="DJ29" s="427"/>
      <c r="DK29" s="427"/>
      <c r="DL29" s="427"/>
      <c r="DM29" s="427"/>
      <c r="DN29" s="427"/>
      <c r="DO29" s="427"/>
      <c r="DP29" s="427"/>
      <c r="DQ29" s="427"/>
      <c r="DR29" s="427"/>
      <c r="DS29" s="427"/>
      <c r="DT29" s="427"/>
      <c r="DU29" s="427"/>
      <c r="DV29" s="451"/>
      <c r="DW29" s="451"/>
      <c r="DX29" s="451"/>
      <c r="DY29" s="451"/>
      <c r="DZ29" s="451"/>
      <c r="EA29" s="451"/>
      <c r="EB29" s="451"/>
      <c r="EC29" s="451"/>
      <c r="ED29" s="451"/>
      <c r="EE29" s="451"/>
      <c r="EF29" s="451"/>
      <c r="EG29" s="451"/>
      <c r="EH29" s="451"/>
      <c r="EI29" s="451"/>
      <c r="EJ29" s="451"/>
    </row>
    <row r="30" spans="1:140" ht="17.25" customHeight="1" x14ac:dyDescent="0.3">
      <c r="A30" s="444" t="s">
        <v>154</v>
      </c>
      <c r="B30" s="445">
        <v>0</v>
      </c>
      <c r="C30" s="446">
        <v>0</v>
      </c>
      <c r="D30" s="446">
        <v>0</v>
      </c>
      <c r="E30" s="446">
        <v>0</v>
      </c>
      <c r="F30" s="446">
        <v>0</v>
      </c>
      <c r="G30" s="446">
        <v>0</v>
      </c>
      <c r="H30" s="446">
        <v>0</v>
      </c>
      <c r="I30" s="446">
        <v>0</v>
      </c>
      <c r="J30" s="446">
        <v>0</v>
      </c>
      <c r="K30" s="446">
        <v>0</v>
      </c>
      <c r="L30" s="446">
        <v>0</v>
      </c>
      <c r="M30" s="446">
        <v>0</v>
      </c>
      <c r="N30" s="446">
        <v>0</v>
      </c>
      <c r="O30" s="446">
        <v>0</v>
      </c>
      <c r="P30" s="446">
        <v>0</v>
      </c>
      <c r="Q30" s="446">
        <v>0</v>
      </c>
      <c r="R30" s="446">
        <v>0</v>
      </c>
      <c r="S30" s="446">
        <v>0</v>
      </c>
      <c r="T30" s="446">
        <v>0</v>
      </c>
      <c r="U30" s="446">
        <v>0</v>
      </c>
      <c r="V30" s="446">
        <v>0</v>
      </c>
      <c r="W30" s="446">
        <v>0</v>
      </c>
      <c r="X30" s="446">
        <v>0</v>
      </c>
      <c r="Y30" s="446">
        <v>0</v>
      </c>
      <c r="Z30" s="446">
        <v>0</v>
      </c>
      <c r="AA30" s="446">
        <v>0</v>
      </c>
      <c r="AB30" s="446">
        <v>0</v>
      </c>
      <c r="AC30" s="446">
        <v>0</v>
      </c>
      <c r="AD30" s="446">
        <v>0</v>
      </c>
      <c r="AE30" s="446">
        <v>0</v>
      </c>
      <c r="AF30" s="446">
        <v>0</v>
      </c>
      <c r="AG30" s="446">
        <v>0</v>
      </c>
      <c r="AH30" s="446">
        <v>0</v>
      </c>
      <c r="AI30" s="446">
        <v>0</v>
      </c>
      <c r="AJ30" s="446">
        <v>0</v>
      </c>
      <c r="AK30" s="446">
        <v>0</v>
      </c>
      <c r="AL30" s="446">
        <v>0</v>
      </c>
      <c r="AM30" s="446">
        <v>0</v>
      </c>
      <c r="AN30" s="420">
        <v>0</v>
      </c>
      <c r="AO30" s="420">
        <v>0</v>
      </c>
      <c r="AP30" s="420">
        <v>0</v>
      </c>
      <c r="AQ30" s="420">
        <v>0</v>
      </c>
      <c r="AR30" s="420">
        <v>0</v>
      </c>
      <c r="AS30" s="420">
        <v>0</v>
      </c>
      <c r="AT30" s="420">
        <v>0</v>
      </c>
      <c r="AU30" s="420">
        <v>0</v>
      </c>
      <c r="AV30" s="420">
        <v>0</v>
      </c>
      <c r="AW30" s="420">
        <v>0</v>
      </c>
      <c r="AX30" s="420">
        <v>0</v>
      </c>
      <c r="AY30" s="420">
        <v>0</v>
      </c>
      <c r="AZ30" s="420">
        <v>0</v>
      </c>
      <c r="BA30" s="420">
        <v>0</v>
      </c>
      <c r="BB30" s="420">
        <v>0</v>
      </c>
      <c r="BC30" s="420">
        <v>0</v>
      </c>
      <c r="BD30" s="420">
        <v>0</v>
      </c>
      <c r="BE30" s="420">
        <v>0</v>
      </c>
      <c r="BF30" s="420">
        <v>0</v>
      </c>
      <c r="BG30" s="420">
        <v>0</v>
      </c>
      <c r="BH30" s="420">
        <v>0</v>
      </c>
      <c r="BI30" s="420">
        <v>0</v>
      </c>
      <c r="BJ30" s="420">
        <v>0</v>
      </c>
      <c r="BK30" s="420">
        <v>0</v>
      </c>
      <c r="BL30" s="420">
        <v>0</v>
      </c>
      <c r="BM30" s="420">
        <v>0</v>
      </c>
      <c r="BN30" s="420">
        <v>0</v>
      </c>
      <c r="BO30" s="420">
        <v>0</v>
      </c>
      <c r="BP30" s="419">
        <v>0</v>
      </c>
      <c r="BQ30" s="419">
        <v>0</v>
      </c>
      <c r="BR30" s="419">
        <v>0</v>
      </c>
      <c r="BS30" s="419">
        <v>0</v>
      </c>
      <c r="BT30" s="419">
        <v>0</v>
      </c>
      <c r="BU30" s="419">
        <v>0</v>
      </c>
      <c r="BV30" s="419">
        <v>0</v>
      </c>
      <c r="BW30" s="419">
        <v>0</v>
      </c>
      <c r="BX30" s="419">
        <v>0</v>
      </c>
      <c r="BY30" s="419">
        <v>0</v>
      </c>
      <c r="BZ30" s="419">
        <v>0</v>
      </c>
      <c r="CA30" s="419">
        <v>0</v>
      </c>
      <c r="CB30" s="419">
        <v>0</v>
      </c>
      <c r="CC30" s="419">
        <v>0</v>
      </c>
      <c r="CD30" s="419">
        <v>0</v>
      </c>
      <c r="CE30" s="419">
        <v>0</v>
      </c>
      <c r="CF30" s="419">
        <v>0</v>
      </c>
      <c r="CG30" s="419">
        <v>0</v>
      </c>
      <c r="CH30" s="94">
        <v>0</v>
      </c>
      <c r="CI30" s="94">
        <v>0</v>
      </c>
      <c r="CJ30" s="94">
        <v>0</v>
      </c>
      <c r="CK30" s="94">
        <v>0</v>
      </c>
      <c r="CL30" s="94">
        <v>0</v>
      </c>
      <c r="CM30" s="94">
        <v>0</v>
      </c>
      <c r="CN30" s="94">
        <v>0</v>
      </c>
      <c r="CO30" s="94">
        <v>0</v>
      </c>
      <c r="CP30" s="94">
        <v>0</v>
      </c>
      <c r="CQ30" s="94">
        <v>0</v>
      </c>
      <c r="CR30" s="94">
        <v>0</v>
      </c>
      <c r="CS30" s="94">
        <v>0</v>
      </c>
      <c r="CT30" s="94">
        <v>0</v>
      </c>
      <c r="CU30" s="94">
        <v>0</v>
      </c>
      <c r="CV30" s="94">
        <v>0</v>
      </c>
      <c r="CW30" s="421">
        <v>0</v>
      </c>
      <c r="CX30" s="421">
        <v>0</v>
      </c>
      <c r="CY30" s="421">
        <v>0</v>
      </c>
      <c r="CZ30" s="421">
        <v>0</v>
      </c>
      <c r="DA30" s="421">
        <v>0</v>
      </c>
      <c r="DB30" s="421">
        <v>0</v>
      </c>
      <c r="DC30" s="421">
        <v>0</v>
      </c>
      <c r="DD30" s="421">
        <v>0</v>
      </c>
      <c r="DE30" s="421">
        <v>0</v>
      </c>
      <c r="DF30" s="421">
        <v>0</v>
      </c>
      <c r="DG30" s="421">
        <v>0</v>
      </c>
      <c r="DH30" s="421">
        <v>0</v>
      </c>
      <c r="DI30" s="421">
        <v>0</v>
      </c>
      <c r="DJ30" s="421">
        <v>0</v>
      </c>
      <c r="DK30" s="421">
        <v>0</v>
      </c>
      <c r="DL30" s="421">
        <v>0</v>
      </c>
      <c r="DM30" s="421">
        <v>0</v>
      </c>
      <c r="DN30" s="421">
        <v>0</v>
      </c>
      <c r="DO30" s="421">
        <v>0</v>
      </c>
      <c r="DP30" s="421">
        <v>0</v>
      </c>
      <c r="DQ30" s="421">
        <v>0</v>
      </c>
      <c r="DR30" s="421">
        <v>0</v>
      </c>
      <c r="DS30" s="421">
        <v>0</v>
      </c>
      <c r="DT30" s="421">
        <v>0</v>
      </c>
      <c r="DU30" s="421">
        <v>0</v>
      </c>
      <c r="DV30" s="447">
        <v>0</v>
      </c>
      <c r="DW30" s="447">
        <v>0</v>
      </c>
      <c r="DX30" s="447">
        <v>0</v>
      </c>
      <c r="DY30" s="447">
        <v>0</v>
      </c>
      <c r="DZ30" s="447">
        <v>0</v>
      </c>
      <c r="EA30" s="447">
        <v>0</v>
      </c>
      <c r="EB30" s="447">
        <v>0</v>
      </c>
      <c r="EC30" s="447">
        <v>0</v>
      </c>
      <c r="ED30" s="447">
        <v>0</v>
      </c>
      <c r="EE30" s="447">
        <v>0</v>
      </c>
      <c r="EF30" s="447">
        <v>0</v>
      </c>
      <c r="EG30" s="447">
        <v>0</v>
      </c>
      <c r="EH30" s="447">
        <v>0</v>
      </c>
      <c r="EI30" s="447">
        <v>0</v>
      </c>
      <c r="EJ30" s="447">
        <v>0</v>
      </c>
    </row>
    <row r="31" spans="1:140" ht="17.25" x14ac:dyDescent="0.3">
      <c r="A31" s="448"/>
      <c r="B31" s="449"/>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450"/>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5"/>
      <c r="BQ31" s="425"/>
      <c r="BR31" s="425"/>
      <c r="BS31" s="425"/>
      <c r="BT31" s="425"/>
      <c r="BU31" s="425"/>
      <c r="BV31" s="425"/>
      <c r="BW31" s="425"/>
      <c r="BX31" s="425"/>
      <c r="BY31" s="425"/>
      <c r="BZ31" s="425"/>
      <c r="CA31" s="425"/>
      <c r="CB31" s="425"/>
      <c r="CC31" s="425"/>
      <c r="CD31" s="425"/>
      <c r="CE31" s="425"/>
      <c r="CF31" s="425"/>
      <c r="CG31" s="425"/>
      <c r="CH31" s="96"/>
      <c r="CI31" s="96"/>
      <c r="CJ31" s="96"/>
      <c r="CK31" s="96"/>
      <c r="CL31" s="96"/>
      <c r="CM31" s="96"/>
      <c r="CN31" s="96"/>
      <c r="CO31" s="96"/>
      <c r="CP31" s="96"/>
      <c r="CQ31" s="96"/>
      <c r="CR31" s="96"/>
      <c r="CS31" s="96"/>
      <c r="CT31" s="96"/>
      <c r="CU31" s="96"/>
      <c r="CV31" s="96"/>
      <c r="CW31" s="427"/>
      <c r="CX31" s="427"/>
      <c r="CY31" s="427"/>
      <c r="CZ31" s="427"/>
      <c r="DA31" s="427"/>
      <c r="DB31" s="427"/>
      <c r="DC31" s="427"/>
      <c r="DD31" s="427"/>
      <c r="DE31" s="427"/>
      <c r="DF31" s="427"/>
      <c r="DG31" s="427"/>
      <c r="DH31" s="427"/>
      <c r="DI31" s="427"/>
      <c r="DJ31" s="427"/>
      <c r="DK31" s="427"/>
      <c r="DL31" s="427"/>
      <c r="DM31" s="427"/>
      <c r="DN31" s="427"/>
      <c r="DO31" s="427"/>
      <c r="DP31" s="427"/>
      <c r="DQ31" s="427"/>
      <c r="DR31" s="427"/>
      <c r="DS31" s="427"/>
      <c r="DT31" s="427"/>
      <c r="DU31" s="427"/>
      <c r="DV31" s="451"/>
      <c r="DW31" s="451"/>
      <c r="DX31" s="451"/>
      <c r="DY31" s="451"/>
      <c r="DZ31" s="451"/>
      <c r="EA31" s="451"/>
      <c r="EB31" s="451"/>
      <c r="EC31" s="451"/>
      <c r="ED31" s="451"/>
      <c r="EE31" s="451"/>
      <c r="EF31" s="451"/>
      <c r="EG31" s="451"/>
      <c r="EH31" s="451"/>
      <c r="EI31" s="451"/>
      <c r="EJ31" s="451"/>
    </row>
    <row r="32" spans="1:140" ht="17.25" customHeight="1" x14ac:dyDescent="0.3">
      <c r="A32" s="444" t="s">
        <v>942</v>
      </c>
      <c r="B32" s="445">
        <v>0</v>
      </c>
      <c r="C32" s="446">
        <v>0</v>
      </c>
      <c r="D32" s="446">
        <v>0</v>
      </c>
      <c r="E32" s="446">
        <v>0</v>
      </c>
      <c r="F32" s="446">
        <v>0</v>
      </c>
      <c r="G32" s="446">
        <v>0</v>
      </c>
      <c r="H32" s="446">
        <v>0</v>
      </c>
      <c r="I32" s="446">
        <v>0</v>
      </c>
      <c r="J32" s="446">
        <v>0</v>
      </c>
      <c r="K32" s="446">
        <v>0</v>
      </c>
      <c r="L32" s="446">
        <v>0</v>
      </c>
      <c r="M32" s="446">
        <v>0</v>
      </c>
      <c r="N32" s="446">
        <v>0</v>
      </c>
      <c r="O32" s="446">
        <v>0</v>
      </c>
      <c r="P32" s="446">
        <v>0</v>
      </c>
      <c r="Q32" s="446">
        <v>0</v>
      </c>
      <c r="R32" s="446">
        <v>0</v>
      </c>
      <c r="S32" s="446">
        <v>0</v>
      </c>
      <c r="T32" s="446">
        <v>0</v>
      </c>
      <c r="U32" s="446">
        <v>0</v>
      </c>
      <c r="V32" s="446">
        <v>0</v>
      </c>
      <c r="W32" s="446">
        <v>0</v>
      </c>
      <c r="X32" s="446">
        <v>0</v>
      </c>
      <c r="Y32" s="446">
        <v>0</v>
      </c>
      <c r="Z32" s="446">
        <v>0</v>
      </c>
      <c r="AA32" s="446">
        <v>0</v>
      </c>
      <c r="AB32" s="446">
        <v>0</v>
      </c>
      <c r="AC32" s="446">
        <v>0</v>
      </c>
      <c r="AD32" s="446">
        <v>0</v>
      </c>
      <c r="AE32" s="446">
        <v>0</v>
      </c>
      <c r="AF32" s="446">
        <v>0</v>
      </c>
      <c r="AG32" s="446">
        <v>0</v>
      </c>
      <c r="AH32" s="446">
        <v>0</v>
      </c>
      <c r="AI32" s="446">
        <v>0</v>
      </c>
      <c r="AJ32" s="446">
        <v>0</v>
      </c>
      <c r="AK32" s="446">
        <v>0</v>
      </c>
      <c r="AL32" s="446">
        <v>0</v>
      </c>
      <c r="AM32" s="446">
        <v>0</v>
      </c>
      <c r="AN32" s="420">
        <v>0</v>
      </c>
      <c r="AO32" s="420">
        <v>0</v>
      </c>
      <c r="AP32" s="420">
        <v>0</v>
      </c>
      <c r="AQ32" s="420">
        <v>0</v>
      </c>
      <c r="AR32" s="420">
        <v>0</v>
      </c>
      <c r="AS32" s="420">
        <v>0</v>
      </c>
      <c r="AT32" s="420">
        <v>0</v>
      </c>
      <c r="AU32" s="420">
        <v>0</v>
      </c>
      <c r="AV32" s="420">
        <v>0</v>
      </c>
      <c r="AW32" s="420">
        <v>0</v>
      </c>
      <c r="AX32" s="420">
        <v>0</v>
      </c>
      <c r="AY32" s="420">
        <v>0</v>
      </c>
      <c r="AZ32" s="420">
        <v>0</v>
      </c>
      <c r="BA32" s="420">
        <v>0</v>
      </c>
      <c r="BB32" s="420">
        <v>0</v>
      </c>
      <c r="BC32" s="420">
        <v>0</v>
      </c>
      <c r="BD32" s="420">
        <v>0</v>
      </c>
      <c r="BE32" s="420">
        <v>0</v>
      </c>
      <c r="BF32" s="420">
        <v>0</v>
      </c>
      <c r="BG32" s="420">
        <v>0</v>
      </c>
      <c r="BH32" s="420">
        <v>0</v>
      </c>
      <c r="BI32" s="420">
        <v>0</v>
      </c>
      <c r="BJ32" s="420">
        <v>0</v>
      </c>
      <c r="BK32" s="420">
        <v>0</v>
      </c>
      <c r="BL32" s="420">
        <v>0</v>
      </c>
      <c r="BM32" s="420">
        <v>0</v>
      </c>
      <c r="BN32" s="420">
        <v>0</v>
      </c>
      <c r="BO32" s="420">
        <v>0</v>
      </c>
      <c r="BP32" s="419">
        <v>0</v>
      </c>
      <c r="BQ32" s="419">
        <v>0</v>
      </c>
      <c r="BR32" s="419">
        <v>0</v>
      </c>
      <c r="BS32" s="419">
        <v>0</v>
      </c>
      <c r="BT32" s="419">
        <v>0</v>
      </c>
      <c r="BU32" s="419">
        <v>0</v>
      </c>
      <c r="BV32" s="419">
        <v>0</v>
      </c>
      <c r="BW32" s="419">
        <v>0</v>
      </c>
      <c r="BX32" s="419">
        <v>0</v>
      </c>
      <c r="BY32" s="419">
        <v>0</v>
      </c>
      <c r="BZ32" s="419">
        <v>0</v>
      </c>
      <c r="CA32" s="419">
        <v>0</v>
      </c>
      <c r="CB32" s="419">
        <v>0</v>
      </c>
      <c r="CC32" s="419">
        <v>0</v>
      </c>
      <c r="CD32" s="419">
        <v>0</v>
      </c>
      <c r="CE32" s="419">
        <v>0</v>
      </c>
      <c r="CF32" s="419">
        <v>0</v>
      </c>
      <c r="CG32" s="419">
        <v>0</v>
      </c>
      <c r="CH32" s="94">
        <v>0</v>
      </c>
      <c r="CI32" s="94">
        <v>0</v>
      </c>
      <c r="CJ32" s="94">
        <v>0</v>
      </c>
      <c r="CK32" s="94">
        <v>0</v>
      </c>
      <c r="CL32" s="94">
        <v>0</v>
      </c>
      <c r="CM32" s="94">
        <v>0</v>
      </c>
      <c r="CN32" s="94">
        <v>0</v>
      </c>
      <c r="CO32" s="94">
        <v>0</v>
      </c>
      <c r="CP32" s="94">
        <v>0</v>
      </c>
      <c r="CQ32" s="94">
        <v>0</v>
      </c>
      <c r="CR32" s="94">
        <v>0</v>
      </c>
      <c r="CS32" s="94">
        <v>0</v>
      </c>
      <c r="CT32" s="94">
        <v>0</v>
      </c>
      <c r="CU32" s="94">
        <v>0</v>
      </c>
      <c r="CV32" s="94">
        <v>0</v>
      </c>
      <c r="CW32" s="421">
        <v>0</v>
      </c>
      <c r="CX32" s="421">
        <v>0</v>
      </c>
      <c r="CY32" s="421">
        <v>0</v>
      </c>
      <c r="CZ32" s="421">
        <v>0</v>
      </c>
      <c r="DA32" s="421">
        <v>0</v>
      </c>
      <c r="DB32" s="421">
        <v>0</v>
      </c>
      <c r="DC32" s="421">
        <v>0</v>
      </c>
      <c r="DD32" s="421">
        <v>0</v>
      </c>
      <c r="DE32" s="421">
        <v>0</v>
      </c>
      <c r="DF32" s="421">
        <v>0</v>
      </c>
      <c r="DG32" s="421">
        <v>0</v>
      </c>
      <c r="DH32" s="421">
        <v>0</v>
      </c>
      <c r="DI32" s="421">
        <v>0</v>
      </c>
      <c r="DJ32" s="421">
        <v>0</v>
      </c>
      <c r="DK32" s="421">
        <v>0</v>
      </c>
      <c r="DL32" s="421">
        <v>0</v>
      </c>
      <c r="DM32" s="421">
        <v>0</v>
      </c>
      <c r="DN32" s="421">
        <v>0</v>
      </c>
      <c r="DO32" s="421">
        <v>0</v>
      </c>
      <c r="DP32" s="421">
        <v>0</v>
      </c>
      <c r="DQ32" s="421">
        <v>0</v>
      </c>
      <c r="DR32" s="421">
        <v>0</v>
      </c>
      <c r="DS32" s="421">
        <v>0</v>
      </c>
      <c r="DT32" s="421">
        <v>0</v>
      </c>
      <c r="DU32" s="421">
        <v>0</v>
      </c>
      <c r="DV32" s="447">
        <v>0</v>
      </c>
      <c r="DW32" s="447">
        <v>0</v>
      </c>
      <c r="DX32" s="447">
        <v>0</v>
      </c>
      <c r="DY32" s="447">
        <v>0</v>
      </c>
      <c r="DZ32" s="447">
        <v>0</v>
      </c>
      <c r="EA32" s="447">
        <v>0</v>
      </c>
      <c r="EB32" s="447">
        <v>0</v>
      </c>
      <c r="EC32" s="447">
        <v>0</v>
      </c>
      <c r="ED32" s="447">
        <v>0</v>
      </c>
      <c r="EE32" s="447">
        <v>0</v>
      </c>
      <c r="EF32" s="447">
        <v>0</v>
      </c>
      <c r="EG32" s="447">
        <v>0</v>
      </c>
      <c r="EH32" s="447">
        <v>0</v>
      </c>
      <c r="EI32" s="447">
        <v>0</v>
      </c>
      <c r="EJ32" s="447">
        <v>0</v>
      </c>
    </row>
    <row r="33" spans="1:140" ht="17.25" x14ac:dyDescent="0.3">
      <c r="A33" s="448"/>
      <c r="B33" s="449"/>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26"/>
      <c r="AO33" s="426"/>
      <c r="AP33" s="426"/>
      <c r="AQ33" s="426"/>
      <c r="AR33" s="426"/>
      <c r="AS33" s="426"/>
      <c r="AT33" s="426"/>
      <c r="AU33" s="426"/>
      <c r="AV33" s="426"/>
      <c r="AW33" s="426"/>
      <c r="AX33" s="426"/>
      <c r="AY33" s="426"/>
      <c r="AZ33" s="426"/>
      <c r="BA33" s="426"/>
      <c r="BB33" s="426"/>
      <c r="BC33" s="426"/>
      <c r="BD33" s="426"/>
      <c r="BE33" s="426"/>
      <c r="BF33" s="426"/>
      <c r="BG33" s="426"/>
      <c r="BH33" s="426"/>
      <c r="BI33" s="426"/>
      <c r="BJ33" s="426"/>
      <c r="BK33" s="426"/>
      <c r="BL33" s="426"/>
      <c r="BM33" s="426"/>
      <c r="BN33" s="426"/>
      <c r="BO33" s="426"/>
      <c r="BP33" s="425"/>
      <c r="BQ33" s="425"/>
      <c r="BR33" s="425"/>
      <c r="BS33" s="425"/>
      <c r="BT33" s="425"/>
      <c r="BU33" s="425"/>
      <c r="BV33" s="425"/>
      <c r="BW33" s="425"/>
      <c r="BX33" s="425"/>
      <c r="BY33" s="425"/>
      <c r="BZ33" s="425"/>
      <c r="CA33" s="425"/>
      <c r="CB33" s="425"/>
      <c r="CC33" s="425"/>
      <c r="CD33" s="425"/>
      <c r="CE33" s="425"/>
      <c r="CF33" s="425"/>
      <c r="CG33" s="425"/>
      <c r="CH33" s="96"/>
      <c r="CI33" s="96"/>
      <c r="CJ33" s="96"/>
      <c r="CK33" s="96"/>
      <c r="CL33" s="96"/>
      <c r="CM33" s="96"/>
      <c r="CN33" s="96"/>
      <c r="CO33" s="96"/>
      <c r="CP33" s="96"/>
      <c r="CQ33" s="96"/>
      <c r="CR33" s="96"/>
      <c r="CS33" s="96"/>
      <c r="CT33" s="96"/>
      <c r="CU33" s="96"/>
      <c r="CV33" s="96"/>
      <c r="CW33" s="427"/>
      <c r="CX33" s="427"/>
      <c r="CY33" s="427"/>
      <c r="CZ33" s="427"/>
      <c r="DA33" s="427"/>
      <c r="DB33" s="427"/>
      <c r="DC33" s="427"/>
      <c r="DD33" s="427"/>
      <c r="DE33" s="427"/>
      <c r="DF33" s="427"/>
      <c r="DG33" s="427"/>
      <c r="DH33" s="427"/>
      <c r="DI33" s="427"/>
      <c r="DJ33" s="427"/>
      <c r="DK33" s="427"/>
      <c r="DL33" s="427"/>
      <c r="DM33" s="427"/>
      <c r="DN33" s="427"/>
      <c r="DO33" s="427"/>
      <c r="DP33" s="427"/>
      <c r="DQ33" s="427"/>
      <c r="DR33" s="427"/>
      <c r="DS33" s="427"/>
      <c r="DT33" s="427"/>
      <c r="DU33" s="427"/>
      <c r="DV33" s="451"/>
      <c r="DW33" s="451"/>
      <c r="DX33" s="451"/>
      <c r="DY33" s="451"/>
      <c r="DZ33" s="451"/>
      <c r="EA33" s="451"/>
      <c r="EB33" s="451"/>
      <c r="EC33" s="451"/>
      <c r="ED33" s="451"/>
      <c r="EE33" s="451"/>
      <c r="EF33" s="451"/>
      <c r="EG33" s="451"/>
      <c r="EH33" s="451"/>
      <c r="EI33" s="451"/>
      <c r="EJ33" s="451"/>
    </row>
    <row r="34" spans="1:140" ht="17.25" customHeight="1" x14ac:dyDescent="0.3">
      <c r="A34" s="444" t="s">
        <v>940</v>
      </c>
      <c r="B34" s="445">
        <v>19964.110167409999</v>
      </c>
      <c r="C34" s="446">
        <v>20456.15655851</v>
      </c>
      <c r="D34" s="446">
        <v>20656.54350453</v>
      </c>
      <c r="E34" s="446">
        <v>20976.469956159999</v>
      </c>
      <c r="F34" s="446">
        <v>23542.384742170001</v>
      </c>
      <c r="G34" s="446">
        <v>20273.87106505</v>
      </c>
      <c r="H34" s="446">
        <v>18508.569286829999</v>
      </c>
      <c r="I34" s="446">
        <v>19472.344551769998</v>
      </c>
      <c r="J34" s="446">
        <v>20495.222189169999</v>
      </c>
      <c r="K34" s="446">
        <v>20301.791217229998</v>
      </c>
      <c r="L34" s="446">
        <v>20191.020255149997</v>
      </c>
      <c r="M34" s="446">
        <v>21361.044988709997</v>
      </c>
      <c r="N34" s="446">
        <v>19413.827296809999</v>
      </c>
      <c r="O34" s="446">
        <v>19582.327154339997</v>
      </c>
      <c r="P34" s="446">
        <v>18243.485036359998</v>
      </c>
      <c r="Q34" s="446">
        <v>17904.736877859999</v>
      </c>
      <c r="R34" s="446">
        <v>18921.887750959999</v>
      </c>
      <c r="S34" s="446">
        <v>20149.1601701</v>
      </c>
      <c r="T34" s="446">
        <v>18753.241767789998</v>
      </c>
      <c r="U34" s="446">
        <v>19617.36774234</v>
      </c>
      <c r="V34" s="446">
        <v>19604.223607200001</v>
      </c>
      <c r="W34" s="446">
        <v>21354.738473539997</v>
      </c>
      <c r="X34" s="446">
        <v>20283.88373102</v>
      </c>
      <c r="Y34" s="446">
        <v>19542.970377910002</v>
      </c>
      <c r="Z34" s="446">
        <v>21291.50351029</v>
      </c>
      <c r="AA34" s="446">
        <v>21595.119234290003</v>
      </c>
      <c r="AB34" s="446">
        <v>20783.147565799998</v>
      </c>
      <c r="AC34" s="446">
        <v>21203.46923585</v>
      </c>
      <c r="AD34" s="446">
        <v>19954.35588607</v>
      </c>
      <c r="AE34" s="446">
        <v>23783.569044780001</v>
      </c>
      <c r="AF34" s="446">
        <v>23780.145553330003</v>
      </c>
      <c r="AG34" s="446">
        <v>23569.844059790001</v>
      </c>
      <c r="AH34" s="446">
        <v>25164.681625080102</v>
      </c>
      <c r="AI34" s="446">
        <v>26025.415872760001</v>
      </c>
      <c r="AJ34" s="446">
        <v>25692.210255179998</v>
      </c>
      <c r="AK34" s="446">
        <v>25383.877467489983</v>
      </c>
      <c r="AL34" s="446">
        <v>25930.891317520014</v>
      </c>
      <c r="AM34" s="446">
        <v>25189.279282339958</v>
      </c>
      <c r="AN34" s="420">
        <v>25613.860504809993</v>
      </c>
      <c r="AO34" s="420">
        <v>25224.743159949947</v>
      </c>
      <c r="AP34" s="420">
        <v>23948.197494770015</v>
      </c>
      <c r="AQ34" s="420">
        <v>21850.039449129996</v>
      </c>
      <c r="AR34" s="420">
        <v>22254.871252340021</v>
      </c>
      <c r="AS34" s="420">
        <v>21879.72865525998</v>
      </c>
      <c r="AT34" s="420">
        <v>22545.301191179984</v>
      </c>
      <c r="AU34" s="420">
        <v>22101.591468449988</v>
      </c>
      <c r="AV34" s="420">
        <v>21365.243426009969</v>
      </c>
      <c r="AW34" s="420">
        <v>20881.14524601998</v>
      </c>
      <c r="AX34" s="420">
        <v>20472.976203240014</v>
      </c>
      <c r="AY34" s="420">
        <v>21487.784692900022</v>
      </c>
      <c r="AZ34" s="420">
        <v>21928.267963229922</v>
      </c>
      <c r="BA34" s="420">
        <v>21797.014970980046</v>
      </c>
      <c r="BB34" s="420">
        <v>22086.19730513003</v>
      </c>
      <c r="BC34" s="420">
        <v>22650.277264699977</v>
      </c>
      <c r="BD34" s="420">
        <v>21679.910396959978</v>
      </c>
      <c r="BE34" s="420">
        <v>22462.728441649982</v>
      </c>
      <c r="BF34" s="420">
        <v>20288.861448660031</v>
      </c>
      <c r="BG34" s="420">
        <v>18978.052171999949</v>
      </c>
      <c r="BH34" s="420">
        <v>18191.658810679994</v>
      </c>
      <c r="BI34" s="420">
        <v>17271.864959959996</v>
      </c>
      <c r="BJ34" s="420">
        <v>16252.714630709965</v>
      </c>
      <c r="BK34" s="420">
        <v>18325.476515089984</v>
      </c>
      <c r="BL34" s="420">
        <v>27006.25268139</v>
      </c>
      <c r="BM34" s="420">
        <v>26101.492148820111</v>
      </c>
      <c r="BN34" s="420">
        <v>24870.176161724856</v>
      </c>
      <c r="BO34" s="420">
        <v>24471.645377400018</v>
      </c>
      <c r="BP34" s="419">
        <v>23760.590670869977</v>
      </c>
      <c r="BQ34" s="419">
        <v>23082.71069057002</v>
      </c>
      <c r="BR34" s="419">
        <v>24280.758976100049</v>
      </c>
      <c r="BS34" s="419">
        <v>25590.232428529933</v>
      </c>
      <c r="BT34" s="419">
        <v>25098.625338600003</v>
      </c>
      <c r="BU34" s="419">
        <v>24330.692173520045</v>
      </c>
      <c r="BV34" s="419">
        <v>24688.323351009974</v>
      </c>
      <c r="BW34" s="419">
        <v>25037.211866000027</v>
      </c>
      <c r="BX34" s="419">
        <v>25089.035267669948</v>
      </c>
      <c r="BY34" s="419">
        <v>24090.776523889981</v>
      </c>
      <c r="BZ34" s="419">
        <v>24578.904463949977</v>
      </c>
      <c r="CA34" s="419">
        <v>25995.394258479944</v>
      </c>
      <c r="CB34" s="419">
        <v>25933.130423700044</v>
      </c>
      <c r="CC34" s="419">
        <v>24933.187775389986</v>
      </c>
      <c r="CD34" s="419">
        <v>25807.537072730051</v>
      </c>
      <c r="CE34" s="419">
        <v>26103.819359800116</v>
      </c>
      <c r="CF34" s="419">
        <v>24442.946636389959</v>
      </c>
      <c r="CG34" s="419">
        <v>23689.873631919989</v>
      </c>
      <c r="CH34" s="94">
        <v>23188.90674147004</v>
      </c>
      <c r="CI34" s="94">
        <v>23496.741578239998</v>
      </c>
      <c r="CJ34" s="94">
        <v>22597.495759479989</v>
      </c>
      <c r="CK34" s="94">
        <v>22044.530639399971</v>
      </c>
      <c r="CL34" s="94">
        <v>21561.821478250007</v>
      </c>
      <c r="CM34" s="94">
        <v>19811.472098009999</v>
      </c>
      <c r="CN34" s="94">
        <v>15924.198801319966</v>
      </c>
      <c r="CO34" s="94">
        <v>13081.932868679964</v>
      </c>
      <c r="CP34" s="94">
        <v>18469.000551759978</v>
      </c>
      <c r="CQ34" s="94">
        <v>20435.040907790011</v>
      </c>
      <c r="CR34" s="94">
        <v>17745.504284119903</v>
      </c>
      <c r="CS34" s="94">
        <v>17770.187594280058</v>
      </c>
      <c r="CT34" s="94">
        <v>13353.068122100005</v>
      </c>
      <c r="CU34" s="94">
        <v>15538.917807289947</v>
      </c>
      <c r="CV34" s="94">
        <v>18076.365482630034</v>
      </c>
      <c r="CW34" s="421">
        <v>22476.450769049956</v>
      </c>
      <c r="CX34" s="421">
        <v>21764.401940069976</v>
      </c>
      <c r="CY34" s="421">
        <v>19920.449408879998</v>
      </c>
      <c r="CZ34" s="421">
        <v>17132.549358880002</v>
      </c>
      <c r="DA34" s="421">
        <v>17331.741958690058</v>
      </c>
      <c r="DB34" s="421">
        <v>16655.315602609982</v>
      </c>
      <c r="DC34" s="421">
        <v>17236.659394390081</v>
      </c>
      <c r="DD34" s="421">
        <v>16047.574822380067</v>
      </c>
      <c r="DE34" s="421">
        <v>16794.55439085004</v>
      </c>
      <c r="DF34" s="421">
        <v>16187.812679669985</v>
      </c>
      <c r="DG34" s="421">
        <v>17285.976926669988</v>
      </c>
      <c r="DH34" s="421">
        <v>21126.782202980045</v>
      </c>
      <c r="DI34" s="421">
        <v>23277.807549940124</v>
      </c>
      <c r="DJ34" s="421">
        <v>26886.065392700013</v>
      </c>
      <c r="DK34" s="421">
        <v>30796.05285072992</v>
      </c>
      <c r="DL34" s="421">
        <v>32248.78907285001</v>
      </c>
      <c r="DM34" s="421">
        <v>34263.150843110052</v>
      </c>
      <c r="DN34" s="421">
        <v>36312.045858509955</v>
      </c>
      <c r="DO34" s="421">
        <v>36818.002139040036</v>
      </c>
      <c r="DP34" s="421">
        <v>38480.682415569943</v>
      </c>
      <c r="DQ34" s="421">
        <v>22423.470864930048</v>
      </c>
      <c r="DR34" s="421">
        <v>25347.25553749987</v>
      </c>
      <c r="DS34" s="421">
        <v>29915.161736709953</v>
      </c>
      <c r="DT34" s="421">
        <v>33266.74863743993</v>
      </c>
      <c r="DU34" s="421">
        <v>43315.521985109976</v>
      </c>
      <c r="DV34" s="447">
        <v>45358.747164090011</v>
      </c>
      <c r="DW34" s="447">
        <v>48614.019775939989</v>
      </c>
      <c r="DX34" s="447">
        <v>51944.345824869946</v>
      </c>
      <c r="DY34" s="447">
        <v>51706.888492540071</v>
      </c>
      <c r="DZ34" s="447">
        <v>51174.950152169957</v>
      </c>
      <c r="EA34" s="447">
        <v>51147.822299679843</v>
      </c>
      <c r="EB34" s="447">
        <v>53731.527280900147</v>
      </c>
      <c r="EC34" s="447">
        <v>54840.327218580074</v>
      </c>
      <c r="ED34" s="447">
        <v>54825.346195260252</v>
      </c>
      <c r="EE34" s="447">
        <v>54663.651045490231</v>
      </c>
      <c r="EF34" s="447">
        <v>56369.384690699953</v>
      </c>
      <c r="EG34" s="447">
        <v>27134.189067319825</v>
      </c>
      <c r="EH34" s="447">
        <v>31768.780279029783</v>
      </c>
      <c r="EI34" s="447">
        <v>40194.416965589997</v>
      </c>
      <c r="EJ34" s="447">
        <v>40183.213761679712</v>
      </c>
    </row>
    <row r="35" spans="1:140" ht="17.25" x14ac:dyDescent="0.3">
      <c r="A35" s="448"/>
      <c r="B35" s="449"/>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450"/>
      <c r="AM35" s="450"/>
      <c r="AN35" s="426"/>
      <c r="AO35" s="426"/>
      <c r="AP35" s="426"/>
      <c r="AQ35" s="426"/>
      <c r="AR35" s="426"/>
      <c r="AS35" s="426"/>
      <c r="AT35" s="426"/>
      <c r="AU35" s="426"/>
      <c r="AV35" s="426"/>
      <c r="AW35" s="426"/>
      <c r="AX35" s="426"/>
      <c r="AY35" s="426"/>
      <c r="AZ35" s="426"/>
      <c r="BA35" s="426"/>
      <c r="BB35" s="426"/>
      <c r="BC35" s="426"/>
      <c r="BD35" s="426"/>
      <c r="BE35" s="426"/>
      <c r="BF35" s="426"/>
      <c r="BG35" s="426"/>
      <c r="BH35" s="426"/>
      <c r="BI35" s="426"/>
      <c r="BJ35" s="426"/>
      <c r="BK35" s="426"/>
      <c r="BL35" s="426"/>
      <c r="BM35" s="426"/>
      <c r="BN35" s="426"/>
      <c r="BO35" s="426"/>
      <c r="BP35" s="425"/>
      <c r="BQ35" s="425"/>
      <c r="BR35" s="425"/>
      <c r="BS35" s="425"/>
      <c r="BT35" s="425"/>
      <c r="BU35" s="425"/>
      <c r="BV35" s="425"/>
      <c r="BW35" s="425"/>
      <c r="BX35" s="425"/>
      <c r="BY35" s="425"/>
      <c r="BZ35" s="425"/>
      <c r="CA35" s="425"/>
      <c r="CB35" s="425"/>
      <c r="CC35" s="425"/>
      <c r="CD35" s="425"/>
      <c r="CE35" s="425"/>
      <c r="CF35" s="425"/>
      <c r="CG35" s="425"/>
      <c r="CH35" s="96"/>
      <c r="CI35" s="96"/>
      <c r="CJ35" s="96"/>
      <c r="CK35" s="96"/>
      <c r="CL35" s="96"/>
      <c r="CM35" s="96"/>
      <c r="CN35" s="96"/>
      <c r="CO35" s="96"/>
      <c r="CP35" s="96"/>
      <c r="CQ35" s="96"/>
      <c r="CR35" s="96"/>
      <c r="CS35" s="96"/>
      <c r="CT35" s="96"/>
      <c r="CU35" s="96"/>
      <c r="CV35" s="96"/>
      <c r="CW35" s="427"/>
      <c r="CX35" s="427"/>
      <c r="CY35" s="427"/>
      <c r="CZ35" s="427"/>
      <c r="DA35" s="427"/>
      <c r="DB35" s="427"/>
      <c r="DC35" s="427"/>
      <c r="DD35" s="427"/>
      <c r="DE35" s="427"/>
      <c r="DF35" s="427"/>
      <c r="DG35" s="427"/>
      <c r="DH35" s="427"/>
      <c r="DI35" s="427"/>
      <c r="DJ35" s="427"/>
      <c r="DK35" s="427"/>
      <c r="DL35" s="427"/>
      <c r="DM35" s="427"/>
      <c r="DN35" s="427"/>
      <c r="DO35" s="427"/>
      <c r="DP35" s="427"/>
      <c r="DQ35" s="427"/>
      <c r="DR35" s="427"/>
      <c r="DS35" s="427"/>
      <c r="DT35" s="427"/>
      <c r="DU35" s="427"/>
      <c r="DV35" s="451"/>
      <c r="DW35" s="451"/>
      <c r="DX35" s="451"/>
      <c r="DY35" s="451"/>
      <c r="DZ35" s="451"/>
      <c r="EA35" s="451"/>
      <c r="EB35" s="451"/>
      <c r="EC35" s="451"/>
      <c r="ED35" s="451"/>
      <c r="EE35" s="451"/>
      <c r="EF35" s="451"/>
      <c r="EG35" s="451"/>
      <c r="EH35" s="451"/>
      <c r="EI35" s="451"/>
      <c r="EJ35" s="451"/>
    </row>
    <row r="36" spans="1:140" ht="17.25" customHeight="1" x14ac:dyDescent="0.3">
      <c r="A36" s="444" t="s">
        <v>171</v>
      </c>
      <c r="B36" s="445">
        <v>-1434.667344337124</v>
      </c>
      <c r="C36" s="446">
        <v>-1477.1395861087244</v>
      </c>
      <c r="D36" s="446">
        <v>-1358.796941880126</v>
      </c>
      <c r="E36" s="446">
        <v>-1458.96645092479</v>
      </c>
      <c r="F36" s="446">
        <v>-1381.6226738184043</v>
      </c>
      <c r="G36" s="446">
        <v>-963.28624081337387</v>
      </c>
      <c r="H36" s="446">
        <v>422.07065105018188</v>
      </c>
      <c r="I36" s="446">
        <v>-978.82857102485036</v>
      </c>
      <c r="J36" s="446">
        <v>-823.93375902726427</v>
      </c>
      <c r="K36" s="446">
        <v>-850.77931149989365</v>
      </c>
      <c r="L36" s="446">
        <v>-987.49065916572863</v>
      </c>
      <c r="M36" s="446">
        <v>-936.4391397666551</v>
      </c>
      <c r="N36" s="446">
        <v>-736.96161155021503</v>
      </c>
      <c r="O36" s="446">
        <v>-1051.1752037621868</v>
      </c>
      <c r="P36" s="446">
        <v>-1021.8921495364106</v>
      </c>
      <c r="Q36" s="446">
        <v>-832.03756500450504</v>
      </c>
      <c r="R36" s="446">
        <v>-730.79269520945854</v>
      </c>
      <c r="S36" s="446">
        <v>-759.96603815235449</v>
      </c>
      <c r="T36" s="446">
        <v>-504.77425950995183</v>
      </c>
      <c r="U36" s="446">
        <v>-508.68117633964766</v>
      </c>
      <c r="V36" s="446">
        <v>-893.80414623820752</v>
      </c>
      <c r="W36" s="446">
        <v>-763.39340329816673</v>
      </c>
      <c r="X36" s="446">
        <v>-790.29161976840771</v>
      </c>
      <c r="Y36" s="446">
        <v>-816.00497894945283</v>
      </c>
      <c r="Z36" s="446">
        <v>-832.01725442353654</v>
      </c>
      <c r="AA36" s="446">
        <v>-933.02095446765031</v>
      </c>
      <c r="AB36" s="446">
        <v>-911.91733136025948</v>
      </c>
      <c r="AC36" s="446">
        <v>-867.71302911767884</v>
      </c>
      <c r="AD36" s="446">
        <v>-745.94810927188189</v>
      </c>
      <c r="AE36" s="446">
        <v>-918.58672977184278</v>
      </c>
      <c r="AF36" s="446">
        <v>-226.3974311698656</v>
      </c>
      <c r="AG36" s="446">
        <v>-387.84265693047922</v>
      </c>
      <c r="AH36" s="446">
        <v>-365.45336159888342</v>
      </c>
      <c r="AI36" s="446">
        <v>-802.39928888553823</v>
      </c>
      <c r="AJ36" s="446">
        <v>-837.88849807393342</v>
      </c>
      <c r="AK36" s="446">
        <v>-770.03294562189137</v>
      </c>
      <c r="AL36" s="446">
        <v>-706.71763879889261</v>
      </c>
      <c r="AM36" s="446">
        <v>-789.79346798723486</v>
      </c>
      <c r="AN36" s="420">
        <v>-768.23533532531997</v>
      </c>
      <c r="AO36" s="420">
        <v>-720.28712618726922</v>
      </c>
      <c r="AP36" s="420">
        <v>-805.11434280500669</v>
      </c>
      <c r="AQ36" s="420">
        <v>-791.2372303008666</v>
      </c>
      <c r="AR36" s="420">
        <v>-528.62362887682525</v>
      </c>
      <c r="AS36" s="420">
        <v>-292.27452656486992</v>
      </c>
      <c r="AT36" s="420">
        <v>-471.44493521788257</v>
      </c>
      <c r="AU36" s="420">
        <v>-625.18479977963523</v>
      </c>
      <c r="AV36" s="420">
        <v>-591.5090061080225</v>
      </c>
      <c r="AW36" s="420">
        <v>-461.1157980625905</v>
      </c>
      <c r="AX36" s="420">
        <v>-571.83377932754422</v>
      </c>
      <c r="AY36" s="420">
        <v>-701.1908600242333</v>
      </c>
      <c r="AZ36" s="420">
        <v>-648.70551274924367</v>
      </c>
      <c r="BA36" s="420">
        <v>-771.73986722279722</v>
      </c>
      <c r="BB36" s="420">
        <v>-795.70958153309766</v>
      </c>
      <c r="BC36" s="420">
        <v>-637.35298319984395</v>
      </c>
      <c r="BD36" s="420">
        <v>-539.34628236549941</v>
      </c>
      <c r="BE36" s="420">
        <v>-576.38832892289986</v>
      </c>
      <c r="BF36" s="420">
        <v>-580.47644205281802</v>
      </c>
      <c r="BG36" s="420">
        <v>-218.5600711052563</v>
      </c>
      <c r="BH36" s="420">
        <v>-198.01053248810692</v>
      </c>
      <c r="BI36" s="420">
        <v>18.417431191710673</v>
      </c>
      <c r="BJ36" s="420">
        <v>-192.51418336793432</v>
      </c>
      <c r="BK36" s="420">
        <v>-223.54069141485081</v>
      </c>
      <c r="BL36" s="420">
        <v>-83.283343983249893</v>
      </c>
      <c r="BM36" s="420">
        <v>-169.83530557149891</v>
      </c>
      <c r="BN36" s="420">
        <v>-200.29556304832823</v>
      </c>
      <c r="BO36" s="420">
        <v>-98.296839244733789</v>
      </c>
      <c r="BP36" s="419">
        <v>-143.22414376783343</v>
      </c>
      <c r="BQ36" s="419">
        <v>-101.17105117024779</v>
      </c>
      <c r="BR36" s="419">
        <v>-42.97057549160867</v>
      </c>
      <c r="BS36" s="419">
        <v>13.426260070348064</v>
      </c>
      <c r="BT36" s="419">
        <v>-77.607520890654939</v>
      </c>
      <c r="BU36" s="419">
        <v>-120.42892680083372</v>
      </c>
      <c r="BV36" s="419">
        <v>-174.99323925486189</v>
      </c>
      <c r="BW36" s="419">
        <v>-197.48082146669412</v>
      </c>
      <c r="BX36" s="419">
        <v>-79.183197611921059</v>
      </c>
      <c r="BY36" s="419">
        <v>-150.11271862557624</v>
      </c>
      <c r="BZ36" s="419">
        <v>-249.25243105175343</v>
      </c>
      <c r="CA36" s="419">
        <v>-284.40648506650109</v>
      </c>
      <c r="CB36" s="419">
        <v>72.088989495391274</v>
      </c>
      <c r="CC36" s="419">
        <v>-292.23295447361454</v>
      </c>
      <c r="CD36" s="419">
        <v>-262.29288709611149</v>
      </c>
      <c r="CE36" s="419">
        <v>344.2125126538017</v>
      </c>
      <c r="CF36" s="419">
        <v>410.39800806062999</v>
      </c>
      <c r="CG36" s="419">
        <v>425.64204574198817</v>
      </c>
      <c r="CH36" s="94">
        <v>-13.538061218687098</v>
      </c>
      <c r="CI36" s="94">
        <v>-14.448521658266181</v>
      </c>
      <c r="CJ36" s="94">
        <v>28.452355463166732</v>
      </c>
      <c r="CK36" s="94">
        <v>117.4026793225201</v>
      </c>
      <c r="CL36" s="94">
        <v>113.49286204393974</v>
      </c>
      <c r="CM36" s="94">
        <v>885.51341502868547</v>
      </c>
      <c r="CN36" s="94">
        <v>874.47275256823605</v>
      </c>
      <c r="CO36" s="94">
        <v>692.60368012806362</v>
      </c>
      <c r="CP36" s="94">
        <v>757.5906453765906</v>
      </c>
      <c r="CQ36" s="94">
        <v>824.49804802535368</v>
      </c>
      <c r="CR36" s="94">
        <v>252.57199787308105</v>
      </c>
      <c r="CS36" s="94">
        <v>198.65246048526285</v>
      </c>
      <c r="CT36" s="94">
        <v>249.07233585688198</v>
      </c>
      <c r="CU36" s="94">
        <v>-195.63840161436303</v>
      </c>
      <c r="CV36" s="94">
        <v>-250.58561964910257</v>
      </c>
      <c r="CW36" s="421">
        <v>-209.99915048719703</v>
      </c>
      <c r="CX36" s="421">
        <v>-197.69349635031514</v>
      </c>
      <c r="CY36" s="421">
        <v>-290.21345935776117</v>
      </c>
      <c r="CZ36" s="421">
        <v>-480.37297875576337</v>
      </c>
      <c r="DA36" s="421">
        <v>-762.6992331815793</v>
      </c>
      <c r="DB36" s="421">
        <v>-944.32704440072484</v>
      </c>
      <c r="DC36" s="421">
        <v>-340.82413927257477</v>
      </c>
      <c r="DD36" s="421">
        <v>-466.06514340669202</v>
      </c>
      <c r="DE36" s="421">
        <v>-746.67006372587366</v>
      </c>
      <c r="DF36" s="421">
        <v>-1180.286852710776</v>
      </c>
      <c r="DG36" s="421">
        <v>-861.68118366403019</v>
      </c>
      <c r="DH36" s="421">
        <v>-1059.6681897416761</v>
      </c>
      <c r="DI36" s="421">
        <v>-1216.0658879815901</v>
      </c>
      <c r="DJ36" s="421">
        <v>-1227.2218751968262</v>
      </c>
      <c r="DK36" s="421">
        <v>-1426.6472765607034</v>
      </c>
      <c r="DL36" s="421">
        <v>593.18094874911458</v>
      </c>
      <c r="DM36" s="421">
        <v>516.12391482636963</v>
      </c>
      <c r="DN36" s="421">
        <v>405.81119199809683</v>
      </c>
      <c r="DO36" s="421">
        <v>345.32533107328396</v>
      </c>
      <c r="DP36" s="421">
        <v>307.191036963621</v>
      </c>
      <c r="DQ36" s="421">
        <v>52.294709305526148</v>
      </c>
      <c r="DR36" s="421">
        <v>-718.02153887484747</v>
      </c>
      <c r="DS36" s="421">
        <v>-903.45221099238915</v>
      </c>
      <c r="DT36" s="421">
        <v>-486.51307189057411</v>
      </c>
      <c r="DU36" s="421">
        <v>-1219.9579763794325</v>
      </c>
      <c r="DV36" s="447">
        <v>-1430.9035418816873</v>
      </c>
      <c r="DW36" s="447">
        <v>-1592.2142798324621</v>
      </c>
      <c r="DX36" s="447">
        <v>1033.827669176369</v>
      </c>
      <c r="DY36" s="447">
        <v>-39012.013914347088</v>
      </c>
      <c r="DZ36" s="447">
        <v>-55034.417717449447</v>
      </c>
      <c r="EA36" s="447">
        <v>-60811.162764399603</v>
      </c>
      <c r="EB36" s="447">
        <v>-61286.622318002424</v>
      </c>
      <c r="EC36" s="447">
        <v>-60205.099149462869</v>
      </c>
      <c r="ED36" s="447">
        <v>-60700.553695226125</v>
      </c>
      <c r="EE36" s="447">
        <v>-60973.838605188532</v>
      </c>
      <c r="EF36" s="447">
        <v>-60684.509448431279</v>
      </c>
      <c r="EG36" s="447">
        <v>-29444.138719260791</v>
      </c>
      <c r="EH36" s="447">
        <v>-29626.753758330637</v>
      </c>
      <c r="EI36" s="447">
        <v>-29735.971778172636</v>
      </c>
      <c r="EJ36" s="447">
        <v>-27124.784608800677</v>
      </c>
    </row>
    <row r="37" spans="1:140" ht="18" thickBot="1" x14ac:dyDescent="0.35">
      <c r="A37" s="465"/>
      <c r="B37" s="466"/>
      <c r="C37" s="467"/>
      <c r="D37" s="467"/>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7"/>
      <c r="AO37" s="467"/>
      <c r="AP37" s="467"/>
      <c r="AQ37" s="467"/>
      <c r="AR37" s="467"/>
      <c r="AS37" s="467"/>
      <c r="AT37" s="467"/>
      <c r="AU37" s="467"/>
      <c r="AV37" s="467"/>
      <c r="AW37" s="467"/>
      <c r="AX37" s="467"/>
      <c r="AY37" s="467"/>
      <c r="AZ37" s="467"/>
      <c r="BA37" s="467"/>
      <c r="BB37" s="467"/>
      <c r="BC37" s="467"/>
      <c r="BD37" s="467"/>
      <c r="BE37" s="467"/>
      <c r="BF37" s="467"/>
      <c r="BG37" s="467"/>
      <c r="BH37" s="467"/>
      <c r="BI37" s="467"/>
      <c r="BJ37" s="467"/>
      <c r="BK37" s="467"/>
      <c r="BL37" s="467"/>
      <c r="BM37" s="467"/>
      <c r="BN37" s="467"/>
      <c r="BO37" s="467"/>
      <c r="BP37" s="432"/>
      <c r="BQ37" s="432"/>
      <c r="BR37" s="432"/>
      <c r="BS37" s="432"/>
      <c r="BT37" s="432"/>
      <c r="BU37" s="432"/>
      <c r="BV37" s="432"/>
      <c r="BW37" s="432"/>
      <c r="BX37" s="432"/>
      <c r="BY37" s="432"/>
      <c r="BZ37" s="432"/>
      <c r="CA37" s="432"/>
      <c r="CB37" s="432"/>
      <c r="CC37" s="432"/>
      <c r="CD37" s="432"/>
      <c r="CE37" s="432"/>
      <c r="CF37" s="432"/>
      <c r="CG37" s="432"/>
      <c r="CH37" s="109"/>
      <c r="CI37" s="109"/>
      <c r="CJ37" s="109"/>
      <c r="CK37" s="109"/>
      <c r="CL37" s="109"/>
      <c r="CM37" s="109"/>
      <c r="CN37" s="109"/>
      <c r="CO37" s="109"/>
      <c r="CP37" s="109"/>
      <c r="CQ37" s="109"/>
      <c r="CR37" s="109"/>
      <c r="CS37" s="109"/>
      <c r="CT37" s="109"/>
      <c r="CU37" s="109"/>
      <c r="CV37" s="109"/>
      <c r="CW37" s="109"/>
      <c r="CX37" s="468"/>
      <c r="CY37" s="468"/>
      <c r="CZ37" s="468"/>
      <c r="DA37" s="468"/>
      <c r="DB37" s="468"/>
      <c r="DC37" s="468"/>
      <c r="DD37" s="468"/>
      <c r="DE37" s="468"/>
      <c r="DF37" s="468"/>
      <c r="DG37" s="468"/>
      <c r="DH37" s="468"/>
      <c r="DI37" s="468"/>
      <c r="DJ37" s="468"/>
      <c r="DK37" s="468"/>
      <c r="DL37" s="468"/>
      <c r="DM37" s="468"/>
      <c r="DN37" s="468"/>
      <c r="DO37" s="468"/>
      <c r="DP37" s="468"/>
      <c r="DQ37" s="468"/>
      <c r="DR37" s="468"/>
      <c r="DS37" s="468"/>
      <c r="DT37" s="468"/>
      <c r="DU37" s="468"/>
      <c r="DV37" s="469"/>
      <c r="DW37" s="469"/>
      <c r="DX37" s="469"/>
      <c r="DY37" s="469"/>
      <c r="DZ37" s="469"/>
      <c r="EA37" s="469"/>
      <c r="EB37" s="469"/>
      <c r="EC37" s="469"/>
      <c r="ED37" s="469"/>
      <c r="EE37" s="469"/>
      <c r="EF37" s="469"/>
      <c r="EG37" s="469"/>
      <c r="EH37" s="469"/>
      <c r="EI37" s="469"/>
      <c r="EJ37" s="469"/>
    </row>
    <row r="38" spans="1:140" s="102" customFormat="1" ht="15.75" customHeight="1" thickTop="1" x14ac:dyDescent="0.25">
      <c r="A38" s="102" t="s">
        <v>172</v>
      </c>
      <c r="B38" s="470"/>
    </row>
    <row r="39" spans="1:140" s="102" customFormat="1" ht="15.75" customHeight="1" x14ac:dyDescent="0.25">
      <c r="A39" s="434" t="s">
        <v>984</v>
      </c>
    </row>
    <row r="40" spans="1:140" s="102" customFormat="1" ht="15.75" customHeight="1" x14ac:dyDescent="0.25">
      <c r="A40" s="102" t="s">
        <v>985</v>
      </c>
    </row>
    <row r="41" spans="1:140" s="102" customFormat="1" ht="15.75" customHeight="1" x14ac:dyDescent="0.25">
      <c r="A41" s="434" t="s">
        <v>986</v>
      </c>
      <c r="B41" s="470"/>
    </row>
    <row r="42" spans="1:140" s="102" customFormat="1" ht="15.75" customHeight="1" x14ac:dyDescent="0.25">
      <c r="A42" s="102" t="s">
        <v>987</v>
      </c>
      <c r="B42" s="470"/>
    </row>
    <row r="43" spans="1:140" s="102" customFormat="1" ht="15.75" customHeight="1" x14ac:dyDescent="0.25">
      <c r="A43" s="103" t="s">
        <v>134</v>
      </c>
      <c r="B43" s="470"/>
    </row>
    <row r="44" spans="1:140" x14ac:dyDescent="0.25">
      <c r="A44" s="102"/>
    </row>
  </sheetData>
  <pageMargins left="0.75" right="0.75" top="0.75" bottom="0.75" header="0.3" footer="0"/>
  <pageSetup paperSize="9" scale="62"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WUS59"/>
  <sheetViews>
    <sheetView showGridLines="0" zoomScale="90" zoomScaleNormal="90" zoomScaleSheetLayoutView="100" workbookViewId="0">
      <pane xSplit="7" ySplit="3" topLeftCell="H4" activePane="bottomRight" state="frozen"/>
      <selection activeCell="K39" sqref="K39"/>
      <selection pane="topRight" activeCell="K39" sqref="K39"/>
      <selection pane="bottomLeft" activeCell="K39" sqref="K39"/>
      <selection pane="bottomRight" activeCell="B61" sqref="B61"/>
    </sheetView>
  </sheetViews>
  <sheetFormatPr defaultRowHeight="17.25" x14ac:dyDescent="0.3"/>
  <cols>
    <col min="1" max="1" width="15.7109375" style="53" customWidth="1"/>
    <col min="2" max="2" width="60.7109375" style="84" bestFit="1" customWidth="1"/>
    <col min="3" max="3" width="15.140625" style="53" hidden="1" customWidth="1"/>
    <col min="4" max="6" width="15.85546875" style="53" hidden="1" customWidth="1"/>
    <col min="7" max="7" width="12.7109375" style="53" hidden="1" customWidth="1"/>
    <col min="8" max="10" width="11.85546875" style="53" hidden="1" customWidth="1"/>
    <col min="11" max="11" width="12.7109375" style="53" hidden="1" customWidth="1"/>
    <col min="12" max="16" width="15.85546875" style="53" hidden="1" customWidth="1"/>
    <col min="17" max="22" width="12.7109375" style="53" hidden="1" customWidth="1"/>
    <col min="23" max="35" width="12.7109375" style="53" customWidth="1"/>
    <col min="36" max="146" width="9.140625" style="53"/>
    <col min="147" max="147" width="5.85546875" style="53" customWidth="1"/>
    <col min="148" max="148" width="55.42578125" style="53" bestFit="1" customWidth="1"/>
    <col min="149" max="241" width="9.140625" style="53" hidden="1" customWidth="1"/>
    <col min="242" max="252" width="10.7109375" style="53" customWidth="1"/>
    <col min="253" max="253" width="10.85546875" style="53" customWidth="1"/>
    <col min="254" max="254" width="10.7109375" style="53" bestFit="1" customWidth="1"/>
    <col min="255" max="402" width="9.140625" style="53"/>
    <col min="403" max="403" width="5.85546875" style="53" customWidth="1"/>
    <col min="404" max="404" width="55.42578125" style="53" bestFit="1" customWidth="1"/>
    <col min="405" max="497" width="9.140625" style="53" hidden="1" customWidth="1"/>
    <col min="498" max="508" width="10.7109375" style="53" customWidth="1"/>
    <col min="509" max="509" width="10.85546875" style="53" customWidth="1"/>
    <col min="510" max="510" width="10.7109375" style="53" bestFit="1" customWidth="1"/>
    <col min="511" max="658" width="9.140625" style="53"/>
    <col min="659" max="659" width="5.85546875" style="53" customWidth="1"/>
    <col min="660" max="660" width="55.42578125" style="53" bestFit="1" customWidth="1"/>
    <col min="661" max="753" width="9.140625" style="53" hidden="1" customWidth="1"/>
    <col min="754" max="764" width="10.7109375" style="53" customWidth="1"/>
    <col min="765" max="765" width="10.85546875" style="53" customWidth="1"/>
    <col min="766" max="766" width="10.7109375" style="53" bestFit="1" customWidth="1"/>
    <col min="767" max="914" width="9.140625" style="53"/>
    <col min="915" max="915" width="5.85546875" style="53" customWidth="1"/>
    <col min="916" max="916" width="55.42578125" style="53" bestFit="1" customWidth="1"/>
    <col min="917" max="1009" width="9.140625" style="53" hidden="1" customWidth="1"/>
    <col min="1010" max="1020" width="10.7109375" style="53" customWidth="1"/>
    <col min="1021" max="1021" width="10.85546875" style="53" customWidth="1"/>
    <col min="1022" max="1022" width="10.7109375" style="53" bestFit="1" customWidth="1"/>
    <col min="1023" max="1170" width="9.140625" style="53"/>
    <col min="1171" max="1171" width="5.85546875" style="53" customWidth="1"/>
    <col min="1172" max="1172" width="55.42578125" style="53" bestFit="1" customWidth="1"/>
    <col min="1173" max="1265" width="9.140625" style="53" hidden="1" customWidth="1"/>
    <col min="1266" max="1276" width="10.7109375" style="53" customWidth="1"/>
    <col min="1277" max="1277" width="10.85546875" style="53" customWidth="1"/>
    <col min="1278" max="1278" width="10.7109375" style="53" bestFit="1" customWidth="1"/>
    <col min="1279" max="1426" width="9.140625" style="53"/>
    <col min="1427" max="1427" width="5.85546875" style="53" customWidth="1"/>
    <col min="1428" max="1428" width="55.42578125" style="53" bestFit="1" customWidth="1"/>
    <col min="1429" max="1521" width="9.140625" style="53" hidden="1" customWidth="1"/>
    <col min="1522" max="1532" width="10.7109375" style="53" customWidth="1"/>
    <col min="1533" max="1533" width="10.85546875" style="53" customWidth="1"/>
    <col min="1534" max="1534" width="10.7109375" style="53" bestFit="1" customWidth="1"/>
    <col min="1535" max="1682" width="9.140625" style="53"/>
    <col min="1683" max="1683" width="5.85546875" style="53" customWidth="1"/>
    <col min="1684" max="1684" width="55.42578125" style="53" bestFit="1" customWidth="1"/>
    <col min="1685" max="1777" width="9.140625" style="53" hidden="1" customWidth="1"/>
    <col min="1778" max="1788" width="10.7109375" style="53" customWidth="1"/>
    <col min="1789" max="1789" width="10.85546875" style="53" customWidth="1"/>
    <col min="1790" max="1790" width="10.7109375" style="53" bestFit="1" customWidth="1"/>
    <col min="1791" max="1938" width="9.140625" style="53"/>
    <col min="1939" max="1939" width="5.85546875" style="53" customWidth="1"/>
    <col min="1940" max="1940" width="55.42578125" style="53" bestFit="1" customWidth="1"/>
    <col min="1941" max="2033" width="9.140625" style="53" hidden="1" customWidth="1"/>
    <col min="2034" max="2044" width="10.7109375" style="53" customWidth="1"/>
    <col min="2045" max="2045" width="10.85546875" style="53" customWidth="1"/>
    <col min="2046" max="2046" width="10.7109375" style="53" bestFit="1" customWidth="1"/>
    <col min="2047" max="2194" width="9.140625" style="53"/>
    <col min="2195" max="2195" width="5.85546875" style="53" customWidth="1"/>
    <col min="2196" max="2196" width="55.42578125" style="53" bestFit="1" customWidth="1"/>
    <col min="2197" max="2289" width="9.140625" style="53" hidden="1" customWidth="1"/>
    <col min="2290" max="2300" width="10.7109375" style="53" customWidth="1"/>
    <col min="2301" max="2301" width="10.85546875" style="53" customWidth="1"/>
    <col min="2302" max="2302" width="10.7109375" style="53" bestFit="1" customWidth="1"/>
    <col min="2303" max="2450" width="9.140625" style="53"/>
    <col min="2451" max="2451" width="5.85546875" style="53" customWidth="1"/>
    <col min="2452" max="2452" width="55.42578125" style="53" bestFit="1" customWidth="1"/>
    <col min="2453" max="2545" width="9.140625" style="53" hidden="1" customWidth="1"/>
    <col min="2546" max="2556" width="10.7109375" style="53" customWidth="1"/>
    <col min="2557" max="2557" width="10.85546875" style="53" customWidth="1"/>
    <col min="2558" max="2558" width="10.7109375" style="53" bestFit="1" customWidth="1"/>
    <col min="2559" max="2706" width="9.140625" style="53"/>
    <col min="2707" max="2707" width="5.85546875" style="53" customWidth="1"/>
    <col min="2708" max="2708" width="55.42578125" style="53" bestFit="1" customWidth="1"/>
    <col min="2709" max="2801" width="9.140625" style="53" hidden="1" customWidth="1"/>
    <col min="2802" max="2812" width="10.7109375" style="53" customWidth="1"/>
    <col min="2813" max="2813" width="10.85546875" style="53" customWidth="1"/>
    <col min="2814" max="2814" width="10.7109375" style="53" bestFit="1" customWidth="1"/>
    <col min="2815" max="2962" width="9.140625" style="53"/>
    <col min="2963" max="2963" width="5.85546875" style="53" customWidth="1"/>
    <col min="2964" max="2964" width="55.42578125" style="53" bestFit="1" customWidth="1"/>
    <col min="2965" max="3057" width="9.140625" style="53" hidden="1" customWidth="1"/>
    <col min="3058" max="3068" width="10.7109375" style="53" customWidth="1"/>
    <col min="3069" max="3069" width="10.85546875" style="53" customWidth="1"/>
    <col min="3070" max="3070" width="10.7109375" style="53" bestFit="1" customWidth="1"/>
    <col min="3071" max="3218" width="9.140625" style="53"/>
    <col min="3219" max="3219" width="5.85546875" style="53" customWidth="1"/>
    <col min="3220" max="3220" width="55.42578125" style="53" bestFit="1" customWidth="1"/>
    <col min="3221" max="3313" width="9.140625" style="53" hidden="1" customWidth="1"/>
    <col min="3314" max="3324" width="10.7109375" style="53" customWidth="1"/>
    <col min="3325" max="3325" width="10.85546875" style="53" customWidth="1"/>
    <col min="3326" max="3326" width="10.7109375" style="53" bestFit="1" customWidth="1"/>
    <col min="3327" max="3474" width="9.140625" style="53"/>
    <col min="3475" max="3475" width="5.85546875" style="53" customWidth="1"/>
    <col min="3476" max="3476" width="55.42578125" style="53" bestFit="1" customWidth="1"/>
    <col min="3477" max="3569" width="9.140625" style="53" hidden="1" customWidth="1"/>
    <col min="3570" max="3580" width="10.7109375" style="53" customWidth="1"/>
    <col min="3581" max="3581" width="10.85546875" style="53" customWidth="1"/>
    <col min="3582" max="3582" width="10.7109375" style="53" bestFit="1" customWidth="1"/>
    <col min="3583" max="3730" width="9.140625" style="53"/>
    <col min="3731" max="3731" width="5.85546875" style="53" customWidth="1"/>
    <col min="3732" max="3732" width="55.42578125" style="53" bestFit="1" customWidth="1"/>
    <col min="3733" max="3825" width="9.140625" style="53" hidden="1" customWidth="1"/>
    <col min="3826" max="3836" width="10.7109375" style="53" customWidth="1"/>
    <col min="3837" max="3837" width="10.85546875" style="53" customWidth="1"/>
    <col min="3838" max="3838" width="10.7109375" style="53" bestFit="1" customWidth="1"/>
    <col min="3839" max="3986" width="9.140625" style="53"/>
    <col min="3987" max="3987" width="5.85546875" style="53" customWidth="1"/>
    <col min="3988" max="3988" width="55.42578125" style="53" bestFit="1" customWidth="1"/>
    <col min="3989" max="4081" width="9.140625" style="53" hidden="1" customWidth="1"/>
    <col min="4082" max="4092" width="10.7109375" style="53" customWidth="1"/>
    <col min="4093" max="4093" width="10.85546875" style="53" customWidth="1"/>
    <col min="4094" max="4094" width="10.7109375" style="53" bestFit="1" customWidth="1"/>
    <col min="4095" max="4242" width="9.140625" style="53"/>
    <col min="4243" max="4243" width="5.85546875" style="53" customWidth="1"/>
    <col min="4244" max="4244" width="55.42578125" style="53" bestFit="1" customWidth="1"/>
    <col min="4245" max="4337" width="9.140625" style="53" hidden="1" customWidth="1"/>
    <col min="4338" max="4348" width="10.7109375" style="53" customWidth="1"/>
    <col min="4349" max="4349" width="10.85546875" style="53" customWidth="1"/>
    <col min="4350" max="4350" width="10.7109375" style="53" bestFit="1" customWidth="1"/>
    <col min="4351" max="4498" width="9.140625" style="53"/>
    <col min="4499" max="4499" width="5.85546875" style="53" customWidth="1"/>
    <col min="4500" max="4500" width="55.42578125" style="53" bestFit="1" customWidth="1"/>
    <col min="4501" max="4593" width="9.140625" style="53" hidden="1" customWidth="1"/>
    <col min="4594" max="4604" width="10.7109375" style="53" customWidth="1"/>
    <col min="4605" max="4605" width="10.85546875" style="53" customWidth="1"/>
    <col min="4606" max="4606" width="10.7109375" style="53" bestFit="1" customWidth="1"/>
    <col min="4607" max="4754" width="9.140625" style="53"/>
    <col min="4755" max="4755" width="5.85546875" style="53" customWidth="1"/>
    <col min="4756" max="4756" width="55.42578125" style="53" bestFit="1" customWidth="1"/>
    <col min="4757" max="4849" width="9.140625" style="53" hidden="1" customWidth="1"/>
    <col min="4850" max="4860" width="10.7109375" style="53" customWidth="1"/>
    <col min="4861" max="4861" width="10.85546875" style="53" customWidth="1"/>
    <col min="4862" max="4862" width="10.7109375" style="53" bestFit="1" customWidth="1"/>
    <col min="4863" max="5010" width="9.140625" style="53"/>
    <col min="5011" max="5011" width="5.85546875" style="53" customWidth="1"/>
    <col min="5012" max="5012" width="55.42578125" style="53" bestFit="1" customWidth="1"/>
    <col min="5013" max="5105" width="9.140625" style="53" hidden="1" customWidth="1"/>
    <col min="5106" max="5116" width="10.7109375" style="53" customWidth="1"/>
    <col min="5117" max="5117" width="10.85546875" style="53" customWidth="1"/>
    <col min="5118" max="5118" width="10.7109375" style="53" bestFit="1" customWidth="1"/>
    <col min="5119" max="5266" width="9.140625" style="53"/>
    <col min="5267" max="5267" width="5.85546875" style="53" customWidth="1"/>
    <col min="5268" max="5268" width="55.42578125" style="53" bestFit="1" customWidth="1"/>
    <col min="5269" max="5361" width="9.140625" style="53" hidden="1" customWidth="1"/>
    <col min="5362" max="5372" width="10.7109375" style="53" customWidth="1"/>
    <col min="5373" max="5373" width="10.85546875" style="53" customWidth="1"/>
    <col min="5374" max="5374" width="10.7109375" style="53" bestFit="1" customWidth="1"/>
    <col min="5375" max="5522" width="9.140625" style="53"/>
    <col min="5523" max="5523" width="5.85546875" style="53" customWidth="1"/>
    <col min="5524" max="5524" width="55.42578125" style="53" bestFit="1" customWidth="1"/>
    <col min="5525" max="5617" width="9.140625" style="53" hidden="1" customWidth="1"/>
    <col min="5618" max="5628" width="10.7109375" style="53" customWidth="1"/>
    <col min="5629" max="5629" width="10.85546875" style="53" customWidth="1"/>
    <col min="5630" max="5630" width="10.7109375" style="53" bestFit="1" customWidth="1"/>
    <col min="5631" max="5778" width="9.140625" style="53"/>
    <col min="5779" max="5779" width="5.85546875" style="53" customWidth="1"/>
    <col min="5780" max="5780" width="55.42578125" style="53" bestFit="1" customWidth="1"/>
    <col min="5781" max="5873" width="9.140625" style="53" hidden="1" customWidth="1"/>
    <col min="5874" max="5884" width="10.7109375" style="53" customWidth="1"/>
    <col min="5885" max="5885" width="10.85546875" style="53" customWidth="1"/>
    <col min="5886" max="5886" width="10.7109375" style="53" bestFit="1" customWidth="1"/>
    <col min="5887" max="6034" width="9.140625" style="53"/>
    <col min="6035" max="6035" width="5.85546875" style="53" customWidth="1"/>
    <col min="6036" max="6036" width="55.42578125" style="53" bestFit="1" customWidth="1"/>
    <col min="6037" max="6129" width="9.140625" style="53" hidden="1" customWidth="1"/>
    <col min="6130" max="6140" width="10.7109375" style="53" customWidth="1"/>
    <col min="6141" max="6141" width="10.85546875" style="53" customWidth="1"/>
    <col min="6142" max="6142" width="10.7109375" style="53" bestFit="1" customWidth="1"/>
    <col min="6143" max="6290" width="9.140625" style="53"/>
    <col min="6291" max="6291" width="5.85546875" style="53" customWidth="1"/>
    <col min="6292" max="6292" width="55.42578125" style="53" bestFit="1" customWidth="1"/>
    <col min="6293" max="6385" width="9.140625" style="53" hidden="1" customWidth="1"/>
    <col min="6386" max="6396" width="10.7109375" style="53" customWidth="1"/>
    <col min="6397" max="6397" width="10.85546875" style="53" customWidth="1"/>
    <col min="6398" max="6398" width="10.7109375" style="53" bestFit="1" customWidth="1"/>
    <col min="6399" max="6546" width="9.140625" style="53"/>
    <col min="6547" max="6547" width="5.85546875" style="53" customWidth="1"/>
    <col min="6548" max="6548" width="55.42578125" style="53" bestFit="1" customWidth="1"/>
    <col min="6549" max="6641" width="9.140625" style="53" hidden="1" customWidth="1"/>
    <col min="6642" max="6652" width="10.7109375" style="53" customWidth="1"/>
    <col min="6653" max="6653" width="10.85546875" style="53" customWidth="1"/>
    <col min="6654" max="6654" width="10.7109375" style="53" bestFit="1" customWidth="1"/>
    <col min="6655" max="6802" width="9.140625" style="53"/>
    <col min="6803" max="6803" width="5.85546875" style="53" customWidth="1"/>
    <col min="6804" max="6804" width="55.42578125" style="53" bestFit="1" customWidth="1"/>
    <col min="6805" max="6897" width="9.140625" style="53" hidden="1" customWidth="1"/>
    <col min="6898" max="6908" width="10.7109375" style="53" customWidth="1"/>
    <col min="6909" max="6909" width="10.85546875" style="53" customWidth="1"/>
    <col min="6910" max="6910" width="10.7109375" style="53" bestFit="1" customWidth="1"/>
    <col min="6911" max="7058" width="9.140625" style="53"/>
    <col min="7059" max="7059" width="5.85546875" style="53" customWidth="1"/>
    <col min="7060" max="7060" width="55.42578125" style="53" bestFit="1" customWidth="1"/>
    <col min="7061" max="7153" width="9.140625" style="53" hidden="1" customWidth="1"/>
    <col min="7154" max="7164" width="10.7109375" style="53" customWidth="1"/>
    <col min="7165" max="7165" width="10.85546875" style="53" customWidth="1"/>
    <col min="7166" max="7166" width="10.7109375" style="53" bestFit="1" customWidth="1"/>
    <col min="7167" max="7314" width="9.140625" style="53"/>
    <col min="7315" max="7315" width="5.85546875" style="53" customWidth="1"/>
    <col min="7316" max="7316" width="55.42578125" style="53" bestFit="1" customWidth="1"/>
    <col min="7317" max="7409" width="9.140625" style="53" hidden="1" customWidth="1"/>
    <col min="7410" max="7420" width="10.7109375" style="53" customWidth="1"/>
    <col min="7421" max="7421" width="10.85546875" style="53" customWidth="1"/>
    <col min="7422" max="7422" width="10.7109375" style="53" bestFit="1" customWidth="1"/>
    <col min="7423" max="7570" width="9.140625" style="53"/>
    <col min="7571" max="7571" width="5.85546875" style="53" customWidth="1"/>
    <col min="7572" max="7572" width="55.42578125" style="53" bestFit="1" customWidth="1"/>
    <col min="7573" max="7665" width="9.140625" style="53" hidden="1" customWidth="1"/>
    <col min="7666" max="7676" width="10.7109375" style="53" customWidth="1"/>
    <col min="7677" max="7677" width="10.85546875" style="53" customWidth="1"/>
    <col min="7678" max="7678" width="10.7109375" style="53" bestFit="1" customWidth="1"/>
    <col min="7679" max="7826" width="9.140625" style="53"/>
    <col min="7827" max="7827" width="5.85546875" style="53" customWidth="1"/>
    <col min="7828" max="7828" width="55.42578125" style="53" bestFit="1" customWidth="1"/>
    <col min="7829" max="7921" width="9.140625" style="53" hidden="1" customWidth="1"/>
    <col min="7922" max="7932" width="10.7109375" style="53" customWidth="1"/>
    <col min="7933" max="7933" width="10.85546875" style="53" customWidth="1"/>
    <col min="7934" max="7934" width="10.7109375" style="53" bestFit="1" customWidth="1"/>
    <col min="7935" max="8082" width="9.140625" style="53"/>
    <col min="8083" max="8083" width="5.85546875" style="53" customWidth="1"/>
    <col min="8084" max="8084" width="55.42578125" style="53" bestFit="1" customWidth="1"/>
    <col min="8085" max="8177" width="9.140625" style="53" hidden="1" customWidth="1"/>
    <col min="8178" max="8188" width="10.7109375" style="53" customWidth="1"/>
    <col min="8189" max="8189" width="10.85546875" style="53" customWidth="1"/>
    <col min="8190" max="8190" width="10.7109375" style="53" bestFit="1" customWidth="1"/>
    <col min="8191" max="8338" width="9.140625" style="53"/>
    <col min="8339" max="8339" width="5.85546875" style="53" customWidth="1"/>
    <col min="8340" max="8340" width="55.42578125" style="53" bestFit="1" customWidth="1"/>
    <col min="8341" max="8433" width="9.140625" style="53" hidden="1" customWidth="1"/>
    <col min="8434" max="8444" width="10.7109375" style="53" customWidth="1"/>
    <col min="8445" max="8445" width="10.85546875" style="53" customWidth="1"/>
    <col min="8446" max="8446" width="10.7109375" style="53" bestFit="1" customWidth="1"/>
    <col min="8447" max="8594" width="9.140625" style="53"/>
    <col min="8595" max="8595" width="5.85546875" style="53" customWidth="1"/>
    <col min="8596" max="8596" width="55.42578125" style="53" bestFit="1" customWidth="1"/>
    <col min="8597" max="8689" width="9.140625" style="53" hidden="1" customWidth="1"/>
    <col min="8690" max="8700" width="10.7109375" style="53" customWidth="1"/>
    <col min="8701" max="8701" width="10.85546875" style="53" customWidth="1"/>
    <col min="8702" max="8702" width="10.7109375" style="53" bestFit="1" customWidth="1"/>
    <col min="8703" max="8850" width="9.140625" style="53"/>
    <col min="8851" max="8851" width="5.85546875" style="53" customWidth="1"/>
    <col min="8852" max="8852" width="55.42578125" style="53" bestFit="1" customWidth="1"/>
    <col min="8853" max="8945" width="9.140625" style="53" hidden="1" customWidth="1"/>
    <col min="8946" max="8956" width="10.7109375" style="53" customWidth="1"/>
    <col min="8957" max="8957" width="10.85546875" style="53" customWidth="1"/>
    <col min="8958" max="8958" width="10.7109375" style="53" bestFit="1" customWidth="1"/>
    <col min="8959" max="9106" width="9.140625" style="53"/>
    <col min="9107" max="9107" width="5.85546875" style="53" customWidth="1"/>
    <col min="9108" max="9108" width="55.42578125" style="53" bestFit="1" customWidth="1"/>
    <col min="9109" max="9201" width="9.140625" style="53" hidden="1" customWidth="1"/>
    <col min="9202" max="9212" width="10.7109375" style="53" customWidth="1"/>
    <col min="9213" max="9213" width="10.85546875" style="53" customWidth="1"/>
    <col min="9214" max="9214" width="10.7109375" style="53" bestFit="1" customWidth="1"/>
    <col min="9215" max="9362" width="9.140625" style="53"/>
    <col min="9363" max="9363" width="5.85546875" style="53" customWidth="1"/>
    <col min="9364" max="9364" width="55.42578125" style="53" bestFit="1" customWidth="1"/>
    <col min="9365" max="9457" width="9.140625" style="53" hidden="1" customWidth="1"/>
    <col min="9458" max="9468" width="10.7109375" style="53" customWidth="1"/>
    <col min="9469" max="9469" width="10.85546875" style="53" customWidth="1"/>
    <col min="9470" max="9470" width="10.7109375" style="53" bestFit="1" customWidth="1"/>
    <col min="9471" max="9618" width="9.140625" style="53"/>
    <col min="9619" max="9619" width="5.85546875" style="53" customWidth="1"/>
    <col min="9620" max="9620" width="55.42578125" style="53" bestFit="1" customWidth="1"/>
    <col min="9621" max="9713" width="9.140625" style="53" hidden="1" customWidth="1"/>
    <col min="9714" max="9724" width="10.7109375" style="53" customWidth="1"/>
    <col min="9725" max="9725" width="10.85546875" style="53" customWidth="1"/>
    <col min="9726" max="9726" width="10.7109375" style="53" bestFit="1" customWidth="1"/>
    <col min="9727" max="9874" width="9.140625" style="53"/>
    <col min="9875" max="9875" width="5.85546875" style="53" customWidth="1"/>
    <col min="9876" max="9876" width="55.42578125" style="53" bestFit="1" customWidth="1"/>
    <col min="9877" max="9969" width="9.140625" style="53" hidden="1" customWidth="1"/>
    <col min="9970" max="9980" width="10.7109375" style="53" customWidth="1"/>
    <col min="9981" max="9981" width="10.85546875" style="53" customWidth="1"/>
    <col min="9982" max="9982" width="10.7109375" style="53" bestFit="1" customWidth="1"/>
    <col min="9983" max="10130" width="9.140625" style="53"/>
    <col min="10131" max="10131" width="5.85546875" style="53" customWidth="1"/>
    <col min="10132" max="10132" width="55.42578125" style="53" bestFit="1" customWidth="1"/>
    <col min="10133" max="10225" width="9.140625" style="53" hidden="1" customWidth="1"/>
    <col min="10226" max="10236" width="10.7109375" style="53" customWidth="1"/>
    <col min="10237" max="10237" width="10.85546875" style="53" customWidth="1"/>
    <col min="10238" max="10238" width="10.7109375" style="53" bestFit="1" customWidth="1"/>
    <col min="10239" max="10386" width="9.140625" style="53"/>
    <col min="10387" max="10387" width="5.85546875" style="53" customWidth="1"/>
    <col min="10388" max="10388" width="55.42578125" style="53" bestFit="1" customWidth="1"/>
    <col min="10389" max="10481" width="9.140625" style="53" hidden="1" customWidth="1"/>
    <col min="10482" max="10492" width="10.7109375" style="53" customWidth="1"/>
    <col min="10493" max="10493" width="10.85546875" style="53" customWidth="1"/>
    <col min="10494" max="10494" width="10.7109375" style="53" bestFit="1" customWidth="1"/>
    <col min="10495" max="10642" width="9.140625" style="53"/>
    <col min="10643" max="10643" width="5.85546875" style="53" customWidth="1"/>
    <col min="10644" max="10644" width="55.42578125" style="53" bestFit="1" customWidth="1"/>
    <col min="10645" max="10737" width="9.140625" style="53" hidden="1" customWidth="1"/>
    <col min="10738" max="10748" width="10.7109375" style="53" customWidth="1"/>
    <col min="10749" max="10749" width="10.85546875" style="53" customWidth="1"/>
    <col min="10750" max="10750" width="10.7109375" style="53" bestFit="1" customWidth="1"/>
    <col min="10751" max="10898" width="9.140625" style="53"/>
    <col min="10899" max="10899" width="5.85546875" style="53" customWidth="1"/>
    <col min="10900" max="10900" width="55.42578125" style="53" bestFit="1" customWidth="1"/>
    <col min="10901" max="10993" width="9.140625" style="53" hidden="1" customWidth="1"/>
    <col min="10994" max="11004" width="10.7109375" style="53" customWidth="1"/>
    <col min="11005" max="11005" width="10.85546875" style="53" customWidth="1"/>
    <col min="11006" max="11006" width="10.7109375" style="53" bestFit="1" customWidth="1"/>
    <col min="11007" max="11154" width="9.140625" style="53"/>
    <col min="11155" max="11155" width="5.85546875" style="53" customWidth="1"/>
    <col min="11156" max="11156" width="55.42578125" style="53" bestFit="1" customWidth="1"/>
    <col min="11157" max="11249" width="9.140625" style="53" hidden="1" customWidth="1"/>
    <col min="11250" max="11260" width="10.7109375" style="53" customWidth="1"/>
    <col min="11261" max="11261" width="10.85546875" style="53" customWidth="1"/>
    <col min="11262" max="11262" width="10.7109375" style="53" bestFit="1" customWidth="1"/>
    <col min="11263" max="11410" width="9.140625" style="53"/>
    <col min="11411" max="11411" width="5.85546875" style="53" customWidth="1"/>
    <col min="11412" max="11412" width="55.42578125" style="53" bestFit="1" customWidth="1"/>
    <col min="11413" max="11505" width="9.140625" style="53" hidden="1" customWidth="1"/>
    <col min="11506" max="11516" width="10.7109375" style="53" customWidth="1"/>
    <col min="11517" max="11517" width="10.85546875" style="53" customWidth="1"/>
    <col min="11518" max="11518" width="10.7109375" style="53" bestFit="1" customWidth="1"/>
    <col min="11519" max="11666" width="9.140625" style="53"/>
    <col min="11667" max="11667" width="5.85546875" style="53" customWidth="1"/>
    <col min="11668" max="11668" width="55.42578125" style="53" bestFit="1" customWidth="1"/>
    <col min="11669" max="11761" width="9.140625" style="53" hidden="1" customWidth="1"/>
    <col min="11762" max="11772" width="10.7109375" style="53" customWidth="1"/>
    <col min="11773" max="11773" width="10.85546875" style="53" customWidth="1"/>
    <col min="11774" max="11774" width="10.7109375" style="53" bestFit="1" customWidth="1"/>
    <col min="11775" max="11922" width="9.140625" style="53"/>
    <col min="11923" max="11923" width="5.85546875" style="53" customWidth="1"/>
    <col min="11924" max="11924" width="55.42578125" style="53" bestFit="1" customWidth="1"/>
    <col min="11925" max="12017" width="9.140625" style="53" hidden="1" customWidth="1"/>
    <col min="12018" max="12028" width="10.7109375" style="53" customWidth="1"/>
    <col min="12029" max="12029" width="10.85546875" style="53" customWidth="1"/>
    <col min="12030" max="12030" width="10.7109375" style="53" bestFit="1" customWidth="1"/>
    <col min="12031" max="12178" width="9.140625" style="53"/>
    <col min="12179" max="12179" width="5.85546875" style="53" customWidth="1"/>
    <col min="12180" max="12180" width="55.42578125" style="53" bestFit="1" customWidth="1"/>
    <col min="12181" max="12273" width="9.140625" style="53" hidden="1" customWidth="1"/>
    <col min="12274" max="12284" width="10.7109375" style="53" customWidth="1"/>
    <col min="12285" max="12285" width="10.85546875" style="53" customWidth="1"/>
    <col min="12286" max="12286" width="10.7109375" style="53" bestFit="1" customWidth="1"/>
    <col min="12287" max="12434" width="9.140625" style="53"/>
    <col min="12435" max="12435" width="5.85546875" style="53" customWidth="1"/>
    <col min="12436" max="12436" width="55.42578125" style="53" bestFit="1" customWidth="1"/>
    <col min="12437" max="12529" width="9.140625" style="53" hidden="1" customWidth="1"/>
    <col min="12530" max="12540" width="10.7109375" style="53" customWidth="1"/>
    <col min="12541" max="12541" width="10.85546875" style="53" customWidth="1"/>
    <col min="12542" max="12542" width="10.7109375" style="53" bestFit="1" customWidth="1"/>
    <col min="12543" max="12690" width="9.140625" style="53"/>
    <col min="12691" max="12691" width="5.85546875" style="53" customWidth="1"/>
    <col min="12692" max="12692" width="55.42578125" style="53" bestFit="1" customWidth="1"/>
    <col min="12693" max="12785" width="9.140625" style="53" hidden="1" customWidth="1"/>
    <col min="12786" max="12796" width="10.7109375" style="53" customWidth="1"/>
    <col min="12797" max="12797" width="10.85546875" style="53" customWidth="1"/>
    <col min="12798" max="12798" width="10.7109375" style="53" bestFit="1" customWidth="1"/>
    <col min="12799" max="12946" width="9.140625" style="53"/>
    <col min="12947" max="12947" width="5.85546875" style="53" customWidth="1"/>
    <col min="12948" max="12948" width="55.42578125" style="53" bestFit="1" customWidth="1"/>
    <col min="12949" max="13041" width="9.140625" style="53" hidden="1" customWidth="1"/>
    <col min="13042" max="13052" width="10.7109375" style="53" customWidth="1"/>
    <col min="13053" max="13053" width="10.85546875" style="53" customWidth="1"/>
    <col min="13054" max="13054" width="10.7109375" style="53" bestFit="1" customWidth="1"/>
    <col min="13055" max="13202" width="9.140625" style="53"/>
    <col min="13203" max="13203" width="5.85546875" style="53" customWidth="1"/>
    <col min="13204" max="13204" width="55.42578125" style="53" bestFit="1" customWidth="1"/>
    <col min="13205" max="13297" width="9.140625" style="53" hidden="1" customWidth="1"/>
    <col min="13298" max="13308" width="10.7109375" style="53" customWidth="1"/>
    <col min="13309" max="13309" width="10.85546875" style="53" customWidth="1"/>
    <col min="13310" max="13310" width="10.7109375" style="53" bestFit="1" customWidth="1"/>
    <col min="13311" max="13458" width="9.140625" style="53"/>
    <col min="13459" max="13459" width="5.85546875" style="53" customWidth="1"/>
    <col min="13460" max="13460" width="55.42578125" style="53" bestFit="1" customWidth="1"/>
    <col min="13461" max="13553" width="9.140625" style="53" hidden="1" customWidth="1"/>
    <col min="13554" max="13564" width="10.7109375" style="53" customWidth="1"/>
    <col min="13565" max="13565" width="10.85546875" style="53" customWidth="1"/>
    <col min="13566" max="13566" width="10.7109375" style="53" bestFit="1" customWidth="1"/>
    <col min="13567" max="13714" width="9.140625" style="53"/>
    <col min="13715" max="13715" width="5.85546875" style="53" customWidth="1"/>
    <col min="13716" max="13716" width="55.42578125" style="53" bestFit="1" customWidth="1"/>
    <col min="13717" max="13809" width="9.140625" style="53" hidden="1" customWidth="1"/>
    <col min="13810" max="13820" width="10.7109375" style="53" customWidth="1"/>
    <col min="13821" max="13821" width="10.85546875" style="53" customWidth="1"/>
    <col min="13822" max="13822" width="10.7109375" style="53" bestFit="1" customWidth="1"/>
    <col min="13823" max="13970" width="9.140625" style="53"/>
    <col min="13971" max="13971" width="5.85546875" style="53" customWidth="1"/>
    <col min="13972" max="13972" width="55.42578125" style="53" bestFit="1" customWidth="1"/>
    <col min="13973" max="14065" width="9.140625" style="53" hidden="1" customWidth="1"/>
    <col min="14066" max="14076" width="10.7109375" style="53" customWidth="1"/>
    <col min="14077" max="14077" width="10.85546875" style="53" customWidth="1"/>
    <col min="14078" max="14078" width="10.7109375" style="53" bestFit="1" customWidth="1"/>
    <col min="14079" max="14226" width="9.140625" style="53"/>
    <col min="14227" max="14227" width="5.85546875" style="53" customWidth="1"/>
    <col min="14228" max="14228" width="55.42578125" style="53" bestFit="1" customWidth="1"/>
    <col min="14229" max="14321" width="9.140625" style="53" hidden="1" customWidth="1"/>
    <col min="14322" max="14332" width="10.7109375" style="53" customWidth="1"/>
    <col min="14333" max="14333" width="10.85546875" style="53" customWidth="1"/>
    <col min="14334" max="14334" width="10.7109375" style="53" bestFit="1" customWidth="1"/>
    <col min="14335" max="14482" width="9.140625" style="53"/>
    <col min="14483" max="14483" width="5.85546875" style="53" customWidth="1"/>
    <col min="14484" max="14484" width="55.42578125" style="53" bestFit="1" customWidth="1"/>
    <col min="14485" max="14577" width="9.140625" style="53" hidden="1" customWidth="1"/>
    <col min="14578" max="14588" width="10.7109375" style="53" customWidth="1"/>
    <col min="14589" max="14589" width="10.85546875" style="53" customWidth="1"/>
    <col min="14590" max="14590" width="10.7109375" style="53" bestFit="1" customWidth="1"/>
    <col min="14591" max="14738" width="9.140625" style="53"/>
    <col min="14739" max="14739" width="5.85546875" style="53" customWidth="1"/>
    <col min="14740" max="14740" width="55.42578125" style="53" bestFit="1" customWidth="1"/>
    <col min="14741" max="14833" width="9.140625" style="53" hidden="1" customWidth="1"/>
    <col min="14834" max="14844" width="10.7109375" style="53" customWidth="1"/>
    <col min="14845" max="14845" width="10.85546875" style="53" customWidth="1"/>
    <col min="14846" max="14846" width="10.7109375" style="53" bestFit="1" customWidth="1"/>
    <col min="14847" max="14994" width="9.140625" style="53"/>
    <col min="14995" max="14995" width="5.85546875" style="53" customWidth="1"/>
    <col min="14996" max="14996" width="55.42578125" style="53" bestFit="1" customWidth="1"/>
    <col min="14997" max="15089" width="9.140625" style="53" hidden="1" customWidth="1"/>
    <col min="15090" max="15100" width="10.7109375" style="53" customWidth="1"/>
    <col min="15101" max="15101" width="10.85546875" style="53" customWidth="1"/>
    <col min="15102" max="15102" width="10.7109375" style="53" bestFit="1" customWidth="1"/>
    <col min="15103" max="15250" width="9.140625" style="53"/>
    <col min="15251" max="15251" width="5.85546875" style="53" customWidth="1"/>
    <col min="15252" max="15252" width="55.42578125" style="53" bestFit="1" customWidth="1"/>
    <col min="15253" max="15345" width="9.140625" style="53" hidden="1" customWidth="1"/>
    <col min="15346" max="15356" width="10.7109375" style="53" customWidth="1"/>
    <col min="15357" max="15357" width="10.85546875" style="53" customWidth="1"/>
    <col min="15358" max="15358" width="10.7109375" style="53" bestFit="1" customWidth="1"/>
    <col min="15359" max="15506" width="9.140625" style="53"/>
    <col min="15507" max="15507" width="5.85546875" style="53" customWidth="1"/>
    <col min="15508" max="15508" width="55.42578125" style="53" bestFit="1" customWidth="1"/>
    <col min="15509" max="15601" width="9.140625" style="53" hidden="1" customWidth="1"/>
    <col min="15602" max="15612" width="10.7109375" style="53" customWidth="1"/>
    <col min="15613" max="15613" width="10.85546875" style="53" customWidth="1"/>
    <col min="15614" max="15614" width="10.7109375" style="53" bestFit="1" customWidth="1"/>
    <col min="15615" max="15762" width="9.140625" style="53"/>
    <col min="15763" max="15763" width="5.85546875" style="53" customWidth="1"/>
    <col min="15764" max="15764" width="55.42578125" style="53" bestFit="1" customWidth="1"/>
    <col min="15765" max="15857" width="9.140625" style="53" hidden="1" customWidth="1"/>
    <col min="15858" max="15868" width="10.7109375" style="53" customWidth="1"/>
    <col min="15869" max="15869" width="10.85546875" style="53" customWidth="1"/>
    <col min="15870" max="15870" width="10.7109375" style="53" bestFit="1" customWidth="1"/>
    <col min="15871" max="16018" width="9.140625" style="53"/>
    <col min="16019" max="16019" width="5.85546875" style="53" customWidth="1"/>
    <col min="16020" max="16020" width="55.42578125" style="53" bestFit="1" customWidth="1"/>
    <col min="16021" max="16113" width="9.140625" style="53" hidden="1" customWidth="1"/>
    <col min="16114" max="16124" width="10.7109375" style="53" customWidth="1"/>
    <col min="16125" max="16125" width="10.85546875" style="53" customWidth="1"/>
    <col min="16126" max="16126" width="10.7109375" style="53" bestFit="1" customWidth="1"/>
    <col min="16127" max="16384" width="9.140625" style="53"/>
  </cols>
  <sheetData>
    <row r="1" spans="1:35" ht="19.5" customHeight="1" x14ac:dyDescent="0.3">
      <c r="A1" s="105" t="s">
        <v>1023</v>
      </c>
      <c r="B1" s="105"/>
      <c r="C1" s="105"/>
      <c r="D1" s="105"/>
    </row>
    <row r="2" spans="1:35" ht="18" customHeight="1" thickBot="1" x14ac:dyDescent="0.35">
      <c r="A2" s="112"/>
      <c r="B2" s="113"/>
      <c r="D2" s="87"/>
      <c r="E2" s="87"/>
      <c r="F2" s="87"/>
      <c r="H2" s="87"/>
      <c r="S2" s="87"/>
      <c r="X2" s="87"/>
      <c r="AE2" s="87"/>
      <c r="AI2" s="87" t="s">
        <v>8</v>
      </c>
    </row>
    <row r="3" spans="1:35" ht="24" customHeight="1" thickTop="1" thickBot="1" x14ac:dyDescent="0.35">
      <c r="A3" s="89" t="s">
        <v>138</v>
      </c>
      <c r="B3" s="89" t="s">
        <v>139</v>
      </c>
      <c r="C3" s="90">
        <v>43374</v>
      </c>
      <c r="D3" s="90">
        <v>43405</v>
      </c>
      <c r="E3" s="90">
        <v>43435</v>
      </c>
      <c r="F3" s="90">
        <v>43466</v>
      </c>
      <c r="G3" s="90">
        <v>43497</v>
      </c>
      <c r="H3" s="90">
        <v>43525</v>
      </c>
      <c r="I3" s="90">
        <v>43556</v>
      </c>
      <c r="J3" s="90">
        <v>43586</v>
      </c>
      <c r="K3" s="90">
        <v>43617</v>
      </c>
      <c r="L3" s="90">
        <v>43647</v>
      </c>
      <c r="M3" s="90">
        <v>43678</v>
      </c>
      <c r="N3" s="90">
        <v>43709</v>
      </c>
      <c r="O3" s="90">
        <v>43739</v>
      </c>
      <c r="P3" s="90">
        <v>43770</v>
      </c>
      <c r="Q3" s="90">
        <v>43800</v>
      </c>
      <c r="R3" s="90">
        <v>43831</v>
      </c>
      <c r="S3" s="91" t="s">
        <v>174</v>
      </c>
      <c r="T3" s="91" t="s">
        <v>140</v>
      </c>
      <c r="U3" s="91" t="s">
        <v>175</v>
      </c>
      <c r="V3" s="91" t="s">
        <v>176</v>
      </c>
      <c r="W3" s="91" t="s">
        <v>177</v>
      </c>
      <c r="X3" s="91" t="s">
        <v>142</v>
      </c>
      <c r="Y3" s="91" t="s">
        <v>143</v>
      </c>
      <c r="Z3" s="91" t="s">
        <v>144</v>
      </c>
      <c r="AA3" s="91" t="s">
        <v>145</v>
      </c>
      <c r="AB3" s="91" t="s">
        <v>146</v>
      </c>
      <c r="AC3" s="91" t="s">
        <v>147</v>
      </c>
      <c r="AD3" s="91" t="s">
        <v>148</v>
      </c>
      <c r="AE3" s="91" t="s">
        <v>3248</v>
      </c>
      <c r="AF3" s="91" t="s">
        <v>3249</v>
      </c>
      <c r="AG3" s="91" t="s">
        <v>3250</v>
      </c>
      <c r="AH3" s="91" t="s">
        <v>3251</v>
      </c>
      <c r="AI3" s="91" t="s">
        <v>3252</v>
      </c>
    </row>
    <row r="4" spans="1:35" ht="18" customHeight="1" thickTop="1" x14ac:dyDescent="0.3">
      <c r="A4" s="54"/>
      <c r="B4" s="54"/>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row>
    <row r="5" spans="1:35" ht="18" customHeight="1" x14ac:dyDescent="0.3">
      <c r="A5" s="93" t="s">
        <v>149</v>
      </c>
      <c r="B5" s="93" t="s">
        <v>151</v>
      </c>
      <c r="C5" s="94">
        <v>345493.14301885228</v>
      </c>
      <c r="D5" s="94">
        <v>321060.17135652184</v>
      </c>
      <c r="E5" s="94">
        <v>309071.92400582891</v>
      </c>
      <c r="F5" s="94">
        <v>312136.8667893727</v>
      </c>
      <c r="G5" s="94">
        <v>373762.24455883709</v>
      </c>
      <c r="H5" s="94">
        <v>317403.08893953124</v>
      </c>
      <c r="I5" s="94">
        <v>336798.1364213507</v>
      </c>
      <c r="J5" s="94">
        <v>308986.29391102114</v>
      </c>
      <c r="K5" s="94">
        <v>301039.23716953694</v>
      </c>
      <c r="L5" s="94">
        <v>353494.03560763173</v>
      </c>
      <c r="M5" s="94">
        <v>320721.45942557621</v>
      </c>
      <c r="N5" s="94">
        <v>315417.7696086691</v>
      </c>
      <c r="O5" s="94">
        <v>352454.62778093858</v>
      </c>
      <c r="P5" s="94">
        <v>400229.70489989355</v>
      </c>
      <c r="Q5" s="94">
        <v>393986.78698643146</v>
      </c>
      <c r="R5" s="94">
        <v>394986.11323238496</v>
      </c>
      <c r="S5" s="94">
        <v>411580.06316350785</v>
      </c>
      <c r="T5" s="94">
        <v>396153</v>
      </c>
      <c r="U5" s="94">
        <v>417186.1562557338</v>
      </c>
      <c r="V5" s="94">
        <v>441215.82092894043</v>
      </c>
      <c r="W5" s="94">
        <v>447322.06481186062</v>
      </c>
      <c r="X5" s="94">
        <v>458254.35853051418</v>
      </c>
      <c r="Y5" s="94">
        <v>511394.26901665283</v>
      </c>
      <c r="Z5" s="94">
        <v>468582.13881078875</v>
      </c>
      <c r="AA5" s="94">
        <v>439847.50146167161</v>
      </c>
      <c r="AB5" s="94">
        <v>480497.38910967228</v>
      </c>
      <c r="AC5" s="94">
        <v>447336.06712086761</v>
      </c>
      <c r="AD5" s="94">
        <v>513807.37695112178</v>
      </c>
      <c r="AE5" s="94">
        <v>545933.89262478054</v>
      </c>
      <c r="AF5" s="94">
        <v>544317.50391506287</v>
      </c>
      <c r="AG5" s="94">
        <v>497256.6475073488</v>
      </c>
      <c r="AH5" s="94">
        <v>554731.23063143669</v>
      </c>
      <c r="AI5" s="94">
        <v>524252.25030942482</v>
      </c>
    </row>
    <row r="6" spans="1:35" ht="18" customHeight="1" x14ac:dyDescent="0.3">
      <c r="A6" s="95" t="s">
        <v>178</v>
      </c>
      <c r="B6" s="97" t="s">
        <v>173</v>
      </c>
      <c r="C6" s="96">
        <v>5826.5766495508124</v>
      </c>
      <c r="D6" s="96">
        <v>6052.2666184850368</v>
      </c>
      <c r="E6" s="96">
        <v>8358.0611533060746</v>
      </c>
      <c r="F6" s="96">
        <v>7757.8839444804989</v>
      </c>
      <c r="G6" s="96">
        <v>6528.3955411939151</v>
      </c>
      <c r="H6" s="96">
        <v>6638.0022181426939</v>
      </c>
      <c r="I6" s="96">
        <v>6900.866853658591</v>
      </c>
      <c r="J6" s="96">
        <v>6870.2075429581691</v>
      </c>
      <c r="K6" s="96">
        <v>6175.898702316078</v>
      </c>
      <c r="L6" s="96">
        <v>6600.7347345161115</v>
      </c>
      <c r="M6" s="96">
        <v>6346.52292890633</v>
      </c>
      <c r="N6" s="96">
        <v>5736.3020507763604</v>
      </c>
      <c r="O6" s="96">
        <v>6695.6182397775319</v>
      </c>
      <c r="P6" s="96">
        <v>6342.7812201802217</v>
      </c>
      <c r="Q6" s="96">
        <v>8320.4287509241403</v>
      </c>
      <c r="R6" s="96">
        <v>6865.2591971069205</v>
      </c>
      <c r="S6" s="96">
        <v>6255.5065924800756</v>
      </c>
      <c r="T6" s="96">
        <v>7134.4</v>
      </c>
      <c r="U6" s="96">
        <v>7599.067176334569</v>
      </c>
      <c r="V6" s="96">
        <v>6331.1805087307257</v>
      </c>
      <c r="W6" s="96">
        <v>6452.5894287720566</v>
      </c>
      <c r="X6" s="96">
        <v>6672.5835297889944</v>
      </c>
      <c r="Y6" s="96">
        <v>5979.3687342605908</v>
      </c>
      <c r="Z6" s="96">
        <v>6579.9951174007947</v>
      </c>
      <c r="AA6" s="96">
        <v>6322.025203260293</v>
      </c>
      <c r="AB6" s="96">
        <v>6338.464902025109</v>
      </c>
      <c r="AC6" s="96">
        <v>7799.8266851483459</v>
      </c>
      <c r="AD6" s="96">
        <v>6865.8302027303462</v>
      </c>
      <c r="AE6" s="96">
        <v>6216.3534002369661</v>
      </c>
      <c r="AF6" s="96">
        <v>6815.2152927596544</v>
      </c>
      <c r="AG6" s="96">
        <v>6667.5896884157337</v>
      </c>
      <c r="AH6" s="96">
        <v>6612.5597860970211</v>
      </c>
      <c r="AI6" s="96">
        <v>6788.9484263693967</v>
      </c>
    </row>
    <row r="7" spans="1:35" ht="18" customHeight="1" x14ac:dyDescent="0.3">
      <c r="A7" s="95" t="s">
        <v>179</v>
      </c>
      <c r="B7" s="97" t="s">
        <v>180</v>
      </c>
      <c r="C7" s="96">
        <v>171332.4530043928</v>
      </c>
      <c r="D7" s="96">
        <v>173604.27226292022</v>
      </c>
      <c r="E7" s="96">
        <v>177586.07762604376</v>
      </c>
      <c r="F7" s="96">
        <v>164469.07993446459</v>
      </c>
      <c r="G7" s="96">
        <v>216522.05793958725</v>
      </c>
      <c r="H7" s="96">
        <v>146475.28396170508</v>
      </c>
      <c r="I7" s="96">
        <v>147231.14358066654</v>
      </c>
      <c r="J7" s="96">
        <v>168044.40529489127</v>
      </c>
      <c r="K7" s="96">
        <v>136817.50208896666</v>
      </c>
      <c r="L7" s="96">
        <v>161843.79701368473</v>
      </c>
      <c r="M7" s="96">
        <v>171327.17192837258</v>
      </c>
      <c r="N7" s="96">
        <v>167713.72346853698</v>
      </c>
      <c r="O7" s="96">
        <v>137755.21219775491</v>
      </c>
      <c r="P7" s="96">
        <v>194301.30740113399</v>
      </c>
      <c r="Q7" s="96">
        <v>192575.31580942922</v>
      </c>
      <c r="R7" s="96">
        <v>165688.75920085609</v>
      </c>
      <c r="S7" s="96">
        <v>182331.96610858798</v>
      </c>
      <c r="T7" s="96">
        <v>241344.8</v>
      </c>
      <c r="U7" s="96">
        <v>232937.80762791773</v>
      </c>
      <c r="V7" s="96">
        <v>262015.13998769777</v>
      </c>
      <c r="W7" s="96">
        <v>267413.60152848094</v>
      </c>
      <c r="X7" s="96">
        <v>264042.8124660402</v>
      </c>
      <c r="Y7" s="96">
        <v>246853.85869000561</v>
      </c>
      <c r="Z7" s="96">
        <v>224866.25388325349</v>
      </c>
      <c r="AA7" s="96">
        <v>220243.95149560299</v>
      </c>
      <c r="AB7" s="96">
        <v>263890.58668446832</v>
      </c>
      <c r="AC7" s="96">
        <v>246754.55886702082</v>
      </c>
      <c r="AD7" s="96">
        <v>295617.01349112199</v>
      </c>
      <c r="AE7" s="96">
        <v>287701.35772725462</v>
      </c>
      <c r="AF7" s="96">
        <v>297826.28716396337</v>
      </c>
      <c r="AG7" s="96">
        <v>260426.22403727405</v>
      </c>
      <c r="AH7" s="96">
        <v>307862.21440610365</v>
      </c>
      <c r="AI7" s="96">
        <v>295744.71665332856</v>
      </c>
    </row>
    <row r="8" spans="1:35" ht="18" customHeight="1" x14ac:dyDescent="0.3">
      <c r="A8" s="95" t="s">
        <v>181</v>
      </c>
      <c r="B8" s="97" t="s">
        <v>182</v>
      </c>
      <c r="C8" s="96">
        <v>168334.11336490876</v>
      </c>
      <c r="D8" s="96">
        <v>141403.63247511652</v>
      </c>
      <c r="E8" s="96">
        <v>123127.7852264791</v>
      </c>
      <c r="F8" s="96">
        <v>139909.9029104276</v>
      </c>
      <c r="G8" s="96">
        <v>150711.79107805598</v>
      </c>
      <c r="H8" s="96">
        <v>164289.80275968352</v>
      </c>
      <c r="I8" s="96">
        <v>182666.12598702565</v>
      </c>
      <c r="J8" s="96">
        <v>134071.68107317167</v>
      </c>
      <c r="K8" s="96">
        <v>158045.83637825417</v>
      </c>
      <c r="L8" s="96">
        <v>185049.50385943084</v>
      </c>
      <c r="M8" s="96">
        <v>143047.76456829731</v>
      </c>
      <c r="N8" s="96">
        <v>141967.74408935584</v>
      </c>
      <c r="O8" s="96">
        <v>208003.7973434061</v>
      </c>
      <c r="P8" s="96">
        <v>199585.6162785794</v>
      </c>
      <c r="Q8" s="96">
        <v>193091.04242607814</v>
      </c>
      <c r="R8" s="96">
        <v>222432.09483442185</v>
      </c>
      <c r="S8" s="96">
        <v>222992.5904624399</v>
      </c>
      <c r="T8" s="96">
        <v>147673.70000000001</v>
      </c>
      <c r="U8" s="96">
        <v>176649.2814514816</v>
      </c>
      <c r="V8" s="96">
        <v>172869.50043251202</v>
      </c>
      <c r="W8" s="96">
        <v>173455.87385460763</v>
      </c>
      <c r="X8" s="96">
        <v>187538.96253468501</v>
      </c>
      <c r="Y8" s="96">
        <v>258561.04159238664</v>
      </c>
      <c r="Z8" s="96">
        <v>237135.88981013437</v>
      </c>
      <c r="AA8" s="96">
        <v>213281.52476280826</v>
      </c>
      <c r="AB8" s="96">
        <v>210268.33752317895</v>
      </c>
      <c r="AC8" s="96">
        <v>192781.68156869846</v>
      </c>
      <c r="AD8" s="96">
        <v>211324.53325726939</v>
      </c>
      <c r="AE8" s="96">
        <v>252016.18149728893</v>
      </c>
      <c r="AF8" s="96">
        <v>239676.00145833983</v>
      </c>
      <c r="AG8" s="96">
        <v>230162.83378165905</v>
      </c>
      <c r="AH8" s="96">
        <v>240256.45643923589</v>
      </c>
      <c r="AI8" s="96">
        <v>221718.58522972689</v>
      </c>
    </row>
    <row r="9" spans="1:35" ht="18" customHeight="1" x14ac:dyDescent="0.3">
      <c r="A9" s="95"/>
      <c r="B9" s="9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row>
    <row r="10" spans="1:35" ht="18" customHeight="1" x14ac:dyDescent="0.3">
      <c r="A10" s="93" t="s">
        <v>150</v>
      </c>
      <c r="B10" s="93" t="s">
        <v>183</v>
      </c>
      <c r="C10" s="94">
        <v>323409.15048591018</v>
      </c>
      <c r="D10" s="94">
        <v>328683.53841267509</v>
      </c>
      <c r="E10" s="94">
        <v>346403.11259458493</v>
      </c>
      <c r="F10" s="94">
        <v>353423.08365790651</v>
      </c>
      <c r="G10" s="94">
        <v>342551.35356928932</v>
      </c>
      <c r="H10" s="94">
        <v>373517.47701141087</v>
      </c>
      <c r="I10" s="94">
        <v>373947.17053014494</v>
      </c>
      <c r="J10" s="94">
        <v>387477.88686132984</v>
      </c>
      <c r="K10" s="94">
        <v>401175.45961785194</v>
      </c>
      <c r="L10" s="94">
        <v>398067.71678505384</v>
      </c>
      <c r="M10" s="94">
        <v>403537.38744113571</v>
      </c>
      <c r="N10" s="94">
        <v>424769.77583347959</v>
      </c>
      <c r="O10" s="94">
        <v>421455.61439245957</v>
      </c>
      <c r="P10" s="94">
        <v>432621.81078598887</v>
      </c>
      <c r="Q10" s="94">
        <v>424143.33950446133</v>
      </c>
      <c r="R10" s="94">
        <v>425693.76163992035</v>
      </c>
      <c r="S10" s="94">
        <v>435598.67287680868</v>
      </c>
      <c r="T10" s="94">
        <v>453032.1</v>
      </c>
      <c r="U10" s="94">
        <v>448926.14597877878</v>
      </c>
      <c r="V10" s="94">
        <v>434004.41284679045</v>
      </c>
      <c r="W10" s="94">
        <v>470689.58249038522</v>
      </c>
      <c r="X10" s="94">
        <v>438535.18617274915</v>
      </c>
      <c r="Y10" s="94">
        <v>480446.30932047707</v>
      </c>
      <c r="Z10" s="94">
        <v>508940.15303977346</v>
      </c>
      <c r="AA10" s="94">
        <v>473505.868987553</v>
      </c>
      <c r="AB10" s="94">
        <v>475041.34015614988</v>
      </c>
      <c r="AC10" s="94">
        <v>514556.57747646392</v>
      </c>
      <c r="AD10" s="94">
        <v>494367.57944780565</v>
      </c>
      <c r="AE10" s="94">
        <v>513558.73020492063</v>
      </c>
      <c r="AF10" s="94">
        <v>545233.98117727914</v>
      </c>
      <c r="AG10" s="94">
        <v>545721.90362080862</v>
      </c>
      <c r="AH10" s="94">
        <v>553706.36467039504</v>
      </c>
      <c r="AI10" s="94">
        <v>607480.45336826832</v>
      </c>
    </row>
    <row r="11" spans="1:35" ht="18" customHeight="1" x14ac:dyDescent="0.3">
      <c r="A11" s="95"/>
      <c r="B11" s="9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row>
    <row r="12" spans="1:35" ht="18" customHeight="1" x14ac:dyDescent="0.3">
      <c r="A12" s="93" t="s">
        <v>152</v>
      </c>
      <c r="B12" s="93" t="s">
        <v>154</v>
      </c>
      <c r="C12" s="94">
        <v>646874.39295671484</v>
      </c>
      <c r="D12" s="94">
        <v>652737.52809542813</v>
      </c>
      <c r="E12" s="94">
        <v>645998.54051785951</v>
      </c>
      <c r="F12" s="94">
        <v>631980.82387106889</v>
      </c>
      <c r="G12" s="94">
        <v>643984.74734653067</v>
      </c>
      <c r="H12" s="94">
        <v>641762.17558927054</v>
      </c>
      <c r="I12" s="94">
        <v>640712.36313337495</v>
      </c>
      <c r="J12" s="94">
        <v>643720.41644352733</v>
      </c>
      <c r="K12" s="94">
        <v>662951.11733307911</v>
      </c>
      <c r="L12" s="94">
        <v>649718.08526534261</v>
      </c>
      <c r="M12" s="94">
        <v>656005.68715069001</v>
      </c>
      <c r="N12" s="94">
        <v>659367.01411922579</v>
      </c>
      <c r="O12" s="94">
        <v>660435.68741008791</v>
      </c>
      <c r="P12" s="94">
        <v>672693.92205062031</v>
      </c>
      <c r="Q12" s="94">
        <v>663289.7944177686</v>
      </c>
      <c r="R12" s="94">
        <v>676875.48783505824</v>
      </c>
      <c r="S12" s="94">
        <v>674238.51903661201</v>
      </c>
      <c r="T12" s="94">
        <v>706088.7</v>
      </c>
      <c r="U12" s="94">
        <v>723562.49749299511</v>
      </c>
      <c r="V12" s="94">
        <v>719403.81679250963</v>
      </c>
      <c r="W12" s="94">
        <v>709129.31067039142</v>
      </c>
      <c r="X12" s="94">
        <v>693843.16880276939</v>
      </c>
      <c r="Y12" s="94">
        <v>687003.51589797961</v>
      </c>
      <c r="Z12" s="94">
        <v>691313.09218121017</v>
      </c>
      <c r="AA12" s="94">
        <v>687215.84705877898</v>
      </c>
      <c r="AB12" s="94">
        <v>687769.72402532597</v>
      </c>
      <c r="AC12" s="94">
        <v>692320.42916848161</v>
      </c>
      <c r="AD12" s="94">
        <v>707078.37885188696</v>
      </c>
      <c r="AE12" s="94">
        <v>698290.53039939236</v>
      </c>
      <c r="AF12" s="94">
        <v>690537.70925050846</v>
      </c>
      <c r="AG12" s="94">
        <v>694399.59053494188</v>
      </c>
      <c r="AH12" s="94">
        <v>699000.55144608545</v>
      </c>
      <c r="AI12" s="94">
        <v>718315.89551811665</v>
      </c>
    </row>
    <row r="13" spans="1:35" ht="18" customHeight="1" x14ac:dyDescent="0.3">
      <c r="A13" s="95"/>
      <c r="B13" s="95"/>
      <c r="C13" s="115"/>
      <c r="D13" s="115"/>
      <c r="E13" s="115"/>
      <c r="F13" s="115"/>
      <c r="G13" s="115"/>
      <c r="H13" s="115"/>
      <c r="I13" s="115"/>
      <c r="J13" s="115"/>
      <c r="K13" s="115"/>
      <c r="L13" s="115"/>
      <c r="M13" s="115"/>
      <c r="N13" s="115"/>
      <c r="O13" s="115">
        <v>2.5</v>
      </c>
      <c r="P13" s="115"/>
      <c r="Q13" s="115"/>
      <c r="R13" s="115"/>
      <c r="S13" s="115"/>
      <c r="T13" s="115"/>
      <c r="U13" s="115"/>
      <c r="V13" s="115"/>
      <c r="W13" s="115"/>
      <c r="X13" s="115"/>
      <c r="Y13" s="115"/>
      <c r="Z13" s="115"/>
      <c r="AA13" s="115"/>
      <c r="AB13" s="115"/>
      <c r="AC13" s="115"/>
      <c r="AD13" s="115"/>
      <c r="AE13" s="115"/>
      <c r="AF13" s="115"/>
      <c r="AG13" s="115"/>
      <c r="AH13" s="115"/>
      <c r="AI13" s="115"/>
    </row>
    <row r="14" spans="1:35" ht="18" customHeight="1" x14ac:dyDescent="0.3">
      <c r="A14" s="93" t="s">
        <v>153</v>
      </c>
      <c r="B14" s="93" t="s">
        <v>184</v>
      </c>
      <c r="C14" s="94">
        <v>12554.147170824433</v>
      </c>
      <c r="D14" s="94">
        <v>13434.738536622657</v>
      </c>
      <c r="E14" s="94">
        <v>9474.4783547853003</v>
      </c>
      <c r="F14" s="94">
        <v>9582.3765905574546</v>
      </c>
      <c r="G14" s="94">
        <v>9643.4592599895568</v>
      </c>
      <c r="H14" s="94">
        <v>9803.9815799034277</v>
      </c>
      <c r="I14" s="94">
        <v>9927.7433002470443</v>
      </c>
      <c r="J14" s="94">
        <v>10081.649953439275</v>
      </c>
      <c r="K14" s="94">
        <v>10167.583921020057</v>
      </c>
      <c r="L14" s="94">
        <v>10300.631871663481</v>
      </c>
      <c r="M14" s="94">
        <v>10300.221152248108</v>
      </c>
      <c r="N14" s="94">
        <v>10248.713610977788</v>
      </c>
      <c r="O14" s="94">
        <v>10372.056043579756</v>
      </c>
      <c r="P14" s="94">
        <v>10744.073945685166</v>
      </c>
      <c r="Q14" s="94">
        <v>9958.27089115134</v>
      </c>
      <c r="R14" s="94">
        <v>10634.566665270193</v>
      </c>
      <c r="S14" s="94">
        <v>10526.785551248049</v>
      </c>
      <c r="T14" s="94">
        <v>9835.2000000000007</v>
      </c>
      <c r="U14" s="94">
        <v>10381.661537628948</v>
      </c>
      <c r="V14" s="94">
        <v>10611.189690226576</v>
      </c>
      <c r="W14" s="94">
        <v>10182.487598533531</v>
      </c>
      <c r="X14" s="94">
        <v>10404.576776722037</v>
      </c>
      <c r="Y14" s="94">
        <v>10647.344806464487</v>
      </c>
      <c r="Z14" s="94">
        <v>10512.98780086256</v>
      </c>
      <c r="AA14" s="94">
        <v>10689.14513457909</v>
      </c>
      <c r="AB14" s="94">
        <v>11928.259428188196</v>
      </c>
      <c r="AC14" s="94">
        <v>12025.15521989481</v>
      </c>
      <c r="AD14" s="94">
        <v>12107.407452142295</v>
      </c>
      <c r="AE14" s="94">
        <v>12315.202106601209</v>
      </c>
      <c r="AF14" s="94">
        <v>12424.898684971604</v>
      </c>
      <c r="AG14" s="94">
        <v>12696.994251079097</v>
      </c>
      <c r="AH14" s="94">
        <v>12711.860940847</v>
      </c>
      <c r="AI14" s="94">
        <v>13023.076905827902</v>
      </c>
    </row>
    <row r="15" spans="1:35" ht="18" customHeight="1" x14ac:dyDescent="0.3">
      <c r="A15" s="95"/>
      <c r="B15" s="97"/>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row>
    <row r="16" spans="1:35" ht="18" customHeight="1" x14ac:dyDescent="0.3">
      <c r="A16" s="93" t="s">
        <v>155</v>
      </c>
      <c r="B16" s="93" t="s">
        <v>185</v>
      </c>
      <c r="C16" s="94">
        <v>0.95513000000000003</v>
      </c>
      <c r="D16" s="94">
        <v>0.51665499999999998</v>
      </c>
      <c r="E16" s="94">
        <v>0.271646</v>
      </c>
      <c r="F16" s="94">
        <v>0.45336859999999995</v>
      </c>
      <c r="G16" s="94">
        <v>0.15168720000000002</v>
      </c>
      <c r="H16" s="94">
        <v>3.7975800000000004E-2</v>
      </c>
      <c r="I16" s="94">
        <v>0.11742039999999999</v>
      </c>
      <c r="J16" s="94">
        <v>3.4548206399999994</v>
      </c>
      <c r="K16" s="94">
        <v>3.0374739299999995</v>
      </c>
      <c r="L16" s="94">
        <v>2.6577852200000001</v>
      </c>
      <c r="M16" s="94">
        <v>2.2780965099999997</v>
      </c>
      <c r="N16" s="94">
        <v>2.4612918000000001</v>
      </c>
      <c r="O16" s="94">
        <v>2.2407580899999999</v>
      </c>
      <c r="P16" s="94">
        <v>1.8249098000000001</v>
      </c>
      <c r="Q16" s="94">
        <v>1.39630575</v>
      </c>
      <c r="R16" s="94">
        <v>0.98153430000000008</v>
      </c>
      <c r="S16" s="94">
        <v>0.98737425000000001</v>
      </c>
      <c r="T16" s="94">
        <v>0.6</v>
      </c>
      <c r="U16" s="94">
        <v>0.72680915000000001</v>
      </c>
      <c r="V16" s="94">
        <v>4.3673442900000001</v>
      </c>
      <c r="W16" s="94">
        <v>3.85214386</v>
      </c>
      <c r="X16" s="94">
        <v>3.9203265099999998</v>
      </c>
      <c r="Y16" s="94">
        <v>3.4256261600000002</v>
      </c>
      <c r="Z16" s="94">
        <v>2.93092481</v>
      </c>
      <c r="AA16" s="94">
        <v>2.4362414599999997</v>
      </c>
      <c r="AB16" s="94">
        <v>2.0018861999999999</v>
      </c>
      <c r="AC16" s="94">
        <v>1.50716691</v>
      </c>
      <c r="AD16" s="94">
        <v>1.1218504199999999</v>
      </c>
      <c r="AE16" s="94">
        <v>1.19621793</v>
      </c>
      <c r="AF16" s="94">
        <v>1.0154459299999998</v>
      </c>
      <c r="AG16" s="94">
        <v>0.59486348999999994</v>
      </c>
      <c r="AH16" s="94">
        <v>4.0912923000000001</v>
      </c>
      <c r="AI16" s="94">
        <v>4.4509865899999994</v>
      </c>
    </row>
    <row r="17" spans="1:35" ht="18" customHeight="1" x14ac:dyDescent="0.3">
      <c r="A17" s="95"/>
      <c r="B17" s="9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row>
    <row r="18" spans="1:35" ht="18" customHeight="1" x14ac:dyDescent="0.3">
      <c r="A18" s="93" t="s">
        <v>156</v>
      </c>
      <c r="B18" s="93" t="s">
        <v>186</v>
      </c>
      <c r="C18" s="94">
        <v>3378.8780669142157</v>
      </c>
      <c r="D18" s="94">
        <v>2932.9963831550385</v>
      </c>
      <c r="E18" s="94">
        <v>2650.1482004206027</v>
      </c>
      <c r="F18" s="94">
        <v>2969.9703730723818</v>
      </c>
      <c r="G18" s="94">
        <v>2891.4075156859453</v>
      </c>
      <c r="H18" s="94">
        <v>3367.1146153100922</v>
      </c>
      <c r="I18" s="94">
        <v>3135.2813071736273</v>
      </c>
      <c r="J18" s="94">
        <v>3229.0768150738986</v>
      </c>
      <c r="K18" s="94">
        <v>2677.9320068139214</v>
      </c>
      <c r="L18" s="94">
        <v>3061.3047592178323</v>
      </c>
      <c r="M18" s="94">
        <v>3375.4478817152722</v>
      </c>
      <c r="N18" s="94">
        <v>4224.2087275010272</v>
      </c>
      <c r="O18" s="94">
        <v>3575.6638802794705</v>
      </c>
      <c r="P18" s="94">
        <v>3382.3977550478248</v>
      </c>
      <c r="Q18" s="94">
        <v>2349.3868171397153</v>
      </c>
      <c r="R18" s="94">
        <v>2099.6772200230771</v>
      </c>
      <c r="S18" s="94">
        <v>2628.8716981202579</v>
      </c>
      <c r="T18" s="94">
        <v>4930</v>
      </c>
      <c r="U18" s="94">
        <v>4807.553876408836</v>
      </c>
      <c r="V18" s="94">
        <v>4199.6506607678239</v>
      </c>
      <c r="W18" s="94">
        <v>4112.7434605618328</v>
      </c>
      <c r="X18" s="94">
        <v>4683.8504888224052</v>
      </c>
      <c r="Y18" s="94">
        <v>4658.9992741215865</v>
      </c>
      <c r="Z18" s="94">
        <v>4190.6287963194291</v>
      </c>
      <c r="AA18" s="94">
        <v>3938.8512725084115</v>
      </c>
      <c r="AB18" s="94">
        <v>2999.3717479872739</v>
      </c>
      <c r="AC18" s="94">
        <v>2749.7532059051605</v>
      </c>
      <c r="AD18" s="94">
        <v>2380.0018681140828</v>
      </c>
      <c r="AE18" s="94">
        <v>3200.6897223084206</v>
      </c>
      <c r="AF18" s="94">
        <v>4014.7991485580919</v>
      </c>
      <c r="AG18" s="94">
        <v>3600.793245135902</v>
      </c>
      <c r="AH18" s="94">
        <v>3473.5743224381781</v>
      </c>
      <c r="AI18" s="94">
        <v>3578.4465937215859</v>
      </c>
    </row>
    <row r="19" spans="1:35" ht="18" customHeight="1" x14ac:dyDescent="0.3">
      <c r="A19" s="95"/>
      <c r="B19" s="9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row>
    <row r="20" spans="1:35" ht="18" customHeight="1" x14ac:dyDescent="0.3">
      <c r="A20" s="93" t="s">
        <v>157</v>
      </c>
      <c r="B20" s="93" t="s">
        <v>159</v>
      </c>
      <c r="C20" s="94">
        <v>17124.1534444516</v>
      </c>
      <c r="D20" s="94">
        <v>17387.004475093752</v>
      </c>
      <c r="E20" s="94">
        <v>17480.373507102853</v>
      </c>
      <c r="F20" s="94">
        <v>18880.59577878311</v>
      </c>
      <c r="G20" s="94">
        <v>19772.350756399792</v>
      </c>
      <c r="H20" s="94">
        <v>19375.875493271189</v>
      </c>
      <c r="I20" s="94">
        <v>20209.57726746341</v>
      </c>
      <c r="J20" s="94">
        <v>20107.363307970078</v>
      </c>
      <c r="K20" s="94">
        <v>19626.674306006345</v>
      </c>
      <c r="L20" s="94">
        <v>25625.003998532386</v>
      </c>
      <c r="M20" s="94">
        <v>20229.791210376086</v>
      </c>
      <c r="N20" s="94">
        <v>13692.501802548008</v>
      </c>
      <c r="O20" s="94">
        <v>13167.280321686601</v>
      </c>
      <c r="P20" s="94">
        <v>13276.916430429383</v>
      </c>
      <c r="Q20" s="94">
        <v>15709.527810514972</v>
      </c>
      <c r="R20" s="94">
        <v>18406.097617916701</v>
      </c>
      <c r="S20" s="94">
        <v>16684.635220977005</v>
      </c>
      <c r="T20" s="94">
        <v>18208.3</v>
      </c>
      <c r="U20" s="94">
        <v>22351.503204308618</v>
      </c>
      <c r="V20" s="94">
        <v>22793.663781780338</v>
      </c>
      <c r="W20" s="94">
        <v>26910.501744209832</v>
      </c>
      <c r="X20" s="94">
        <v>26764.674456249071</v>
      </c>
      <c r="Y20" s="94">
        <v>29035.718389169582</v>
      </c>
      <c r="Z20" s="94">
        <v>30437.261802830217</v>
      </c>
      <c r="AA20" s="94">
        <v>30214.232700746641</v>
      </c>
      <c r="AB20" s="94">
        <v>32665.984429435379</v>
      </c>
      <c r="AC20" s="94">
        <v>24857.823151971599</v>
      </c>
      <c r="AD20" s="94">
        <v>27545.983244919938</v>
      </c>
      <c r="AE20" s="94">
        <v>22077.554442707245</v>
      </c>
      <c r="AF20" s="94">
        <v>26041.148231708707</v>
      </c>
      <c r="AG20" s="94">
        <v>28312.750196300727</v>
      </c>
      <c r="AH20" s="94">
        <v>33392.170831508505</v>
      </c>
      <c r="AI20" s="94">
        <v>25983.86624887009</v>
      </c>
    </row>
    <row r="21" spans="1:35" ht="18" customHeight="1" x14ac:dyDescent="0.3">
      <c r="A21" s="95"/>
      <c r="B21" s="9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row>
    <row r="22" spans="1:35" ht="18" customHeight="1" x14ac:dyDescent="0.3">
      <c r="A22" s="93" t="s">
        <v>158</v>
      </c>
      <c r="B22" s="93" t="s">
        <v>160</v>
      </c>
      <c r="C22" s="94">
        <v>16783.066562153781</v>
      </c>
      <c r="D22" s="94">
        <v>16662.990106930913</v>
      </c>
      <c r="E22" s="94">
        <v>16714.808306037146</v>
      </c>
      <c r="F22" s="94">
        <v>16933.391592858621</v>
      </c>
      <c r="G22" s="94">
        <v>16965.380737863452</v>
      </c>
      <c r="H22" s="94">
        <v>16894.259150927344</v>
      </c>
      <c r="I22" s="94">
        <v>17244.552747367612</v>
      </c>
      <c r="J22" s="94">
        <v>17176.067642631057</v>
      </c>
      <c r="K22" s="94">
        <v>17714.909966183142</v>
      </c>
      <c r="L22" s="94">
        <v>17779.359580064644</v>
      </c>
      <c r="M22" s="94">
        <v>17729.429084550167</v>
      </c>
      <c r="N22" s="94">
        <v>17596.792098551497</v>
      </c>
      <c r="O22" s="94">
        <v>17502.197926633598</v>
      </c>
      <c r="P22" s="94">
        <v>17546.488043785972</v>
      </c>
      <c r="Q22" s="94">
        <v>17729.666947954731</v>
      </c>
      <c r="R22" s="94">
        <v>17959.552263226153</v>
      </c>
      <c r="S22" s="94">
        <v>17891.487368666632</v>
      </c>
      <c r="T22" s="94">
        <v>17933.400000000001</v>
      </c>
      <c r="U22" s="94">
        <v>17891.033263811409</v>
      </c>
      <c r="V22" s="94">
        <v>17814.994206171017</v>
      </c>
      <c r="W22" s="94">
        <v>18016.92987628323</v>
      </c>
      <c r="X22" s="94">
        <v>17944.85720544224</v>
      </c>
      <c r="Y22" s="94">
        <v>17829.534681573681</v>
      </c>
      <c r="Z22" s="94">
        <v>18338.213278480045</v>
      </c>
      <c r="AA22" s="94">
        <v>18192.769241368547</v>
      </c>
      <c r="AB22" s="94">
        <v>18293.555926414694</v>
      </c>
      <c r="AC22" s="94">
        <v>18251.359706277355</v>
      </c>
      <c r="AD22" s="94">
        <v>18013.301744553763</v>
      </c>
      <c r="AE22" s="94">
        <v>17932.255108175697</v>
      </c>
      <c r="AF22" s="94">
        <v>17603.69697145218</v>
      </c>
      <c r="AG22" s="94">
        <v>17584.518517895722</v>
      </c>
      <c r="AH22" s="94">
        <v>17504.719826677381</v>
      </c>
      <c r="AI22" s="94">
        <v>17963.073158406212</v>
      </c>
    </row>
    <row r="23" spans="1:35" ht="18" customHeight="1" x14ac:dyDescent="0.3">
      <c r="A23" s="95"/>
      <c r="B23" s="95"/>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row>
    <row r="24" spans="1:35" ht="18" customHeight="1" x14ac:dyDescent="0.3">
      <c r="A24" s="93"/>
      <c r="B24" s="93" t="s">
        <v>135</v>
      </c>
      <c r="C24" s="94">
        <v>1365617.8868358212</v>
      </c>
      <c r="D24" s="94">
        <v>1352899.4840214273</v>
      </c>
      <c r="E24" s="94">
        <v>1347793.6571326193</v>
      </c>
      <c r="F24" s="94">
        <v>1345907.5620222194</v>
      </c>
      <c r="G24" s="94">
        <v>1409571.0954317953</v>
      </c>
      <c r="H24" s="94">
        <v>1382124.0103554248</v>
      </c>
      <c r="I24" s="94">
        <v>1401974.9421275225</v>
      </c>
      <c r="J24" s="94">
        <v>1390782.2097556328</v>
      </c>
      <c r="K24" s="94">
        <v>1415355.9517944218</v>
      </c>
      <c r="L24" s="94">
        <v>1458048.7956527267</v>
      </c>
      <c r="M24" s="94">
        <v>1431901.7014428016</v>
      </c>
      <c r="N24" s="94">
        <v>1445319.2370927532</v>
      </c>
      <c r="O24" s="94">
        <v>1478965.3685137553</v>
      </c>
      <c r="P24" s="94">
        <v>1550497.1388212512</v>
      </c>
      <c r="Q24" s="94">
        <v>1527168.1696811719</v>
      </c>
      <c r="R24" s="94">
        <v>1546656.2380080998</v>
      </c>
      <c r="S24" s="94">
        <v>1569150.0222901902</v>
      </c>
      <c r="T24" s="94">
        <v>1606181.3</v>
      </c>
      <c r="U24" s="94">
        <v>1645107.2784188152</v>
      </c>
      <c r="V24" s="94">
        <v>1650047.9162514766</v>
      </c>
      <c r="W24" s="94">
        <v>1686367.4727960858</v>
      </c>
      <c r="X24" s="94">
        <v>1650434.5927597787</v>
      </c>
      <c r="Y24" s="94">
        <v>1741019.117012599</v>
      </c>
      <c r="Z24" s="94">
        <v>1732317.4066350746</v>
      </c>
      <c r="AA24" s="94">
        <v>1663606.6520986662</v>
      </c>
      <c r="AB24" s="94">
        <v>1709197.6267093744</v>
      </c>
      <c r="AC24" s="94">
        <v>1712098.6722167726</v>
      </c>
      <c r="AD24" s="94">
        <v>1775301.1514109641</v>
      </c>
      <c r="AE24" s="94">
        <v>1813310.0508268164</v>
      </c>
      <c r="AF24" s="94">
        <v>1840174.7528254709</v>
      </c>
      <c r="AG24" s="94">
        <v>1799573.7927370011</v>
      </c>
      <c r="AH24" s="94">
        <v>1874524.5639616877</v>
      </c>
      <c r="AI24" s="94">
        <v>1910601.5130892256</v>
      </c>
    </row>
    <row r="25" spans="1:35" thickBot="1" x14ac:dyDescent="0.35">
      <c r="A25" s="98"/>
      <c r="B25" s="98"/>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row>
    <row r="26" spans="1:35" ht="18" hidden="1" thickTop="1" x14ac:dyDescent="0.3">
      <c r="A26" s="116"/>
      <c r="B26" s="116"/>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row>
    <row r="27" spans="1:35" ht="18" thickTop="1" x14ac:dyDescent="0.3">
      <c r="A27" s="85"/>
      <c r="B27" s="85"/>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row>
    <row r="28" spans="1:35" ht="18" thickBot="1" x14ac:dyDescent="0.35">
      <c r="A28" s="117"/>
      <c r="B28" s="117"/>
      <c r="C28" s="118"/>
      <c r="D28" s="118"/>
      <c r="E28" s="118"/>
      <c r="F28" s="118"/>
      <c r="G28" s="118"/>
      <c r="H28" s="118"/>
      <c r="I28" s="118"/>
      <c r="J28" s="118"/>
      <c r="K28" s="118"/>
      <c r="S28" s="87"/>
      <c r="X28" s="87"/>
      <c r="AE28" s="87"/>
      <c r="AI28" s="87" t="s">
        <v>8</v>
      </c>
    </row>
    <row r="29" spans="1:35" ht="24" customHeight="1" thickTop="1" thickBot="1" x14ac:dyDescent="0.35">
      <c r="A29" s="89" t="s">
        <v>138</v>
      </c>
      <c r="B29" s="89" t="s">
        <v>161</v>
      </c>
      <c r="C29" s="90">
        <v>43374</v>
      </c>
      <c r="D29" s="90">
        <v>43405</v>
      </c>
      <c r="E29" s="90">
        <v>43435</v>
      </c>
      <c r="F29" s="90">
        <v>43466</v>
      </c>
      <c r="G29" s="90">
        <v>43497</v>
      </c>
      <c r="H29" s="90">
        <v>43525</v>
      </c>
      <c r="I29" s="90">
        <v>43556</v>
      </c>
      <c r="J29" s="90">
        <v>43586</v>
      </c>
      <c r="K29" s="90">
        <v>43617</v>
      </c>
      <c r="L29" s="90">
        <v>43647</v>
      </c>
      <c r="M29" s="90">
        <v>43678</v>
      </c>
      <c r="N29" s="90">
        <v>43709</v>
      </c>
      <c r="O29" s="90">
        <v>43739</v>
      </c>
      <c r="P29" s="90">
        <v>43770</v>
      </c>
      <c r="Q29" s="90">
        <v>43800</v>
      </c>
      <c r="R29" s="90">
        <v>43831</v>
      </c>
      <c r="S29" s="91" t="s">
        <v>174</v>
      </c>
      <c r="T29" s="91" t="s">
        <v>140</v>
      </c>
      <c r="U29" s="91" t="s">
        <v>175</v>
      </c>
      <c r="V29" s="91" t="s">
        <v>176</v>
      </c>
      <c r="W29" s="91" t="s">
        <v>177</v>
      </c>
      <c r="X29" s="91" t="s">
        <v>142</v>
      </c>
      <c r="Y29" s="91" t="s">
        <v>143</v>
      </c>
      <c r="Z29" s="91" t="s">
        <v>144</v>
      </c>
      <c r="AA29" s="91" t="s">
        <v>145</v>
      </c>
      <c r="AB29" s="91" t="s">
        <v>146</v>
      </c>
      <c r="AC29" s="91" t="s">
        <v>147</v>
      </c>
      <c r="AD29" s="91" t="s">
        <v>148</v>
      </c>
      <c r="AE29" s="91" t="s">
        <v>3248</v>
      </c>
      <c r="AF29" s="91" t="s">
        <v>3249</v>
      </c>
      <c r="AG29" s="91" t="s">
        <v>3250</v>
      </c>
      <c r="AH29" s="91" t="s">
        <v>3251</v>
      </c>
      <c r="AI29" s="91" t="s">
        <v>3252</v>
      </c>
    </row>
    <row r="30" spans="1:35" ht="18" customHeight="1" thickTop="1" x14ac:dyDescent="0.3">
      <c r="A30" s="95"/>
      <c r="B30" s="100"/>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row>
    <row r="31" spans="1:35" ht="18" customHeight="1" x14ac:dyDescent="0.3">
      <c r="A31" s="93" t="s">
        <v>162</v>
      </c>
      <c r="B31" s="93" t="s">
        <v>187</v>
      </c>
      <c r="C31" s="94">
        <v>1003466.3580728481</v>
      </c>
      <c r="D31" s="94">
        <v>985825.42911876226</v>
      </c>
      <c r="E31" s="94">
        <v>993369.63823581871</v>
      </c>
      <c r="F31" s="94">
        <v>985565.37924373988</v>
      </c>
      <c r="G31" s="94">
        <v>1053179.7089023883</v>
      </c>
      <c r="H31" s="94">
        <v>1009110.9752867478</v>
      </c>
      <c r="I31" s="94">
        <v>1035201.4607954381</v>
      </c>
      <c r="J31" s="94">
        <v>1026121.6099641048</v>
      </c>
      <c r="K31" s="94">
        <v>1030371.0829183606</v>
      </c>
      <c r="L31" s="94">
        <v>1064072.370818259</v>
      </c>
      <c r="M31" s="94">
        <v>1043539.6086825189</v>
      </c>
      <c r="N31" s="94">
        <v>1055813.5645698449</v>
      </c>
      <c r="O31" s="94">
        <v>1100337.7640602475</v>
      </c>
      <c r="P31" s="94">
        <v>1164628.4610824005</v>
      </c>
      <c r="Q31" s="94">
        <v>1148426.0217205626</v>
      </c>
      <c r="R31" s="94">
        <v>1163870.4374500378</v>
      </c>
      <c r="S31" s="94">
        <v>1186540.9297861627</v>
      </c>
      <c r="T31" s="94">
        <v>1198205.4218182403</v>
      </c>
      <c r="U31" s="94">
        <v>1203806.418329777</v>
      </c>
      <c r="V31" s="94">
        <v>1212952.0876573164</v>
      </c>
      <c r="W31" s="94">
        <v>1238594.9601729973</v>
      </c>
      <c r="X31" s="94">
        <v>1209835.2488311327</v>
      </c>
      <c r="Y31" s="94">
        <v>1299599.0469368689</v>
      </c>
      <c r="Z31" s="94">
        <v>1293559.1728604105</v>
      </c>
      <c r="AA31" s="94">
        <v>1241999.2029383248</v>
      </c>
      <c r="AB31" s="94">
        <v>1284614.958036182</v>
      </c>
      <c r="AC31" s="94">
        <v>1297597.480225516</v>
      </c>
      <c r="AD31" s="94">
        <v>1350604.0030924445</v>
      </c>
      <c r="AE31" s="94">
        <v>1377236.757756907</v>
      </c>
      <c r="AF31" s="94">
        <v>1403420.9892368205</v>
      </c>
      <c r="AG31" s="94">
        <v>1371249.8312604974</v>
      </c>
      <c r="AH31" s="94">
        <v>1448793.8960295466</v>
      </c>
      <c r="AI31" s="94">
        <v>1465410.2477605103</v>
      </c>
    </row>
    <row r="32" spans="1:35" ht="18" customHeight="1" x14ac:dyDescent="0.3">
      <c r="A32" s="95" t="s">
        <v>188</v>
      </c>
      <c r="B32" s="95" t="s">
        <v>189</v>
      </c>
      <c r="C32" s="96">
        <v>684016.11894296249</v>
      </c>
      <c r="D32" s="96">
        <v>682378.04571106599</v>
      </c>
      <c r="E32" s="96">
        <v>690891.10797815153</v>
      </c>
      <c r="F32" s="96">
        <v>683455.39443433646</v>
      </c>
      <c r="G32" s="96">
        <v>734607.71920019027</v>
      </c>
      <c r="H32" s="96">
        <v>713130.30463240796</v>
      </c>
      <c r="I32" s="96">
        <v>732804.11482553033</v>
      </c>
      <c r="J32" s="96">
        <v>725006.83099447738</v>
      </c>
      <c r="K32" s="96">
        <v>725875.24979446107</v>
      </c>
      <c r="L32" s="96">
        <v>746384.07412294135</v>
      </c>
      <c r="M32" s="96">
        <v>735631.1107674815</v>
      </c>
      <c r="N32" s="96">
        <v>731605.02390251122</v>
      </c>
      <c r="O32" s="96">
        <v>770243.14127152518</v>
      </c>
      <c r="P32" s="96">
        <v>836476.11776609824</v>
      </c>
      <c r="Q32" s="96">
        <v>815485.01336853555</v>
      </c>
      <c r="R32" s="96">
        <v>822451.47965343355</v>
      </c>
      <c r="S32" s="96">
        <v>841107.24794872652</v>
      </c>
      <c r="T32" s="96">
        <v>870101.32714155549</v>
      </c>
      <c r="U32" s="96">
        <v>885748.23622033582</v>
      </c>
      <c r="V32" s="96">
        <v>887641.56076104497</v>
      </c>
      <c r="W32" s="96">
        <v>909407.36061140278</v>
      </c>
      <c r="X32" s="96">
        <v>883729.07255011238</v>
      </c>
      <c r="Y32" s="96">
        <v>980849.72483544645</v>
      </c>
      <c r="Z32" s="96">
        <v>946543.53277816495</v>
      </c>
      <c r="AA32" s="96">
        <v>921364.93943594652</v>
      </c>
      <c r="AB32" s="96">
        <v>954684.68506130739</v>
      </c>
      <c r="AC32" s="96">
        <v>950398.87402759143</v>
      </c>
      <c r="AD32" s="96">
        <v>1007112.6728638929</v>
      </c>
      <c r="AE32" s="96">
        <v>1015434.695668649</v>
      </c>
      <c r="AF32" s="96">
        <v>1044998.1454919098</v>
      </c>
      <c r="AG32" s="96">
        <v>1014626.5152618177</v>
      </c>
      <c r="AH32" s="96">
        <v>1077278.9773685916</v>
      </c>
      <c r="AI32" s="96">
        <v>1097509.3418378225</v>
      </c>
    </row>
    <row r="33" spans="1:35" ht="18" customHeight="1" x14ac:dyDescent="0.3">
      <c r="A33" s="95" t="s">
        <v>190</v>
      </c>
      <c r="B33" s="95" t="s">
        <v>191</v>
      </c>
      <c r="C33" s="96">
        <v>319450.23912988557</v>
      </c>
      <c r="D33" s="96">
        <v>303447.38340769592</v>
      </c>
      <c r="E33" s="96">
        <v>302478.53025766718</v>
      </c>
      <c r="F33" s="96">
        <v>302109.98480940354</v>
      </c>
      <c r="G33" s="96">
        <v>318571.98970219807</v>
      </c>
      <c r="H33" s="96">
        <v>295980.67065433983</v>
      </c>
      <c r="I33" s="96">
        <v>302397.34596990753</v>
      </c>
      <c r="J33" s="96">
        <v>301114.7789696274</v>
      </c>
      <c r="K33" s="96">
        <v>304495.83312389982</v>
      </c>
      <c r="L33" s="96">
        <v>317688.29669531749</v>
      </c>
      <c r="M33" s="96">
        <v>307908.4979150375</v>
      </c>
      <c r="N33" s="96">
        <v>324208.54066733358</v>
      </c>
      <c r="O33" s="96">
        <v>330094.62278872228</v>
      </c>
      <c r="P33" s="96">
        <v>328152.34331630234</v>
      </c>
      <c r="Q33" s="96">
        <v>332941.00835202687</v>
      </c>
      <c r="R33" s="96">
        <v>341418.95779660426</v>
      </c>
      <c r="S33" s="96">
        <v>345433.68183743628</v>
      </c>
      <c r="T33" s="96">
        <v>328104.09467668447</v>
      </c>
      <c r="U33" s="96">
        <v>318058.18210944097</v>
      </c>
      <c r="V33" s="96">
        <v>325310.52689627139</v>
      </c>
      <c r="W33" s="96">
        <v>329187.59956159454</v>
      </c>
      <c r="X33" s="96">
        <v>326106.17628101975</v>
      </c>
      <c r="Y33" s="96">
        <v>318749.32210142264</v>
      </c>
      <c r="Z33" s="96">
        <v>347015.64008224534</v>
      </c>
      <c r="AA33" s="96">
        <v>320634.26350237842</v>
      </c>
      <c r="AB33" s="96">
        <v>329930.27297487471</v>
      </c>
      <c r="AC33" s="96">
        <v>347198.60619792453</v>
      </c>
      <c r="AD33" s="96">
        <v>343491.33022855176</v>
      </c>
      <c r="AE33" s="96">
        <v>361802.0620882581</v>
      </c>
      <c r="AF33" s="96">
        <v>358422.84374491125</v>
      </c>
      <c r="AG33" s="96">
        <v>356623.31599867973</v>
      </c>
      <c r="AH33" s="96">
        <v>371514.91866095521</v>
      </c>
      <c r="AI33" s="96">
        <v>367900.90592268785</v>
      </c>
    </row>
    <row r="34" spans="1:35" ht="18" customHeight="1" x14ac:dyDescent="0.3">
      <c r="A34" s="95"/>
      <c r="B34" s="95"/>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35" ht="18" customHeight="1" x14ac:dyDescent="0.3">
      <c r="A35" s="93" t="s">
        <v>163</v>
      </c>
      <c r="B35" s="93" t="s">
        <v>183</v>
      </c>
      <c r="C35" s="94">
        <v>10396.875698402895</v>
      </c>
      <c r="D35" s="94">
        <v>10472.513971288818</v>
      </c>
      <c r="E35" s="94">
        <v>9552.8629273608403</v>
      </c>
      <c r="F35" s="94">
        <v>13987.50867411193</v>
      </c>
      <c r="G35" s="94">
        <v>13862.469159942078</v>
      </c>
      <c r="H35" s="94">
        <v>14163.428913594504</v>
      </c>
      <c r="I35" s="94">
        <v>14708.977414611722</v>
      </c>
      <c r="J35" s="94">
        <v>14942.4576806799</v>
      </c>
      <c r="K35" s="94">
        <v>15062.803368544977</v>
      </c>
      <c r="L35" s="94">
        <v>15026.021519396279</v>
      </c>
      <c r="M35" s="94">
        <v>14959.982031542395</v>
      </c>
      <c r="N35" s="94">
        <v>15120.636000181921</v>
      </c>
      <c r="O35" s="94">
        <v>15280.012605387969</v>
      </c>
      <c r="P35" s="94">
        <v>15447.164900141179</v>
      </c>
      <c r="Q35" s="94">
        <v>17015.682745620466</v>
      </c>
      <c r="R35" s="94">
        <v>17069.105568815172</v>
      </c>
      <c r="S35" s="94">
        <v>17096.525482945803</v>
      </c>
      <c r="T35" s="94">
        <v>16124.172714863298</v>
      </c>
      <c r="U35" s="94">
        <v>16212.858535886307</v>
      </c>
      <c r="V35" s="94">
        <v>16100.745294959024</v>
      </c>
      <c r="W35" s="94">
        <v>16874.40861594228</v>
      </c>
      <c r="X35" s="94">
        <v>17056.301030099683</v>
      </c>
      <c r="Y35" s="94">
        <v>17100.396193503762</v>
      </c>
      <c r="Z35" s="94">
        <v>16913.578328091779</v>
      </c>
      <c r="AA35" s="94">
        <v>16903.670228602685</v>
      </c>
      <c r="AB35" s="94">
        <v>16654.533657206321</v>
      </c>
      <c r="AC35" s="94">
        <v>16264.041633131037</v>
      </c>
      <c r="AD35" s="94">
        <v>16408.554026230264</v>
      </c>
      <c r="AE35" s="94">
        <v>16221.468650547791</v>
      </c>
      <c r="AF35" s="94">
        <v>16503.915965674823</v>
      </c>
      <c r="AG35" s="94">
        <v>16455.038241147897</v>
      </c>
      <c r="AH35" s="94">
        <v>16482.822912366399</v>
      </c>
      <c r="AI35" s="94">
        <v>17087.44599870186</v>
      </c>
    </row>
    <row r="36" spans="1:35" ht="18" customHeight="1" x14ac:dyDescent="0.3">
      <c r="A36" s="95"/>
      <c r="B36" s="95"/>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35" ht="18" customHeight="1" x14ac:dyDescent="0.3">
      <c r="A37" s="93" t="s">
        <v>164</v>
      </c>
      <c r="B37" s="93" t="s">
        <v>154</v>
      </c>
      <c r="C37" s="94">
        <v>138686.41134619206</v>
      </c>
      <c r="D37" s="94">
        <v>139939.762859062</v>
      </c>
      <c r="E37" s="94">
        <v>138215.13703439353</v>
      </c>
      <c r="F37" s="94">
        <v>138839.25534205005</v>
      </c>
      <c r="G37" s="94">
        <v>132963.92811812891</v>
      </c>
      <c r="H37" s="94">
        <v>141378.93299931596</v>
      </c>
      <c r="I37" s="94">
        <v>134742.84316092852</v>
      </c>
      <c r="J37" s="94">
        <v>128484.29869788558</v>
      </c>
      <c r="K37" s="94">
        <v>149602.96541626702</v>
      </c>
      <c r="L37" s="94">
        <v>146552.63785548275</v>
      </c>
      <c r="M37" s="94">
        <v>150093.02527221362</v>
      </c>
      <c r="N37" s="94">
        <v>152632.10169356837</v>
      </c>
      <c r="O37" s="94">
        <v>145443.19904246111</v>
      </c>
      <c r="P37" s="94">
        <v>147936.54823418125</v>
      </c>
      <c r="Q37" s="94">
        <v>146043.20855930113</v>
      </c>
      <c r="R37" s="94">
        <v>147009.44332419502</v>
      </c>
      <c r="S37" s="94">
        <v>143405.48763154136</v>
      </c>
      <c r="T37" s="94">
        <v>160364.31880343828</v>
      </c>
      <c r="U37" s="94">
        <v>185421.66517849173</v>
      </c>
      <c r="V37" s="94">
        <v>179417.44781692783</v>
      </c>
      <c r="W37" s="94">
        <v>182515.64472524228</v>
      </c>
      <c r="X37" s="94">
        <v>177189.80801213961</v>
      </c>
      <c r="Y37" s="94">
        <v>173268.27627573922</v>
      </c>
      <c r="Z37" s="94">
        <v>159553.83282579115</v>
      </c>
      <c r="AA37" s="94">
        <v>151206.4401817577</v>
      </c>
      <c r="AB37" s="94">
        <v>145580.02421794005</v>
      </c>
      <c r="AC37" s="94">
        <v>144427.01910085219</v>
      </c>
      <c r="AD37" s="94">
        <v>152334.79733372852</v>
      </c>
      <c r="AE37" s="94">
        <v>160018.34789737646</v>
      </c>
      <c r="AF37" s="94">
        <v>157684.46774648846</v>
      </c>
      <c r="AG37" s="94">
        <v>151076.79913641003</v>
      </c>
      <c r="AH37" s="94">
        <v>141875.43885198981</v>
      </c>
      <c r="AI37" s="94">
        <v>157885.89576674532</v>
      </c>
    </row>
    <row r="38" spans="1:35" ht="18" customHeight="1" x14ac:dyDescent="0.3">
      <c r="A38" s="95"/>
      <c r="B38" s="101"/>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row>
    <row r="39" spans="1:35" ht="18" customHeight="1" x14ac:dyDescent="0.3">
      <c r="A39" s="93" t="s">
        <v>165</v>
      </c>
      <c r="B39" s="93" t="s">
        <v>185</v>
      </c>
      <c r="C39" s="94">
        <v>0</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row>
    <row r="40" spans="1:35" ht="18" customHeight="1" x14ac:dyDescent="0.3">
      <c r="A40" s="95"/>
      <c r="B40" s="95"/>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row>
    <row r="41" spans="1:35" ht="18" customHeight="1" x14ac:dyDescent="0.3">
      <c r="A41" s="93" t="s">
        <v>166</v>
      </c>
      <c r="B41" s="93" t="s">
        <v>192</v>
      </c>
      <c r="C41" s="94">
        <v>2220.5587516851147</v>
      </c>
      <c r="D41" s="94">
        <v>2973.7746983604889</v>
      </c>
      <c r="E41" s="94">
        <v>2793.4057543746385</v>
      </c>
      <c r="F41" s="94">
        <v>2837.0982304102877</v>
      </c>
      <c r="G41" s="94">
        <v>2889.4763727661752</v>
      </c>
      <c r="H41" s="94">
        <v>3485.0313894252599</v>
      </c>
      <c r="I41" s="94">
        <v>3357.6639987524809</v>
      </c>
      <c r="J41" s="94">
        <v>3611.6788113440039</v>
      </c>
      <c r="K41" s="94">
        <v>3354.7952141702235</v>
      </c>
      <c r="L41" s="94">
        <v>3600.691496904597</v>
      </c>
      <c r="M41" s="94">
        <v>3299.4268873645624</v>
      </c>
      <c r="N41" s="94">
        <v>4163.4008869055833</v>
      </c>
      <c r="O41" s="94">
        <v>3781.3165850788259</v>
      </c>
      <c r="P41" s="94">
        <v>3338.9534975578613</v>
      </c>
      <c r="Q41" s="94">
        <v>3241.382092907515</v>
      </c>
      <c r="R41" s="94">
        <v>2200.8045698953802</v>
      </c>
      <c r="S41" s="94">
        <v>3011.1787886331404</v>
      </c>
      <c r="T41" s="94">
        <v>5000.7986755779766</v>
      </c>
      <c r="U41" s="94">
        <v>5930.5633522589069</v>
      </c>
      <c r="V41" s="94">
        <v>4586.5524504908981</v>
      </c>
      <c r="W41" s="94">
        <v>3759.541357141497</v>
      </c>
      <c r="X41" s="94">
        <v>4915.516998261668</v>
      </c>
      <c r="Y41" s="94">
        <v>4783.2831960829226</v>
      </c>
      <c r="Z41" s="94">
        <v>4440.7225172802082</v>
      </c>
      <c r="AA41" s="94">
        <v>4091.4658880716315</v>
      </c>
      <c r="AB41" s="94">
        <v>3936.6845371689215</v>
      </c>
      <c r="AC41" s="94">
        <v>4012.1740674445377</v>
      </c>
      <c r="AD41" s="94">
        <v>3200.807848833183</v>
      </c>
      <c r="AE41" s="94">
        <v>3628.0198578387317</v>
      </c>
      <c r="AF41" s="94">
        <v>4769.8301387371348</v>
      </c>
      <c r="AG41" s="94">
        <v>3774.7033963075228</v>
      </c>
      <c r="AH41" s="94">
        <v>3923.5526932379253</v>
      </c>
      <c r="AI41" s="94">
        <v>4393.4741044475459</v>
      </c>
    </row>
    <row r="42" spans="1:35" ht="18" customHeight="1" x14ac:dyDescent="0.3">
      <c r="A42" s="95"/>
      <c r="B42" s="95"/>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row>
    <row r="43" spans="1:35" ht="18" customHeight="1" x14ac:dyDescent="0.3">
      <c r="A43" s="93" t="s">
        <v>167</v>
      </c>
      <c r="B43" s="93" t="s">
        <v>169</v>
      </c>
      <c r="C43" s="94">
        <v>60013.962889054012</v>
      </c>
      <c r="D43" s="94">
        <v>60773.874818106429</v>
      </c>
      <c r="E43" s="94">
        <v>57694.48437717498</v>
      </c>
      <c r="F43" s="94">
        <v>56300.672538853141</v>
      </c>
      <c r="G43" s="94">
        <v>56791.655590215996</v>
      </c>
      <c r="H43" s="94">
        <v>60805.004832683189</v>
      </c>
      <c r="I43" s="94">
        <v>58260.859288613639</v>
      </c>
      <c r="J43" s="94">
        <v>58942.324860345238</v>
      </c>
      <c r="K43" s="94">
        <v>58518.643886942067</v>
      </c>
      <c r="L43" s="94">
        <v>70292.994113460183</v>
      </c>
      <c r="M43" s="94">
        <v>58634.16505471136</v>
      </c>
      <c r="N43" s="94">
        <v>58182.23040092372</v>
      </c>
      <c r="O43" s="94">
        <v>54607.917054842612</v>
      </c>
      <c r="P43" s="94">
        <v>57304.231994142923</v>
      </c>
      <c r="Q43" s="94">
        <v>50858.533136811959</v>
      </c>
      <c r="R43" s="94">
        <v>52804.560163316324</v>
      </c>
      <c r="S43" s="94">
        <v>52635.697361753249</v>
      </c>
      <c r="T43" s="94">
        <v>57478.951743014026</v>
      </c>
      <c r="U43" s="94">
        <v>62744.829927602121</v>
      </c>
      <c r="V43" s="94">
        <v>64305.412804674248</v>
      </c>
      <c r="W43" s="94">
        <v>70415.672806937917</v>
      </c>
      <c r="X43" s="94">
        <v>71356.143256979311</v>
      </c>
      <c r="Y43" s="94">
        <v>76106.689343189981</v>
      </c>
      <c r="Z43" s="94">
        <v>87469.272771371296</v>
      </c>
      <c r="AA43" s="94">
        <v>78202.314053361828</v>
      </c>
      <c r="AB43" s="94">
        <v>87754.815604549876</v>
      </c>
      <c r="AC43" s="94">
        <v>78803.152678761297</v>
      </c>
      <c r="AD43" s="94">
        <v>81714.099380288768</v>
      </c>
      <c r="AE43" s="94">
        <v>83848.382948681086</v>
      </c>
      <c r="AF43" s="94">
        <v>83769.8922762078</v>
      </c>
      <c r="AG43" s="94">
        <v>80747.589630999733</v>
      </c>
      <c r="AH43" s="94">
        <v>85450.366259405564</v>
      </c>
      <c r="AI43" s="94">
        <v>84100.445089501474</v>
      </c>
    </row>
    <row r="44" spans="1:35" ht="18" customHeight="1" x14ac:dyDescent="0.3">
      <c r="A44" s="95"/>
      <c r="B44" s="95"/>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row>
    <row r="45" spans="1:35" ht="18" customHeight="1" x14ac:dyDescent="0.3">
      <c r="A45" s="93" t="s">
        <v>168</v>
      </c>
      <c r="B45" s="93" t="s">
        <v>184</v>
      </c>
      <c r="C45" s="94">
        <v>150833.72007763924</v>
      </c>
      <c r="D45" s="94">
        <v>152914.1285558478</v>
      </c>
      <c r="E45" s="94">
        <v>146168.12880349666</v>
      </c>
      <c r="F45" s="94">
        <v>148377.64799305439</v>
      </c>
      <c r="G45" s="94">
        <v>149883.85728835408</v>
      </c>
      <c r="H45" s="94">
        <v>153180.63693365804</v>
      </c>
      <c r="I45" s="94">
        <v>155703.13746917812</v>
      </c>
      <c r="J45" s="94">
        <v>158679.83974127311</v>
      </c>
      <c r="K45" s="94">
        <v>158445.66099013638</v>
      </c>
      <c r="L45" s="94">
        <v>158504.07984922366</v>
      </c>
      <c r="M45" s="94">
        <v>161375.49351445082</v>
      </c>
      <c r="N45" s="94">
        <v>159407.30354132867</v>
      </c>
      <c r="O45" s="94">
        <v>159515.15916573725</v>
      </c>
      <c r="P45" s="94">
        <v>161841.77911282721</v>
      </c>
      <c r="Q45" s="94">
        <v>161583.34142596857</v>
      </c>
      <c r="R45" s="94">
        <v>163701.88693183992</v>
      </c>
      <c r="S45" s="94">
        <v>166460.20323915419</v>
      </c>
      <c r="T45" s="94">
        <v>169007.67083421713</v>
      </c>
      <c r="U45" s="94">
        <v>170990.94309479953</v>
      </c>
      <c r="V45" s="94">
        <v>172685.670227108</v>
      </c>
      <c r="W45" s="94">
        <v>174207.24511782441</v>
      </c>
      <c r="X45" s="94">
        <v>170081.57463116586</v>
      </c>
      <c r="Y45" s="94">
        <v>170161.4250672138</v>
      </c>
      <c r="Z45" s="94">
        <v>170380.82733212991</v>
      </c>
      <c r="AA45" s="94">
        <v>171203.55880854747</v>
      </c>
      <c r="AB45" s="94">
        <v>170656.61065632669</v>
      </c>
      <c r="AC45" s="94">
        <v>170994.80451106728</v>
      </c>
      <c r="AD45" s="94">
        <v>171038.88972943914</v>
      </c>
      <c r="AE45" s="94">
        <v>172357.073715465</v>
      </c>
      <c r="AF45" s="94">
        <v>174025.657461542</v>
      </c>
      <c r="AG45" s="94">
        <v>176269.83107163824</v>
      </c>
      <c r="AH45" s="94">
        <v>177998.48721514165</v>
      </c>
      <c r="AI45" s="94">
        <v>181724.00436931895</v>
      </c>
    </row>
    <row r="46" spans="1:35" ht="16.5" x14ac:dyDescent="0.3">
      <c r="A46" s="95"/>
      <c r="B46" s="95"/>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row>
    <row r="47" spans="1:35" ht="16.5" x14ac:dyDescent="0.3">
      <c r="A47" s="93"/>
      <c r="B47" s="93" t="s">
        <v>137</v>
      </c>
      <c r="C47" s="94">
        <v>1365617.8868358212</v>
      </c>
      <c r="D47" s="94">
        <v>1352899.4840214273</v>
      </c>
      <c r="E47" s="94">
        <v>1347793.6571326193</v>
      </c>
      <c r="F47" s="94">
        <v>1345907.5620222194</v>
      </c>
      <c r="G47" s="94">
        <v>1409571.0954317953</v>
      </c>
      <c r="H47" s="94">
        <v>1382124.0103554248</v>
      </c>
      <c r="I47" s="94">
        <v>1401974.9421275225</v>
      </c>
      <c r="J47" s="94">
        <v>1390782.2097556328</v>
      </c>
      <c r="K47" s="94">
        <v>1415355.9517944218</v>
      </c>
      <c r="L47" s="94">
        <v>1458048.7956527267</v>
      </c>
      <c r="M47" s="94">
        <v>1431901.7014428016</v>
      </c>
      <c r="N47" s="94">
        <v>1445319.2370927532</v>
      </c>
      <c r="O47" s="94">
        <v>1478965.3685137553</v>
      </c>
      <c r="P47" s="94">
        <v>1550497.1388212512</v>
      </c>
      <c r="Q47" s="94">
        <v>1527168.1696811719</v>
      </c>
      <c r="R47" s="94">
        <v>1546656.2380080998</v>
      </c>
      <c r="S47" s="94">
        <v>1569150.0222901902</v>
      </c>
      <c r="T47" s="94">
        <v>1606181.3345893507</v>
      </c>
      <c r="U47" s="94">
        <v>1645107.2784188152</v>
      </c>
      <c r="V47" s="94">
        <v>1650047.9162514766</v>
      </c>
      <c r="W47" s="94">
        <v>1686367.4727960858</v>
      </c>
      <c r="X47" s="94">
        <v>1650434.5927597787</v>
      </c>
      <c r="Y47" s="94">
        <v>1741019.117012599</v>
      </c>
      <c r="Z47" s="94">
        <v>1732317.4066350746</v>
      </c>
      <c r="AA47" s="94">
        <v>1663606.6520986662</v>
      </c>
      <c r="AB47" s="94">
        <v>1709197.6267093744</v>
      </c>
      <c r="AC47" s="94">
        <v>1712098.6722167726</v>
      </c>
      <c r="AD47" s="94">
        <v>1775301.1514109641</v>
      </c>
      <c r="AE47" s="94">
        <v>1813310.0508268164</v>
      </c>
      <c r="AF47" s="94">
        <v>1840174.7528254709</v>
      </c>
      <c r="AG47" s="94">
        <v>1799573.7927370011</v>
      </c>
      <c r="AH47" s="94">
        <v>1874524.5639616877</v>
      </c>
      <c r="AI47" s="94">
        <v>1910601.5130892256</v>
      </c>
    </row>
    <row r="48" spans="1:35" thickBot="1" x14ac:dyDescent="0.35">
      <c r="A48" s="55"/>
      <c r="B48" s="55"/>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row>
    <row r="49" spans="1:1" s="104" customFormat="1" ht="18" customHeight="1" thickTop="1" x14ac:dyDescent="0.25">
      <c r="A49" s="102" t="s">
        <v>172</v>
      </c>
    </row>
    <row r="50" spans="1:1" s="104" customFormat="1" ht="14.25" x14ac:dyDescent="0.25">
      <c r="A50" s="121" t="s">
        <v>903</v>
      </c>
    </row>
    <row r="51" spans="1:1" s="102" customFormat="1" ht="15" x14ac:dyDescent="0.25">
      <c r="A51" s="404" t="s">
        <v>911</v>
      </c>
    </row>
    <row r="52" spans="1:1" s="104" customFormat="1" ht="15.75" x14ac:dyDescent="0.25">
      <c r="A52" s="102" t="s">
        <v>193</v>
      </c>
    </row>
    <row r="53" spans="1:1" s="104" customFormat="1" ht="15.75" x14ac:dyDescent="0.25">
      <c r="A53" s="102" t="s">
        <v>194</v>
      </c>
    </row>
    <row r="54" spans="1:1" s="104" customFormat="1" ht="14.25" x14ac:dyDescent="0.25">
      <c r="A54" s="102" t="s">
        <v>195</v>
      </c>
    </row>
    <row r="55" spans="1:1" s="104" customFormat="1" ht="15.75" x14ac:dyDescent="0.25">
      <c r="A55" s="102" t="s">
        <v>196</v>
      </c>
    </row>
    <row r="56" spans="1:1" s="104" customFormat="1" ht="14.25" x14ac:dyDescent="0.25">
      <c r="A56" s="121"/>
    </row>
    <row r="57" spans="1:1" s="104" customFormat="1" ht="18" customHeight="1" x14ac:dyDescent="0.25">
      <c r="A57" s="103" t="s">
        <v>134</v>
      </c>
    </row>
    <row r="58" spans="1:1" ht="15" customHeight="1" x14ac:dyDescent="0.3">
      <c r="A58" s="104"/>
    </row>
    <row r="59" spans="1:1" x14ac:dyDescent="0.3">
      <c r="A59" s="104"/>
    </row>
  </sheetData>
  <hyperlinks>
    <hyperlink ref="A51" r:id="rId1" display="https://www.bom.mu/publications-statistics/statistics/monthly-statistical-bulletin/monthly-statistical-bulletin-february-2021" xr:uid="{00000000-0004-0000-1100-000000000000}"/>
  </hyperlinks>
  <pageMargins left="0.75" right="0.75" top="0.75" bottom="0.75" header="0.3" footer="0"/>
  <pageSetup paperSize="9" scale="50"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WUT60"/>
  <sheetViews>
    <sheetView showGridLines="0" zoomScale="80" zoomScaleNormal="80" zoomScaleSheetLayoutView="100" workbookViewId="0">
      <pane xSplit="7" ySplit="4" topLeftCell="W5" activePane="bottomRight" state="frozen"/>
      <selection activeCell="K39" sqref="K39"/>
      <selection pane="topRight" activeCell="K39" sqref="K39"/>
      <selection pane="bottomLeft" activeCell="K39" sqref="K39"/>
      <selection pane="bottomRight" activeCell="A55" sqref="A55"/>
    </sheetView>
  </sheetViews>
  <sheetFormatPr defaultRowHeight="17.25" x14ac:dyDescent="0.3"/>
  <cols>
    <col min="1" max="1" width="7.140625" style="53" customWidth="1"/>
    <col min="2" max="2" width="60.7109375" style="84" bestFit="1" customWidth="1"/>
    <col min="3" max="6" width="16.140625" style="53" hidden="1" customWidth="1"/>
    <col min="7" max="22" width="12.7109375" style="53" hidden="1" customWidth="1"/>
    <col min="23" max="35" width="12.7109375" style="53" customWidth="1"/>
    <col min="36" max="147" width="9.140625" style="53"/>
    <col min="148" max="148" width="5.85546875" style="53" customWidth="1"/>
    <col min="149" max="149" width="55.42578125" style="53" bestFit="1" customWidth="1"/>
    <col min="150" max="242" width="9.140625" style="53" hidden="1" customWidth="1"/>
    <col min="243" max="253" width="10.7109375" style="53" customWidth="1"/>
    <col min="254" max="254" width="10.85546875" style="53" customWidth="1"/>
    <col min="255" max="255" width="10.7109375" style="53" bestFit="1" customWidth="1"/>
    <col min="256" max="403" width="9.140625" style="53"/>
    <col min="404" max="404" width="5.85546875" style="53" customWidth="1"/>
    <col min="405" max="405" width="55.42578125" style="53" bestFit="1" customWidth="1"/>
    <col min="406" max="498" width="9.140625" style="53" hidden="1" customWidth="1"/>
    <col min="499" max="509" width="10.7109375" style="53" customWidth="1"/>
    <col min="510" max="510" width="10.85546875" style="53" customWidth="1"/>
    <col min="511" max="511" width="10.7109375" style="53" bestFit="1" customWidth="1"/>
    <col min="512" max="659" width="9.140625" style="53"/>
    <col min="660" max="660" width="5.85546875" style="53" customWidth="1"/>
    <col min="661" max="661" width="55.42578125" style="53" bestFit="1" customWidth="1"/>
    <col min="662" max="754" width="9.140625" style="53" hidden="1" customWidth="1"/>
    <col min="755" max="765" width="10.7109375" style="53" customWidth="1"/>
    <col min="766" max="766" width="10.85546875" style="53" customWidth="1"/>
    <col min="767" max="767" width="10.7109375" style="53" bestFit="1" customWidth="1"/>
    <col min="768" max="915" width="9.140625" style="53"/>
    <col min="916" max="916" width="5.85546875" style="53" customWidth="1"/>
    <col min="917" max="917" width="55.42578125" style="53" bestFit="1" customWidth="1"/>
    <col min="918" max="1010" width="9.140625" style="53" hidden="1" customWidth="1"/>
    <col min="1011" max="1021" width="10.7109375" style="53" customWidth="1"/>
    <col min="1022" max="1022" width="10.85546875" style="53" customWidth="1"/>
    <col min="1023" max="1023" width="10.7109375" style="53" bestFit="1" customWidth="1"/>
    <col min="1024" max="1171" width="9.140625" style="53"/>
    <col min="1172" max="1172" width="5.85546875" style="53" customWidth="1"/>
    <col min="1173" max="1173" width="55.42578125" style="53" bestFit="1" customWidth="1"/>
    <col min="1174" max="1266" width="9.140625" style="53" hidden="1" customWidth="1"/>
    <col min="1267" max="1277" width="10.7109375" style="53" customWidth="1"/>
    <col min="1278" max="1278" width="10.85546875" style="53" customWidth="1"/>
    <col min="1279" max="1279" width="10.7109375" style="53" bestFit="1" customWidth="1"/>
    <col min="1280" max="1427" width="9.140625" style="53"/>
    <col min="1428" max="1428" width="5.85546875" style="53" customWidth="1"/>
    <col min="1429" max="1429" width="55.42578125" style="53" bestFit="1" customWidth="1"/>
    <col min="1430" max="1522" width="9.140625" style="53" hidden="1" customWidth="1"/>
    <col min="1523" max="1533" width="10.7109375" style="53" customWidth="1"/>
    <col min="1534" max="1534" width="10.85546875" style="53" customWidth="1"/>
    <col min="1535" max="1535" width="10.7109375" style="53" bestFit="1" customWidth="1"/>
    <col min="1536" max="1683" width="9.140625" style="53"/>
    <col min="1684" max="1684" width="5.85546875" style="53" customWidth="1"/>
    <col min="1685" max="1685" width="55.42578125" style="53" bestFit="1" customWidth="1"/>
    <col min="1686" max="1778" width="9.140625" style="53" hidden="1" customWidth="1"/>
    <col min="1779" max="1789" width="10.7109375" style="53" customWidth="1"/>
    <col min="1790" max="1790" width="10.85546875" style="53" customWidth="1"/>
    <col min="1791" max="1791" width="10.7109375" style="53" bestFit="1" customWidth="1"/>
    <col min="1792" max="1939" width="9.140625" style="53"/>
    <col min="1940" max="1940" width="5.85546875" style="53" customWidth="1"/>
    <col min="1941" max="1941" width="55.42578125" style="53" bestFit="1" customWidth="1"/>
    <col min="1942" max="2034" width="9.140625" style="53" hidden="1" customWidth="1"/>
    <col min="2035" max="2045" width="10.7109375" style="53" customWidth="1"/>
    <col min="2046" max="2046" width="10.85546875" style="53" customWidth="1"/>
    <col min="2047" max="2047" width="10.7109375" style="53" bestFit="1" customWidth="1"/>
    <col min="2048" max="2195" width="9.140625" style="53"/>
    <col min="2196" max="2196" width="5.85546875" style="53" customWidth="1"/>
    <col min="2197" max="2197" width="55.42578125" style="53" bestFit="1" customWidth="1"/>
    <col min="2198" max="2290" width="9.140625" style="53" hidden="1" customWidth="1"/>
    <col min="2291" max="2301" width="10.7109375" style="53" customWidth="1"/>
    <col min="2302" max="2302" width="10.85546875" style="53" customWidth="1"/>
    <col min="2303" max="2303" width="10.7109375" style="53" bestFit="1" customWidth="1"/>
    <col min="2304" max="2451" width="9.140625" style="53"/>
    <col min="2452" max="2452" width="5.85546875" style="53" customWidth="1"/>
    <col min="2453" max="2453" width="55.42578125" style="53" bestFit="1" customWidth="1"/>
    <col min="2454" max="2546" width="9.140625" style="53" hidden="1" customWidth="1"/>
    <col min="2547" max="2557" width="10.7109375" style="53" customWidth="1"/>
    <col min="2558" max="2558" width="10.85546875" style="53" customWidth="1"/>
    <col min="2559" max="2559" width="10.7109375" style="53" bestFit="1" customWidth="1"/>
    <col min="2560" max="2707" width="9.140625" style="53"/>
    <col min="2708" max="2708" width="5.85546875" style="53" customWidth="1"/>
    <col min="2709" max="2709" width="55.42578125" style="53" bestFit="1" customWidth="1"/>
    <col min="2710" max="2802" width="9.140625" style="53" hidden="1" customWidth="1"/>
    <col min="2803" max="2813" width="10.7109375" style="53" customWidth="1"/>
    <col min="2814" max="2814" width="10.85546875" style="53" customWidth="1"/>
    <col min="2815" max="2815" width="10.7109375" style="53" bestFit="1" customWidth="1"/>
    <col min="2816" max="2963" width="9.140625" style="53"/>
    <col min="2964" max="2964" width="5.85546875" style="53" customWidth="1"/>
    <col min="2965" max="2965" width="55.42578125" style="53" bestFit="1" customWidth="1"/>
    <col min="2966" max="3058" width="9.140625" style="53" hidden="1" customWidth="1"/>
    <col min="3059" max="3069" width="10.7109375" style="53" customWidth="1"/>
    <col min="3070" max="3070" width="10.85546875" style="53" customWidth="1"/>
    <col min="3071" max="3071" width="10.7109375" style="53" bestFit="1" customWidth="1"/>
    <col min="3072" max="3219" width="9.140625" style="53"/>
    <col min="3220" max="3220" width="5.85546875" style="53" customWidth="1"/>
    <col min="3221" max="3221" width="55.42578125" style="53" bestFit="1" customWidth="1"/>
    <col min="3222" max="3314" width="9.140625" style="53" hidden="1" customWidth="1"/>
    <col min="3315" max="3325" width="10.7109375" style="53" customWidth="1"/>
    <col min="3326" max="3326" width="10.85546875" style="53" customWidth="1"/>
    <col min="3327" max="3327" width="10.7109375" style="53" bestFit="1" customWidth="1"/>
    <col min="3328" max="3475" width="9.140625" style="53"/>
    <col min="3476" max="3476" width="5.85546875" style="53" customWidth="1"/>
    <col min="3477" max="3477" width="55.42578125" style="53" bestFit="1" customWidth="1"/>
    <col min="3478" max="3570" width="9.140625" style="53" hidden="1" customWidth="1"/>
    <col min="3571" max="3581" width="10.7109375" style="53" customWidth="1"/>
    <col min="3582" max="3582" width="10.85546875" style="53" customWidth="1"/>
    <col min="3583" max="3583" width="10.7109375" style="53" bestFit="1" customWidth="1"/>
    <col min="3584" max="3731" width="9.140625" style="53"/>
    <col min="3732" max="3732" width="5.85546875" style="53" customWidth="1"/>
    <col min="3733" max="3733" width="55.42578125" style="53" bestFit="1" customWidth="1"/>
    <col min="3734" max="3826" width="9.140625" style="53" hidden="1" customWidth="1"/>
    <col min="3827" max="3837" width="10.7109375" style="53" customWidth="1"/>
    <col min="3838" max="3838" width="10.85546875" style="53" customWidth="1"/>
    <col min="3839" max="3839" width="10.7109375" style="53" bestFit="1" customWidth="1"/>
    <col min="3840" max="3987" width="9.140625" style="53"/>
    <col min="3988" max="3988" width="5.85546875" style="53" customWidth="1"/>
    <col min="3989" max="3989" width="55.42578125" style="53" bestFit="1" customWidth="1"/>
    <col min="3990" max="4082" width="9.140625" style="53" hidden="1" customWidth="1"/>
    <col min="4083" max="4093" width="10.7109375" style="53" customWidth="1"/>
    <col min="4094" max="4094" width="10.85546875" style="53" customWidth="1"/>
    <col min="4095" max="4095" width="10.7109375" style="53" bestFit="1" customWidth="1"/>
    <col min="4096" max="4243" width="9.140625" style="53"/>
    <col min="4244" max="4244" width="5.85546875" style="53" customWidth="1"/>
    <col min="4245" max="4245" width="55.42578125" style="53" bestFit="1" customWidth="1"/>
    <col min="4246" max="4338" width="9.140625" style="53" hidden="1" customWidth="1"/>
    <col min="4339" max="4349" width="10.7109375" style="53" customWidth="1"/>
    <col min="4350" max="4350" width="10.85546875" style="53" customWidth="1"/>
    <col min="4351" max="4351" width="10.7109375" style="53" bestFit="1" customWidth="1"/>
    <col min="4352" max="4499" width="9.140625" style="53"/>
    <col min="4500" max="4500" width="5.85546875" style="53" customWidth="1"/>
    <col min="4501" max="4501" width="55.42578125" style="53" bestFit="1" customWidth="1"/>
    <col min="4502" max="4594" width="9.140625" style="53" hidden="1" customWidth="1"/>
    <col min="4595" max="4605" width="10.7109375" style="53" customWidth="1"/>
    <col min="4606" max="4606" width="10.85546875" style="53" customWidth="1"/>
    <col min="4607" max="4607" width="10.7109375" style="53" bestFit="1" customWidth="1"/>
    <col min="4608" max="4755" width="9.140625" style="53"/>
    <col min="4756" max="4756" width="5.85546875" style="53" customWidth="1"/>
    <col min="4757" max="4757" width="55.42578125" style="53" bestFit="1" customWidth="1"/>
    <col min="4758" max="4850" width="9.140625" style="53" hidden="1" customWidth="1"/>
    <col min="4851" max="4861" width="10.7109375" style="53" customWidth="1"/>
    <col min="4862" max="4862" width="10.85546875" style="53" customWidth="1"/>
    <col min="4863" max="4863" width="10.7109375" style="53" bestFit="1" customWidth="1"/>
    <col min="4864" max="5011" width="9.140625" style="53"/>
    <col min="5012" max="5012" width="5.85546875" style="53" customWidth="1"/>
    <col min="5013" max="5013" width="55.42578125" style="53" bestFit="1" customWidth="1"/>
    <col min="5014" max="5106" width="9.140625" style="53" hidden="1" customWidth="1"/>
    <col min="5107" max="5117" width="10.7109375" style="53" customWidth="1"/>
    <col min="5118" max="5118" width="10.85546875" style="53" customWidth="1"/>
    <col min="5119" max="5119" width="10.7109375" style="53" bestFit="1" customWidth="1"/>
    <col min="5120" max="5267" width="9.140625" style="53"/>
    <col min="5268" max="5268" width="5.85546875" style="53" customWidth="1"/>
    <col min="5269" max="5269" width="55.42578125" style="53" bestFit="1" customWidth="1"/>
    <col min="5270" max="5362" width="9.140625" style="53" hidden="1" customWidth="1"/>
    <col min="5363" max="5373" width="10.7109375" style="53" customWidth="1"/>
    <col min="5374" max="5374" width="10.85546875" style="53" customWidth="1"/>
    <col min="5375" max="5375" width="10.7109375" style="53" bestFit="1" customWidth="1"/>
    <col min="5376" max="5523" width="9.140625" style="53"/>
    <col min="5524" max="5524" width="5.85546875" style="53" customWidth="1"/>
    <col min="5525" max="5525" width="55.42578125" style="53" bestFit="1" customWidth="1"/>
    <col min="5526" max="5618" width="9.140625" style="53" hidden="1" customWidth="1"/>
    <col min="5619" max="5629" width="10.7109375" style="53" customWidth="1"/>
    <col min="5630" max="5630" width="10.85546875" style="53" customWidth="1"/>
    <col min="5631" max="5631" width="10.7109375" style="53" bestFit="1" customWidth="1"/>
    <col min="5632" max="5779" width="9.140625" style="53"/>
    <col min="5780" max="5780" width="5.85546875" style="53" customWidth="1"/>
    <col min="5781" max="5781" width="55.42578125" style="53" bestFit="1" customWidth="1"/>
    <col min="5782" max="5874" width="9.140625" style="53" hidden="1" customWidth="1"/>
    <col min="5875" max="5885" width="10.7109375" style="53" customWidth="1"/>
    <col min="5886" max="5886" width="10.85546875" style="53" customWidth="1"/>
    <col min="5887" max="5887" width="10.7109375" style="53" bestFit="1" customWidth="1"/>
    <col min="5888" max="6035" width="9.140625" style="53"/>
    <col min="6036" max="6036" width="5.85546875" style="53" customWidth="1"/>
    <col min="6037" max="6037" width="55.42578125" style="53" bestFit="1" customWidth="1"/>
    <col min="6038" max="6130" width="9.140625" style="53" hidden="1" customWidth="1"/>
    <col min="6131" max="6141" width="10.7109375" style="53" customWidth="1"/>
    <col min="6142" max="6142" width="10.85546875" style="53" customWidth="1"/>
    <col min="6143" max="6143" width="10.7109375" style="53" bestFit="1" customWidth="1"/>
    <col min="6144" max="6291" width="9.140625" style="53"/>
    <col min="6292" max="6292" width="5.85546875" style="53" customWidth="1"/>
    <col min="6293" max="6293" width="55.42578125" style="53" bestFit="1" customWidth="1"/>
    <col min="6294" max="6386" width="9.140625" style="53" hidden="1" customWidth="1"/>
    <col min="6387" max="6397" width="10.7109375" style="53" customWidth="1"/>
    <col min="6398" max="6398" width="10.85546875" style="53" customWidth="1"/>
    <col min="6399" max="6399" width="10.7109375" style="53" bestFit="1" customWidth="1"/>
    <col min="6400" max="6547" width="9.140625" style="53"/>
    <col min="6548" max="6548" width="5.85546875" style="53" customWidth="1"/>
    <col min="6549" max="6549" width="55.42578125" style="53" bestFit="1" customWidth="1"/>
    <col min="6550" max="6642" width="9.140625" style="53" hidden="1" customWidth="1"/>
    <col min="6643" max="6653" width="10.7109375" style="53" customWidth="1"/>
    <col min="6654" max="6654" width="10.85546875" style="53" customWidth="1"/>
    <col min="6655" max="6655" width="10.7109375" style="53" bestFit="1" customWidth="1"/>
    <col min="6656" max="6803" width="9.140625" style="53"/>
    <col min="6804" max="6804" width="5.85546875" style="53" customWidth="1"/>
    <col min="6805" max="6805" width="55.42578125" style="53" bestFit="1" customWidth="1"/>
    <col min="6806" max="6898" width="9.140625" style="53" hidden="1" customWidth="1"/>
    <col min="6899" max="6909" width="10.7109375" style="53" customWidth="1"/>
    <col min="6910" max="6910" width="10.85546875" style="53" customWidth="1"/>
    <col min="6911" max="6911" width="10.7109375" style="53" bestFit="1" customWidth="1"/>
    <col min="6912" max="7059" width="9.140625" style="53"/>
    <col min="7060" max="7060" width="5.85546875" style="53" customWidth="1"/>
    <col min="7061" max="7061" width="55.42578125" style="53" bestFit="1" customWidth="1"/>
    <col min="7062" max="7154" width="9.140625" style="53" hidden="1" customWidth="1"/>
    <col min="7155" max="7165" width="10.7109375" style="53" customWidth="1"/>
    <col min="7166" max="7166" width="10.85546875" style="53" customWidth="1"/>
    <col min="7167" max="7167" width="10.7109375" style="53" bestFit="1" customWidth="1"/>
    <col min="7168" max="7315" width="9.140625" style="53"/>
    <col min="7316" max="7316" width="5.85546875" style="53" customWidth="1"/>
    <col min="7317" max="7317" width="55.42578125" style="53" bestFit="1" customWidth="1"/>
    <col min="7318" max="7410" width="9.140625" style="53" hidden="1" customWidth="1"/>
    <col min="7411" max="7421" width="10.7109375" style="53" customWidth="1"/>
    <col min="7422" max="7422" width="10.85546875" style="53" customWidth="1"/>
    <col min="7423" max="7423" width="10.7109375" style="53" bestFit="1" customWidth="1"/>
    <col min="7424" max="7571" width="9.140625" style="53"/>
    <col min="7572" max="7572" width="5.85546875" style="53" customWidth="1"/>
    <col min="7573" max="7573" width="55.42578125" style="53" bestFit="1" customWidth="1"/>
    <col min="7574" max="7666" width="9.140625" style="53" hidden="1" customWidth="1"/>
    <col min="7667" max="7677" width="10.7109375" style="53" customWidth="1"/>
    <col min="7678" max="7678" width="10.85546875" style="53" customWidth="1"/>
    <col min="7679" max="7679" width="10.7109375" style="53" bestFit="1" customWidth="1"/>
    <col min="7680" max="7827" width="9.140625" style="53"/>
    <col min="7828" max="7828" width="5.85546875" style="53" customWidth="1"/>
    <col min="7829" max="7829" width="55.42578125" style="53" bestFit="1" customWidth="1"/>
    <col min="7830" max="7922" width="9.140625" style="53" hidden="1" customWidth="1"/>
    <col min="7923" max="7933" width="10.7109375" style="53" customWidth="1"/>
    <col min="7934" max="7934" width="10.85546875" style="53" customWidth="1"/>
    <col min="7935" max="7935" width="10.7109375" style="53" bestFit="1" customWidth="1"/>
    <col min="7936" max="8083" width="9.140625" style="53"/>
    <col min="8084" max="8084" width="5.85546875" style="53" customWidth="1"/>
    <col min="8085" max="8085" width="55.42578125" style="53" bestFit="1" customWidth="1"/>
    <col min="8086" max="8178" width="9.140625" style="53" hidden="1" customWidth="1"/>
    <col min="8179" max="8189" width="10.7109375" style="53" customWidth="1"/>
    <col min="8190" max="8190" width="10.85546875" style="53" customWidth="1"/>
    <col min="8191" max="8191" width="10.7109375" style="53" bestFit="1" customWidth="1"/>
    <col min="8192" max="8339" width="9.140625" style="53"/>
    <col min="8340" max="8340" width="5.85546875" style="53" customWidth="1"/>
    <col min="8341" max="8341" width="55.42578125" style="53" bestFit="1" customWidth="1"/>
    <col min="8342" max="8434" width="9.140625" style="53" hidden="1" customWidth="1"/>
    <col min="8435" max="8445" width="10.7109375" style="53" customWidth="1"/>
    <col min="8446" max="8446" width="10.85546875" style="53" customWidth="1"/>
    <col min="8447" max="8447" width="10.7109375" style="53" bestFit="1" customWidth="1"/>
    <col min="8448" max="8595" width="9.140625" style="53"/>
    <col min="8596" max="8596" width="5.85546875" style="53" customWidth="1"/>
    <col min="8597" max="8597" width="55.42578125" style="53" bestFit="1" customWidth="1"/>
    <col min="8598" max="8690" width="9.140625" style="53" hidden="1" customWidth="1"/>
    <col min="8691" max="8701" width="10.7109375" style="53" customWidth="1"/>
    <col min="8702" max="8702" width="10.85546875" style="53" customWidth="1"/>
    <col min="8703" max="8703" width="10.7109375" style="53" bestFit="1" customWidth="1"/>
    <col min="8704" max="8851" width="9.140625" style="53"/>
    <col min="8852" max="8852" width="5.85546875" style="53" customWidth="1"/>
    <col min="8853" max="8853" width="55.42578125" style="53" bestFit="1" customWidth="1"/>
    <col min="8854" max="8946" width="9.140625" style="53" hidden="1" customWidth="1"/>
    <col min="8947" max="8957" width="10.7109375" style="53" customWidth="1"/>
    <col min="8958" max="8958" width="10.85546875" style="53" customWidth="1"/>
    <col min="8959" max="8959" width="10.7109375" style="53" bestFit="1" customWidth="1"/>
    <col min="8960" max="9107" width="9.140625" style="53"/>
    <col min="9108" max="9108" width="5.85546875" style="53" customWidth="1"/>
    <col min="9109" max="9109" width="55.42578125" style="53" bestFit="1" customWidth="1"/>
    <col min="9110" max="9202" width="9.140625" style="53" hidden="1" customWidth="1"/>
    <col min="9203" max="9213" width="10.7109375" style="53" customWidth="1"/>
    <col min="9214" max="9214" width="10.85546875" style="53" customWidth="1"/>
    <col min="9215" max="9215" width="10.7109375" style="53" bestFit="1" customWidth="1"/>
    <col min="9216" max="9363" width="9.140625" style="53"/>
    <col min="9364" max="9364" width="5.85546875" style="53" customWidth="1"/>
    <col min="9365" max="9365" width="55.42578125" style="53" bestFit="1" customWidth="1"/>
    <col min="9366" max="9458" width="9.140625" style="53" hidden="1" customWidth="1"/>
    <col min="9459" max="9469" width="10.7109375" style="53" customWidth="1"/>
    <col min="9470" max="9470" width="10.85546875" style="53" customWidth="1"/>
    <col min="9471" max="9471" width="10.7109375" style="53" bestFit="1" customWidth="1"/>
    <col min="9472" max="9619" width="9.140625" style="53"/>
    <col min="9620" max="9620" width="5.85546875" style="53" customWidth="1"/>
    <col min="9621" max="9621" width="55.42578125" style="53" bestFit="1" customWidth="1"/>
    <col min="9622" max="9714" width="9.140625" style="53" hidden="1" customWidth="1"/>
    <col min="9715" max="9725" width="10.7109375" style="53" customWidth="1"/>
    <col min="9726" max="9726" width="10.85546875" style="53" customWidth="1"/>
    <col min="9727" max="9727" width="10.7109375" style="53" bestFit="1" customWidth="1"/>
    <col min="9728" max="9875" width="9.140625" style="53"/>
    <col min="9876" max="9876" width="5.85546875" style="53" customWidth="1"/>
    <col min="9877" max="9877" width="55.42578125" style="53" bestFit="1" customWidth="1"/>
    <col min="9878" max="9970" width="9.140625" style="53" hidden="1" customWidth="1"/>
    <col min="9971" max="9981" width="10.7109375" style="53" customWidth="1"/>
    <col min="9982" max="9982" width="10.85546875" style="53" customWidth="1"/>
    <col min="9983" max="9983" width="10.7109375" style="53" bestFit="1" customWidth="1"/>
    <col min="9984" max="10131" width="9.140625" style="53"/>
    <col min="10132" max="10132" width="5.85546875" style="53" customWidth="1"/>
    <col min="10133" max="10133" width="55.42578125" style="53" bestFit="1" customWidth="1"/>
    <col min="10134" max="10226" width="9.140625" style="53" hidden="1" customWidth="1"/>
    <col min="10227" max="10237" width="10.7109375" style="53" customWidth="1"/>
    <col min="10238" max="10238" width="10.85546875" style="53" customWidth="1"/>
    <col min="10239" max="10239" width="10.7109375" style="53" bestFit="1" customWidth="1"/>
    <col min="10240" max="10387" width="9.140625" style="53"/>
    <col min="10388" max="10388" width="5.85546875" style="53" customWidth="1"/>
    <col min="10389" max="10389" width="55.42578125" style="53" bestFit="1" customWidth="1"/>
    <col min="10390" max="10482" width="9.140625" style="53" hidden="1" customWidth="1"/>
    <col min="10483" max="10493" width="10.7109375" style="53" customWidth="1"/>
    <col min="10494" max="10494" width="10.85546875" style="53" customWidth="1"/>
    <col min="10495" max="10495" width="10.7109375" style="53" bestFit="1" customWidth="1"/>
    <col min="10496" max="10643" width="9.140625" style="53"/>
    <col min="10644" max="10644" width="5.85546875" style="53" customWidth="1"/>
    <col min="10645" max="10645" width="55.42578125" style="53" bestFit="1" customWidth="1"/>
    <col min="10646" max="10738" width="9.140625" style="53" hidden="1" customWidth="1"/>
    <col min="10739" max="10749" width="10.7109375" style="53" customWidth="1"/>
    <col min="10750" max="10750" width="10.85546875" style="53" customWidth="1"/>
    <col min="10751" max="10751" width="10.7109375" style="53" bestFit="1" customWidth="1"/>
    <col min="10752" max="10899" width="9.140625" style="53"/>
    <col min="10900" max="10900" width="5.85546875" style="53" customWidth="1"/>
    <col min="10901" max="10901" width="55.42578125" style="53" bestFit="1" customWidth="1"/>
    <col min="10902" max="10994" width="9.140625" style="53" hidden="1" customWidth="1"/>
    <col min="10995" max="11005" width="10.7109375" style="53" customWidth="1"/>
    <col min="11006" max="11006" width="10.85546875" style="53" customWidth="1"/>
    <col min="11007" max="11007" width="10.7109375" style="53" bestFit="1" customWidth="1"/>
    <col min="11008" max="11155" width="9.140625" style="53"/>
    <col min="11156" max="11156" width="5.85546875" style="53" customWidth="1"/>
    <col min="11157" max="11157" width="55.42578125" style="53" bestFit="1" customWidth="1"/>
    <col min="11158" max="11250" width="9.140625" style="53" hidden="1" customWidth="1"/>
    <col min="11251" max="11261" width="10.7109375" style="53" customWidth="1"/>
    <col min="11262" max="11262" width="10.85546875" style="53" customWidth="1"/>
    <col min="11263" max="11263" width="10.7109375" style="53" bestFit="1" customWidth="1"/>
    <col min="11264" max="11411" width="9.140625" style="53"/>
    <col min="11412" max="11412" width="5.85546875" style="53" customWidth="1"/>
    <col min="11413" max="11413" width="55.42578125" style="53" bestFit="1" customWidth="1"/>
    <col min="11414" max="11506" width="9.140625" style="53" hidden="1" customWidth="1"/>
    <col min="11507" max="11517" width="10.7109375" style="53" customWidth="1"/>
    <col min="11518" max="11518" width="10.85546875" style="53" customWidth="1"/>
    <col min="11519" max="11519" width="10.7109375" style="53" bestFit="1" customWidth="1"/>
    <col min="11520" max="11667" width="9.140625" style="53"/>
    <col min="11668" max="11668" width="5.85546875" style="53" customWidth="1"/>
    <col min="11669" max="11669" width="55.42578125" style="53" bestFit="1" customWidth="1"/>
    <col min="11670" max="11762" width="9.140625" style="53" hidden="1" customWidth="1"/>
    <col min="11763" max="11773" width="10.7109375" style="53" customWidth="1"/>
    <col min="11774" max="11774" width="10.85546875" style="53" customWidth="1"/>
    <col min="11775" max="11775" width="10.7109375" style="53" bestFit="1" customWidth="1"/>
    <col min="11776" max="11923" width="9.140625" style="53"/>
    <col min="11924" max="11924" width="5.85546875" style="53" customWidth="1"/>
    <col min="11925" max="11925" width="55.42578125" style="53" bestFit="1" customWidth="1"/>
    <col min="11926" max="12018" width="9.140625" style="53" hidden="1" customWidth="1"/>
    <col min="12019" max="12029" width="10.7109375" style="53" customWidth="1"/>
    <col min="12030" max="12030" width="10.85546875" style="53" customWidth="1"/>
    <col min="12031" max="12031" width="10.7109375" style="53" bestFit="1" customWidth="1"/>
    <col min="12032" max="12179" width="9.140625" style="53"/>
    <col min="12180" max="12180" width="5.85546875" style="53" customWidth="1"/>
    <col min="12181" max="12181" width="55.42578125" style="53" bestFit="1" customWidth="1"/>
    <col min="12182" max="12274" width="9.140625" style="53" hidden="1" customWidth="1"/>
    <col min="12275" max="12285" width="10.7109375" style="53" customWidth="1"/>
    <col min="12286" max="12286" width="10.85546875" style="53" customWidth="1"/>
    <col min="12287" max="12287" width="10.7109375" style="53" bestFit="1" customWidth="1"/>
    <col min="12288" max="12435" width="9.140625" style="53"/>
    <col min="12436" max="12436" width="5.85546875" style="53" customWidth="1"/>
    <col min="12437" max="12437" width="55.42578125" style="53" bestFit="1" customWidth="1"/>
    <col min="12438" max="12530" width="9.140625" style="53" hidden="1" customWidth="1"/>
    <col min="12531" max="12541" width="10.7109375" style="53" customWidth="1"/>
    <col min="12542" max="12542" width="10.85546875" style="53" customWidth="1"/>
    <col min="12543" max="12543" width="10.7109375" style="53" bestFit="1" customWidth="1"/>
    <col min="12544" max="12691" width="9.140625" style="53"/>
    <col min="12692" max="12692" width="5.85546875" style="53" customWidth="1"/>
    <col min="12693" max="12693" width="55.42578125" style="53" bestFit="1" customWidth="1"/>
    <col min="12694" max="12786" width="9.140625" style="53" hidden="1" customWidth="1"/>
    <col min="12787" max="12797" width="10.7109375" style="53" customWidth="1"/>
    <col min="12798" max="12798" width="10.85546875" style="53" customWidth="1"/>
    <col min="12799" max="12799" width="10.7109375" style="53" bestFit="1" customWidth="1"/>
    <col min="12800" max="12947" width="9.140625" style="53"/>
    <col min="12948" max="12948" width="5.85546875" style="53" customWidth="1"/>
    <col min="12949" max="12949" width="55.42578125" style="53" bestFit="1" customWidth="1"/>
    <col min="12950" max="13042" width="9.140625" style="53" hidden="1" customWidth="1"/>
    <col min="13043" max="13053" width="10.7109375" style="53" customWidth="1"/>
    <col min="13054" max="13054" width="10.85546875" style="53" customWidth="1"/>
    <col min="13055" max="13055" width="10.7109375" style="53" bestFit="1" customWidth="1"/>
    <col min="13056" max="13203" width="9.140625" style="53"/>
    <col min="13204" max="13204" width="5.85546875" style="53" customWidth="1"/>
    <col min="13205" max="13205" width="55.42578125" style="53" bestFit="1" customWidth="1"/>
    <col min="13206" max="13298" width="9.140625" style="53" hidden="1" customWidth="1"/>
    <col min="13299" max="13309" width="10.7109375" style="53" customWidth="1"/>
    <col min="13310" max="13310" width="10.85546875" style="53" customWidth="1"/>
    <col min="13311" max="13311" width="10.7109375" style="53" bestFit="1" customWidth="1"/>
    <col min="13312" max="13459" width="9.140625" style="53"/>
    <col min="13460" max="13460" width="5.85546875" style="53" customWidth="1"/>
    <col min="13461" max="13461" width="55.42578125" style="53" bestFit="1" customWidth="1"/>
    <col min="13462" max="13554" width="9.140625" style="53" hidden="1" customWidth="1"/>
    <col min="13555" max="13565" width="10.7109375" style="53" customWidth="1"/>
    <col min="13566" max="13566" width="10.85546875" style="53" customWidth="1"/>
    <col min="13567" max="13567" width="10.7109375" style="53" bestFit="1" customWidth="1"/>
    <col min="13568" max="13715" width="9.140625" style="53"/>
    <col min="13716" max="13716" width="5.85546875" style="53" customWidth="1"/>
    <col min="13717" max="13717" width="55.42578125" style="53" bestFit="1" customWidth="1"/>
    <col min="13718" max="13810" width="9.140625" style="53" hidden="1" customWidth="1"/>
    <col min="13811" max="13821" width="10.7109375" style="53" customWidth="1"/>
    <col min="13822" max="13822" width="10.85546875" style="53" customWidth="1"/>
    <col min="13823" max="13823" width="10.7109375" style="53" bestFit="1" customWidth="1"/>
    <col min="13824" max="13971" width="9.140625" style="53"/>
    <col min="13972" max="13972" width="5.85546875" style="53" customWidth="1"/>
    <col min="13973" max="13973" width="55.42578125" style="53" bestFit="1" customWidth="1"/>
    <col min="13974" max="14066" width="9.140625" style="53" hidden="1" customWidth="1"/>
    <col min="14067" max="14077" width="10.7109375" style="53" customWidth="1"/>
    <col min="14078" max="14078" width="10.85546875" style="53" customWidth="1"/>
    <col min="14079" max="14079" width="10.7109375" style="53" bestFit="1" customWidth="1"/>
    <col min="14080" max="14227" width="9.140625" style="53"/>
    <col min="14228" max="14228" width="5.85546875" style="53" customWidth="1"/>
    <col min="14229" max="14229" width="55.42578125" style="53" bestFit="1" customWidth="1"/>
    <col min="14230" max="14322" width="9.140625" style="53" hidden="1" customWidth="1"/>
    <col min="14323" max="14333" width="10.7109375" style="53" customWidth="1"/>
    <col min="14334" max="14334" width="10.85546875" style="53" customWidth="1"/>
    <col min="14335" max="14335" width="10.7109375" style="53" bestFit="1" customWidth="1"/>
    <col min="14336" max="14483" width="9.140625" style="53"/>
    <col min="14484" max="14484" width="5.85546875" style="53" customWidth="1"/>
    <col min="14485" max="14485" width="55.42578125" style="53" bestFit="1" customWidth="1"/>
    <col min="14486" max="14578" width="9.140625" style="53" hidden="1" customWidth="1"/>
    <col min="14579" max="14589" width="10.7109375" style="53" customWidth="1"/>
    <col min="14590" max="14590" width="10.85546875" style="53" customWidth="1"/>
    <col min="14591" max="14591" width="10.7109375" style="53" bestFit="1" customWidth="1"/>
    <col min="14592" max="14739" width="9.140625" style="53"/>
    <col min="14740" max="14740" width="5.85546875" style="53" customWidth="1"/>
    <col min="14741" max="14741" width="55.42578125" style="53" bestFit="1" customWidth="1"/>
    <col min="14742" max="14834" width="9.140625" style="53" hidden="1" customWidth="1"/>
    <col min="14835" max="14845" width="10.7109375" style="53" customWidth="1"/>
    <col min="14846" max="14846" width="10.85546875" style="53" customWidth="1"/>
    <col min="14847" max="14847" width="10.7109375" style="53" bestFit="1" customWidth="1"/>
    <col min="14848" max="14995" width="9.140625" style="53"/>
    <col min="14996" max="14996" width="5.85546875" style="53" customWidth="1"/>
    <col min="14997" max="14997" width="55.42578125" style="53" bestFit="1" customWidth="1"/>
    <col min="14998" max="15090" width="9.140625" style="53" hidden="1" customWidth="1"/>
    <col min="15091" max="15101" width="10.7109375" style="53" customWidth="1"/>
    <col min="15102" max="15102" width="10.85546875" style="53" customWidth="1"/>
    <col min="15103" max="15103" width="10.7109375" style="53" bestFit="1" customWidth="1"/>
    <col min="15104" max="15251" width="9.140625" style="53"/>
    <col min="15252" max="15252" width="5.85546875" style="53" customWidth="1"/>
    <col min="15253" max="15253" width="55.42578125" style="53" bestFit="1" customWidth="1"/>
    <col min="15254" max="15346" width="9.140625" style="53" hidden="1" customWidth="1"/>
    <col min="15347" max="15357" width="10.7109375" style="53" customWidth="1"/>
    <col min="15358" max="15358" width="10.85546875" style="53" customWidth="1"/>
    <col min="15359" max="15359" width="10.7109375" style="53" bestFit="1" customWidth="1"/>
    <col min="15360" max="15507" width="9.140625" style="53"/>
    <col min="15508" max="15508" width="5.85546875" style="53" customWidth="1"/>
    <col min="15509" max="15509" width="55.42578125" style="53" bestFit="1" customWidth="1"/>
    <col min="15510" max="15602" width="9.140625" style="53" hidden="1" customWidth="1"/>
    <col min="15603" max="15613" width="10.7109375" style="53" customWidth="1"/>
    <col min="15614" max="15614" width="10.85546875" style="53" customWidth="1"/>
    <col min="15615" max="15615" width="10.7109375" style="53" bestFit="1" customWidth="1"/>
    <col min="15616" max="15763" width="9.140625" style="53"/>
    <col min="15764" max="15764" width="5.85546875" style="53" customWidth="1"/>
    <col min="15765" max="15765" width="55.42578125" style="53" bestFit="1" customWidth="1"/>
    <col min="15766" max="15858" width="9.140625" style="53" hidden="1" customWidth="1"/>
    <col min="15859" max="15869" width="10.7109375" style="53" customWidth="1"/>
    <col min="15870" max="15870" width="10.85546875" style="53" customWidth="1"/>
    <col min="15871" max="15871" width="10.7109375" style="53" bestFit="1" customWidth="1"/>
    <col min="15872" max="16019" width="9.140625" style="53"/>
    <col min="16020" max="16020" width="5.85546875" style="53" customWidth="1"/>
    <col min="16021" max="16021" width="55.42578125" style="53" bestFit="1" customWidth="1"/>
    <col min="16022" max="16114" width="9.140625" style="53" hidden="1" customWidth="1"/>
    <col min="16115" max="16125" width="10.7109375" style="53" customWidth="1"/>
    <col min="16126" max="16126" width="10.85546875" style="53" customWidth="1"/>
    <col min="16127" max="16127" width="10.7109375" style="53" bestFit="1" customWidth="1"/>
    <col min="16128" max="16384" width="9.140625" style="53"/>
  </cols>
  <sheetData>
    <row r="1" spans="1:35" ht="19.5" customHeight="1" x14ac:dyDescent="0.3">
      <c r="A1" s="122" t="s">
        <v>1024</v>
      </c>
      <c r="B1" s="111"/>
    </row>
    <row r="2" spans="1:35" hidden="1" x14ac:dyDescent="0.3">
      <c r="A2" s="112"/>
      <c r="B2" s="113"/>
    </row>
    <row r="3" spans="1:35" ht="18" thickBot="1" x14ac:dyDescent="0.35">
      <c r="A3" s="85"/>
      <c r="B3" s="114"/>
      <c r="D3" s="87"/>
      <c r="E3" s="87"/>
      <c r="F3" s="87"/>
      <c r="H3" s="87"/>
      <c r="S3" s="87"/>
      <c r="X3" s="87"/>
      <c r="AE3" s="87"/>
      <c r="AI3" s="87" t="s">
        <v>8</v>
      </c>
    </row>
    <row r="4" spans="1:35" ht="24" customHeight="1" thickTop="1" thickBot="1" x14ac:dyDescent="0.35">
      <c r="A4" s="89" t="s">
        <v>138</v>
      </c>
      <c r="B4" s="89" t="s">
        <v>139</v>
      </c>
      <c r="C4" s="90">
        <v>43374</v>
      </c>
      <c r="D4" s="90">
        <v>43405</v>
      </c>
      <c r="E4" s="90">
        <v>43435</v>
      </c>
      <c r="F4" s="90">
        <v>43466</v>
      </c>
      <c r="G4" s="90">
        <v>43497</v>
      </c>
      <c r="H4" s="90">
        <v>43525</v>
      </c>
      <c r="I4" s="90">
        <v>43556</v>
      </c>
      <c r="J4" s="90">
        <v>43586</v>
      </c>
      <c r="K4" s="90">
        <v>43617</v>
      </c>
      <c r="L4" s="90">
        <v>43647</v>
      </c>
      <c r="M4" s="90">
        <v>43678</v>
      </c>
      <c r="N4" s="90">
        <v>43709</v>
      </c>
      <c r="O4" s="90">
        <v>43739</v>
      </c>
      <c r="P4" s="90">
        <v>43770</v>
      </c>
      <c r="Q4" s="90">
        <v>43800</v>
      </c>
      <c r="R4" s="90">
        <v>43831</v>
      </c>
      <c r="S4" s="91" t="s">
        <v>174</v>
      </c>
      <c r="T4" s="91" t="s">
        <v>140</v>
      </c>
      <c r="U4" s="91" t="s">
        <v>175</v>
      </c>
      <c r="V4" s="91" t="s">
        <v>176</v>
      </c>
      <c r="W4" s="91" t="s">
        <v>197</v>
      </c>
      <c r="X4" s="91" t="s">
        <v>142</v>
      </c>
      <c r="Y4" s="91" t="s">
        <v>143</v>
      </c>
      <c r="Z4" s="91" t="s">
        <v>144</v>
      </c>
      <c r="AA4" s="91" t="s">
        <v>145</v>
      </c>
      <c r="AB4" s="91" t="s">
        <v>146</v>
      </c>
      <c r="AC4" s="91" t="s">
        <v>147</v>
      </c>
      <c r="AD4" s="91" t="s">
        <v>148</v>
      </c>
      <c r="AE4" s="91" t="s">
        <v>3248</v>
      </c>
      <c r="AF4" s="91" t="s">
        <v>3249</v>
      </c>
      <c r="AG4" s="91" t="s">
        <v>3253</v>
      </c>
      <c r="AH4" s="91" t="s">
        <v>3251</v>
      </c>
      <c r="AI4" s="91" t="s">
        <v>3252</v>
      </c>
    </row>
    <row r="5" spans="1:35" ht="18" customHeight="1" thickTop="1" x14ac:dyDescent="0.3">
      <c r="A5" s="54"/>
      <c r="B5" s="54"/>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row>
    <row r="6" spans="1:35" ht="18" customHeight="1" x14ac:dyDescent="0.3">
      <c r="A6" s="93" t="s">
        <v>149</v>
      </c>
      <c r="B6" s="93" t="s">
        <v>151</v>
      </c>
      <c r="C6" s="94">
        <v>6889.5157246000008</v>
      </c>
      <c r="D6" s="94">
        <v>6860.1638053400002</v>
      </c>
      <c r="E6" s="94">
        <v>7137.9533715400012</v>
      </c>
      <c r="F6" s="94">
        <v>7065.0594082700009</v>
      </c>
      <c r="G6" s="94">
        <v>6918.2987180299997</v>
      </c>
      <c r="H6" s="94">
        <v>7130.6788687300004</v>
      </c>
      <c r="I6" s="94">
        <v>9906.0073724700014</v>
      </c>
      <c r="J6" s="94">
        <v>7890.4231340100005</v>
      </c>
      <c r="K6" s="94">
        <v>8069.9081984799996</v>
      </c>
      <c r="L6" s="94">
        <v>8213.1324725599989</v>
      </c>
      <c r="M6" s="94">
        <v>8040.98475074</v>
      </c>
      <c r="N6" s="94">
        <v>8143.8793263400003</v>
      </c>
      <c r="O6" s="94">
        <v>8014.0373515900001</v>
      </c>
      <c r="P6" s="94">
        <v>7670.1874028599996</v>
      </c>
      <c r="Q6" s="94">
        <v>7972.3419708899992</v>
      </c>
      <c r="R6" s="94">
        <v>8269.4315490999998</v>
      </c>
      <c r="S6" s="94">
        <v>7376.8085596000001</v>
      </c>
      <c r="T6" s="94">
        <v>8000.3086672099989</v>
      </c>
      <c r="U6" s="94">
        <v>9306.8694179100003</v>
      </c>
      <c r="V6" s="94">
        <v>9481.0869493899991</v>
      </c>
      <c r="W6" s="94">
        <v>7778.6035591199989</v>
      </c>
      <c r="X6" s="94">
        <v>7054.1898808799997</v>
      </c>
      <c r="Y6" s="94">
        <v>6634.5639321799999</v>
      </c>
      <c r="Z6" s="94">
        <v>6428.6312984300002</v>
      </c>
      <c r="AA6" s="94">
        <v>6524.6855502199996</v>
      </c>
      <c r="AB6" s="94">
        <v>7159.0727882600004</v>
      </c>
      <c r="AC6" s="94">
        <v>7168.3112889499998</v>
      </c>
      <c r="AD6" s="94">
        <v>7011.7270396000004</v>
      </c>
      <c r="AE6" s="94">
        <v>6616.7358665399997</v>
      </c>
      <c r="AF6" s="94">
        <v>6411.2204412499996</v>
      </c>
      <c r="AG6" s="94">
        <v>7653.285775790001</v>
      </c>
      <c r="AH6" s="94">
        <v>7383.2788158899994</v>
      </c>
      <c r="AI6" s="94">
        <v>6575.0359640900006</v>
      </c>
    </row>
    <row r="7" spans="1:35" ht="18" customHeight="1" x14ac:dyDescent="0.3">
      <c r="A7" s="95" t="s">
        <v>178</v>
      </c>
      <c r="B7" s="97" t="s">
        <v>173</v>
      </c>
      <c r="C7" s="96">
        <v>2.1255316899999999</v>
      </c>
      <c r="D7" s="96">
        <v>2.1192754300000001</v>
      </c>
      <c r="E7" s="96">
        <v>2.2282869499999998</v>
      </c>
      <c r="F7" s="96">
        <v>2.07141061</v>
      </c>
      <c r="G7" s="96">
        <v>2.3350382800000005</v>
      </c>
      <c r="H7" s="96">
        <v>2.0283251600000001</v>
      </c>
      <c r="I7" s="96">
        <v>2.0672495999999998</v>
      </c>
      <c r="J7" s="96">
        <v>2.3479572500000003</v>
      </c>
      <c r="K7" s="96">
        <v>2.0449950299999999</v>
      </c>
      <c r="L7" s="96">
        <v>1.8257430799999999</v>
      </c>
      <c r="M7" s="96">
        <v>2.1015982600000003</v>
      </c>
      <c r="N7" s="96">
        <v>2.2091104599999998</v>
      </c>
      <c r="O7" s="96">
        <v>2.1396711399999999</v>
      </c>
      <c r="P7" s="96">
        <v>3.2172066800000003</v>
      </c>
      <c r="Q7" s="96">
        <v>3.66200766</v>
      </c>
      <c r="R7" s="96">
        <v>3.6962569599999999</v>
      </c>
      <c r="S7" s="96">
        <v>2.3838034100000001</v>
      </c>
      <c r="T7" s="96">
        <v>2.1940803999999998</v>
      </c>
      <c r="U7" s="96">
        <v>2.2731981700000001</v>
      </c>
      <c r="V7" s="96">
        <v>3.6700169799999998</v>
      </c>
      <c r="W7" s="96">
        <v>3.2185672599999999</v>
      </c>
      <c r="X7" s="96">
        <v>3.3822865000000002</v>
      </c>
      <c r="Y7" s="96">
        <v>4.00424281</v>
      </c>
      <c r="Z7" s="96">
        <v>3.1150479199999999</v>
      </c>
      <c r="AA7" s="96">
        <v>2.9779581800000003</v>
      </c>
      <c r="AB7" s="96">
        <v>3.5097541899999998</v>
      </c>
      <c r="AC7" s="96">
        <v>2.5970547199999996</v>
      </c>
      <c r="AD7" s="96">
        <v>3.6482944899999996</v>
      </c>
      <c r="AE7" s="96">
        <v>3.0722889599999998</v>
      </c>
      <c r="AF7" s="96">
        <v>2.8867610899999998</v>
      </c>
      <c r="AG7" s="96">
        <v>3.6579236600000002</v>
      </c>
      <c r="AH7" s="96">
        <v>2.9862671399999998</v>
      </c>
      <c r="AI7" s="96">
        <v>3.0295410199999999</v>
      </c>
    </row>
    <row r="8" spans="1:35" ht="18" customHeight="1" x14ac:dyDescent="0.3">
      <c r="A8" s="95" t="s">
        <v>179</v>
      </c>
      <c r="B8" s="97" t="s">
        <v>180</v>
      </c>
      <c r="C8" s="96">
        <v>2048.87684141</v>
      </c>
      <c r="D8" s="96">
        <v>2162.4572991100003</v>
      </c>
      <c r="E8" s="96">
        <v>2275.4390492500002</v>
      </c>
      <c r="F8" s="96">
        <v>2187.2024636099995</v>
      </c>
      <c r="G8" s="96">
        <v>2219.8812308899996</v>
      </c>
      <c r="H8" s="96">
        <v>2309.3755411100001</v>
      </c>
      <c r="I8" s="96">
        <v>5132.7693236200003</v>
      </c>
      <c r="J8" s="96">
        <v>3126.86252698</v>
      </c>
      <c r="K8" s="96">
        <v>2628.6096517300002</v>
      </c>
      <c r="L8" s="96">
        <v>2659.6728767600002</v>
      </c>
      <c r="M8" s="96">
        <v>3032.8858741099998</v>
      </c>
      <c r="N8" s="96">
        <v>2885.2825593900002</v>
      </c>
      <c r="O8" s="96">
        <v>2797.44118183</v>
      </c>
      <c r="P8" s="96">
        <v>2687.3435359800001</v>
      </c>
      <c r="Q8" s="96">
        <v>2781.1416306099995</v>
      </c>
      <c r="R8" s="96">
        <v>2931.5468949199999</v>
      </c>
      <c r="S8" s="96">
        <v>2136.66904952</v>
      </c>
      <c r="T8" s="96">
        <v>2890.6835806599997</v>
      </c>
      <c r="U8" s="96">
        <v>4226.8995218099999</v>
      </c>
      <c r="V8" s="96">
        <v>4520.5710963199999</v>
      </c>
      <c r="W8" s="96">
        <v>3053.2745326400004</v>
      </c>
      <c r="X8" s="96">
        <v>2415.9259483999999</v>
      </c>
      <c r="Y8" s="96">
        <v>1984.2086634099999</v>
      </c>
      <c r="Z8" s="96">
        <v>1767.56107038</v>
      </c>
      <c r="AA8" s="96">
        <v>1956.9192613600001</v>
      </c>
      <c r="AB8" s="96">
        <v>2847.1646539200001</v>
      </c>
      <c r="AC8" s="96">
        <v>2886.1040588999999</v>
      </c>
      <c r="AD8" s="96">
        <v>2910.6211680599999</v>
      </c>
      <c r="AE8" s="96">
        <v>1982.1728863199999</v>
      </c>
      <c r="AF8" s="96">
        <v>1766.01011937</v>
      </c>
      <c r="AG8" s="96">
        <v>3118.6426557899999</v>
      </c>
      <c r="AH8" s="96">
        <v>2907.3211288800003</v>
      </c>
      <c r="AI8" s="96">
        <v>2625.7242710400001</v>
      </c>
    </row>
    <row r="9" spans="1:35" ht="18" customHeight="1" x14ac:dyDescent="0.3">
      <c r="A9" s="95" t="s">
        <v>181</v>
      </c>
      <c r="B9" s="97" t="s">
        <v>182</v>
      </c>
      <c r="C9" s="96">
        <v>4838.5133514999998</v>
      </c>
      <c r="D9" s="96">
        <v>4695.5872307999998</v>
      </c>
      <c r="E9" s="96">
        <v>4860.2860353400001</v>
      </c>
      <c r="F9" s="96">
        <v>4875.78553405</v>
      </c>
      <c r="G9" s="96">
        <v>4696.0824488599992</v>
      </c>
      <c r="H9" s="96">
        <v>4819.27500246</v>
      </c>
      <c r="I9" s="96">
        <v>4771.1707992499996</v>
      </c>
      <c r="J9" s="96">
        <v>4761.2126497800009</v>
      </c>
      <c r="K9" s="96">
        <v>5439.2535517200004</v>
      </c>
      <c r="L9" s="96">
        <v>5551.6338527200005</v>
      </c>
      <c r="M9" s="96">
        <v>5005.9972783699995</v>
      </c>
      <c r="N9" s="96">
        <v>5256.3876564900002</v>
      </c>
      <c r="O9" s="96">
        <v>5214.4564986200003</v>
      </c>
      <c r="P9" s="96">
        <v>4979.6266602000005</v>
      </c>
      <c r="Q9" s="96">
        <v>5187.5383326199999</v>
      </c>
      <c r="R9" s="96">
        <v>5334.1883972200003</v>
      </c>
      <c r="S9" s="96">
        <v>5237.7557066700001</v>
      </c>
      <c r="T9" s="96">
        <v>5107.43100615</v>
      </c>
      <c r="U9" s="96">
        <v>5077.6966979300005</v>
      </c>
      <c r="V9" s="96">
        <v>4956.8458360900004</v>
      </c>
      <c r="W9" s="96">
        <v>4722.110459219999</v>
      </c>
      <c r="X9" s="96">
        <v>4634.8816459799991</v>
      </c>
      <c r="Y9" s="96">
        <v>4646.3510259599998</v>
      </c>
      <c r="Z9" s="96">
        <v>4657.9551801300004</v>
      </c>
      <c r="AA9" s="96">
        <v>4564.7883306800004</v>
      </c>
      <c r="AB9" s="96">
        <v>4308.3983801499999</v>
      </c>
      <c r="AC9" s="96">
        <v>4279.6101753299999</v>
      </c>
      <c r="AD9" s="96">
        <v>4097.4575770500005</v>
      </c>
      <c r="AE9" s="96">
        <v>4631.4906912599999</v>
      </c>
      <c r="AF9" s="96">
        <v>4642.3235607899996</v>
      </c>
      <c r="AG9" s="96">
        <v>4530.9851963400006</v>
      </c>
      <c r="AH9" s="96">
        <v>4472.9714198700003</v>
      </c>
      <c r="AI9" s="96">
        <v>3946.2821520299999</v>
      </c>
    </row>
    <row r="10" spans="1:35" ht="18" customHeight="1" x14ac:dyDescent="0.3">
      <c r="A10" s="95"/>
      <c r="B10" s="9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row>
    <row r="11" spans="1:35" ht="18" customHeight="1" x14ac:dyDescent="0.3">
      <c r="A11" s="93" t="s">
        <v>150</v>
      </c>
      <c r="B11" s="93" t="s">
        <v>183</v>
      </c>
      <c r="C11" s="94">
        <v>4221.6224623199996</v>
      </c>
      <c r="D11" s="94">
        <v>4787.4185765900002</v>
      </c>
      <c r="E11" s="94">
        <v>4565.2739098900001</v>
      </c>
      <c r="F11" s="94">
        <v>4578.2717690099998</v>
      </c>
      <c r="G11" s="94">
        <v>4886.4241171000003</v>
      </c>
      <c r="H11" s="94">
        <v>4899.3148916600003</v>
      </c>
      <c r="I11" s="94">
        <v>4611.5893382200002</v>
      </c>
      <c r="J11" s="94">
        <v>4456.7396541799999</v>
      </c>
      <c r="K11" s="94">
        <v>3906.0180231500008</v>
      </c>
      <c r="L11" s="94">
        <v>3714.4465846499997</v>
      </c>
      <c r="M11" s="94">
        <v>4191.2973830800001</v>
      </c>
      <c r="N11" s="94">
        <v>4184.83437426</v>
      </c>
      <c r="O11" s="94">
        <v>4135.7727037200002</v>
      </c>
      <c r="P11" s="94">
        <v>4587.9014881700004</v>
      </c>
      <c r="Q11" s="94">
        <v>4599.4966443100002</v>
      </c>
      <c r="R11" s="94">
        <v>4223.5534941400001</v>
      </c>
      <c r="S11" s="94">
        <v>4367.6754189700005</v>
      </c>
      <c r="T11" s="94">
        <v>4093.1708770699997</v>
      </c>
      <c r="U11" s="94">
        <v>2792.87933183</v>
      </c>
      <c r="V11" s="94">
        <v>2794.3221522100002</v>
      </c>
      <c r="W11" s="94">
        <v>4453.8647564700004</v>
      </c>
      <c r="X11" s="94">
        <v>4557.4011225100003</v>
      </c>
      <c r="Y11" s="94">
        <v>4564.7820450400004</v>
      </c>
      <c r="Z11" s="94">
        <v>3962.81124043</v>
      </c>
      <c r="AA11" s="94">
        <v>3581.1917449000002</v>
      </c>
      <c r="AB11" s="94">
        <v>3581.4714010399998</v>
      </c>
      <c r="AC11" s="94">
        <v>3031.8715136700002</v>
      </c>
      <c r="AD11" s="94">
        <v>2227.1116753800002</v>
      </c>
      <c r="AE11" s="94">
        <v>2732.3337587599999</v>
      </c>
      <c r="AF11" s="94">
        <v>2784.8996033200001</v>
      </c>
      <c r="AG11" s="94">
        <v>2089.2444395399998</v>
      </c>
      <c r="AH11" s="94">
        <v>2790.02083416</v>
      </c>
      <c r="AI11" s="94">
        <v>3316.1492837200003</v>
      </c>
    </row>
    <row r="12" spans="1:35" ht="18" customHeight="1" x14ac:dyDescent="0.3">
      <c r="A12" s="95"/>
      <c r="B12" s="9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row>
    <row r="13" spans="1:35" ht="18" customHeight="1" x14ac:dyDescent="0.3">
      <c r="A13" s="93" t="s">
        <v>152</v>
      </c>
      <c r="B13" s="93" t="s">
        <v>154</v>
      </c>
      <c r="C13" s="94">
        <v>61788.929204800006</v>
      </c>
      <c r="D13" s="94">
        <v>62115.52870178</v>
      </c>
      <c r="E13" s="94">
        <v>62937.957910020006</v>
      </c>
      <c r="F13" s="94">
        <v>63092.996645710009</v>
      </c>
      <c r="G13" s="94">
        <v>62952.402119680002</v>
      </c>
      <c r="H13" s="94">
        <v>63005.937751399993</v>
      </c>
      <c r="I13" s="94">
        <v>62983.697272609999</v>
      </c>
      <c r="J13" s="94">
        <v>63435.106245609997</v>
      </c>
      <c r="K13" s="94">
        <v>64015.280219679989</v>
      </c>
      <c r="L13" s="94">
        <v>64116.820249290002</v>
      </c>
      <c r="M13" s="94">
        <v>64251.763532329998</v>
      </c>
      <c r="N13" s="94">
        <v>64167.612116440003</v>
      </c>
      <c r="O13" s="94">
        <v>2.5</v>
      </c>
      <c r="P13" s="94">
        <v>64803.658447130008</v>
      </c>
      <c r="Q13" s="94">
        <v>65648.735160800003</v>
      </c>
      <c r="R13" s="94">
        <v>65209.124655700005</v>
      </c>
      <c r="S13" s="94">
        <v>51333.949112180002</v>
      </c>
      <c r="T13" s="94">
        <v>51074.885613020007</v>
      </c>
      <c r="U13" s="94">
        <v>50751.705236380003</v>
      </c>
      <c r="V13" s="94">
        <v>50706.598559699996</v>
      </c>
      <c r="W13" s="94">
        <v>50412.561809599996</v>
      </c>
      <c r="X13" s="94">
        <v>50746.287517699995</v>
      </c>
      <c r="Y13" s="94">
        <v>51093.548557940005</v>
      </c>
      <c r="Z13" s="94">
        <v>51759.644969000001</v>
      </c>
      <c r="AA13" s="94">
        <v>50820.866305980002</v>
      </c>
      <c r="AB13" s="94">
        <v>51184.03943194</v>
      </c>
      <c r="AC13" s="94">
        <v>51050.350472260005</v>
      </c>
      <c r="AD13" s="94">
        <v>51920.221772149998</v>
      </c>
      <c r="AE13" s="94">
        <v>52717.67142033</v>
      </c>
      <c r="AF13" s="94">
        <v>52794.196230479996</v>
      </c>
      <c r="AG13" s="94">
        <v>52534.484217500001</v>
      </c>
      <c r="AH13" s="94">
        <v>52282.461529</v>
      </c>
      <c r="AI13" s="94">
        <v>52666.75609178999</v>
      </c>
    </row>
    <row r="14" spans="1:35" ht="18" customHeight="1" x14ac:dyDescent="0.3">
      <c r="A14" s="95"/>
      <c r="B14" s="9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row>
    <row r="15" spans="1:35" ht="18" customHeight="1" x14ac:dyDescent="0.3">
      <c r="A15" s="93" t="s">
        <v>153</v>
      </c>
      <c r="B15" s="93" t="s">
        <v>184</v>
      </c>
      <c r="C15" s="94">
        <v>35.474803000000001</v>
      </c>
      <c r="D15" s="94">
        <v>66.400627</v>
      </c>
      <c r="E15" s="94">
        <v>512.40737300000001</v>
      </c>
      <c r="F15" s="94">
        <v>513.118878</v>
      </c>
      <c r="G15" s="94">
        <v>513.98527189999993</v>
      </c>
      <c r="H15" s="94">
        <v>513.19316400000002</v>
      </c>
      <c r="I15" s="94">
        <v>515.20972374999997</v>
      </c>
      <c r="J15" s="94">
        <v>514.33098749999999</v>
      </c>
      <c r="K15" s="94">
        <v>514.66546525000001</v>
      </c>
      <c r="L15" s="94">
        <v>514.44156184999997</v>
      </c>
      <c r="M15" s="94">
        <v>514.64231700000005</v>
      </c>
      <c r="N15" s="94">
        <v>513.2903675</v>
      </c>
      <c r="O15" s="94">
        <v>515.84672790000002</v>
      </c>
      <c r="P15" s="94">
        <v>515.28500355000006</v>
      </c>
      <c r="Q15" s="94">
        <v>516.99238500000001</v>
      </c>
      <c r="R15" s="94">
        <v>519.25186514999996</v>
      </c>
      <c r="S15" s="94">
        <v>520.38607315000002</v>
      </c>
      <c r="T15" s="94">
        <v>499.77652914999999</v>
      </c>
      <c r="U15" s="94">
        <v>501.45596499999999</v>
      </c>
      <c r="V15" s="94">
        <v>505.12282419999997</v>
      </c>
      <c r="W15" s="94">
        <v>510.57895100000002</v>
      </c>
      <c r="X15" s="94">
        <v>561.854558</v>
      </c>
      <c r="Y15" s="94">
        <v>567.74027935000004</v>
      </c>
      <c r="Z15" s="94">
        <v>571.63318700000002</v>
      </c>
      <c r="AA15" s="94">
        <v>623.82369300000005</v>
      </c>
      <c r="AB15" s="94">
        <v>629.807547</v>
      </c>
      <c r="AC15" s="94">
        <v>636.62834099999998</v>
      </c>
      <c r="AD15" s="94">
        <v>639.45769399999995</v>
      </c>
      <c r="AE15" s="94">
        <v>640.49127799999997</v>
      </c>
      <c r="AF15" s="94">
        <v>640.56741650000004</v>
      </c>
      <c r="AG15" s="94">
        <v>644.92066999999997</v>
      </c>
      <c r="AH15" s="94">
        <v>648.15308100000004</v>
      </c>
      <c r="AI15" s="94">
        <v>657.65561200000002</v>
      </c>
    </row>
    <row r="16" spans="1:35" ht="18" customHeight="1" x14ac:dyDescent="0.3">
      <c r="A16" s="95"/>
      <c r="B16" s="97"/>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row>
    <row r="17" spans="1:35" ht="18" customHeight="1" x14ac:dyDescent="0.3">
      <c r="A17" s="93" t="s">
        <v>155</v>
      </c>
      <c r="B17" s="93" t="s">
        <v>185</v>
      </c>
      <c r="C17" s="94">
        <v>0</v>
      </c>
      <c r="D17" s="94">
        <v>0</v>
      </c>
      <c r="E17" s="94">
        <v>0</v>
      </c>
      <c r="F17" s="94">
        <v>0</v>
      </c>
      <c r="G17" s="94">
        <v>0</v>
      </c>
      <c r="H17" s="94">
        <v>0</v>
      </c>
      <c r="I17" s="94">
        <v>0</v>
      </c>
      <c r="J17" s="94">
        <v>0</v>
      </c>
      <c r="K17" s="94">
        <v>0</v>
      </c>
      <c r="L17" s="94">
        <v>0</v>
      </c>
      <c r="M17" s="94">
        <v>0</v>
      </c>
      <c r="N17" s="94">
        <v>0</v>
      </c>
      <c r="O17" s="94">
        <v>0</v>
      </c>
      <c r="P17" s="94">
        <v>0</v>
      </c>
      <c r="Q17" s="94">
        <v>0</v>
      </c>
      <c r="R17" s="94">
        <v>0</v>
      </c>
      <c r="S17" s="94">
        <v>0</v>
      </c>
      <c r="T17" s="94">
        <v>0</v>
      </c>
      <c r="U17" s="94">
        <v>0</v>
      </c>
      <c r="V17" s="94">
        <v>0</v>
      </c>
      <c r="W17" s="94">
        <v>0</v>
      </c>
      <c r="X17" s="94">
        <v>0</v>
      </c>
      <c r="Y17" s="94">
        <v>0</v>
      </c>
      <c r="Z17" s="94">
        <v>0</v>
      </c>
      <c r="AA17" s="94">
        <v>0</v>
      </c>
      <c r="AB17" s="94">
        <v>0</v>
      </c>
      <c r="AC17" s="94">
        <v>0</v>
      </c>
      <c r="AD17" s="94">
        <v>0</v>
      </c>
      <c r="AE17" s="94">
        <v>0</v>
      </c>
      <c r="AF17" s="94">
        <v>0</v>
      </c>
      <c r="AG17" s="94">
        <v>0</v>
      </c>
      <c r="AH17" s="94">
        <v>0</v>
      </c>
      <c r="AI17" s="94">
        <v>0</v>
      </c>
    </row>
    <row r="18" spans="1:35" ht="18" customHeight="1" x14ac:dyDescent="0.3">
      <c r="A18" s="95"/>
      <c r="B18" s="9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row>
    <row r="19" spans="1:35" ht="18" customHeight="1" x14ac:dyDescent="0.3">
      <c r="A19" s="93" t="s">
        <v>156</v>
      </c>
      <c r="B19" s="93" t="s">
        <v>186</v>
      </c>
      <c r="C19" s="94">
        <v>0</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4">
        <v>0</v>
      </c>
      <c r="AE19" s="94">
        <v>0</v>
      </c>
      <c r="AF19" s="94">
        <v>0</v>
      </c>
      <c r="AG19" s="94">
        <v>0</v>
      </c>
      <c r="AH19" s="94">
        <v>0</v>
      </c>
      <c r="AI19" s="94">
        <v>0</v>
      </c>
    </row>
    <row r="20" spans="1:35" ht="18" customHeight="1" x14ac:dyDescent="0.3">
      <c r="A20" s="95"/>
      <c r="B20" s="9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row>
    <row r="21" spans="1:35" ht="18" customHeight="1" x14ac:dyDescent="0.3">
      <c r="A21" s="93" t="s">
        <v>157</v>
      </c>
      <c r="B21" s="93" t="s">
        <v>159</v>
      </c>
      <c r="C21" s="94">
        <v>1165.5842754800001</v>
      </c>
      <c r="D21" s="94">
        <v>1144.3339894400001</v>
      </c>
      <c r="E21" s="94">
        <v>1252.33697779</v>
      </c>
      <c r="F21" s="94">
        <v>1158.7047769400001</v>
      </c>
      <c r="G21" s="94">
        <v>1211.0408513799998</v>
      </c>
      <c r="H21" s="94">
        <v>1379.6697941500001</v>
      </c>
      <c r="I21" s="94">
        <v>1151.33994018</v>
      </c>
      <c r="J21" s="94">
        <v>1216.2030727000001</v>
      </c>
      <c r="K21" s="94">
        <v>1267.5159774499998</v>
      </c>
      <c r="L21" s="94">
        <v>1237.7968273299998</v>
      </c>
      <c r="M21" s="94">
        <v>957.69574081000007</v>
      </c>
      <c r="N21" s="94">
        <v>946.51278145000003</v>
      </c>
      <c r="O21" s="94">
        <v>978.26740600000016</v>
      </c>
      <c r="P21" s="94">
        <v>935.78048269999988</v>
      </c>
      <c r="Q21" s="94">
        <v>819.60248229999991</v>
      </c>
      <c r="R21" s="94">
        <v>824.27017603000002</v>
      </c>
      <c r="S21" s="94">
        <v>527.13489362999997</v>
      </c>
      <c r="T21" s="94">
        <v>491.28439797999988</v>
      </c>
      <c r="U21" s="94">
        <v>548.74033615999997</v>
      </c>
      <c r="V21" s="94">
        <v>562.88839671000005</v>
      </c>
      <c r="W21" s="94">
        <v>612.32924229999992</v>
      </c>
      <c r="X21" s="94">
        <v>659.42193758000008</v>
      </c>
      <c r="Y21" s="94">
        <v>683.09322334000001</v>
      </c>
      <c r="Z21" s="94">
        <v>663.31553169999995</v>
      </c>
      <c r="AA21" s="94">
        <v>1302.3887944200001</v>
      </c>
      <c r="AB21" s="94">
        <v>1318.0694026400001</v>
      </c>
      <c r="AC21" s="94">
        <v>1327.1109784799999</v>
      </c>
      <c r="AD21" s="94">
        <v>1050.54140972</v>
      </c>
      <c r="AE21" s="94">
        <v>681.51544925999997</v>
      </c>
      <c r="AF21" s="94">
        <v>648.09088933999999</v>
      </c>
      <c r="AG21" s="94">
        <v>716.89722680000011</v>
      </c>
      <c r="AH21" s="94">
        <v>708.64908884999988</v>
      </c>
      <c r="AI21" s="94">
        <v>706.71083261000001</v>
      </c>
    </row>
    <row r="22" spans="1:35" ht="18" customHeight="1" x14ac:dyDescent="0.3">
      <c r="A22" s="95"/>
      <c r="B22" s="9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row>
    <row r="23" spans="1:35" ht="18" customHeight="1" x14ac:dyDescent="0.3">
      <c r="A23" s="93" t="s">
        <v>158</v>
      </c>
      <c r="B23" s="93" t="s">
        <v>160</v>
      </c>
      <c r="C23" s="94">
        <v>3135.7740471799998</v>
      </c>
      <c r="D23" s="94">
        <v>3130.7487091800003</v>
      </c>
      <c r="E23" s="94">
        <v>2788.11250492</v>
      </c>
      <c r="F23" s="94">
        <v>2893.4054980399997</v>
      </c>
      <c r="G23" s="94">
        <v>2886.2862546699994</v>
      </c>
      <c r="H23" s="94">
        <v>2915.3276858499994</v>
      </c>
      <c r="I23" s="94">
        <v>2892.2268666600003</v>
      </c>
      <c r="J23" s="94">
        <v>2926.1956566900008</v>
      </c>
      <c r="K23" s="94">
        <v>3039.1836180400005</v>
      </c>
      <c r="L23" s="94">
        <v>3042.5841576500002</v>
      </c>
      <c r="M23" s="94">
        <v>3027.9828807100002</v>
      </c>
      <c r="N23" s="94">
        <v>3033.2130022399997</v>
      </c>
      <c r="O23" s="94">
        <v>3162.9474170500002</v>
      </c>
      <c r="P23" s="94">
        <v>3145.97798883</v>
      </c>
      <c r="Q23" s="94">
        <v>3130.6690823399995</v>
      </c>
      <c r="R23" s="94">
        <v>3050.2464105699996</v>
      </c>
      <c r="S23" s="94">
        <v>2466.9573183599996</v>
      </c>
      <c r="T23" s="94">
        <v>2492.7728384800002</v>
      </c>
      <c r="U23" s="94">
        <v>2477.3548169100004</v>
      </c>
      <c r="V23" s="94">
        <v>2456.2756352000001</v>
      </c>
      <c r="W23" s="94">
        <v>2428.09250729</v>
      </c>
      <c r="X23" s="94">
        <v>2411.7953546499998</v>
      </c>
      <c r="Y23" s="94">
        <v>2381.6292145699995</v>
      </c>
      <c r="Z23" s="94">
        <v>2427.2441287400002</v>
      </c>
      <c r="AA23" s="94">
        <v>2419.9539893900001</v>
      </c>
      <c r="AB23" s="94">
        <v>2422.0065897999998</v>
      </c>
      <c r="AC23" s="94">
        <v>2462.5170033900004</v>
      </c>
      <c r="AD23" s="94">
        <v>2830.7603667199996</v>
      </c>
      <c r="AE23" s="94">
        <v>2858.7945148799995</v>
      </c>
      <c r="AF23" s="94">
        <v>2849.8941393499999</v>
      </c>
      <c r="AG23" s="94">
        <v>2848.7142131299997</v>
      </c>
      <c r="AH23" s="94">
        <v>2854.1509788600001</v>
      </c>
      <c r="AI23" s="94">
        <v>2805.22917719</v>
      </c>
    </row>
    <row r="24" spans="1:35" ht="18" customHeight="1" x14ac:dyDescent="0.3">
      <c r="A24" s="95"/>
      <c r="B24" s="95"/>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row>
    <row r="25" spans="1:35" ht="18" customHeight="1" x14ac:dyDescent="0.3">
      <c r="A25" s="93"/>
      <c r="B25" s="93" t="s">
        <v>135</v>
      </c>
      <c r="C25" s="94">
        <v>77236.900517380011</v>
      </c>
      <c r="D25" s="94">
        <v>78104.594409330006</v>
      </c>
      <c r="E25" s="94">
        <v>79194.042047160008</v>
      </c>
      <c r="F25" s="94">
        <v>79301.556975970001</v>
      </c>
      <c r="G25" s="94">
        <v>79368.437332760004</v>
      </c>
      <c r="H25" s="94">
        <v>79844.122155790013</v>
      </c>
      <c r="I25" s="94">
        <v>82060.070513889994</v>
      </c>
      <c r="J25" s="94">
        <v>80438.998750690007</v>
      </c>
      <c r="K25" s="94">
        <v>80812.571502049992</v>
      </c>
      <c r="L25" s="94">
        <v>80839.221853329989</v>
      </c>
      <c r="M25" s="94">
        <v>80984.36660466998</v>
      </c>
      <c r="N25" s="94">
        <v>80989.341968230001</v>
      </c>
      <c r="O25" s="94">
        <v>81080.767267770003</v>
      </c>
      <c r="P25" s="94">
        <v>81658.790813240004</v>
      </c>
      <c r="Q25" s="94">
        <v>82687.837725639984</v>
      </c>
      <c r="R25" s="94">
        <v>82095.878150689998</v>
      </c>
      <c r="S25" s="94">
        <v>66592.911375890006</v>
      </c>
      <c r="T25" s="94">
        <v>66652.19892291</v>
      </c>
      <c r="U25" s="94">
        <v>66379.005104190001</v>
      </c>
      <c r="V25" s="94">
        <v>66506.294517410002</v>
      </c>
      <c r="W25" s="94">
        <v>66196.030825779992</v>
      </c>
      <c r="X25" s="94">
        <v>65990.950371319996</v>
      </c>
      <c r="Y25" s="94">
        <v>65925.357252419999</v>
      </c>
      <c r="Z25" s="94">
        <v>65813.280355299998</v>
      </c>
      <c r="AA25" s="94">
        <v>65272.910077909997</v>
      </c>
      <c r="AB25" s="94">
        <v>66294.467160679997</v>
      </c>
      <c r="AC25" s="94">
        <v>65676.789597750001</v>
      </c>
      <c r="AD25" s="94">
        <v>65679.819957569998</v>
      </c>
      <c r="AE25" s="94">
        <v>66247.542287770004</v>
      </c>
      <c r="AF25" s="94">
        <v>66128.868720240003</v>
      </c>
      <c r="AG25" s="94">
        <v>66487.546542759999</v>
      </c>
      <c r="AH25" s="94">
        <v>66666.714327759997</v>
      </c>
      <c r="AI25" s="94">
        <v>66727.536961400008</v>
      </c>
    </row>
    <row r="26" spans="1:35" thickBot="1" x14ac:dyDescent="0.35">
      <c r="A26" s="98"/>
      <c r="B26" s="98"/>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row>
    <row r="27" spans="1:35" ht="18" hidden="1" thickTop="1" x14ac:dyDescent="0.3">
      <c r="A27" s="116"/>
      <c r="B27" s="116"/>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row>
    <row r="28" spans="1:35" ht="18" thickTop="1" x14ac:dyDescent="0.3">
      <c r="A28" s="85"/>
      <c r="B28" s="85"/>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row>
    <row r="29" spans="1:35" ht="18" thickBot="1" x14ac:dyDescent="0.35">
      <c r="A29" s="117"/>
      <c r="B29" s="117"/>
      <c r="C29" s="118"/>
      <c r="D29" s="118"/>
      <c r="E29" s="118"/>
      <c r="F29" s="118"/>
      <c r="G29" s="118"/>
      <c r="H29" s="118"/>
      <c r="I29" s="118"/>
      <c r="J29" s="118"/>
      <c r="K29" s="118"/>
      <c r="S29" s="87"/>
      <c r="X29" s="87"/>
      <c r="AE29" s="87"/>
      <c r="AI29" s="87" t="s">
        <v>8</v>
      </c>
    </row>
    <row r="30" spans="1:35" ht="24" customHeight="1" thickTop="1" thickBot="1" x14ac:dyDescent="0.35">
      <c r="A30" s="89" t="s">
        <v>138</v>
      </c>
      <c r="B30" s="89" t="s">
        <v>161</v>
      </c>
      <c r="C30" s="90">
        <v>43374</v>
      </c>
      <c r="D30" s="90">
        <v>43405</v>
      </c>
      <c r="E30" s="90">
        <v>43435</v>
      </c>
      <c r="F30" s="90">
        <v>43466</v>
      </c>
      <c r="G30" s="90">
        <v>43497</v>
      </c>
      <c r="H30" s="90">
        <v>43525</v>
      </c>
      <c r="I30" s="90">
        <v>43556</v>
      </c>
      <c r="J30" s="90">
        <v>43586</v>
      </c>
      <c r="K30" s="90">
        <v>43617</v>
      </c>
      <c r="L30" s="90">
        <v>43647</v>
      </c>
      <c r="M30" s="90">
        <v>43678</v>
      </c>
      <c r="N30" s="90">
        <v>43709</v>
      </c>
      <c r="O30" s="90">
        <v>43739</v>
      </c>
      <c r="P30" s="90">
        <v>43770</v>
      </c>
      <c r="Q30" s="90">
        <v>43800</v>
      </c>
      <c r="R30" s="90">
        <v>43831</v>
      </c>
      <c r="S30" s="91" t="s">
        <v>174</v>
      </c>
      <c r="T30" s="91" t="s">
        <v>140</v>
      </c>
      <c r="U30" s="91" t="s">
        <v>175</v>
      </c>
      <c r="V30" s="91" t="s">
        <v>176</v>
      </c>
      <c r="W30" s="91" t="s">
        <v>197</v>
      </c>
      <c r="X30" s="91" t="s">
        <v>142</v>
      </c>
      <c r="Y30" s="91" t="s">
        <v>143</v>
      </c>
      <c r="Z30" s="91" t="s">
        <v>144</v>
      </c>
      <c r="AA30" s="91" t="s">
        <v>145</v>
      </c>
      <c r="AB30" s="91" t="s">
        <v>146</v>
      </c>
      <c r="AC30" s="91" t="s">
        <v>147</v>
      </c>
      <c r="AD30" s="91" t="s">
        <v>148</v>
      </c>
      <c r="AE30" s="91" t="s">
        <v>3254</v>
      </c>
      <c r="AF30" s="91" t="s">
        <v>3255</v>
      </c>
      <c r="AG30" s="91" t="s">
        <v>3253</v>
      </c>
      <c r="AH30" s="91" t="s">
        <v>3251</v>
      </c>
      <c r="AI30" s="91" t="s">
        <v>3252</v>
      </c>
    </row>
    <row r="31" spans="1:35" ht="18" customHeight="1" thickTop="1" x14ac:dyDescent="0.3">
      <c r="A31" s="95"/>
      <c r="B31" s="100"/>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row>
    <row r="32" spans="1:35" ht="18" customHeight="1" x14ac:dyDescent="0.3">
      <c r="A32" s="93" t="s">
        <v>162</v>
      </c>
      <c r="B32" s="93" t="s">
        <v>187</v>
      </c>
      <c r="C32" s="94">
        <v>47694.177166809997</v>
      </c>
      <c r="D32" s="94">
        <v>47745.283479010002</v>
      </c>
      <c r="E32" s="94">
        <v>47737.845197770002</v>
      </c>
      <c r="F32" s="94">
        <v>47533.503202229993</v>
      </c>
      <c r="G32" s="94">
        <v>47382.638370020002</v>
      </c>
      <c r="H32" s="94">
        <v>47401.410157419996</v>
      </c>
      <c r="I32" s="94">
        <v>47427.397743109999</v>
      </c>
      <c r="J32" s="94">
        <v>44530.876024979996</v>
      </c>
      <c r="K32" s="94">
        <v>44522.778753110004</v>
      </c>
      <c r="L32" s="94">
        <v>44434.032098189993</v>
      </c>
      <c r="M32" s="94">
        <v>44511.747251239998</v>
      </c>
      <c r="N32" s="94">
        <v>44315.940731650007</v>
      </c>
      <c r="O32" s="94">
        <v>44245.641496850003</v>
      </c>
      <c r="P32" s="94">
        <v>44255.250134319998</v>
      </c>
      <c r="Q32" s="94">
        <v>44277.996081609999</v>
      </c>
      <c r="R32" s="94">
        <v>44222.000640229999</v>
      </c>
      <c r="S32" s="94">
        <v>44210.372361330003</v>
      </c>
      <c r="T32" s="94">
        <v>44280.088956700005</v>
      </c>
      <c r="U32" s="94">
        <v>43930.418946800004</v>
      </c>
      <c r="V32" s="94">
        <v>43827.40912086</v>
      </c>
      <c r="W32" s="94">
        <v>43482.168871139998</v>
      </c>
      <c r="X32" s="94">
        <v>43076.47440621</v>
      </c>
      <c r="Y32" s="94">
        <v>42811.304690979996</v>
      </c>
      <c r="Z32" s="94">
        <v>42626.153110209998</v>
      </c>
      <c r="AA32" s="94">
        <v>42367.831198520005</v>
      </c>
      <c r="AB32" s="94">
        <v>43182.478514529997</v>
      </c>
      <c r="AC32" s="94">
        <v>42642.621432439999</v>
      </c>
      <c r="AD32" s="94">
        <v>42279.742461139998</v>
      </c>
      <c r="AE32" s="94">
        <v>42341.546560030001</v>
      </c>
      <c r="AF32" s="94">
        <v>42162.317528939995</v>
      </c>
      <c r="AG32" s="94">
        <v>42267.428383689999</v>
      </c>
      <c r="AH32" s="94">
        <v>42473.18414954</v>
      </c>
      <c r="AI32" s="94">
        <v>42382.252847019998</v>
      </c>
    </row>
    <row r="33" spans="1:35" ht="18" customHeight="1" x14ac:dyDescent="0.3">
      <c r="A33" s="95" t="s">
        <v>188</v>
      </c>
      <c r="B33" s="95" t="s">
        <v>189</v>
      </c>
      <c r="C33" s="96">
        <v>0</v>
      </c>
      <c r="D33" s="96">
        <v>0</v>
      </c>
      <c r="E33" s="96">
        <v>0</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0</v>
      </c>
      <c r="AA33" s="96">
        <v>0</v>
      </c>
      <c r="AB33" s="96">
        <v>0</v>
      </c>
      <c r="AC33" s="96">
        <v>0</v>
      </c>
      <c r="AD33" s="96">
        <v>0</v>
      </c>
      <c r="AE33" s="96">
        <v>0</v>
      </c>
      <c r="AF33" s="96">
        <v>0</v>
      </c>
      <c r="AG33" s="96">
        <v>0</v>
      </c>
      <c r="AH33" s="96">
        <v>0</v>
      </c>
      <c r="AI33" s="96">
        <v>0</v>
      </c>
    </row>
    <row r="34" spans="1:35" ht="18" customHeight="1" x14ac:dyDescent="0.3">
      <c r="A34" s="95" t="s">
        <v>190</v>
      </c>
      <c r="B34" s="95" t="s">
        <v>191</v>
      </c>
      <c r="C34" s="96">
        <v>47694.177166810005</v>
      </c>
      <c r="D34" s="96">
        <v>47745.283479009995</v>
      </c>
      <c r="E34" s="96">
        <v>47737.845197770002</v>
      </c>
      <c r="F34" s="96">
        <v>47533.50320223</v>
      </c>
      <c r="G34" s="96">
        <v>47382.638370019995</v>
      </c>
      <c r="H34" s="96">
        <v>47401.410157420003</v>
      </c>
      <c r="I34" s="96">
        <v>47427.397743109999</v>
      </c>
      <c r="J34" s="96">
        <v>44530.876024979996</v>
      </c>
      <c r="K34" s="96">
        <v>44522.778753110004</v>
      </c>
      <c r="L34" s="96">
        <v>44434.032098189993</v>
      </c>
      <c r="M34" s="96">
        <v>44511.747251240013</v>
      </c>
      <c r="N34" s="96">
        <v>44315.94073165</v>
      </c>
      <c r="O34" s="96">
        <v>44245.641496850003</v>
      </c>
      <c r="P34" s="96">
        <v>44255.250134319991</v>
      </c>
      <c r="Q34" s="96">
        <v>44277.996081610007</v>
      </c>
      <c r="R34" s="96">
        <v>44222.000640229999</v>
      </c>
      <c r="S34" s="96">
        <v>44210.372361329995</v>
      </c>
      <c r="T34" s="96">
        <v>44280.088956699998</v>
      </c>
      <c r="U34" s="96">
        <v>43930.418946800004</v>
      </c>
      <c r="V34" s="96">
        <v>43827.40912086</v>
      </c>
      <c r="W34" s="96">
        <v>43482.168871139998</v>
      </c>
      <c r="X34" s="96">
        <v>43076.47440621</v>
      </c>
      <c r="Y34" s="96">
        <v>42811.304690979996</v>
      </c>
      <c r="Z34" s="96">
        <v>42626.153110209998</v>
      </c>
      <c r="AA34" s="96">
        <v>42367.831198519998</v>
      </c>
      <c r="AB34" s="96">
        <v>43182.478514529997</v>
      </c>
      <c r="AC34" s="96">
        <v>42642.621432439999</v>
      </c>
      <c r="AD34" s="96">
        <v>42279.742461139998</v>
      </c>
      <c r="AE34" s="96">
        <v>42341.546560030001</v>
      </c>
      <c r="AF34" s="96">
        <v>42162.317528940002</v>
      </c>
      <c r="AG34" s="96">
        <v>42267.428383689999</v>
      </c>
      <c r="AH34" s="96">
        <v>42473.18414954</v>
      </c>
      <c r="AI34" s="96">
        <v>42382.252847019998</v>
      </c>
    </row>
    <row r="35" spans="1:35" ht="18" customHeight="1" x14ac:dyDescent="0.3">
      <c r="A35" s="95"/>
      <c r="B35" s="95"/>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ht="18" customHeight="1" x14ac:dyDescent="0.3">
      <c r="A36" s="93" t="s">
        <v>163</v>
      </c>
      <c r="B36" s="93" t="s">
        <v>183</v>
      </c>
      <c r="C36" s="94">
        <v>0</v>
      </c>
      <c r="D36" s="94">
        <v>0</v>
      </c>
      <c r="E36" s="94">
        <v>0</v>
      </c>
      <c r="F36" s="94">
        <v>0</v>
      </c>
      <c r="G36" s="94">
        <v>0</v>
      </c>
      <c r="H36" s="94">
        <v>1000</v>
      </c>
      <c r="I36" s="94">
        <v>2500</v>
      </c>
      <c r="J36" s="94">
        <v>2500</v>
      </c>
      <c r="K36" s="94">
        <v>3500</v>
      </c>
      <c r="L36" s="94">
        <v>3500</v>
      </c>
      <c r="M36" s="94">
        <v>3500</v>
      </c>
      <c r="N36" s="94">
        <v>3500</v>
      </c>
      <c r="O36" s="94">
        <v>3500</v>
      </c>
      <c r="P36" s="94">
        <v>3500</v>
      </c>
      <c r="Q36" s="94">
        <v>3500</v>
      </c>
      <c r="R36" s="94">
        <v>3500</v>
      </c>
      <c r="S36" s="94">
        <v>0</v>
      </c>
      <c r="T36" s="94">
        <v>0</v>
      </c>
      <c r="U36" s="94">
        <v>0</v>
      </c>
      <c r="V36" s="94">
        <v>0</v>
      </c>
      <c r="W36" s="94">
        <v>0</v>
      </c>
      <c r="X36" s="94">
        <v>0</v>
      </c>
      <c r="Y36" s="94">
        <v>0</v>
      </c>
      <c r="Z36" s="94">
        <v>0</v>
      </c>
      <c r="AA36" s="94">
        <v>0</v>
      </c>
      <c r="AB36" s="94">
        <v>0</v>
      </c>
      <c r="AC36" s="94">
        <v>0</v>
      </c>
      <c r="AD36" s="94">
        <v>0</v>
      </c>
      <c r="AE36" s="94">
        <v>0</v>
      </c>
      <c r="AF36" s="94">
        <v>0</v>
      </c>
      <c r="AG36" s="94">
        <v>0</v>
      </c>
      <c r="AH36" s="94">
        <v>0</v>
      </c>
      <c r="AI36" s="94">
        <v>0</v>
      </c>
    </row>
    <row r="37" spans="1:35" ht="18" customHeight="1" x14ac:dyDescent="0.3">
      <c r="A37" s="95"/>
      <c r="B37" s="95"/>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ht="18" customHeight="1" x14ac:dyDescent="0.3">
      <c r="A38" s="93" t="s">
        <v>164</v>
      </c>
      <c r="B38" s="93" t="s">
        <v>154</v>
      </c>
      <c r="C38" s="94">
        <v>6737.2744701100009</v>
      </c>
      <c r="D38" s="94">
        <v>7196.0808801700005</v>
      </c>
      <c r="E38" s="94">
        <v>7568.8271590600007</v>
      </c>
      <c r="F38" s="94">
        <v>8126.2390832200008</v>
      </c>
      <c r="G38" s="94">
        <v>8243.5994757700009</v>
      </c>
      <c r="H38" s="94">
        <v>7569.0138445899993</v>
      </c>
      <c r="I38" s="94">
        <v>8000.0027897499976</v>
      </c>
      <c r="J38" s="94">
        <v>8753.0440673700014</v>
      </c>
      <c r="K38" s="94">
        <v>8185.6564800400001</v>
      </c>
      <c r="L38" s="94">
        <v>8054.2517909899998</v>
      </c>
      <c r="M38" s="94">
        <v>8103.3172242500004</v>
      </c>
      <c r="N38" s="94">
        <v>8321.2882398300007</v>
      </c>
      <c r="O38" s="94">
        <v>8104.4168467400004</v>
      </c>
      <c r="P38" s="94">
        <v>8367.2974330099987</v>
      </c>
      <c r="Q38" s="94">
        <v>8603.3838927800007</v>
      </c>
      <c r="R38" s="94">
        <v>8426.8383009000008</v>
      </c>
      <c r="S38" s="94">
        <v>783.62091100999999</v>
      </c>
      <c r="T38" s="94">
        <v>780.2091568100002</v>
      </c>
      <c r="U38" s="94">
        <v>782.30236002000004</v>
      </c>
      <c r="V38" s="94">
        <v>747.65959606000001</v>
      </c>
      <c r="W38" s="94">
        <v>675.78406803999997</v>
      </c>
      <c r="X38" s="94">
        <v>689.16898163999997</v>
      </c>
      <c r="Y38" s="94">
        <v>684.64534749999996</v>
      </c>
      <c r="Z38" s="94">
        <v>681.53103354000007</v>
      </c>
      <c r="AA38" s="94">
        <v>794.32048476</v>
      </c>
      <c r="AB38" s="94">
        <v>756.13385965999987</v>
      </c>
      <c r="AC38" s="94">
        <v>759.68859431999988</v>
      </c>
      <c r="AD38" s="94">
        <v>775.20549093000011</v>
      </c>
      <c r="AE38" s="94">
        <v>762.7514358200001</v>
      </c>
      <c r="AF38" s="94">
        <v>761.62911378000001</v>
      </c>
      <c r="AG38" s="94">
        <v>769.87665938999999</v>
      </c>
      <c r="AH38" s="94">
        <v>606.44807977999994</v>
      </c>
      <c r="AI38" s="94">
        <v>686.60128170000007</v>
      </c>
    </row>
    <row r="39" spans="1:35" ht="18" customHeight="1" x14ac:dyDescent="0.3">
      <c r="A39" s="95"/>
      <c r="B39" s="101"/>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ht="18" customHeight="1" x14ac:dyDescent="0.3">
      <c r="A40" s="93" t="s">
        <v>165</v>
      </c>
      <c r="B40" s="93" t="s">
        <v>185</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0</v>
      </c>
      <c r="T40" s="94">
        <v>0</v>
      </c>
      <c r="U40" s="94">
        <v>0</v>
      </c>
      <c r="V40" s="94">
        <v>0</v>
      </c>
      <c r="W40" s="94">
        <v>0</v>
      </c>
      <c r="X40" s="94">
        <v>0</v>
      </c>
      <c r="Y40" s="94">
        <v>0</v>
      </c>
      <c r="Z40" s="94">
        <v>0</v>
      </c>
      <c r="AA40" s="94">
        <v>0</v>
      </c>
      <c r="AB40" s="94">
        <v>0</v>
      </c>
      <c r="AC40" s="94">
        <v>0</v>
      </c>
      <c r="AD40" s="94">
        <v>0</v>
      </c>
      <c r="AE40" s="94">
        <v>0</v>
      </c>
      <c r="AF40" s="94">
        <v>0</v>
      </c>
      <c r="AG40" s="94">
        <v>0</v>
      </c>
      <c r="AH40" s="94">
        <v>0</v>
      </c>
      <c r="AI40" s="94">
        <v>0</v>
      </c>
    </row>
    <row r="41" spans="1:35" ht="18" customHeight="1" x14ac:dyDescent="0.3">
      <c r="A41" s="95"/>
      <c r="B41" s="95"/>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ht="18" customHeight="1" x14ac:dyDescent="0.3">
      <c r="A42" s="93" t="s">
        <v>166</v>
      </c>
      <c r="B42" s="93" t="s">
        <v>192</v>
      </c>
      <c r="C42" s="94">
        <v>0</v>
      </c>
      <c r="D42" s="94">
        <v>0</v>
      </c>
      <c r="E42" s="94">
        <v>0</v>
      </c>
      <c r="F42" s="94">
        <v>0</v>
      </c>
      <c r="G42" s="94">
        <v>0</v>
      </c>
      <c r="H42" s="94">
        <v>0</v>
      </c>
      <c r="I42" s="94">
        <v>0</v>
      </c>
      <c r="J42" s="94">
        <v>0</v>
      </c>
      <c r="K42" s="94">
        <v>0</v>
      </c>
      <c r="L42" s="94">
        <v>0</v>
      </c>
      <c r="M42" s="94">
        <v>0</v>
      </c>
      <c r="N42" s="94">
        <v>0</v>
      </c>
      <c r="O42" s="94">
        <v>0</v>
      </c>
      <c r="P42" s="94">
        <v>0</v>
      </c>
      <c r="Q42" s="94">
        <v>0</v>
      </c>
      <c r="R42" s="94">
        <v>0</v>
      </c>
      <c r="S42" s="94">
        <v>0</v>
      </c>
      <c r="T42" s="94">
        <v>0</v>
      </c>
      <c r="U42" s="94">
        <v>0</v>
      </c>
      <c r="V42" s="94">
        <v>0</v>
      </c>
      <c r="W42" s="94">
        <v>0</v>
      </c>
      <c r="X42" s="94">
        <v>0</v>
      </c>
      <c r="Y42" s="94">
        <v>0</v>
      </c>
      <c r="Z42" s="94">
        <v>0</v>
      </c>
      <c r="AA42" s="94">
        <v>0</v>
      </c>
      <c r="AB42" s="94">
        <v>0</v>
      </c>
      <c r="AC42" s="94">
        <v>0</v>
      </c>
      <c r="AD42" s="94">
        <v>0</v>
      </c>
      <c r="AE42" s="94">
        <v>0</v>
      </c>
      <c r="AF42" s="94">
        <v>0</v>
      </c>
      <c r="AG42" s="94">
        <v>0</v>
      </c>
      <c r="AH42" s="94">
        <v>0</v>
      </c>
      <c r="AI42" s="94">
        <v>0</v>
      </c>
    </row>
    <row r="43" spans="1:35" ht="18" customHeight="1" x14ac:dyDescent="0.3">
      <c r="A43" s="95"/>
      <c r="B43" s="95"/>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ht="18" customHeight="1" x14ac:dyDescent="0.3">
      <c r="A44" s="93" t="s">
        <v>167</v>
      </c>
      <c r="B44" s="93" t="s">
        <v>169</v>
      </c>
      <c r="C44" s="94">
        <v>6314.8586488700012</v>
      </c>
      <c r="D44" s="94">
        <v>6490.8241229300002</v>
      </c>
      <c r="E44" s="94">
        <v>7060.6022900899989</v>
      </c>
      <c r="F44" s="94">
        <v>6622.88513367</v>
      </c>
      <c r="G44" s="94">
        <v>6563.53564955</v>
      </c>
      <c r="H44" s="94">
        <v>6600.6007098899991</v>
      </c>
      <c r="I44" s="94">
        <v>6765.2370936199995</v>
      </c>
      <c r="J44" s="94">
        <v>7161.5383294800004</v>
      </c>
      <c r="K44" s="94">
        <v>6905.9064424599992</v>
      </c>
      <c r="L44" s="94">
        <v>6975.311365139999</v>
      </c>
      <c r="M44" s="94">
        <v>6977.4743716700004</v>
      </c>
      <c r="N44" s="94">
        <v>6555.624133450001</v>
      </c>
      <c r="O44" s="94">
        <v>6666.5761637200003</v>
      </c>
      <c r="P44" s="94">
        <v>6795.361598389999</v>
      </c>
      <c r="Q44" s="94">
        <v>7403.5074112600005</v>
      </c>
      <c r="R44" s="94">
        <v>7144.2468703500008</v>
      </c>
      <c r="S44" s="94">
        <v>4582.5030572199994</v>
      </c>
      <c r="T44" s="94">
        <v>4464.1036987200005</v>
      </c>
      <c r="U44" s="94">
        <v>4411.2929158300003</v>
      </c>
      <c r="V44" s="94">
        <v>4730.8340509800009</v>
      </c>
      <c r="W44" s="94">
        <v>4690.5252794899998</v>
      </c>
      <c r="X44" s="94">
        <v>4808.5696513899993</v>
      </c>
      <c r="Y44" s="94">
        <v>4562.7797941899998</v>
      </c>
      <c r="Z44" s="94">
        <v>4887.6153473899994</v>
      </c>
      <c r="AA44" s="94">
        <v>4345.13922654</v>
      </c>
      <c r="AB44" s="94">
        <v>4410.2773806499999</v>
      </c>
      <c r="AC44" s="94">
        <v>4307.6419335399996</v>
      </c>
      <c r="AD44" s="94">
        <v>4527.5351244699996</v>
      </c>
      <c r="AE44" s="94">
        <v>4910.9876187199989</v>
      </c>
      <c r="AF44" s="94">
        <v>5078.7027678199993</v>
      </c>
      <c r="AG44" s="94">
        <v>5182.5940328699999</v>
      </c>
      <c r="AH44" s="94">
        <v>5188.6480179999999</v>
      </c>
      <c r="AI44" s="94">
        <v>5044.2319726399992</v>
      </c>
    </row>
    <row r="45" spans="1:35" ht="18" customHeight="1" x14ac:dyDescent="0.3">
      <c r="A45" s="95"/>
      <c r="B45" s="95"/>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ht="18" customHeight="1" x14ac:dyDescent="0.3">
      <c r="A46" s="93" t="s">
        <v>168</v>
      </c>
      <c r="B46" s="93" t="s">
        <v>184</v>
      </c>
      <c r="C46" s="94">
        <v>16490.590231589998</v>
      </c>
      <c r="D46" s="94">
        <v>16672.405927219999</v>
      </c>
      <c r="E46" s="94">
        <v>16826.767400239998</v>
      </c>
      <c r="F46" s="94">
        <v>17018.929556850002</v>
      </c>
      <c r="G46" s="94">
        <v>17178.663837420001</v>
      </c>
      <c r="H46" s="94">
        <v>17273.097443890001</v>
      </c>
      <c r="I46" s="94">
        <v>17367.432887409999</v>
      </c>
      <c r="J46" s="94">
        <v>17493.540328859999</v>
      </c>
      <c r="K46" s="94">
        <v>17698.229826440001</v>
      </c>
      <c r="L46" s="94">
        <v>17875.62659901</v>
      </c>
      <c r="M46" s="94">
        <v>17891.827757510004</v>
      </c>
      <c r="N46" s="94">
        <v>18296.488863300001</v>
      </c>
      <c r="O46" s="94">
        <v>18564.132760459997</v>
      </c>
      <c r="P46" s="94">
        <v>18740.88164752</v>
      </c>
      <c r="Q46" s="94">
        <v>18902.950339989999</v>
      </c>
      <c r="R46" s="94">
        <v>18802.792339209998</v>
      </c>
      <c r="S46" s="94">
        <v>17016.415046330003</v>
      </c>
      <c r="T46" s="94">
        <v>17127.79711068</v>
      </c>
      <c r="U46" s="94">
        <v>17254.990881540001</v>
      </c>
      <c r="V46" s="94">
        <v>17200.391749509999</v>
      </c>
      <c r="W46" s="94">
        <v>17347.552607109999</v>
      </c>
      <c r="X46" s="94">
        <v>17416.737332080003</v>
      </c>
      <c r="Y46" s="94">
        <v>17866.627419749999</v>
      </c>
      <c r="Z46" s="94">
        <v>17617.980864159999</v>
      </c>
      <c r="AA46" s="94">
        <v>17765.619168090001</v>
      </c>
      <c r="AB46" s="94">
        <v>17945.577405840006</v>
      </c>
      <c r="AC46" s="94">
        <v>17966.837637449997</v>
      </c>
      <c r="AD46" s="94">
        <v>18097.336881029998</v>
      </c>
      <c r="AE46" s="94">
        <v>18232.256673199998</v>
      </c>
      <c r="AF46" s="94">
        <v>18126.219309699998</v>
      </c>
      <c r="AG46" s="94">
        <v>18267.647466809998</v>
      </c>
      <c r="AH46" s="94">
        <v>18398.434080440002</v>
      </c>
      <c r="AI46" s="94">
        <v>18614.45086004</v>
      </c>
    </row>
    <row r="47" spans="1:35" ht="16.5" x14ac:dyDescent="0.3">
      <c r="A47" s="95"/>
      <c r="B47" s="95"/>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row>
    <row r="48" spans="1:35" ht="16.5" x14ac:dyDescent="0.3">
      <c r="A48" s="93"/>
      <c r="B48" s="93" t="s">
        <v>137</v>
      </c>
      <c r="C48" s="94">
        <v>77236.900517380011</v>
      </c>
      <c r="D48" s="94">
        <v>78104.594409330006</v>
      </c>
      <c r="E48" s="94">
        <v>79194.042047160008</v>
      </c>
      <c r="F48" s="94">
        <v>79301.556975970001</v>
      </c>
      <c r="G48" s="94">
        <v>79368.437332760004</v>
      </c>
      <c r="H48" s="94">
        <v>79844.122155790013</v>
      </c>
      <c r="I48" s="94">
        <v>82060.070513889994</v>
      </c>
      <c r="J48" s="94">
        <v>80438.998750690007</v>
      </c>
      <c r="K48" s="94">
        <v>80812.571502049992</v>
      </c>
      <c r="L48" s="94">
        <v>80839.221853329989</v>
      </c>
      <c r="M48" s="94">
        <v>80984.36660466998</v>
      </c>
      <c r="N48" s="94">
        <v>80989.341968230001</v>
      </c>
      <c r="O48" s="94">
        <v>81080.767267770003</v>
      </c>
      <c r="P48" s="94">
        <v>81658.790813240004</v>
      </c>
      <c r="Q48" s="94">
        <v>82687.837725639984</v>
      </c>
      <c r="R48" s="94">
        <v>82095.878150689998</v>
      </c>
      <c r="S48" s="94">
        <v>66592.911375890006</v>
      </c>
      <c r="T48" s="94">
        <v>66652.19892291</v>
      </c>
      <c r="U48" s="94">
        <v>66379.005104190001</v>
      </c>
      <c r="V48" s="94">
        <v>66506.294517410002</v>
      </c>
      <c r="W48" s="94">
        <v>66196.030825779992</v>
      </c>
      <c r="X48" s="94">
        <v>65990.950371319996</v>
      </c>
      <c r="Y48" s="94">
        <v>65925.357252419999</v>
      </c>
      <c r="Z48" s="94">
        <v>65813.280355299998</v>
      </c>
      <c r="AA48" s="94">
        <v>65272.910077909997</v>
      </c>
      <c r="AB48" s="94">
        <v>66294.467160679997</v>
      </c>
      <c r="AC48" s="94">
        <v>65676.789597750001</v>
      </c>
      <c r="AD48" s="94">
        <v>65679.819957569998</v>
      </c>
      <c r="AE48" s="94">
        <v>66247.542287770004</v>
      </c>
      <c r="AF48" s="94">
        <v>66128.868720240003</v>
      </c>
      <c r="AG48" s="94">
        <v>66487.546542759999</v>
      </c>
      <c r="AH48" s="94">
        <v>66666.714327759997</v>
      </c>
      <c r="AI48" s="94">
        <v>66727.536961400008</v>
      </c>
    </row>
    <row r="49" spans="1:35" thickBot="1" x14ac:dyDescent="0.35">
      <c r="A49" s="55"/>
      <c r="B49" s="55"/>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row>
    <row r="50" spans="1:35" s="104" customFormat="1" ht="15.75" customHeight="1" thickTop="1" x14ac:dyDescent="0.25">
      <c r="A50" s="102" t="s">
        <v>172</v>
      </c>
    </row>
    <row r="51" spans="1:35" s="104" customFormat="1" ht="15.75" customHeight="1" x14ac:dyDescent="0.25">
      <c r="A51" s="102" t="s">
        <v>903</v>
      </c>
    </row>
    <row r="52" spans="1:35" s="102" customFormat="1" ht="15" x14ac:dyDescent="0.25">
      <c r="A52" s="404" t="s">
        <v>911</v>
      </c>
    </row>
    <row r="53" spans="1:35" s="104" customFormat="1" ht="15.75" customHeight="1" x14ac:dyDescent="0.25">
      <c r="A53" s="102" t="s">
        <v>193</v>
      </c>
    </row>
    <row r="54" spans="1:35" s="104" customFormat="1" ht="15.75" customHeight="1" x14ac:dyDescent="0.25">
      <c r="A54" s="102" t="s">
        <v>194</v>
      </c>
    </row>
    <row r="55" spans="1:35" s="104" customFormat="1" ht="15.75" customHeight="1" x14ac:dyDescent="0.25">
      <c r="A55" s="102" t="s">
        <v>195</v>
      </c>
    </row>
    <row r="56" spans="1:35" s="104" customFormat="1" ht="15.75" customHeight="1" x14ac:dyDescent="0.25">
      <c r="A56" s="102" t="s">
        <v>196</v>
      </c>
    </row>
    <row r="57" spans="1:35" s="104" customFormat="1" ht="15.75" customHeight="1" x14ac:dyDescent="0.25">
      <c r="A57" s="102"/>
    </row>
    <row r="58" spans="1:35" s="104" customFormat="1" ht="15.75" customHeight="1" x14ac:dyDescent="0.25">
      <c r="A58" s="103" t="s">
        <v>134</v>
      </c>
    </row>
    <row r="59" spans="1:35" ht="15" customHeight="1" x14ac:dyDescent="0.3">
      <c r="A59" s="104"/>
    </row>
    <row r="60" spans="1:35" x14ac:dyDescent="0.3">
      <c r="A60" s="104"/>
    </row>
  </sheetData>
  <hyperlinks>
    <hyperlink ref="A52" r:id="rId1" display="https://www.bom.mu/publications-statistics/statistics/monthly-statistical-bulletin/monthly-statistical-bulletin-february-2021" xr:uid="{00000000-0004-0000-1200-000000000000}"/>
  </hyperlinks>
  <pageMargins left="0.75" right="0.75" top="0.75" bottom="0.75" header="0.3" footer="0"/>
  <pageSetup paperSize="9" scale="50"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K52"/>
  <sheetViews>
    <sheetView showGridLines="0" zoomScale="90" zoomScaleNormal="90" zoomScaleSheetLayoutView="85" workbookViewId="0">
      <pane xSplit="3" ySplit="3" topLeftCell="D4" activePane="bottomRight" state="frozen"/>
      <selection activeCell="K39" sqref="K39"/>
      <selection pane="topRight" activeCell="K39" sqref="K39"/>
      <selection pane="bottomLeft" activeCell="K39" sqref="K39"/>
      <selection pane="bottomRight" activeCell="G39" sqref="G39"/>
    </sheetView>
  </sheetViews>
  <sheetFormatPr defaultColWidth="9.140625" defaultRowHeight="15" x14ac:dyDescent="0.25"/>
  <cols>
    <col min="1" max="1" width="72.85546875" style="10" customWidth="1"/>
    <col min="2" max="2" width="15.85546875" style="10" customWidth="1"/>
    <col min="3" max="3" width="11.7109375" style="10" customWidth="1"/>
    <col min="4" max="14" width="10.5703125" style="9" customWidth="1"/>
    <col min="15" max="37" width="9.140625" style="9"/>
    <col min="38" max="16384" width="9.140625" style="10"/>
  </cols>
  <sheetData>
    <row r="1" spans="1:37" s="5" customFormat="1" ht="18" customHeight="1" x14ac:dyDescent="0.25">
      <c r="A1" s="3586" t="s">
        <v>0</v>
      </c>
      <c r="B1" s="1"/>
      <c r="C1" s="1"/>
      <c r="D1" s="2"/>
      <c r="E1" s="2"/>
      <c r="F1" s="2"/>
      <c r="G1" s="2"/>
      <c r="H1" s="2"/>
      <c r="I1" s="3"/>
      <c r="J1" s="3"/>
      <c r="K1" s="3"/>
      <c r="L1" s="3"/>
      <c r="M1" s="3"/>
      <c r="N1" s="3"/>
      <c r="O1" s="4"/>
      <c r="P1" s="4"/>
      <c r="Q1" s="4"/>
      <c r="R1" s="4"/>
      <c r="S1" s="4"/>
      <c r="T1" s="4"/>
      <c r="U1" s="4"/>
      <c r="V1" s="4"/>
      <c r="W1" s="4"/>
      <c r="X1" s="4"/>
      <c r="Y1" s="4"/>
      <c r="Z1" s="4"/>
      <c r="AA1" s="4"/>
      <c r="AB1" s="4"/>
      <c r="AC1" s="4"/>
      <c r="AD1" s="4"/>
      <c r="AE1" s="4"/>
      <c r="AF1" s="4"/>
      <c r="AG1" s="4"/>
      <c r="AH1" s="4"/>
      <c r="AI1" s="4"/>
      <c r="AJ1" s="4"/>
      <c r="AK1" s="4"/>
    </row>
    <row r="2" spans="1:37" s="5" customFormat="1" ht="13.5" customHeight="1" thickBot="1" x14ac:dyDescent="0.3">
      <c r="A2" s="3586"/>
      <c r="B2" s="1"/>
      <c r="C2" s="1"/>
      <c r="D2" s="6"/>
      <c r="E2" s="6"/>
      <c r="F2" s="6"/>
      <c r="G2" s="6"/>
      <c r="H2" s="6"/>
      <c r="I2" s="6"/>
      <c r="J2" s="6"/>
      <c r="K2" s="6"/>
      <c r="L2" s="6"/>
      <c r="M2" s="6"/>
      <c r="N2" s="6"/>
      <c r="O2" s="4"/>
      <c r="P2" s="4"/>
      <c r="Q2" s="4"/>
      <c r="R2" s="4"/>
      <c r="S2" s="4"/>
      <c r="T2" s="4"/>
      <c r="U2" s="4"/>
      <c r="V2" s="4"/>
      <c r="W2" s="4"/>
      <c r="X2" s="4"/>
      <c r="Y2" s="4"/>
      <c r="Z2" s="4"/>
      <c r="AA2" s="4"/>
      <c r="AB2" s="4"/>
      <c r="AC2" s="4"/>
      <c r="AD2" s="4"/>
      <c r="AE2" s="4"/>
      <c r="AF2" s="4"/>
      <c r="AG2" s="4"/>
      <c r="AH2" s="4"/>
      <c r="AI2" s="4"/>
      <c r="AJ2" s="4"/>
      <c r="AK2" s="4"/>
    </row>
    <row r="3" spans="1:37" ht="37.5" customHeight="1" thickTop="1" thickBot="1" x14ac:dyDescent="0.3">
      <c r="A3" s="7"/>
      <c r="B3" s="8" t="s">
        <v>1</v>
      </c>
      <c r="C3" s="8" t="s">
        <v>2</v>
      </c>
      <c r="D3" s="8">
        <v>2010</v>
      </c>
      <c r="E3" s="8">
        <v>2011</v>
      </c>
      <c r="F3" s="8">
        <v>2012</v>
      </c>
      <c r="G3" s="8">
        <v>2013</v>
      </c>
      <c r="H3" s="8">
        <v>2014</v>
      </c>
      <c r="I3" s="8">
        <v>2015</v>
      </c>
      <c r="J3" s="8">
        <v>2016</v>
      </c>
      <c r="K3" s="8">
        <v>2017</v>
      </c>
      <c r="L3" s="8">
        <v>2018</v>
      </c>
      <c r="M3" s="8">
        <v>2019</v>
      </c>
      <c r="N3" s="396">
        <v>2020</v>
      </c>
    </row>
    <row r="4" spans="1:37" ht="20.100000000000001" customHeight="1" x14ac:dyDescent="0.25">
      <c r="A4" s="11" t="s">
        <v>3</v>
      </c>
      <c r="B4" s="12" t="s">
        <v>4</v>
      </c>
      <c r="C4" s="13"/>
      <c r="D4" s="14">
        <v>1250400</v>
      </c>
      <c r="E4" s="14">
        <v>1252404</v>
      </c>
      <c r="F4" s="14">
        <v>1255882</v>
      </c>
      <c r="G4" s="14">
        <v>1258653</v>
      </c>
      <c r="H4" s="14">
        <v>1260934</v>
      </c>
      <c r="I4" s="14">
        <v>1262605</v>
      </c>
      <c r="J4" s="14">
        <v>1263473</v>
      </c>
      <c r="K4" s="14">
        <v>1264613</v>
      </c>
      <c r="L4" s="14">
        <v>1265303</v>
      </c>
      <c r="M4" s="14">
        <v>1265711</v>
      </c>
      <c r="N4" s="397">
        <v>1265740</v>
      </c>
    </row>
    <row r="5" spans="1:37" ht="20.100000000000001" customHeight="1" x14ac:dyDescent="0.25">
      <c r="A5" s="11" t="s">
        <v>5</v>
      </c>
      <c r="B5" s="13" t="s">
        <v>6</v>
      </c>
      <c r="C5" s="13"/>
      <c r="D5" s="14">
        <v>934827</v>
      </c>
      <c r="E5" s="14">
        <v>964642</v>
      </c>
      <c r="F5" s="15">
        <v>965441</v>
      </c>
      <c r="G5" s="15">
        <v>992503</v>
      </c>
      <c r="H5" s="15">
        <v>1038334</v>
      </c>
      <c r="I5" s="15">
        <v>1151252</v>
      </c>
      <c r="J5" s="15">
        <v>1275227</v>
      </c>
      <c r="K5" s="15">
        <v>1341860</v>
      </c>
      <c r="L5" s="15">
        <v>1399408</v>
      </c>
      <c r="M5" s="15">
        <v>1383488</v>
      </c>
      <c r="N5" s="397">
        <v>308980</v>
      </c>
    </row>
    <row r="6" spans="1:37" ht="20.100000000000001" customHeight="1" x14ac:dyDescent="0.25">
      <c r="A6" s="11" t="s">
        <v>7</v>
      </c>
      <c r="B6" s="13" t="s">
        <v>6</v>
      </c>
      <c r="C6" s="13" t="s">
        <v>8</v>
      </c>
      <c r="D6" s="16">
        <v>39457</v>
      </c>
      <c r="E6" s="16">
        <v>42717</v>
      </c>
      <c r="F6" s="17">
        <v>44378</v>
      </c>
      <c r="G6" s="17">
        <v>40557</v>
      </c>
      <c r="H6" s="17">
        <v>44304</v>
      </c>
      <c r="I6" s="17">
        <v>50191</v>
      </c>
      <c r="J6" s="17">
        <v>55867</v>
      </c>
      <c r="K6" s="15">
        <v>60262</v>
      </c>
      <c r="L6" s="15">
        <v>64037</v>
      </c>
      <c r="M6" s="15">
        <v>63107</v>
      </c>
      <c r="N6" s="398">
        <v>17664</v>
      </c>
    </row>
    <row r="7" spans="1:37" s="22" customFormat="1" ht="20.100000000000001" customHeight="1" x14ac:dyDescent="0.25">
      <c r="A7" s="11" t="s">
        <v>9</v>
      </c>
      <c r="B7" s="18" t="s">
        <v>6</v>
      </c>
      <c r="C7" s="18" t="s">
        <v>10</v>
      </c>
      <c r="D7" s="19">
        <v>4.5</v>
      </c>
      <c r="E7" s="19">
        <v>3.9</v>
      </c>
      <c r="F7" s="19">
        <v>3.6</v>
      </c>
      <c r="G7" s="19">
        <v>3.4</v>
      </c>
      <c r="H7" s="19">
        <v>3.6</v>
      </c>
      <c r="I7" s="19">
        <v>3.1</v>
      </c>
      <c r="J7" s="19">
        <v>3.6</v>
      </c>
      <c r="K7" s="20">
        <v>3.6</v>
      </c>
      <c r="L7" s="20">
        <v>3.6</v>
      </c>
      <c r="M7" s="20">
        <v>3.2</v>
      </c>
      <c r="N7" s="399" t="s">
        <v>3225</v>
      </c>
      <c r="O7" s="21"/>
      <c r="P7" s="21"/>
      <c r="Q7" s="21"/>
      <c r="R7" s="21"/>
      <c r="S7" s="21"/>
      <c r="T7" s="21"/>
      <c r="U7" s="21"/>
      <c r="V7" s="21"/>
      <c r="W7" s="21"/>
      <c r="X7" s="21"/>
      <c r="Y7" s="21"/>
      <c r="Z7" s="21"/>
      <c r="AA7" s="21"/>
      <c r="AB7" s="21"/>
      <c r="AC7" s="21"/>
      <c r="AD7" s="21"/>
      <c r="AE7" s="21"/>
      <c r="AF7" s="21"/>
      <c r="AG7" s="21"/>
      <c r="AH7" s="21"/>
      <c r="AI7" s="21"/>
      <c r="AJ7" s="21"/>
      <c r="AK7" s="21"/>
    </row>
    <row r="8" spans="1:37" s="22" customFormat="1" ht="20.100000000000001" customHeight="1" x14ac:dyDescent="0.25">
      <c r="A8" s="11" t="s">
        <v>11</v>
      </c>
      <c r="B8" s="18" t="s">
        <v>6</v>
      </c>
      <c r="C8" s="18" t="s">
        <v>10</v>
      </c>
      <c r="D8" s="19">
        <v>4.4000000000000004</v>
      </c>
      <c r="E8" s="19">
        <v>4.0999999999999996</v>
      </c>
      <c r="F8" s="19">
        <v>3.5</v>
      </c>
      <c r="G8" s="19">
        <v>3.4</v>
      </c>
      <c r="H8" s="19">
        <v>3.7</v>
      </c>
      <c r="I8" s="19">
        <v>3.6</v>
      </c>
      <c r="J8" s="19">
        <v>3.8</v>
      </c>
      <c r="K8" s="20">
        <v>3.8</v>
      </c>
      <c r="L8" s="20">
        <v>3.8</v>
      </c>
      <c r="M8" s="20">
        <v>3</v>
      </c>
      <c r="N8" s="399" t="s">
        <v>3226</v>
      </c>
      <c r="O8" s="21"/>
      <c r="P8" s="21"/>
      <c r="Q8" s="21"/>
      <c r="R8" s="21"/>
      <c r="S8" s="21"/>
      <c r="T8" s="21"/>
      <c r="U8" s="21"/>
      <c r="V8" s="21"/>
      <c r="W8" s="21"/>
      <c r="X8" s="21"/>
      <c r="Y8" s="21"/>
      <c r="Z8" s="21"/>
      <c r="AA8" s="21"/>
      <c r="AB8" s="21"/>
      <c r="AC8" s="21"/>
      <c r="AD8" s="21"/>
      <c r="AE8" s="21"/>
      <c r="AF8" s="21"/>
      <c r="AG8" s="21"/>
      <c r="AH8" s="21"/>
      <c r="AI8" s="21"/>
      <c r="AJ8" s="21"/>
      <c r="AK8" s="21"/>
    </row>
    <row r="9" spans="1:37" s="22" customFormat="1" ht="20.100000000000001" customHeight="1" x14ac:dyDescent="0.25">
      <c r="A9" s="11" t="s">
        <v>12</v>
      </c>
      <c r="B9" s="18" t="s">
        <v>6</v>
      </c>
      <c r="C9" s="18" t="s">
        <v>8</v>
      </c>
      <c r="D9" s="17">
        <v>307957</v>
      </c>
      <c r="E9" s="17">
        <v>330647</v>
      </c>
      <c r="F9" s="17">
        <v>350644</v>
      </c>
      <c r="G9" s="17">
        <v>372397</v>
      </c>
      <c r="H9" s="17">
        <v>392062</v>
      </c>
      <c r="I9" s="17">
        <v>409893</v>
      </c>
      <c r="J9" s="17">
        <v>434765</v>
      </c>
      <c r="K9" s="15">
        <v>457201</v>
      </c>
      <c r="L9" s="15">
        <v>481256</v>
      </c>
      <c r="M9" s="15" t="s">
        <v>3227</v>
      </c>
      <c r="N9" s="397" t="s">
        <v>3228</v>
      </c>
      <c r="O9" s="21"/>
      <c r="P9" s="21"/>
      <c r="Q9" s="21"/>
      <c r="R9" s="21"/>
      <c r="S9" s="21"/>
      <c r="T9" s="21"/>
      <c r="U9" s="21"/>
      <c r="V9" s="21"/>
      <c r="W9" s="21"/>
      <c r="X9" s="21"/>
      <c r="Y9" s="21"/>
      <c r="Z9" s="21"/>
      <c r="AA9" s="21"/>
      <c r="AB9" s="21"/>
      <c r="AC9" s="21"/>
      <c r="AD9" s="21"/>
      <c r="AE9" s="21"/>
      <c r="AF9" s="21"/>
      <c r="AG9" s="21"/>
      <c r="AH9" s="21"/>
      <c r="AI9" s="21"/>
      <c r="AJ9" s="21"/>
      <c r="AK9" s="21"/>
    </row>
    <row r="10" spans="1:37" s="22" customFormat="1" ht="20.100000000000001" customHeight="1" x14ac:dyDescent="0.25">
      <c r="A10" s="11" t="s">
        <v>13</v>
      </c>
      <c r="B10" s="18" t="s">
        <v>6</v>
      </c>
      <c r="C10" s="18" t="s">
        <v>8</v>
      </c>
      <c r="D10" s="17" t="s">
        <v>14</v>
      </c>
      <c r="E10" s="17" t="s">
        <v>15</v>
      </c>
      <c r="F10" s="17" t="s">
        <v>16</v>
      </c>
      <c r="G10" s="17" t="s">
        <v>17</v>
      </c>
      <c r="H10" s="17" t="s">
        <v>18</v>
      </c>
      <c r="I10" s="17" t="s">
        <v>19</v>
      </c>
      <c r="J10" s="17" t="s">
        <v>20</v>
      </c>
      <c r="K10" s="15" t="s">
        <v>21</v>
      </c>
      <c r="L10" s="15" t="s">
        <v>22</v>
      </c>
      <c r="M10" s="15" t="s">
        <v>3229</v>
      </c>
      <c r="N10" s="397" t="s">
        <v>3230</v>
      </c>
      <c r="O10" s="21"/>
      <c r="P10" s="21"/>
      <c r="Q10" s="21"/>
      <c r="R10" s="21"/>
      <c r="S10" s="21"/>
      <c r="T10" s="21"/>
      <c r="U10" s="21"/>
      <c r="V10" s="21"/>
      <c r="W10" s="21"/>
      <c r="X10" s="21"/>
      <c r="Y10" s="21"/>
      <c r="Z10" s="21"/>
      <c r="AA10" s="21"/>
      <c r="AB10" s="21"/>
      <c r="AC10" s="21"/>
      <c r="AD10" s="21"/>
      <c r="AE10" s="21"/>
      <c r="AF10" s="21"/>
      <c r="AG10" s="21"/>
      <c r="AH10" s="21"/>
      <c r="AI10" s="21"/>
      <c r="AJ10" s="21"/>
      <c r="AK10" s="21"/>
    </row>
    <row r="11" spans="1:37" s="22" customFormat="1" ht="20.100000000000001" customHeight="1" x14ac:dyDescent="0.25">
      <c r="A11" s="11" t="s">
        <v>23</v>
      </c>
      <c r="B11" s="18" t="s">
        <v>24</v>
      </c>
      <c r="C11" s="18" t="s">
        <v>25</v>
      </c>
      <c r="D11" s="17" t="s">
        <v>26</v>
      </c>
      <c r="E11" s="17" t="s">
        <v>27</v>
      </c>
      <c r="F11" s="17" t="s">
        <v>28</v>
      </c>
      <c r="G11" s="17" t="s">
        <v>29</v>
      </c>
      <c r="H11" s="17" t="s">
        <v>30</v>
      </c>
      <c r="I11" s="17" t="s">
        <v>31</v>
      </c>
      <c r="J11" s="17" t="s">
        <v>32</v>
      </c>
      <c r="K11" s="15" t="s">
        <v>33</v>
      </c>
      <c r="L11" s="15" t="s">
        <v>34</v>
      </c>
      <c r="M11" s="15" t="s">
        <v>3231</v>
      </c>
      <c r="N11" s="397" t="s">
        <v>3232</v>
      </c>
      <c r="O11" s="21"/>
      <c r="P11" s="21"/>
      <c r="Q11" s="21"/>
      <c r="R11" s="21"/>
      <c r="S11" s="21"/>
      <c r="T11" s="21"/>
      <c r="U11" s="21"/>
      <c r="V11" s="21"/>
      <c r="W11" s="21"/>
      <c r="X11" s="21"/>
      <c r="Y11" s="21"/>
      <c r="Z11" s="21"/>
      <c r="AA11" s="21"/>
      <c r="AB11" s="21"/>
      <c r="AC11" s="21"/>
      <c r="AD11" s="21"/>
      <c r="AE11" s="21"/>
      <c r="AF11" s="21"/>
      <c r="AG11" s="21"/>
      <c r="AH11" s="21"/>
      <c r="AI11" s="21"/>
      <c r="AJ11" s="21"/>
      <c r="AK11" s="21"/>
    </row>
    <row r="12" spans="1:37" ht="20.100000000000001" customHeight="1" x14ac:dyDescent="0.25">
      <c r="A12" s="11" t="s">
        <v>35</v>
      </c>
      <c r="B12" s="12" t="s">
        <v>36</v>
      </c>
      <c r="C12" s="13" t="s">
        <v>10</v>
      </c>
      <c r="D12" s="23">
        <v>1.7</v>
      </c>
      <c r="E12" s="23">
        <v>5.0999999999999996</v>
      </c>
      <c r="F12" s="23">
        <v>5.0999999999999996</v>
      </c>
      <c r="G12" s="23">
        <v>3.6</v>
      </c>
      <c r="H12" s="400">
        <v>4</v>
      </c>
      <c r="I12" s="400">
        <v>1.7</v>
      </c>
      <c r="J12" s="400">
        <v>0.9</v>
      </c>
      <c r="K12" s="400">
        <v>2.4</v>
      </c>
      <c r="L12" s="400">
        <v>4.3</v>
      </c>
      <c r="M12" s="400">
        <v>1</v>
      </c>
      <c r="N12" s="401">
        <v>1.8</v>
      </c>
    </row>
    <row r="13" spans="1:37" ht="20.100000000000001" customHeight="1" x14ac:dyDescent="0.25">
      <c r="A13" s="11" t="s">
        <v>37</v>
      </c>
      <c r="B13" s="12" t="s">
        <v>24</v>
      </c>
      <c r="C13" s="13" t="s">
        <v>10</v>
      </c>
      <c r="D13" s="23">
        <v>2.9</v>
      </c>
      <c r="E13" s="23">
        <v>6.5</v>
      </c>
      <c r="F13" s="23">
        <v>3.9</v>
      </c>
      <c r="G13" s="23">
        <v>3.5</v>
      </c>
      <c r="H13" s="24">
        <v>3.2</v>
      </c>
      <c r="I13" s="24">
        <v>1.3</v>
      </c>
      <c r="J13" s="24">
        <v>1</v>
      </c>
      <c r="K13" s="20">
        <v>3.7</v>
      </c>
      <c r="L13" s="20">
        <v>3.2</v>
      </c>
      <c r="M13" s="20">
        <v>0.5</v>
      </c>
      <c r="N13" s="399" t="s">
        <v>38</v>
      </c>
    </row>
    <row r="14" spans="1:37" s="26" customFormat="1" ht="20.100000000000001" customHeight="1" x14ac:dyDescent="0.25">
      <c r="A14" s="11" t="s">
        <v>39</v>
      </c>
      <c r="B14" s="12" t="s">
        <v>24</v>
      </c>
      <c r="C14" s="13" t="s">
        <v>10</v>
      </c>
      <c r="D14" s="23">
        <v>7.6</v>
      </c>
      <c r="E14" s="23">
        <v>7.8</v>
      </c>
      <c r="F14" s="23">
        <v>8</v>
      </c>
      <c r="G14" s="23">
        <v>8</v>
      </c>
      <c r="H14" s="24">
        <v>7.8</v>
      </c>
      <c r="I14" s="24">
        <v>7.9</v>
      </c>
      <c r="J14" s="24">
        <v>7.3</v>
      </c>
      <c r="K14" s="20">
        <v>7.1</v>
      </c>
      <c r="L14" s="20">
        <v>6.9</v>
      </c>
      <c r="M14" s="20">
        <v>6.7</v>
      </c>
      <c r="N14" s="399">
        <v>9.1999999999999993</v>
      </c>
      <c r="O14" s="25"/>
      <c r="P14" s="25"/>
      <c r="Q14" s="25"/>
      <c r="R14" s="25"/>
      <c r="S14" s="25"/>
      <c r="T14" s="25"/>
      <c r="U14" s="25"/>
      <c r="V14" s="25"/>
      <c r="W14" s="25"/>
      <c r="X14" s="25"/>
      <c r="Y14" s="25"/>
      <c r="Z14" s="25"/>
      <c r="AA14" s="25"/>
      <c r="AB14" s="25"/>
      <c r="AC14" s="25"/>
      <c r="AD14" s="25"/>
      <c r="AE14" s="25"/>
      <c r="AF14" s="25"/>
      <c r="AG14" s="25"/>
      <c r="AH14" s="25"/>
      <c r="AI14" s="25"/>
      <c r="AJ14" s="25"/>
      <c r="AK14" s="25"/>
    </row>
    <row r="15" spans="1:37" ht="20.100000000000001" customHeight="1" x14ac:dyDescent="0.25">
      <c r="A15" s="11" t="s">
        <v>40</v>
      </c>
      <c r="B15" s="13" t="s">
        <v>36</v>
      </c>
      <c r="C15" s="13" t="s">
        <v>8</v>
      </c>
      <c r="D15" s="27">
        <v>-24655</v>
      </c>
      <c r="E15" s="27">
        <v>-34405</v>
      </c>
      <c r="F15" s="28">
        <v>-36021</v>
      </c>
      <c r="G15" s="28">
        <v>-29696</v>
      </c>
      <c r="H15" s="28">
        <v>-15933</v>
      </c>
      <c r="I15" s="28">
        <v>-20361</v>
      </c>
      <c r="J15" s="28">
        <v>-15941</v>
      </c>
      <c r="K15" s="28">
        <v>-20670</v>
      </c>
      <c r="L15" s="15" t="s">
        <v>41</v>
      </c>
      <c r="M15" s="1144" t="s">
        <v>3233</v>
      </c>
      <c r="N15" s="1145" t="s">
        <v>3234</v>
      </c>
    </row>
    <row r="16" spans="1:37" ht="20.100000000000001" customHeight="1" x14ac:dyDescent="0.25">
      <c r="A16" s="11" t="s">
        <v>42</v>
      </c>
      <c r="B16" s="13" t="s">
        <v>24</v>
      </c>
      <c r="C16" s="13" t="s">
        <v>8</v>
      </c>
      <c r="D16" s="27">
        <v>-30984</v>
      </c>
      <c r="E16" s="27">
        <v>-44630</v>
      </c>
      <c r="F16" s="28">
        <v>-25056</v>
      </c>
      <c r="G16" s="28">
        <v>-23122</v>
      </c>
      <c r="H16" s="28">
        <v>-21237</v>
      </c>
      <c r="I16" s="28">
        <v>-14723</v>
      </c>
      <c r="J16" s="28">
        <v>-17448</v>
      </c>
      <c r="K16" s="28">
        <v>-21059</v>
      </c>
      <c r="L16" s="15" t="s">
        <v>43</v>
      </c>
      <c r="M16" s="1144" t="s">
        <v>3235</v>
      </c>
      <c r="N16" s="1145" t="s">
        <v>907</v>
      </c>
    </row>
    <row r="17" spans="1:37" ht="20.100000000000001" customHeight="1" x14ac:dyDescent="0.25">
      <c r="A17" s="11" t="s">
        <v>44</v>
      </c>
      <c r="B17" s="13" t="s">
        <v>36</v>
      </c>
      <c r="C17" s="13" t="s">
        <v>8</v>
      </c>
      <c r="D17" s="30" t="s">
        <v>45</v>
      </c>
      <c r="E17" s="31" t="s">
        <v>46</v>
      </c>
      <c r="F17" s="31" t="s">
        <v>47</v>
      </c>
      <c r="G17" s="31" t="s">
        <v>48</v>
      </c>
      <c r="H17" s="27" t="s">
        <v>49</v>
      </c>
      <c r="I17" s="28" t="s">
        <v>50</v>
      </c>
      <c r="J17" s="28" t="s">
        <v>51</v>
      </c>
      <c r="K17" s="28" t="s">
        <v>52</v>
      </c>
      <c r="L17" s="28" t="s">
        <v>53</v>
      </c>
      <c r="M17" s="1146" t="s">
        <v>54</v>
      </c>
      <c r="N17" s="1145" t="s">
        <v>55</v>
      </c>
    </row>
    <row r="18" spans="1:37" ht="20.100000000000001" customHeight="1" x14ac:dyDescent="0.25">
      <c r="A18" s="11" t="s">
        <v>56</v>
      </c>
      <c r="B18" s="13" t="s">
        <v>24</v>
      </c>
      <c r="C18" s="13" t="s">
        <v>8</v>
      </c>
      <c r="D18" s="30">
        <v>6178</v>
      </c>
      <c r="E18" s="31" t="s">
        <v>57</v>
      </c>
      <c r="F18" s="31" t="s">
        <v>58</v>
      </c>
      <c r="G18" s="31" t="s">
        <v>59</v>
      </c>
      <c r="H18" s="31">
        <v>23019</v>
      </c>
      <c r="I18" s="31">
        <v>19960</v>
      </c>
      <c r="J18" s="31">
        <v>26227</v>
      </c>
      <c r="K18" s="29" t="s">
        <v>60</v>
      </c>
      <c r="L18" s="29" t="s">
        <v>61</v>
      </c>
      <c r="M18" s="1147" t="s">
        <v>62</v>
      </c>
      <c r="N18" s="1145" t="s">
        <v>868</v>
      </c>
    </row>
    <row r="19" spans="1:37" ht="20.100000000000001" customHeight="1" x14ac:dyDescent="0.3">
      <c r="A19" s="11" t="s">
        <v>63</v>
      </c>
      <c r="B19" s="13" t="s">
        <v>64</v>
      </c>
      <c r="C19" s="32" t="s">
        <v>8</v>
      </c>
      <c r="D19" s="33">
        <v>79044.100000000006</v>
      </c>
      <c r="E19" s="34">
        <v>81474.2</v>
      </c>
      <c r="F19" s="34">
        <v>92988.2</v>
      </c>
      <c r="G19" s="34">
        <v>105009.1</v>
      </c>
      <c r="H19" s="34">
        <v>124344.2</v>
      </c>
      <c r="I19" s="34">
        <v>152902.1</v>
      </c>
      <c r="J19" s="34">
        <v>178858.1</v>
      </c>
      <c r="K19" s="15">
        <v>200368.2</v>
      </c>
      <c r="L19" s="15">
        <v>217585.1</v>
      </c>
      <c r="M19" s="15">
        <v>269494.09999999998</v>
      </c>
      <c r="N19" s="397">
        <v>288240</v>
      </c>
    </row>
    <row r="20" spans="1:37" ht="20.100000000000001" customHeight="1" x14ac:dyDescent="0.25">
      <c r="A20" s="11" t="s">
        <v>65</v>
      </c>
      <c r="B20" s="13" t="s">
        <v>6</v>
      </c>
      <c r="C20" s="13" t="s">
        <v>8</v>
      </c>
      <c r="D20" s="14">
        <v>134882</v>
      </c>
      <c r="E20" s="15">
        <v>147815</v>
      </c>
      <c r="F20" s="15">
        <v>160996</v>
      </c>
      <c r="G20" s="15">
        <v>165594</v>
      </c>
      <c r="H20" s="15">
        <v>172038</v>
      </c>
      <c r="I20" s="15">
        <v>168023</v>
      </c>
      <c r="J20" s="15">
        <v>165423</v>
      </c>
      <c r="K20" s="17">
        <v>180867</v>
      </c>
      <c r="L20" s="15" t="s">
        <v>66</v>
      </c>
      <c r="M20" s="17" t="s">
        <v>67</v>
      </c>
      <c r="N20" s="397" t="s">
        <v>68</v>
      </c>
    </row>
    <row r="21" spans="1:37" ht="20.100000000000001" customHeight="1" x14ac:dyDescent="0.25">
      <c r="A21" s="11" t="s">
        <v>69</v>
      </c>
      <c r="B21" s="13" t="s">
        <v>6</v>
      </c>
      <c r="C21" s="13" t="s">
        <v>8</v>
      </c>
      <c r="D21" s="14">
        <v>69550</v>
      </c>
      <c r="E21" s="15" t="s">
        <v>70</v>
      </c>
      <c r="F21" s="15">
        <v>79658</v>
      </c>
      <c r="G21" s="15">
        <v>88048</v>
      </c>
      <c r="H21" s="15">
        <v>94776</v>
      </c>
      <c r="I21" s="15">
        <v>93290</v>
      </c>
      <c r="J21" s="15">
        <v>84456</v>
      </c>
      <c r="K21" s="17">
        <v>80680</v>
      </c>
      <c r="L21" s="15" t="s">
        <v>71</v>
      </c>
      <c r="M21" s="17" t="s">
        <v>72</v>
      </c>
      <c r="N21" s="397" t="s">
        <v>73</v>
      </c>
    </row>
    <row r="22" spans="1:37" ht="20.100000000000001" customHeight="1" x14ac:dyDescent="0.25">
      <c r="A22" s="11" t="s">
        <v>74</v>
      </c>
      <c r="B22" s="13" t="s">
        <v>75</v>
      </c>
      <c r="C22" s="13" t="s">
        <v>10</v>
      </c>
      <c r="D22" s="35">
        <v>3.2</v>
      </c>
      <c r="E22" s="20">
        <v>3.2</v>
      </c>
      <c r="F22" s="20">
        <v>1.8</v>
      </c>
      <c r="G22" s="20">
        <v>3.5</v>
      </c>
      <c r="H22" s="20">
        <v>3.2</v>
      </c>
      <c r="I22" s="20">
        <v>3.5</v>
      </c>
      <c r="J22" s="20">
        <v>3.5</v>
      </c>
      <c r="K22" s="19">
        <v>2.9</v>
      </c>
      <c r="L22" s="20">
        <v>3.2</v>
      </c>
      <c r="M22" s="19" t="s">
        <v>76</v>
      </c>
      <c r="N22" s="397" t="s">
        <v>1005</v>
      </c>
    </row>
    <row r="23" spans="1:37" ht="20.100000000000001" customHeight="1" x14ac:dyDescent="0.25">
      <c r="A23" s="11" t="s">
        <v>77</v>
      </c>
      <c r="B23" s="13" t="s">
        <v>78</v>
      </c>
      <c r="C23" s="13" t="s">
        <v>8</v>
      </c>
      <c r="D23" s="14">
        <v>26791</v>
      </c>
      <c r="E23" s="15">
        <v>31351</v>
      </c>
      <c r="F23" s="15">
        <v>35947</v>
      </c>
      <c r="G23" s="15">
        <v>47162</v>
      </c>
      <c r="H23" s="15">
        <v>51429</v>
      </c>
      <c r="I23" s="15">
        <v>54676</v>
      </c>
      <c r="J23" s="15">
        <v>51637</v>
      </c>
      <c r="K23" s="17">
        <v>45128</v>
      </c>
      <c r="L23" s="15" t="s">
        <v>79</v>
      </c>
      <c r="M23" s="17" t="s">
        <v>80</v>
      </c>
      <c r="N23" s="399" t="s">
        <v>908</v>
      </c>
    </row>
    <row r="24" spans="1:37" ht="20.100000000000001" customHeight="1" x14ac:dyDescent="0.25">
      <c r="A24" s="11" t="s">
        <v>81</v>
      </c>
      <c r="B24" s="13" t="s">
        <v>78</v>
      </c>
      <c r="C24" s="13" t="s">
        <v>10</v>
      </c>
      <c r="D24" s="14">
        <v>8.6999999999999993</v>
      </c>
      <c r="E24" s="15">
        <v>9.5</v>
      </c>
      <c r="F24" s="15">
        <v>10.3</v>
      </c>
      <c r="G24" s="15">
        <v>12.7</v>
      </c>
      <c r="H24" s="15">
        <v>13.1</v>
      </c>
      <c r="I24" s="15">
        <v>13.3</v>
      </c>
      <c r="J24" s="15">
        <v>11.9</v>
      </c>
      <c r="K24" s="17">
        <v>9.9</v>
      </c>
      <c r="L24" s="15" t="s">
        <v>82</v>
      </c>
      <c r="M24" s="17" t="s">
        <v>83</v>
      </c>
      <c r="N24" s="402" t="s">
        <v>909</v>
      </c>
    </row>
    <row r="25" spans="1:37" ht="20.100000000000001" customHeight="1" x14ac:dyDescent="0.25">
      <c r="A25" s="11" t="s">
        <v>84</v>
      </c>
      <c r="B25" s="13" t="s">
        <v>78</v>
      </c>
      <c r="C25" s="13" t="s">
        <v>8</v>
      </c>
      <c r="D25" s="14">
        <v>128557</v>
      </c>
      <c r="E25" s="15">
        <v>137219</v>
      </c>
      <c r="F25" s="15">
        <v>140806</v>
      </c>
      <c r="G25" s="15">
        <v>149960</v>
      </c>
      <c r="H25" s="15">
        <v>165285</v>
      </c>
      <c r="I25" s="15">
        <v>181649</v>
      </c>
      <c r="J25" s="15">
        <v>206280</v>
      </c>
      <c r="K25" s="17">
        <v>216645</v>
      </c>
      <c r="L25" s="15" t="s">
        <v>85</v>
      </c>
      <c r="M25" s="17" t="s">
        <v>86</v>
      </c>
      <c r="N25" s="402" t="s">
        <v>910</v>
      </c>
    </row>
    <row r="26" spans="1:37" ht="20.100000000000001" customHeight="1" x14ac:dyDescent="0.25">
      <c r="A26" s="11" t="s">
        <v>87</v>
      </c>
      <c r="B26" s="13" t="s">
        <v>78</v>
      </c>
      <c r="C26" s="13" t="s">
        <v>10</v>
      </c>
      <c r="D26" s="14">
        <v>41.9</v>
      </c>
      <c r="E26" s="15">
        <v>41.6</v>
      </c>
      <c r="F26" s="15">
        <v>40.200000000000003</v>
      </c>
      <c r="G26" s="15">
        <v>40.299999999999997</v>
      </c>
      <c r="H26" s="15">
        <v>42.2</v>
      </c>
      <c r="I26" s="15">
        <v>44.3</v>
      </c>
      <c r="J26" s="15">
        <v>47.4</v>
      </c>
      <c r="K26" s="17">
        <v>47.4</v>
      </c>
      <c r="L26" s="15" t="s">
        <v>88</v>
      </c>
      <c r="M26" s="17" t="s">
        <v>89</v>
      </c>
      <c r="N26" s="402" t="s">
        <v>3277</v>
      </c>
    </row>
    <row r="27" spans="1:37" ht="20.100000000000001" customHeight="1" x14ac:dyDescent="0.25">
      <c r="A27" s="11" t="s">
        <v>90</v>
      </c>
      <c r="B27" s="13" t="s">
        <v>1059</v>
      </c>
      <c r="C27" s="13" t="s">
        <v>8</v>
      </c>
      <c r="D27" s="14">
        <v>15905</v>
      </c>
      <c r="E27" s="15">
        <v>17517</v>
      </c>
      <c r="F27" s="15">
        <v>19014</v>
      </c>
      <c r="G27" s="15">
        <v>20523</v>
      </c>
      <c r="H27" s="15">
        <v>21685</v>
      </c>
      <c r="I27" s="15">
        <v>24018</v>
      </c>
      <c r="J27" s="15">
        <v>26254</v>
      </c>
      <c r="K27" s="17">
        <v>28460.470012456764</v>
      </c>
      <c r="L27" s="15">
        <v>29087.652257059555</v>
      </c>
      <c r="M27" s="17">
        <v>30056.327956020566</v>
      </c>
      <c r="N27" s="402">
        <v>36133.21804392316</v>
      </c>
    </row>
    <row r="28" spans="1:37" ht="20.100000000000001" customHeight="1" x14ac:dyDescent="0.25">
      <c r="A28" s="11" t="s">
        <v>91</v>
      </c>
      <c r="B28" s="13" t="s">
        <v>1059</v>
      </c>
      <c r="C28" s="13" t="s">
        <v>8</v>
      </c>
      <c r="D28" s="14">
        <v>286853</v>
      </c>
      <c r="E28" s="15">
        <v>306228</v>
      </c>
      <c r="F28" s="15">
        <v>327851</v>
      </c>
      <c r="G28" s="15">
        <v>351376</v>
      </c>
      <c r="H28" s="15">
        <v>378456</v>
      </c>
      <c r="I28" s="15">
        <v>418402</v>
      </c>
      <c r="J28" s="15">
        <v>454966</v>
      </c>
      <c r="K28" s="17">
        <v>491497.0293546748</v>
      </c>
      <c r="L28" s="15">
        <v>537637.90350697201</v>
      </c>
      <c r="M28" s="17" t="s">
        <v>1060</v>
      </c>
      <c r="N28" s="402">
        <v>644329.59710239817</v>
      </c>
    </row>
    <row r="29" spans="1:37" ht="20.100000000000001" customHeight="1" x14ac:dyDescent="0.25">
      <c r="A29" s="11" t="s">
        <v>92</v>
      </c>
      <c r="B29" s="13" t="s">
        <v>36</v>
      </c>
      <c r="C29" s="13" t="s">
        <v>10</v>
      </c>
      <c r="D29" s="35">
        <v>1.1000000000000001</v>
      </c>
      <c r="E29" s="20">
        <v>6.8</v>
      </c>
      <c r="F29" s="20">
        <v>7.1</v>
      </c>
      <c r="G29" s="20">
        <v>7.2</v>
      </c>
      <c r="H29" s="20">
        <v>7.7</v>
      </c>
      <c r="I29" s="20">
        <v>10.6</v>
      </c>
      <c r="J29" s="20">
        <v>8.6999999999999993</v>
      </c>
      <c r="K29" s="19">
        <v>8.0293518025615853</v>
      </c>
      <c r="L29" s="20">
        <v>9.3878236075768893</v>
      </c>
      <c r="M29" s="19">
        <v>6.3580619382411108</v>
      </c>
      <c r="N29" s="1151">
        <v>12.680246165581949</v>
      </c>
    </row>
    <row r="30" spans="1:37" ht="20.100000000000001" customHeight="1" x14ac:dyDescent="0.25">
      <c r="A30" s="11" t="s">
        <v>93</v>
      </c>
      <c r="B30" s="13" t="s">
        <v>1059</v>
      </c>
      <c r="C30" s="13" t="s">
        <v>8</v>
      </c>
      <c r="D30" s="14">
        <v>267574</v>
      </c>
      <c r="E30" s="15">
        <v>292124</v>
      </c>
      <c r="F30" s="15">
        <v>339992</v>
      </c>
      <c r="G30" s="15">
        <v>371452</v>
      </c>
      <c r="H30" s="15">
        <v>391977</v>
      </c>
      <c r="I30" s="15">
        <v>414497</v>
      </c>
      <c r="J30" s="15">
        <v>437123</v>
      </c>
      <c r="K30" s="17">
        <v>469475.22165179282</v>
      </c>
      <c r="L30" s="15">
        <v>449910.84770792403</v>
      </c>
      <c r="M30" s="17">
        <v>478157.73158403148</v>
      </c>
      <c r="N30" s="402">
        <v>506761.14286677964</v>
      </c>
    </row>
    <row r="31" spans="1:37" ht="20.100000000000001" customHeight="1" x14ac:dyDescent="0.25">
      <c r="A31" s="11" t="s">
        <v>94</v>
      </c>
      <c r="B31" s="13" t="s">
        <v>36</v>
      </c>
      <c r="C31" s="13" t="s">
        <v>10</v>
      </c>
      <c r="D31" s="35">
        <v>18.7</v>
      </c>
      <c r="E31" s="20">
        <v>9.1999999999999993</v>
      </c>
      <c r="F31" s="20">
        <v>16.399999999999999</v>
      </c>
      <c r="G31" s="20">
        <v>9.3000000000000007</v>
      </c>
      <c r="H31" s="20">
        <v>5.5</v>
      </c>
      <c r="I31" s="20">
        <v>5.7</v>
      </c>
      <c r="J31" s="20">
        <v>5.5</v>
      </c>
      <c r="K31" s="19">
        <v>7.4011199068217595</v>
      </c>
      <c r="L31" s="20">
        <v>-4.167285735556792</v>
      </c>
      <c r="M31" s="19">
        <v>6.278329144543088</v>
      </c>
      <c r="N31" s="1151">
        <v>5.9820033000389525</v>
      </c>
    </row>
    <row r="32" spans="1:37" s="22" customFormat="1" ht="0.75" customHeight="1" thickBot="1" x14ac:dyDescent="0.3">
      <c r="A32" s="510"/>
      <c r="B32" s="511"/>
      <c r="C32" s="511"/>
      <c r="D32" s="512"/>
      <c r="E32" s="512"/>
      <c r="F32" s="512"/>
      <c r="G32" s="512"/>
      <c r="H32" s="512"/>
      <c r="I32" s="512"/>
      <c r="J32" s="512"/>
      <c r="K32" s="512"/>
      <c r="L32" s="512"/>
      <c r="M32" s="512"/>
      <c r="N32" s="513"/>
      <c r="O32" s="21"/>
      <c r="P32" s="21"/>
      <c r="Q32" s="21"/>
      <c r="R32" s="21"/>
      <c r="S32" s="21"/>
      <c r="T32" s="21"/>
      <c r="U32" s="21"/>
      <c r="V32" s="21"/>
      <c r="W32" s="21"/>
      <c r="X32" s="21"/>
      <c r="Y32" s="21"/>
      <c r="Z32" s="21"/>
      <c r="AA32" s="21"/>
      <c r="AB32" s="21"/>
      <c r="AC32" s="21"/>
      <c r="AD32" s="21"/>
      <c r="AE32" s="21"/>
      <c r="AF32" s="21"/>
      <c r="AG32" s="21"/>
      <c r="AH32" s="21"/>
      <c r="AI32" s="21"/>
      <c r="AJ32" s="21"/>
      <c r="AK32" s="21"/>
    </row>
    <row r="33" spans="1:37" s="39" customFormat="1" ht="18" customHeight="1" thickTop="1" x14ac:dyDescent="0.25">
      <c r="A33" s="36" t="s">
        <v>95</v>
      </c>
      <c r="B33" s="37" t="s">
        <v>96</v>
      </c>
      <c r="C33" s="37"/>
      <c r="D33" s="36"/>
      <c r="E33" s="38"/>
      <c r="F33" s="38"/>
      <c r="G33" s="37"/>
      <c r="I33" s="37"/>
      <c r="J33" s="38"/>
      <c r="K33" s="38"/>
      <c r="L33" s="38"/>
      <c r="M33" s="38"/>
      <c r="N33" s="38"/>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s="39" customFormat="1" ht="18" customHeight="1" x14ac:dyDescent="0.25">
      <c r="A34" s="41" t="s">
        <v>97</v>
      </c>
      <c r="B34" s="37"/>
      <c r="C34" s="36"/>
      <c r="D34" s="42"/>
      <c r="E34" s="38"/>
      <c r="F34" s="38"/>
      <c r="G34" s="38"/>
      <c r="H34" s="38"/>
      <c r="I34" s="38"/>
      <c r="J34" s="38"/>
      <c r="K34" s="38"/>
      <c r="L34" s="38"/>
      <c r="M34" s="38"/>
      <c r="N34" s="38"/>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s="39" customFormat="1" ht="18" customHeight="1" x14ac:dyDescent="0.25">
      <c r="A35" s="41" t="s">
        <v>98</v>
      </c>
      <c r="B35" s="37"/>
      <c r="C35" s="36"/>
      <c r="D35" s="38"/>
      <c r="E35" s="38"/>
      <c r="F35" s="38"/>
      <c r="G35" s="38"/>
      <c r="H35" s="38"/>
      <c r="I35" s="38"/>
      <c r="J35" s="38"/>
      <c r="K35" s="38"/>
      <c r="L35" s="38"/>
      <c r="M35" s="38"/>
      <c r="N35" s="38"/>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s="39" customFormat="1" ht="34.5" customHeight="1" x14ac:dyDescent="0.25">
      <c r="A36" s="3587" t="s">
        <v>5442</v>
      </c>
      <c r="B36" s="3587"/>
      <c r="C36" s="3587"/>
      <c r="D36" s="3587"/>
      <c r="E36" s="3587"/>
      <c r="F36" s="3587"/>
      <c r="G36" s="3587"/>
      <c r="H36" s="3587"/>
      <c r="I36" s="3587"/>
      <c r="J36" s="3587"/>
      <c r="K36" s="3587"/>
      <c r="L36" s="3587"/>
      <c r="M36" s="3587"/>
      <c r="N36" s="3587"/>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s="43" customFormat="1" ht="30.75" customHeight="1" x14ac:dyDescent="0.25">
      <c r="A37" s="3587" t="s">
        <v>99</v>
      </c>
      <c r="B37" s="3587"/>
      <c r="C37" s="3587"/>
      <c r="D37" s="3587"/>
      <c r="E37" s="3587"/>
      <c r="F37" s="3587"/>
      <c r="G37" s="3587"/>
      <c r="H37" s="3587"/>
      <c r="I37" s="3587"/>
      <c r="J37" s="3587"/>
      <c r="K37" s="3587"/>
    </row>
    <row r="38" spans="1:37" s="39" customFormat="1" ht="18" customHeight="1" x14ac:dyDescent="0.25">
      <c r="A38" s="41" t="s">
        <v>100</v>
      </c>
      <c r="B38" s="44"/>
      <c r="C38" s="41"/>
      <c r="D38" s="44"/>
      <c r="E38" s="44"/>
      <c r="F38" s="44"/>
      <c r="G38" s="44"/>
      <c r="H38" s="44"/>
      <c r="I38" s="38"/>
      <c r="J38" s="38"/>
      <c r="K38" s="38"/>
      <c r="L38" s="38"/>
      <c r="M38" s="38"/>
      <c r="N38" s="38"/>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s="39" customFormat="1" ht="18" customHeight="1" x14ac:dyDescent="0.25">
      <c r="A39" s="37" t="s">
        <v>101</v>
      </c>
      <c r="B39" s="36"/>
      <c r="C39" s="37"/>
      <c r="D39" s="38"/>
      <c r="E39" s="38"/>
      <c r="F39" s="38"/>
      <c r="G39" s="38"/>
      <c r="H39" s="38"/>
      <c r="I39" s="38"/>
      <c r="J39" s="38"/>
      <c r="K39" s="38"/>
      <c r="L39" s="38"/>
      <c r="M39" s="38"/>
      <c r="N39" s="38"/>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s="39" customFormat="1" ht="18" customHeight="1" x14ac:dyDescent="0.25">
      <c r="A40" s="37" t="s">
        <v>102</v>
      </c>
      <c r="B40" s="37"/>
      <c r="C40" s="37"/>
      <c r="D40" s="38"/>
      <c r="E40" s="38"/>
      <c r="F40" s="38"/>
      <c r="G40" s="38"/>
      <c r="H40" s="38"/>
      <c r="I40" s="38"/>
      <c r="J40" s="38"/>
      <c r="K40" s="38"/>
      <c r="L40" s="38"/>
      <c r="M40" s="38"/>
      <c r="N40" s="38"/>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6.5" x14ac:dyDescent="0.25">
      <c r="A41" s="45"/>
      <c r="B41" s="46"/>
      <c r="C41" s="45"/>
      <c r="D41" s="47"/>
      <c r="E41" s="47"/>
      <c r="F41" s="47"/>
      <c r="G41" s="48"/>
      <c r="H41" s="48"/>
      <c r="I41" s="6"/>
      <c r="J41" s="6"/>
      <c r="K41" s="6"/>
      <c r="L41" s="6"/>
      <c r="M41" s="6"/>
      <c r="N41" s="6"/>
    </row>
    <row r="42" spans="1:37" x14ac:dyDescent="0.25">
      <c r="A42" s="49"/>
      <c r="B42" s="5"/>
      <c r="C42" s="5"/>
      <c r="D42" s="50"/>
      <c r="E42" s="50"/>
      <c r="F42" s="50"/>
      <c r="G42" s="50"/>
      <c r="H42" s="50"/>
      <c r="I42" s="50"/>
      <c r="J42" s="50"/>
      <c r="K42" s="50"/>
      <c r="L42" s="50"/>
      <c r="M42" s="50"/>
      <c r="N42" s="50"/>
    </row>
    <row r="43" spans="1:37" x14ac:dyDescent="0.25">
      <c r="A43" s="49"/>
      <c r="B43" s="5"/>
      <c r="C43" s="5"/>
      <c r="D43" s="4"/>
      <c r="E43" s="4"/>
      <c r="F43" s="4"/>
      <c r="G43" s="4"/>
      <c r="H43" s="4"/>
      <c r="I43" s="4"/>
      <c r="J43" s="4"/>
      <c r="K43" s="4"/>
      <c r="L43" s="4"/>
      <c r="M43" s="4"/>
      <c r="N43" s="4"/>
    </row>
    <row r="44" spans="1:37" x14ac:dyDescent="0.25">
      <c r="A44" s="49"/>
      <c r="B44" s="5"/>
      <c r="C44" s="5"/>
      <c r="D44" s="4"/>
      <c r="E44" s="4"/>
      <c r="F44" s="4"/>
      <c r="G44" s="4"/>
      <c r="H44" s="4"/>
      <c r="I44" s="4"/>
      <c r="J44" s="4"/>
      <c r="K44" s="4"/>
      <c r="L44" s="4"/>
      <c r="M44" s="4"/>
      <c r="N44" s="4"/>
    </row>
    <row r="45" spans="1:37" x14ac:dyDescent="0.25">
      <c r="A45" s="49"/>
      <c r="B45" s="5"/>
      <c r="C45" s="5"/>
      <c r="D45" s="4"/>
      <c r="E45" s="4"/>
      <c r="F45" s="4"/>
      <c r="G45" s="4"/>
      <c r="H45" s="4"/>
      <c r="I45" s="4"/>
      <c r="J45" s="4"/>
      <c r="K45" s="4"/>
      <c r="L45" s="4"/>
      <c r="M45" s="4"/>
      <c r="N45" s="4"/>
    </row>
    <row r="46" spans="1:37" x14ac:dyDescent="0.25">
      <c r="A46" s="49"/>
      <c r="B46" s="5"/>
      <c r="C46" s="5"/>
      <c r="D46" s="4"/>
      <c r="E46" s="4"/>
      <c r="F46" s="4"/>
      <c r="G46" s="4"/>
      <c r="H46" s="4"/>
      <c r="I46" s="4"/>
      <c r="J46" s="4"/>
      <c r="K46" s="4"/>
      <c r="L46" s="4"/>
      <c r="M46" s="4"/>
      <c r="N46" s="4"/>
    </row>
    <row r="47" spans="1:37" x14ac:dyDescent="0.25">
      <c r="A47" s="49"/>
      <c r="B47" s="5"/>
      <c r="C47" s="5"/>
      <c r="D47" s="4"/>
      <c r="E47" s="4"/>
      <c r="F47" s="4"/>
      <c r="G47" s="4"/>
      <c r="H47" s="4"/>
      <c r="I47" s="4"/>
      <c r="J47" s="4"/>
      <c r="K47" s="4"/>
      <c r="L47" s="4"/>
      <c r="M47" s="4"/>
      <c r="N47" s="4"/>
    </row>
    <row r="48" spans="1:37" x14ac:dyDescent="0.25">
      <c r="A48" s="49"/>
      <c r="B48" s="5"/>
      <c r="C48" s="5"/>
      <c r="D48" s="4"/>
      <c r="E48" s="4"/>
      <c r="F48" s="4"/>
      <c r="G48" s="4"/>
      <c r="H48" s="4"/>
      <c r="I48" s="4"/>
      <c r="J48" s="4"/>
      <c r="K48" s="4"/>
      <c r="L48" s="4"/>
      <c r="M48" s="4"/>
      <c r="N48" s="4"/>
    </row>
    <row r="49" spans="1:14" x14ac:dyDescent="0.25">
      <c r="A49" s="49"/>
      <c r="B49" s="5"/>
      <c r="C49" s="5"/>
      <c r="D49" s="4"/>
      <c r="E49" s="4"/>
      <c r="F49" s="4"/>
      <c r="G49" s="4"/>
      <c r="H49" s="4"/>
      <c r="I49" s="4"/>
      <c r="J49" s="4"/>
      <c r="K49" s="4"/>
      <c r="L49" s="4"/>
      <c r="M49" s="4"/>
      <c r="N49" s="4"/>
    </row>
    <row r="50" spans="1:14" x14ac:dyDescent="0.25">
      <c r="A50" s="51"/>
    </row>
    <row r="51" spans="1:14" x14ac:dyDescent="0.25">
      <c r="A51" s="51"/>
    </row>
    <row r="52" spans="1:14" x14ac:dyDescent="0.25">
      <c r="A52" s="51"/>
    </row>
  </sheetData>
  <mergeCells count="3">
    <mergeCell ref="A1:A2"/>
    <mergeCell ref="A37:K37"/>
    <mergeCell ref="A36:N36"/>
  </mergeCells>
  <pageMargins left="0.5" right="0.25" top="0.75" bottom="0.75" header="0" footer="0"/>
  <pageSetup scale="6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AI59"/>
  <sheetViews>
    <sheetView showGridLines="0" zoomScale="90" zoomScaleNormal="90" zoomScaleSheetLayoutView="100" workbookViewId="0">
      <pane xSplit="2" ySplit="4" topLeftCell="W5" activePane="bottomRight" state="frozen"/>
      <selection activeCell="K39" sqref="K39"/>
      <selection pane="topRight" activeCell="K39" sqref="K39"/>
      <selection pane="bottomLeft" activeCell="K39" sqref="K39"/>
      <selection pane="bottomRight" activeCell="A54" sqref="A54:AD54"/>
    </sheetView>
  </sheetViews>
  <sheetFormatPr defaultColWidth="9.140625" defaultRowHeight="17.25" x14ac:dyDescent="0.3"/>
  <cols>
    <col min="1" max="1" width="7.140625" style="53" customWidth="1"/>
    <col min="2" max="2" width="71.42578125" style="84" customWidth="1"/>
    <col min="3" max="22" width="12.7109375" style="53" hidden="1" customWidth="1"/>
    <col min="23" max="35" width="12.7109375" style="53" customWidth="1"/>
    <col min="36" max="16384" width="9.140625" style="53"/>
  </cols>
  <sheetData>
    <row r="1" spans="1:35" ht="19.5" customHeight="1" x14ac:dyDescent="0.3">
      <c r="A1" s="122" t="s">
        <v>1025</v>
      </c>
      <c r="B1" s="111"/>
    </row>
    <row r="2" spans="1:35" hidden="1" x14ac:dyDescent="0.3">
      <c r="A2" s="112"/>
      <c r="B2" s="113"/>
    </row>
    <row r="3" spans="1:35" ht="18" thickBot="1" x14ac:dyDescent="0.35">
      <c r="A3" s="85"/>
      <c r="B3" s="114"/>
      <c r="D3" s="87"/>
      <c r="F3" s="87"/>
      <c r="H3" s="87"/>
      <c r="S3" s="87"/>
      <c r="X3" s="87"/>
      <c r="AE3" s="87"/>
      <c r="AI3" s="87" t="s">
        <v>8</v>
      </c>
    </row>
    <row r="4" spans="1:35" ht="24" customHeight="1" thickTop="1" thickBot="1" x14ac:dyDescent="0.35">
      <c r="A4" s="89" t="s">
        <v>138</v>
      </c>
      <c r="B4" s="89" t="s">
        <v>139</v>
      </c>
      <c r="C4" s="90">
        <v>43374</v>
      </c>
      <c r="D4" s="90">
        <v>43405</v>
      </c>
      <c r="E4" s="90">
        <v>43435</v>
      </c>
      <c r="F4" s="90">
        <v>43466</v>
      </c>
      <c r="G4" s="90">
        <v>43497</v>
      </c>
      <c r="H4" s="90">
        <v>43525</v>
      </c>
      <c r="I4" s="90">
        <v>43556</v>
      </c>
      <c r="J4" s="90">
        <v>43586</v>
      </c>
      <c r="K4" s="90">
        <v>43617</v>
      </c>
      <c r="L4" s="90">
        <v>43647</v>
      </c>
      <c r="M4" s="90">
        <v>43678</v>
      </c>
      <c r="N4" s="90">
        <v>43709</v>
      </c>
      <c r="O4" s="90">
        <v>43739</v>
      </c>
      <c r="P4" s="90">
        <v>43770</v>
      </c>
      <c r="Q4" s="90">
        <v>43800</v>
      </c>
      <c r="R4" s="90">
        <v>43831</v>
      </c>
      <c r="S4" s="91" t="s">
        <v>174</v>
      </c>
      <c r="T4" s="91" t="s">
        <v>140</v>
      </c>
      <c r="U4" s="91" t="s">
        <v>175</v>
      </c>
      <c r="V4" s="91" t="s">
        <v>176</v>
      </c>
      <c r="W4" s="91" t="s">
        <v>199</v>
      </c>
      <c r="X4" s="91" t="s">
        <v>142</v>
      </c>
      <c r="Y4" s="91" t="s">
        <v>143</v>
      </c>
      <c r="Z4" s="91" t="s">
        <v>144</v>
      </c>
      <c r="AA4" s="91" t="s">
        <v>145</v>
      </c>
      <c r="AB4" s="91">
        <v>44136</v>
      </c>
      <c r="AC4" s="91">
        <v>44166</v>
      </c>
      <c r="AD4" s="91">
        <v>44197</v>
      </c>
      <c r="AE4" s="91" t="s">
        <v>3248</v>
      </c>
      <c r="AF4" s="91" t="s">
        <v>3249</v>
      </c>
      <c r="AG4" s="91" t="s">
        <v>3253</v>
      </c>
      <c r="AH4" s="91" t="s">
        <v>3251</v>
      </c>
      <c r="AI4" s="91" t="s">
        <v>3252</v>
      </c>
    </row>
    <row r="5" spans="1:35" ht="18" customHeight="1" thickTop="1" x14ac:dyDescent="0.3">
      <c r="A5" s="95"/>
      <c r="B5" s="9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row>
    <row r="6" spans="1:35" ht="18" customHeight="1" x14ac:dyDescent="0.3">
      <c r="A6" s="93" t="s">
        <v>149</v>
      </c>
      <c r="B6" s="93" t="s">
        <v>151</v>
      </c>
      <c r="C6" s="94">
        <v>352382.65874345228</v>
      </c>
      <c r="D6" s="94">
        <v>327920.33516186185</v>
      </c>
      <c r="E6" s="94">
        <v>316209.87737736892</v>
      </c>
      <c r="F6" s="94">
        <v>319201.92619764269</v>
      </c>
      <c r="G6" s="94">
        <v>380680.54327686707</v>
      </c>
      <c r="H6" s="94">
        <v>324533.76780826127</v>
      </c>
      <c r="I6" s="94">
        <v>346704.14379382069</v>
      </c>
      <c r="J6" s="94">
        <v>316876.71704503114</v>
      </c>
      <c r="K6" s="94">
        <v>309109.14536801691</v>
      </c>
      <c r="L6" s="94">
        <v>361707.16808019171</v>
      </c>
      <c r="M6" s="94">
        <v>328762.4441763162</v>
      </c>
      <c r="N6" s="94">
        <v>323561.64893500909</v>
      </c>
      <c r="O6" s="94">
        <v>360468.66513252858</v>
      </c>
      <c r="P6" s="94">
        <v>407899.89230275352</v>
      </c>
      <c r="Q6" s="94">
        <v>401959.12895732146</v>
      </c>
      <c r="R6" s="94">
        <v>403255.54478148493</v>
      </c>
      <c r="S6" s="94">
        <v>418956.87172310788</v>
      </c>
      <c r="T6" s="94">
        <v>404153.32814372377</v>
      </c>
      <c r="U6" s="94">
        <v>426493.0256736438</v>
      </c>
      <c r="V6" s="94">
        <v>450696.90787833044</v>
      </c>
      <c r="W6" s="94">
        <v>455100.66837098059</v>
      </c>
      <c r="X6" s="94">
        <v>465308.54841139418</v>
      </c>
      <c r="Y6" s="94">
        <v>518028.83294883283</v>
      </c>
      <c r="Z6" s="94">
        <v>475010.77010921878</v>
      </c>
      <c r="AA6" s="94">
        <v>446372.18701189163</v>
      </c>
      <c r="AB6" s="94">
        <v>487656.46189793228</v>
      </c>
      <c r="AC6" s="94">
        <v>454504.37840981764</v>
      </c>
      <c r="AD6" s="94">
        <v>520819.10399072175</v>
      </c>
      <c r="AE6" s="94">
        <v>552550.62849132053</v>
      </c>
      <c r="AF6" s="94">
        <v>550728.72435631289</v>
      </c>
      <c r="AG6" s="94">
        <v>504909.93328313879</v>
      </c>
      <c r="AH6" s="94">
        <v>562114.50944732665</v>
      </c>
      <c r="AI6" s="94">
        <v>530827.28627351485</v>
      </c>
    </row>
    <row r="7" spans="1:35" ht="18" customHeight="1" x14ac:dyDescent="0.3">
      <c r="A7" s="95" t="s">
        <v>178</v>
      </c>
      <c r="B7" s="97" t="s">
        <v>173</v>
      </c>
      <c r="C7" s="96">
        <v>5828.702181240812</v>
      </c>
      <c r="D7" s="96">
        <v>6054.3858939150368</v>
      </c>
      <c r="E7" s="96">
        <v>8360.2894402560742</v>
      </c>
      <c r="F7" s="96">
        <v>7759.9553550904993</v>
      </c>
      <c r="G7" s="96">
        <v>6530.730579473915</v>
      </c>
      <c r="H7" s="96">
        <v>6640.0305433026942</v>
      </c>
      <c r="I7" s="96">
        <v>6902.9341032585908</v>
      </c>
      <c r="J7" s="96">
        <v>6872.5555002081692</v>
      </c>
      <c r="K7" s="96">
        <v>6177.9436973460779</v>
      </c>
      <c r="L7" s="96">
        <v>6602.5604775961119</v>
      </c>
      <c r="M7" s="96">
        <v>6348.6245271663302</v>
      </c>
      <c r="N7" s="96">
        <v>5738.5111612363607</v>
      </c>
      <c r="O7" s="96">
        <v>6697.7579109175322</v>
      </c>
      <c r="P7" s="96">
        <v>6345.998426860222</v>
      </c>
      <c r="Q7" s="96">
        <v>8324.0907585841396</v>
      </c>
      <c r="R7" s="96">
        <v>6868.9554540669205</v>
      </c>
      <c r="S7" s="96">
        <v>6257.8903958900755</v>
      </c>
      <c r="T7" s="96">
        <v>7136.6265785968735</v>
      </c>
      <c r="U7" s="96">
        <v>7601.3403745045689</v>
      </c>
      <c r="V7" s="96">
        <v>6334.8505257107245</v>
      </c>
      <c r="W7" s="96">
        <v>6455.8079960320565</v>
      </c>
      <c r="X7" s="96">
        <v>6675.9658162889946</v>
      </c>
      <c r="Y7" s="96">
        <v>5983.3729770705913</v>
      </c>
      <c r="Z7" s="96">
        <v>6583.1101653207952</v>
      </c>
      <c r="AA7" s="96">
        <v>6325.0031614402933</v>
      </c>
      <c r="AB7" s="96">
        <v>6341.9746562151086</v>
      </c>
      <c r="AC7" s="96">
        <v>7802.4237398683463</v>
      </c>
      <c r="AD7" s="96">
        <v>6869.4784972203452</v>
      </c>
      <c r="AE7" s="96">
        <v>6219.4256891969662</v>
      </c>
      <c r="AF7" s="96">
        <v>6818.1020538496541</v>
      </c>
      <c r="AG7" s="96">
        <v>6671.2476120757328</v>
      </c>
      <c r="AH7" s="96">
        <v>6615.5460532370216</v>
      </c>
      <c r="AI7" s="96">
        <v>6791.9779673893963</v>
      </c>
    </row>
    <row r="8" spans="1:35" ht="18" customHeight="1" x14ac:dyDescent="0.3">
      <c r="A8" s="95" t="s">
        <v>179</v>
      </c>
      <c r="B8" s="97" t="s">
        <v>180</v>
      </c>
      <c r="C8" s="96">
        <v>173381.3298458028</v>
      </c>
      <c r="D8" s="96">
        <v>175766.72956203023</v>
      </c>
      <c r="E8" s="96">
        <v>179861.51667529377</v>
      </c>
      <c r="F8" s="96">
        <v>166656.2823980746</v>
      </c>
      <c r="G8" s="96">
        <v>218741.93917047724</v>
      </c>
      <c r="H8" s="96">
        <v>148784.65950281508</v>
      </c>
      <c r="I8" s="96">
        <v>152363.91290428655</v>
      </c>
      <c r="J8" s="96">
        <v>171171.26782187127</v>
      </c>
      <c r="K8" s="96">
        <v>139446.11174069665</v>
      </c>
      <c r="L8" s="96">
        <v>164503.46989044474</v>
      </c>
      <c r="M8" s="96">
        <v>174360.0578024826</v>
      </c>
      <c r="N8" s="96">
        <v>170599.00602792698</v>
      </c>
      <c r="O8" s="96">
        <v>140552.65337958492</v>
      </c>
      <c r="P8" s="96">
        <v>196988.65093711403</v>
      </c>
      <c r="Q8" s="96">
        <v>195356.4574400392</v>
      </c>
      <c r="R8" s="96">
        <v>168620.30609577609</v>
      </c>
      <c r="S8" s="96">
        <v>184468.63515810797</v>
      </c>
      <c r="T8" s="96">
        <v>244235.52559768956</v>
      </c>
      <c r="U8" s="96">
        <v>237164.70714972774</v>
      </c>
      <c r="V8" s="96">
        <v>266535.71108401776</v>
      </c>
      <c r="W8" s="96">
        <v>270466.87606112094</v>
      </c>
      <c r="X8" s="96">
        <v>266458.73841444019</v>
      </c>
      <c r="Y8" s="96">
        <v>248838.06735341562</v>
      </c>
      <c r="Z8" s="96">
        <v>226633.8149536335</v>
      </c>
      <c r="AA8" s="96">
        <v>222200.87075696298</v>
      </c>
      <c r="AB8" s="96">
        <v>266737.75133838831</v>
      </c>
      <c r="AC8" s="96">
        <v>249640.6629259208</v>
      </c>
      <c r="AD8" s="96">
        <v>298527.63465918199</v>
      </c>
      <c r="AE8" s="96">
        <v>289683.53061357467</v>
      </c>
      <c r="AF8" s="96">
        <v>299592.29728333338</v>
      </c>
      <c r="AG8" s="96">
        <v>263544.86669306405</v>
      </c>
      <c r="AH8" s="96">
        <v>310769.53553498362</v>
      </c>
      <c r="AI8" s="96">
        <v>298370.44092436851</v>
      </c>
    </row>
    <row r="9" spans="1:35" ht="18" customHeight="1" x14ac:dyDescent="0.3">
      <c r="A9" s="95" t="s">
        <v>181</v>
      </c>
      <c r="B9" s="97" t="s">
        <v>182</v>
      </c>
      <c r="C9" s="96">
        <v>173172.62671640876</v>
      </c>
      <c r="D9" s="96">
        <v>146099.21970591653</v>
      </c>
      <c r="E9" s="96">
        <v>127988.0712618191</v>
      </c>
      <c r="F9" s="96">
        <v>144785.68844447759</v>
      </c>
      <c r="G9" s="96">
        <v>155407.87352691597</v>
      </c>
      <c r="H9" s="96">
        <v>169109.07776214351</v>
      </c>
      <c r="I9" s="96">
        <v>187437.29678627563</v>
      </c>
      <c r="J9" s="96">
        <v>138832.89372295167</v>
      </c>
      <c r="K9" s="96">
        <v>163485.08992997417</v>
      </c>
      <c r="L9" s="96">
        <v>190601.13771215084</v>
      </c>
      <c r="M9" s="96">
        <v>148053.7618466673</v>
      </c>
      <c r="N9" s="96">
        <v>147224.13174584584</v>
      </c>
      <c r="O9" s="96">
        <v>213218.25384202611</v>
      </c>
      <c r="P9" s="96">
        <v>204565.24293877941</v>
      </c>
      <c r="Q9" s="96">
        <v>198278.58075869814</v>
      </c>
      <c r="R9" s="96">
        <v>227766.28323164184</v>
      </c>
      <c r="S9" s="96">
        <v>228230.34616910992</v>
      </c>
      <c r="T9" s="96">
        <v>152781.17596743727</v>
      </c>
      <c r="U9" s="96">
        <v>181726.97814941159</v>
      </c>
      <c r="V9" s="96">
        <v>177826.34626860201</v>
      </c>
      <c r="W9" s="96">
        <v>178177.98431382765</v>
      </c>
      <c r="X9" s="96">
        <v>192173.84418066501</v>
      </c>
      <c r="Y9" s="96">
        <v>263207.39261834661</v>
      </c>
      <c r="Z9" s="96">
        <v>241793.84499026436</v>
      </c>
      <c r="AA9" s="96">
        <v>217846.31309348825</v>
      </c>
      <c r="AB9" s="96">
        <v>214576.73590332895</v>
      </c>
      <c r="AC9" s="96">
        <v>197061.29174402845</v>
      </c>
      <c r="AD9" s="96">
        <v>215421.99083431941</v>
      </c>
      <c r="AE9" s="96">
        <v>256647.67218854895</v>
      </c>
      <c r="AF9" s="96">
        <v>244318.32501912984</v>
      </c>
      <c r="AG9" s="96">
        <v>234693.81897799906</v>
      </c>
      <c r="AH9" s="96">
        <v>244729.4278591059</v>
      </c>
      <c r="AI9" s="96">
        <v>225664.86738175689</v>
      </c>
    </row>
    <row r="10" spans="1:35" ht="18" customHeight="1" x14ac:dyDescent="0.3">
      <c r="A10" s="95"/>
      <c r="B10" s="9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row>
    <row r="11" spans="1:35" ht="18" customHeight="1" x14ac:dyDescent="0.3">
      <c r="A11" s="93" t="s">
        <v>150</v>
      </c>
      <c r="B11" s="93" t="s">
        <v>183</v>
      </c>
      <c r="C11" s="94">
        <v>327630.77294823021</v>
      </c>
      <c r="D11" s="94">
        <v>333470.95698926511</v>
      </c>
      <c r="E11" s="94">
        <v>350968.38650447491</v>
      </c>
      <c r="F11" s="94">
        <v>358001.3554269165</v>
      </c>
      <c r="G11" s="94">
        <v>347437.77768638934</v>
      </c>
      <c r="H11" s="94">
        <v>378416.79190307087</v>
      </c>
      <c r="I11" s="94">
        <v>378558.75986836496</v>
      </c>
      <c r="J11" s="94">
        <v>391934.62651550985</v>
      </c>
      <c r="K11" s="94">
        <v>405081.47764100193</v>
      </c>
      <c r="L11" s="94">
        <v>401782.16336970386</v>
      </c>
      <c r="M11" s="94">
        <v>407728.68482421571</v>
      </c>
      <c r="N11" s="94">
        <v>428954.61020773958</v>
      </c>
      <c r="O11" s="94">
        <v>425591.38709617959</v>
      </c>
      <c r="P11" s="94">
        <v>437209.7122741589</v>
      </c>
      <c r="Q11" s="94">
        <v>428742.83614877128</v>
      </c>
      <c r="R11" s="94">
        <v>429917.31513406034</v>
      </c>
      <c r="S11" s="94">
        <v>439966.34829577862</v>
      </c>
      <c r="T11" s="94">
        <v>457125.30249846954</v>
      </c>
      <c r="U11" s="94">
        <v>451719.02531060879</v>
      </c>
      <c r="V11" s="94">
        <v>436798.7349990005</v>
      </c>
      <c r="W11" s="94">
        <v>475143.44724685518</v>
      </c>
      <c r="X11" s="94">
        <v>443092.58729525917</v>
      </c>
      <c r="Y11" s="94">
        <v>485011.091365517</v>
      </c>
      <c r="Z11" s="94">
        <v>512902.96428020345</v>
      </c>
      <c r="AA11" s="94">
        <v>477087.06073245301</v>
      </c>
      <c r="AB11" s="94">
        <v>478622.81155718985</v>
      </c>
      <c r="AC11" s="94">
        <v>517588.44899013394</v>
      </c>
      <c r="AD11" s="94">
        <v>496594.69112318568</v>
      </c>
      <c r="AE11" s="94">
        <v>516291.06396368064</v>
      </c>
      <c r="AF11" s="94">
        <v>548018.8807805992</v>
      </c>
      <c r="AG11" s="94">
        <v>547811.14806034858</v>
      </c>
      <c r="AH11" s="94">
        <v>556496.38550455507</v>
      </c>
      <c r="AI11" s="94">
        <v>610796.60265198827</v>
      </c>
    </row>
    <row r="12" spans="1:35" ht="18" customHeight="1" x14ac:dyDescent="0.3">
      <c r="A12" s="95"/>
      <c r="B12" s="95"/>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row>
    <row r="13" spans="1:35" ht="18" customHeight="1" x14ac:dyDescent="0.3">
      <c r="A13" s="93" t="s">
        <v>152</v>
      </c>
      <c r="B13" s="93" t="s">
        <v>154</v>
      </c>
      <c r="C13" s="94">
        <v>708663.32216151489</v>
      </c>
      <c r="D13" s="94">
        <v>714853.05679720815</v>
      </c>
      <c r="E13" s="94">
        <v>708936.49842787953</v>
      </c>
      <c r="F13" s="94">
        <v>695073.82051677885</v>
      </c>
      <c r="G13" s="94">
        <v>706937.14946621063</v>
      </c>
      <c r="H13" s="94">
        <v>704768.11334067048</v>
      </c>
      <c r="I13" s="94">
        <v>703696.06040598499</v>
      </c>
      <c r="J13" s="94">
        <v>707155.52268913737</v>
      </c>
      <c r="K13" s="94">
        <v>726966.39755275915</v>
      </c>
      <c r="L13" s="94">
        <v>713834.90551463258</v>
      </c>
      <c r="M13" s="94">
        <v>720257.45068302006</v>
      </c>
      <c r="N13" s="94">
        <v>723534.62623566575</v>
      </c>
      <c r="O13" s="94">
        <v>2.5</v>
      </c>
      <c r="P13" s="94">
        <v>737497.58049775031</v>
      </c>
      <c r="Q13" s="94">
        <v>728938.52957856865</v>
      </c>
      <c r="R13" s="94">
        <v>742084.61249075818</v>
      </c>
      <c r="S13" s="94">
        <v>725572.46814879216</v>
      </c>
      <c r="T13" s="94">
        <v>757163.5663965448</v>
      </c>
      <c r="U13" s="94">
        <v>774314.2027293751</v>
      </c>
      <c r="V13" s="94">
        <v>770110.41535220959</v>
      </c>
      <c r="W13" s="94">
        <v>759541.87247999141</v>
      </c>
      <c r="X13" s="94">
        <v>744589.45632046938</v>
      </c>
      <c r="Y13" s="94">
        <v>738097.06445591967</v>
      </c>
      <c r="Z13" s="94">
        <v>743072.73715021019</v>
      </c>
      <c r="AA13" s="94">
        <v>738036.71336475888</v>
      </c>
      <c r="AB13" s="94">
        <v>738953.76345726592</v>
      </c>
      <c r="AC13" s="94">
        <v>743370.77964074153</v>
      </c>
      <c r="AD13" s="94">
        <v>758998.60062403698</v>
      </c>
      <c r="AE13" s="94">
        <v>751008.20181972231</v>
      </c>
      <c r="AF13" s="94">
        <v>743331.90548098844</v>
      </c>
      <c r="AG13" s="94">
        <v>746934.07475244184</v>
      </c>
      <c r="AH13" s="94">
        <v>751283.01297508541</v>
      </c>
      <c r="AI13" s="94">
        <v>770982.65160990669</v>
      </c>
    </row>
    <row r="14" spans="1:35" ht="18" customHeight="1" x14ac:dyDescent="0.3">
      <c r="A14" s="95"/>
      <c r="B14" s="9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row>
    <row r="15" spans="1:35" ht="18" customHeight="1" x14ac:dyDescent="0.3">
      <c r="A15" s="93" t="s">
        <v>153</v>
      </c>
      <c r="B15" s="93" t="s">
        <v>184</v>
      </c>
      <c r="C15" s="94">
        <v>12589.621973824433</v>
      </c>
      <c r="D15" s="94">
        <v>13501.139163622658</v>
      </c>
      <c r="E15" s="94">
        <v>9986.8857277853003</v>
      </c>
      <c r="F15" s="94">
        <v>10095.495468557454</v>
      </c>
      <c r="G15" s="94">
        <v>10157.444531889556</v>
      </c>
      <c r="H15" s="94">
        <v>10317.174743903428</v>
      </c>
      <c r="I15" s="94">
        <v>10442.953023997045</v>
      </c>
      <c r="J15" s="94">
        <v>10595.980940939275</v>
      </c>
      <c r="K15" s="94">
        <v>10682.249386270058</v>
      </c>
      <c r="L15" s="94">
        <v>10815.073433513482</v>
      </c>
      <c r="M15" s="94">
        <v>10814.863469248108</v>
      </c>
      <c r="N15" s="94">
        <v>10762.003978477787</v>
      </c>
      <c r="O15" s="94">
        <v>10887.902771479756</v>
      </c>
      <c r="P15" s="94">
        <v>11259.358949235164</v>
      </c>
      <c r="Q15" s="94">
        <v>10475.26327615134</v>
      </c>
      <c r="R15" s="94">
        <v>11153.818530420192</v>
      </c>
      <c r="S15" s="94">
        <v>11047.171624398048</v>
      </c>
      <c r="T15" s="94">
        <v>10334.929529277169</v>
      </c>
      <c r="U15" s="94">
        <v>10883.117502628947</v>
      </c>
      <c r="V15" s="94">
        <v>11116.312514426576</v>
      </c>
      <c r="W15" s="94">
        <v>10693.066549533531</v>
      </c>
      <c r="X15" s="94">
        <v>10966.431334722036</v>
      </c>
      <c r="Y15" s="94">
        <v>11215.085085814488</v>
      </c>
      <c r="Z15" s="94">
        <v>11084.62098786256</v>
      </c>
      <c r="AA15" s="94">
        <v>11312.96882757909</v>
      </c>
      <c r="AB15" s="94">
        <v>12558.066975188196</v>
      </c>
      <c r="AC15" s="94">
        <v>12661.78356089481</v>
      </c>
      <c r="AD15" s="94">
        <v>12746.865146142296</v>
      </c>
      <c r="AE15" s="94">
        <v>12955.693384601209</v>
      </c>
      <c r="AF15" s="94">
        <v>13065.466101471604</v>
      </c>
      <c r="AG15" s="94">
        <v>13341.914921079098</v>
      </c>
      <c r="AH15" s="94">
        <v>13360.014021847001</v>
      </c>
      <c r="AI15" s="94">
        <v>13680.732517827902</v>
      </c>
    </row>
    <row r="16" spans="1:35" ht="18" customHeight="1" x14ac:dyDescent="0.3">
      <c r="A16" s="95"/>
      <c r="B16" s="97"/>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row>
    <row r="17" spans="1:35" ht="18" customHeight="1" x14ac:dyDescent="0.3">
      <c r="A17" s="93" t="s">
        <v>155</v>
      </c>
      <c r="B17" s="93" t="s">
        <v>185</v>
      </c>
      <c r="C17" s="94">
        <v>0.95513000000000003</v>
      </c>
      <c r="D17" s="94">
        <v>0.51665499999999998</v>
      </c>
      <c r="E17" s="94">
        <v>0.271646</v>
      </c>
      <c r="F17" s="94">
        <v>0.45336859999999995</v>
      </c>
      <c r="G17" s="94">
        <v>0.15168720000000002</v>
      </c>
      <c r="H17" s="94">
        <v>3.7975800000000004E-2</v>
      </c>
      <c r="I17" s="94">
        <v>0.11742039999999999</v>
      </c>
      <c r="J17" s="94">
        <v>3.4548206399999994</v>
      </c>
      <c r="K17" s="94">
        <v>3.0374739299999995</v>
      </c>
      <c r="L17" s="94">
        <v>2.6577852200000001</v>
      </c>
      <c r="M17" s="94">
        <v>2.2780965099999997</v>
      </c>
      <c r="N17" s="94">
        <v>2.4612918000000001</v>
      </c>
      <c r="O17" s="94">
        <v>2.2407580899999999</v>
      </c>
      <c r="P17" s="94">
        <v>1.8249098000000001</v>
      </c>
      <c r="Q17" s="94">
        <v>1.39630575</v>
      </c>
      <c r="R17" s="94">
        <v>0.98153430000000008</v>
      </c>
      <c r="S17" s="94">
        <v>0.98737425000000001</v>
      </c>
      <c r="T17" s="94">
        <v>0.63828099999999999</v>
      </c>
      <c r="U17" s="94">
        <v>0.72680915000000001</v>
      </c>
      <c r="V17" s="94">
        <v>4.3673442900000001</v>
      </c>
      <c r="W17" s="94">
        <v>3.85214386</v>
      </c>
      <c r="X17" s="94">
        <v>3.9203265099999998</v>
      </c>
      <c r="Y17" s="94">
        <v>3.4256261600000002</v>
      </c>
      <c r="Z17" s="94">
        <v>2.93092481</v>
      </c>
      <c r="AA17" s="94">
        <v>2.4362414599999997</v>
      </c>
      <c r="AB17" s="94">
        <v>2.0018861999999999</v>
      </c>
      <c r="AC17" s="94">
        <v>1.50716691</v>
      </c>
      <c r="AD17" s="94">
        <v>1.1218504199999999</v>
      </c>
      <c r="AE17" s="94">
        <v>1.19621793</v>
      </c>
      <c r="AF17" s="94">
        <v>1.0154459299999998</v>
      </c>
      <c r="AG17" s="94">
        <v>0.59486348999999994</v>
      </c>
      <c r="AH17" s="94">
        <v>4.0912923000000001</v>
      </c>
      <c r="AI17" s="94">
        <v>4.4509865899999994</v>
      </c>
    </row>
    <row r="18" spans="1:35" ht="18" customHeight="1" x14ac:dyDescent="0.3">
      <c r="A18" s="95"/>
      <c r="B18" s="9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row>
    <row r="19" spans="1:35" ht="18" customHeight="1" x14ac:dyDescent="0.3">
      <c r="A19" s="93" t="s">
        <v>156</v>
      </c>
      <c r="B19" s="93" t="s">
        <v>186</v>
      </c>
      <c r="C19" s="94">
        <v>3378.8780669142157</v>
      </c>
      <c r="D19" s="94">
        <v>2932.9963831550385</v>
      </c>
      <c r="E19" s="94">
        <v>2650.1482004206027</v>
      </c>
      <c r="F19" s="94">
        <v>2969.9703730723818</v>
      </c>
      <c r="G19" s="94">
        <v>2891.4075156859453</v>
      </c>
      <c r="H19" s="94">
        <v>3367.1146153100922</v>
      </c>
      <c r="I19" s="94">
        <v>3135.2813071736273</v>
      </c>
      <c r="J19" s="94">
        <v>3229.0768150738986</v>
      </c>
      <c r="K19" s="94">
        <v>2677.9320068139214</v>
      </c>
      <c r="L19" s="94">
        <v>3061.3047592178323</v>
      </c>
      <c r="M19" s="94">
        <v>3375.4478817152722</v>
      </c>
      <c r="N19" s="94">
        <v>4224.2087275010272</v>
      </c>
      <c r="O19" s="94">
        <v>3575.6638802794705</v>
      </c>
      <c r="P19" s="94">
        <v>3382.3977550478248</v>
      </c>
      <c r="Q19" s="94">
        <v>2349.3868171397153</v>
      </c>
      <c r="R19" s="94">
        <v>2099.6772200230771</v>
      </c>
      <c r="S19" s="94">
        <v>2628.8716981202579</v>
      </c>
      <c r="T19" s="94">
        <v>4930.0215133975844</v>
      </c>
      <c r="U19" s="94">
        <v>4807.553876408836</v>
      </c>
      <c r="V19" s="94">
        <v>4199.6506607678239</v>
      </c>
      <c r="W19" s="94">
        <v>4112.7434605618328</v>
      </c>
      <c r="X19" s="94">
        <v>4683.8504888224052</v>
      </c>
      <c r="Y19" s="94">
        <v>4658.9992741215865</v>
      </c>
      <c r="Z19" s="94">
        <v>4190.6287963194291</v>
      </c>
      <c r="AA19" s="94">
        <v>3938.8512725084115</v>
      </c>
      <c r="AB19" s="94">
        <v>2999.3717479872739</v>
      </c>
      <c r="AC19" s="94">
        <v>2749.7532059051605</v>
      </c>
      <c r="AD19" s="94">
        <v>2380.0018681140828</v>
      </c>
      <c r="AE19" s="94">
        <v>3200.6897223084206</v>
      </c>
      <c r="AF19" s="94">
        <v>4014.7991485580919</v>
      </c>
      <c r="AG19" s="94">
        <v>3600.793245135902</v>
      </c>
      <c r="AH19" s="94">
        <v>3473.5743224381781</v>
      </c>
      <c r="AI19" s="94">
        <v>3578.4465937215859</v>
      </c>
    </row>
    <row r="20" spans="1:35" ht="18" customHeight="1" x14ac:dyDescent="0.3">
      <c r="A20" s="95"/>
      <c r="B20" s="9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row>
    <row r="21" spans="1:35" ht="18" customHeight="1" x14ac:dyDescent="0.3">
      <c r="A21" s="93" t="s">
        <v>157</v>
      </c>
      <c r="B21" s="93" t="s">
        <v>159</v>
      </c>
      <c r="C21" s="94">
        <v>18289.7377199316</v>
      </c>
      <c r="D21" s="94">
        <v>18531.338464533754</v>
      </c>
      <c r="E21" s="94">
        <v>18732.710484892854</v>
      </c>
      <c r="F21" s="94">
        <v>20039.300555723112</v>
      </c>
      <c r="G21" s="94">
        <v>20983.391607779791</v>
      </c>
      <c r="H21" s="94">
        <v>20755.545287421188</v>
      </c>
      <c r="I21" s="94">
        <v>21360.917207643412</v>
      </c>
      <c r="J21" s="94">
        <v>21323.566380670076</v>
      </c>
      <c r="K21" s="94">
        <v>20894.190283456344</v>
      </c>
      <c r="L21" s="94">
        <v>26862.800825862385</v>
      </c>
      <c r="M21" s="94">
        <v>21187.486951186085</v>
      </c>
      <c r="N21" s="94">
        <v>14639.014583998007</v>
      </c>
      <c r="O21" s="94">
        <v>14145.547727686602</v>
      </c>
      <c r="P21" s="94">
        <v>14212.696913129383</v>
      </c>
      <c r="Q21" s="94">
        <v>16529.130292814971</v>
      </c>
      <c r="R21" s="94">
        <v>19230.367793946702</v>
      </c>
      <c r="S21" s="94">
        <v>17211.770114607003</v>
      </c>
      <c r="T21" s="94">
        <v>18699.621971386547</v>
      </c>
      <c r="U21" s="94">
        <v>22900.243540468615</v>
      </c>
      <c r="V21" s="94">
        <v>23356.552178490336</v>
      </c>
      <c r="W21" s="94">
        <v>27522.830986509831</v>
      </c>
      <c r="X21" s="94">
        <v>27424.096393829073</v>
      </c>
      <c r="Y21" s="94">
        <v>29718.811612509584</v>
      </c>
      <c r="Z21" s="94">
        <v>31100.577334530215</v>
      </c>
      <c r="AA21" s="94">
        <v>31516.621495166641</v>
      </c>
      <c r="AB21" s="94">
        <v>33984.053832075377</v>
      </c>
      <c r="AC21" s="94">
        <v>26184.934130451598</v>
      </c>
      <c r="AD21" s="94">
        <v>28596.524654639939</v>
      </c>
      <c r="AE21" s="94">
        <v>22759.069891967243</v>
      </c>
      <c r="AF21" s="94">
        <v>26689.239121048708</v>
      </c>
      <c r="AG21" s="94">
        <v>29029.647423100727</v>
      </c>
      <c r="AH21" s="94">
        <v>34100.819920358503</v>
      </c>
      <c r="AI21" s="94">
        <v>26690.577081480093</v>
      </c>
    </row>
    <row r="22" spans="1:35" ht="18" customHeight="1" x14ac:dyDescent="0.3">
      <c r="A22" s="95"/>
      <c r="B22" s="9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row>
    <row r="23" spans="1:35" ht="18" customHeight="1" x14ac:dyDescent="0.3">
      <c r="A23" s="93" t="s">
        <v>158</v>
      </c>
      <c r="B23" s="93" t="s">
        <v>160</v>
      </c>
      <c r="C23" s="94">
        <v>19918.84060933378</v>
      </c>
      <c r="D23" s="94">
        <v>19793.738816110912</v>
      </c>
      <c r="E23" s="94">
        <v>19502.920810957148</v>
      </c>
      <c r="F23" s="94">
        <v>19826.797090898621</v>
      </c>
      <c r="G23" s="94">
        <v>19851.66699253345</v>
      </c>
      <c r="H23" s="94">
        <v>19809.586836777344</v>
      </c>
      <c r="I23" s="94">
        <v>20136.779614027611</v>
      </c>
      <c r="J23" s="94">
        <v>20102.263299321057</v>
      </c>
      <c r="K23" s="94">
        <v>20754.093584223141</v>
      </c>
      <c r="L23" s="94">
        <v>20821.943737714642</v>
      </c>
      <c r="M23" s="94">
        <v>20757.411965260166</v>
      </c>
      <c r="N23" s="94">
        <v>20630.005100791495</v>
      </c>
      <c r="O23" s="94">
        <v>20665.145343683598</v>
      </c>
      <c r="P23" s="94">
        <v>20692.466032615976</v>
      </c>
      <c r="Q23" s="94">
        <v>20860.336030294729</v>
      </c>
      <c r="R23" s="94">
        <v>21009.798673796155</v>
      </c>
      <c r="S23" s="94">
        <v>20358.444687026633</v>
      </c>
      <c r="T23" s="94">
        <v>20426.125178461436</v>
      </c>
      <c r="U23" s="94">
        <v>20368.388080721408</v>
      </c>
      <c r="V23" s="94">
        <v>20271.269841371017</v>
      </c>
      <c r="W23" s="94">
        <v>20445.022383573232</v>
      </c>
      <c r="X23" s="94">
        <v>20356.65256009224</v>
      </c>
      <c r="Y23" s="94">
        <v>20211.16389614368</v>
      </c>
      <c r="Z23" s="94">
        <v>20765.457407220048</v>
      </c>
      <c r="AA23" s="94">
        <v>20612.723230758544</v>
      </c>
      <c r="AB23" s="94">
        <v>20715.562516214693</v>
      </c>
      <c r="AC23" s="94">
        <v>20713.876709667355</v>
      </c>
      <c r="AD23" s="94">
        <v>20844.062111273764</v>
      </c>
      <c r="AE23" s="94">
        <v>20791.0496230557</v>
      </c>
      <c r="AF23" s="94">
        <v>20453.591110802179</v>
      </c>
      <c r="AG23" s="94">
        <v>20433.232731025724</v>
      </c>
      <c r="AH23" s="94">
        <v>20358.870805537379</v>
      </c>
      <c r="AI23" s="94">
        <v>20768.30233559621</v>
      </c>
    </row>
    <row r="24" spans="1:35" ht="18" customHeight="1" x14ac:dyDescent="0.3">
      <c r="A24" s="95"/>
      <c r="B24" s="95"/>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row>
    <row r="25" spans="1:35" ht="18" customHeight="1" x14ac:dyDescent="0.3">
      <c r="A25" s="93"/>
      <c r="B25" s="93" t="s">
        <v>135</v>
      </c>
      <c r="C25" s="94">
        <v>1442854.7873532013</v>
      </c>
      <c r="D25" s="94">
        <v>1431004.0784307574</v>
      </c>
      <c r="E25" s="94">
        <v>1426987.6991797793</v>
      </c>
      <c r="F25" s="94">
        <v>1425209.1189981895</v>
      </c>
      <c r="G25" s="94">
        <v>1488939.5327645554</v>
      </c>
      <c r="H25" s="94">
        <v>1461968.1325112148</v>
      </c>
      <c r="I25" s="94">
        <v>1484035.0126414124</v>
      </c>
      <c r="J25" s="94">
        <v>1471221.2085063227</v>
      </c>
      <c r="K25" s="94">
        <v>1496168.5232964717</v>
      </c>
      <c r="L25" s="94">
        <v>1538888.0175060567</v>
      </c>
      <c r="M25" s="94">
        <v>1512886.0680474716</v>
      </c>
      <c r="N25" s="94">
        <v>1526308.5790609831</v>
      </c>
      <c r="O25" s="94">
        <v>1560046.1357815252</v>
      </c>
      <c r="P25" s="94">
        <v>1632155.9296344912</v>
      </c>
      <c r="Q25" s="94">
        <v>1609856.0074068117</v>
      </c>
      <c r="R25" s="94">
        <v>1628752.1161587897</v>
      </c>
      <c r="S25" s="94">
        <v>1635742.93366608</v>
      </c>
      <c r="T25" s="94">
        <v>1672833.5335122608</v>
      </c>
      <c r="U25" s="94">
        <v>1711486.2835230052</v>
      </c>
      <c r="V25" s="94">
        <v>1716554.2107688864</v>
      </c>
      <c r="W25" s="94">
        <v>1752563.5036218658</v>
      </c>
      <c r="X25" s="94">
        <v>1716425.5431310988</v>
      </c>
      <c r="Y25" s="94">
        <v>1806944.4742650189</v>
      </c>
      <c r="Z25" s="94">
        <v>1798130.6869903747</v>
      </c>
      <c r="AA25" s="94">
        <v>1728879.5621765761</v>
      </c>
      <c r="AB25" s="94">
        <v>1775492.0938700542</v>
      </c>
      <c r="AC25" s="94">
        <v>1777775.4618145225</v>
      </c>
      <c r="AD25" s="94">
        <v>1840980.9713685343</v>
      </c>
      <c r="AE25" s="94">
        <v>1879557.5931145863</v>
      </c>
      <c r="AF25" s="94">
        <v>1906303.6215457108</v>
      </c>
      <c r="AG25" s="94">
        <v>1866061.3392797611</v>
      </c>
      <c r="AH25" s="94">
        <v>1941191.2782894478</v>
      </c>
      <c r="AI25" s="94">
        <v>1977329.0500506256</v>
      </c>
    </row>
    <row r="26" spans="1:35" thickBot="1" x14ac:dyDescent="0.35">
      <c r="A26" s="98"/>
      <c r="B26" s="98"/>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row>
    <row r="27" spans="1:35" ht="18" hidden="1" thickTop="1" x14ac:dyDescent="0.3">
      <c r="A27" s="116"/>
      <c r="B27" s="116"/>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row>
    <row r="28" spans="1:35" ht="18" thickTop="1" x14ac:dyDescent="0.3">
      <c r="A28" s="85"/>
      <c r="B28" s="85"/>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row>
    <row r="29" spans="1:35" ht="18" thickBot="1" x14ac:dyDescent="0.35">
      <c r="A29" s="117"/>
      <c r="B29" s="117"/>
      <c r="C29" s="118"/>
      <c r="D29" s="118"/>
      <c r="E29" s="118"/>
      <c r="F29" s="118"/>
      <c r="G29" s="118"/>
      <c r="H29" s="118"/>
      <c r="I29" s="118"/>
      <c r="J29" s="118"/>
      <c r="K29" s="118"/>
      <c r="S29" s="87"/>
      <c r="X29" s="87"/>
      <c r="AE29" s="87"/>
      <c r="AI29" s="87" t="s">
        <v>8</v>
      </c>
    </row>
    <row r="30" spans="1:35" ht="24" customHeight="1" thickTop="1" thickBot="1" x14ac:dyDescent="0.35">
      <c r="A30" s="89" t="s">
        <v>138</v>
      </c>
      <c r="B30" s="89" t="s">
        <v>161</v>
      </c>
      <c r="C30" s="90">
        <v>43374</v>
      </c>
      <c r="D30" s="90">
        <v>43405</v>
      </c>
      <c r="E30" s="90">
        <v>43435</v>
      </c>
      <c r="F30" s="90">
        <v>43466</v>
      </c>
      <c r="G30" s="90">
        <v>43497</v>
      </c>
      <c r="H30" s="90">
        <v>43525</v>
      </c>
      <c r="I30" s="90">
        <v>43556</v>
      </c>
      <c r="J30" s="90">
        <v>43586</v>
      </c>
      <c r="K30" s="90">
        <v>43617</v>
      </c>
      <c r="L30" s="90">
        <v>43647</v>
      </c>
      <c r="M30" s="90">
        <v>43678</v>
      </c>
      <c r="N30" s="90">
        <v>43709</v>
      </c>
      <c r="O30" s="90">
        <v>43739</v>
      </c>
      <c r="P30" s="90">
        <v>43770</v>
      </c>
      <c r="Q30" s="90">
        <v>43800</v>
      </c>
      <c r="R30" s="90">
        <v>43831</v>
      </c>
      <c r="S30" s="91" t="s">
        <v>174</v>
      </c>
      <c r="T30" s="91" t="s">
        <v>140</v>
      </c>
      <c r="U30" s="91" t="s">
        <v>175</v>
      </c>
      <c r="V30" s="91" t="s">
        <v>176</v>
      </c>
      <c r="W30" s="91" t="s">
        <v>200</v>
      </c>
      <c r="X30" s="91" t="s">
        <v>142</v>
      </c>
      <c r="Y30" s="91" t="s">
        <v>143</v>
      </c>
      <c r="Z30" s="91" t="s">
        <v>144</v>
      </c>
      <c r="AA30" s="91" t="s">
        <v>145</v>
      </c>
      <c r="AB30" s="91">
        <v>44136</v>
      </c>
      <c r="AC30" s="91">
        <v>44166</v>
      </c>
      <c r="AD30" s="91">
        <v>44197</v>
      </c>
      <c r="AE30" s="91" t="s">
        <v>3248</v>
      </c>
      <c r="AF30" s="91" t="s">
        <v>3249</v>
      </c>
      <c r="AG30" s="91" t="s">
        <v>3253</v>
      </c>
      <c r="AH30" s="91" t="s">
        <v>3251</v>
      </c>
      <c r="AI30" s="91" t="s">
        <v>3252</v>
      </c>
    </row>
    <row r="31" spans="1:35" ht="18" customHeight="1" thickTop="1" x14ac:dyDescent="0.3">
      <c r="A31" s="95"/>
      <c r="B31" s="95"/>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ht="18" customHeight="1" x14ac:dyDescent="0.3">
      <c r="A32" s="93" t="s">
        <v>162</v>
      </c>
      <c r="B32" s="93" t="s">
        <v>187</v>
      </c>
      <c r="C32" s="94">
        <v>1051160.5352396581</v>
      </c>
      <c r="D32" s="94">
        <v>1033570.7125977722</v>
      </c>
      <c r="E32" s="94">
        <v>1041107.4834335888</v>
      </c>
      <c r="F32" s="94">
        <v>1033098.8824459699</v>
      </c>
      <c r="G32" s="94">
        <v>1100562.3472724084</v>
      </c>
      <c r="H32" s="94">
        <v>1056512.3854441678</v>
      </c>
      <c r="I32" s="94">
        <v>1082628.8585385482</v>
      </c>
      <c r="J32" s="94">
        <v>1070652.4859890849</v>
      </c>
      <c r="K32" s="94">
        <v>1074893.8616714706</v>
      </c>
      <c r="L32" s="94">
        <v>1108506.4029164489</v>
      </c>
      <c r="M32" s="94">
        <v>1088051.3559337589</v>
      </c>
      <c r="N32" s="94">
        <v>1100129.5053014948</v>
      </c>
      <c r="O32" s="94">
        <v>1144583.4055570974</v>
      </c>
      <c r="P32" s="94">
        <v>1208883.7112167208</v>
      </c>
      <c r="Q32" s="94">
        <v>1192704.0178021726</v>
      </c>
      <c r="R32" s="94">
        <v>1208092.4380902678</v>
      </c>
      <c r="S32" s="94">
        <v>1230751.3021474928</v>
      </c>
      <c r="T32" s="94">
        <v>1242485.5107749403</v>
      </c>
      <c r="U32" s="94">
        <v>1247736.837276577</v>
      </c>
      <c r="V32" s="94">
        <v>1256779.4967781764</v>
      </c>
      <c r="W32" s="94">
        <v>1282077.1290441372</v>
      </c>
      <c r="X32" s="94">
        <v>1252911.7232373424</v>
      </c>
      <c r="Y32" s="94">
        <v>1342410.3516278488</v>
      </c>
      <c r="Z32" s="94">
        <v>1336185.3259706206</v>
      </c>
      <c r="AA32" s="94">
        <v>1284367.0341368448</v>
      </c>
      <c r="AB32" s="94">
        <v>1327797.436550712</v>
      </c>
      <c r="AC32" s="94">
        <v>1340240.1016579561</v>
      </c>
      <c r="AD32" s="94">
        <v>1392883.7455535845</v>
      </c>
      <c r="AE32" s="94">
        <v>1419578.304316937</v>
      </c>
      <c r="AF32" s="94">
        <v>1445583.3067657605</v>
      </c>
      <c r="AG32" s="94">
        <v>1413517.2596441875</v>
      </c>
      <c r="AH32" s="94">
        <v>1491267.0801790867</v>
      </c>
      <c r="AI32" s="94">
        <v>1507792.5006075304</v>
      </c>
    </row>
    <row r="33" spans="1:35" ht="18" customHeight="1" x14ac:dyDescent="0.3">
      <c r="A33" s="95" t="s">
        <v>188</v>
      </c>
      <c r="B33" s="95" t="s">
        <v>189</v>
      </c>
      <c r="C33" s="96">
        <v>684016.11894296249</v>
      </c>
      <c r="D33" s="96">
        <v>682378.04571106599</v>
      </c>
      <c r="E33" s="96">
        <v>690891.10797815153</v>
      </c>
      <c r="F33" s="96">
        <v>683455.39443433646</v>
      </c>
      <c r="G33" s="96">
        <v>734607.71920019027</v>
      </c>
      <c r="H33" s="96">
        <v>713130.30463240796</v>
      </c>
      <c r="I33" s="96">
        <v>732804.11482553033</v>
      </c>
      <c r="J33" s="96">
        <v>725006.83099447738</v>
      </c>
      <c r="K33" s="96">
        <v>725875.24979446107</v>
      </c>
      <c r="L33" s="96">
        <v>746384.07412294135</v>
      </c>
      <c r="M33" s="96">
        <v>735631.1107674815</v>
      </c>
      <c r="N33" s="96">
        <v>731605.02390251122</v>
      </c>
      <c r="O33" s="96">
        <v>770243.14127152518</v>
      </c>
      <c r="P33" s="96">
        <v>836476.11776609824</v>
      </c>
      <c r="Q33" s="96">
        <v>815485.01336853555</v>
      </c>
      <c r="R33" s="96">
        <v>822451.47965343355</v>
      </c>
      <c r="S33" s="96">
        <v>841107.24794872652</v>
      </c>
      <c r="T33" s="96">
        <v>870101.32714155549</v>
      </c>
      <c r="U33" s="96">
        <v>885748.23622033582</v>
      </c>
      <c r="V33" s="96">
        <v>887641.56076104497</v>
      </c>
      <c r="W33" s="96">
        <v>909407.36061140278</v>
      </c>
      <c r="X33" s="96">
        <v>883729.07255011238</v>
      </c>
      <c r="Y33" s="96">
        <v>980849.72483544645</v>
      </c>
      <c r="Z33" s="96">
        <v>946543.53277816495</v>
      </c>
      <c r="AA33" s="96">
        <v>921364.93943594652</v>
      </c>
      <c r="AB33" s="96">
        <v>954684.68506130739</v>
      </c>
      <c r="AC33" s="96">
        <v>950398.87402759143</v>
      </c>
      <c r="AD33" s="96">
        <v>1007112.6728638929</v>
      </c>
      <c r="AE33" s="96">
        <v>1015434.695668649</v>
      </c>
      <c r="AF33" s="96">
        <v>1044998.1454919098</v>
      </c>
      <c r="AG33" s="96">
        <v>1014626.5152618177</v>
      </c>
      <c r="AH33" s="96">
        <v>1077278.9773685916</v>
      </c>
      <c r="AI33" s="96">
        <v>1097509.3418378225</v>
      </c>
    </row>
    <row r="34" spans="1:35" ht="18" customHeight="1" x14ac:dyDescent="0.3">
      <c r="A34" s="95" t="s">
        <v>190</v>
      </c>
      <c r="B34" s="95" t="s">
        <v>191</v>
      </c>
      <c r="C34" s="96">
        <v>367144.41629669559</v>
      </c>
      <c r="D34" s="96">
        <v>351192.66688670591</v>
      </c>
      <c r="E34" s="96">
        <v>350216.37545543717</v>
      </c>
      <c r="F34" s="96">
        <v>349643.48801163351</v>
      </c>
      <c r="G34" s="96">
        <v>365954.62807221804</v>
      </c>
      <c r="H34" s="96">
        <v>343382.08081175981</v>
      </c>
      <c r="I34" s="96">
        <v>349824.74371301755</v>
      </c>
      <c r="J34" s="96">
        <v>345645.65499460738</v>
      </c>
      <c r="K34" s="96">
        <v>349018.61187700985</v>
      </c>
      <c r="L34" s="96">
        <v>362122.32879350748</v>
      </c>
      <c r="M34" s="96">
        <v>352420.24516627751</v>
      </c>
      <c r="N34" s="96">
        <v>368524.48139898363</v>
      </c>
      <c r="O34" s="96">
        <v>374340.26428557228</v>
      </c>
      <c r="P34" s="96">
        <v>372407.5934506224</v>
      </c>
      <c r="Q34" s="96">
        <v>377219.0044336369</v>
      </c>
      <c r="R34" s="96">
        <v>385640.95843683422</v>
      </c>
      <c r="S34" s="96">
        <v>389644.05419876624</v>
      </c>
      <c r="T34" s="96">
        <v>372384.18363338447</v>
      </c>
      <c r="U34" s="96">
        <v>361988.60105624102</v>
      </c>
      <c r="V34" s="96">
        <v>369137.93601713137</v>
      </c>
      <c r="W34" s="96">
        <v>372669.76843273448</v>
      </c>
      <c r="X34" s="96">
        <v>369182.65068722982</v>
      </c>
      <c r="Y34" s="96">
        <v>361560.62679240271</v>
      </c>
      <c r="Z34" s="96">
        <v>389641.79319245537</v>
      </c>
      <c r="AA34" s="96">
        <v>363002.09470089845</v>
      </c>
      <c r="AB34" s="96">
        <v>373112.75148940471</v>
      </c>
      <c r="AC34" s="96">
        <v>389841.22763036448</v>
      </c>
      <c r="AD34" s="96">
        <v>385771.07268969185</v>
      </c>
      <c r="AE34" s="96">
        <v>404143.60864828806</v>
      </c>
      <c r="AF34" s="96">
        <v>400585.16127385129</v>
      </c>
      <c r="AG34" s="96">
        <v>398890.74438236974</v>
      </c>
      <c r="AH34" s="96">
        <v>413988.10281049518</v>
      </c>
      <c r="AI34" s="96">
        <v>410283.15876970784</v>
      </c>
    </row>
    <row r="35" spans="1:35" ht="18" customHeight="1" x14ac:dyDescent="0.3">
      <c r="A35" s="95"/>
      <c r="B35" s="95"/>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ht="18" customHeight="1" x14ac:dyDescent="0.3">
      <c r="A36" s="93" t="s">
        <v>163</v>
      </c>
      <c r="B36" s="93" t="s">
        <v>183</v>
      </c>
      <c r="C36" s="94">
        <v>10396.875698402895</v>
      </c>
      <c r="D36" s="94">
        <v>10472.513971288818</v>
      </c>
      <c r="E36" s="94">
        <v>9552.8629273608403</v>
      </c>
      <c r="F36" s="94">
        <v>13987.50867411193</v>
      </c>
      <c r="G36" s="94">
        <v>13862.469159942078</v>
      </c>
      <c r="H36" s="94">
        <v>15163.428913594504</v>
      </c>
      <c r="I36" s="94">
        <v>17208.97741461172</v>
      </c>
      <c r="J36" s="94">
        <v>17442.457680679901</v>
      </c>
      <c r="K36" s="94">
        <v>18562.803368544977</v>
      </c>
      <c r="L36" s="94">
        <v>18526.021519396279</v>
      </c>
      <c r="M36" s="94">
        <v>18459.982031542393</v>
      </c>
      <c r="N36" s="94">
        <v>18620.636000181923</v>
      </c>
      <c r="O36" s="94">
        <v>18780.012605387969</v>
      </c>
      <c r="P36" s="94">
        <v>18947.164900141179</v>
      </c>
      <c r="Q36" s="94">
        <v>20515.682745620466</v>
      </c>
      <c r="R36" s="94">
        <v>20569.105568815176</v>
      </c>
      <c r="S36" s="94">
        <v>17096.525482945803</v>
      </c>
      <c r="T36" s="94">
        <v>16124.172714863298</v>
      </c>
      <c r="U36" s="94">
        <v>16212.858535886307</v>
      </c>
      <c r="V36" s="94">
        <v>16100.745294959024</v>
      </c>
      <c r="W36" s="94">
        <v>16874.40861594228</v>
      </c>
      <c r="X36" s="94">
        <v>17056.301030099683</v>
      </c>
      <c r="Y36" s="94">
        <v>17100.396193503762</v>
      </c>
      <c r="Z36" s="94">
        <v>16913.578328091779</v>
      </c>
      <c r="AA36" s="94">
        <v>16903.670228602685</v>
      </c>
      <c r="AB36" s="94">
        <v>16654.533657206321</v>
      </c>
      <c r="AC36" s="94">
        <v>16264.041633131037</v>
      </c>
      <c r="AD36" s="94">
        <v>16408.554026230264</v>
      </c>
      <c r="AE36" s="94">
        <v>16221.468650547791</v>
      </c>
      <c r="AF36" s="94">
        <v>16503.915965674823</v>
      </c>
      <c r="AG36" s="94">
        <v>16455.038241147897</v>
      </c>
      <c r="AH36" s="94">
        <v>16482.822912366399</v>
      </c>
      <c r="AI36" s="94">
        <v>17087.44599870186</v>
      </c>
    </row>
    <row r="37" spans="1:35" ht="18" customHeight="1" x14ac:dyDescent="0.3">
      <c r="A37" s="95"/>
      <c r="B37" s="95"/>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ht="18" customHeight="1" x14ac:dyDescent="0.3">
      <c r="A38" s="93" t="s">
        <v>164</v>
      </c>
      <c r="B38" s="93" t="s">
        <v>154</v>
      </c>
      <c r="C38" s="94">
        <v>145423.68581630205</v>
      </c>
      <c r="D38" s="94">
        <v>147135.84373923199</v>
      </c>
      <c r="E38" s="94">
        <v>145783.96419345352</v>
      </c>
      <c r="F38" s="94">
        <v>146965.49442527004</v>
      </c>
      <c r="G38" s="94">
        <v>141207.52759389891</v>
      </c>
      <c r="H38" s="94">
        <v>148947.94684390596</v>
      </c>
      <c r="I38" s="94">
        <v>142742.84595067851</v>
      </c>
      <c r="J38" s="94">
        <v>137237.34276525557</v>
      </c>
      <c r="K38" s="94">
        <v>157788.62189630701</v>
      </c>
      <c r="L38" s="94">
        <v>154606.88964647276</v>
      </c>
      <c r="M38" s="94">
        <v>158196.34249646362</v>
      </c>
      <c r="N38" s="94">
        <v>160953.38993339837</v>
      </c>
      <c r="O38" s="94">
        <v>153547.61588920112</v>
      </c>
      <c r="P38" s="94">
        <v>156303.84566719126</v>
      </c>
      <c r="Q38" s="94">
        <v>154646.59245208112</v>
      </c>
      <c r="R38" s="94">
        <v>155436.281625095</v>
      </c>
      <c r="S38" s="94">
        <v>144189.10854255137</v>
      </c>
      <c r="T38" s="94">
        <v>161144.52796024826</v>
      </c>
      <c r="U38" s="94">
        <v>186203.96753851173</v>
      </c>
      <c r="V38" s="94">
        <v>180165.10741298783</v>
      </c>
      <c r="W38" s="94">
        <v>183191.42879328228</v>
      </c>
      <c r="X38" s="94">
        <v>177878.97699377962</v>
      </c>
      <c r="Y38" s="94">
        <v>173952.92162323924</v>
      </c>
      <c r="Z38" s="94">
        <v>160235.36385933115</v>
      </c>
      <c r="AA38" s="94">
        <v>152000.76066651769</v>
      </c>
      <c r="AB38" s="94">
        <v>146336.15807760006</v>
      </c>
      <c r="AC38" s="94">
        <v>145186.7076951722</v>
      </c>
      <c r="AD38" s="94">
        <v>153110.0028246585</v>
      </c>
      <c r="AE38" s="94">
        <v>160781.09933319647</v>
      </c>
      <c r="AF38" s="94">
        <v>158446.09686026847</v>
      </c>
      <c r="AG38" s="94">
        <v>151846.67579580005</v>
      </c>
      <c r="AH38" s="94">
        <v>142481.88693176981</v>
      </c>
      <c r="AI38" s="94">
        <v>158572.49704844534</v>
      </c>
    </row>
    <row r="39" spans="1:35" ht="18" customHeight="1" x14ac:dyDescent="0.3">
      <c r="A39" s="95"/>
      <c r="B39" s="101"/>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ht="18" customHeight="1" x14ac:dyDescent="0.3">
      <c r="A40" s="93" t="s">
        <v>165</v>
      </c>
      <c r="B40" s="93" t="s">
        <v>185</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0</v>
      </c>
      <c r="T40" s="94">
        <v>0</v>
      </c>
      <c r="U40" s="94">
        <v>0</v>
      </c>
      <c r="V40" s="94">
        <v>0</v>
      </c>
      <c r="W40" s="94">
        <v>0</v>
      </c>
      <c r="X40" s="94">
        <v>0</v>
      </c>
      <c r="Y40" s="94">
        <v>0</v>
      </c>
      <c r="Z40" s="94">
        <v>0</v>
      </c>
      <c r="AA40" s="94">
        <v>0</v>
      </c>
      <c r="AB40" s="94">
        <v>0</v>
      </c>
      <c r="AC40" s="94">
        <v>0</v>
      </c>
      <c r="AD40" s="94">
        <v>0</v>
      </c>
      <c r="AE40" s="94">
        <v>0</v>
      </c>
      <c r="AF40" s="94">
        <v>0</v>
      </c>
      <c r="AG40" s="94">
        <v>0</v>
      </c>
      <c r="AH40" s="94">
        <v>0</v>
      </c>
      <c r="AI40" s="94">
        <v>0</v>
      </c>
    </row>
    <row r="41" spans="1:35" ht="18" customHeight="1" x14ac:dyDescent="0.3">
      <c r="A41" s="95"/>
      <c r="B41" s="95"/>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ht="18" customHeight="1" x14ac:dyDescent="0.3">
      <c r="A42" s="93" t="s">
        <v>166</v>
      </c>
      <c r="B42" s="93" t="s">
        <v>192</v>
      </c>
      <c r="C42" s="94">
        <v>2220.5587516851147</v>
      </c>
      <c r="D42" s="94">
        <v>2973.7746983604889</v>
      </c>
      <c r="E42" s="94">
        <v>2793.4057543746385</v>
      </c>
      <c r="F42" s="94">
        <v>2837.0982304102877</v>
      </c>
      <c r="G42" s="94">
        <v>2889.4763727661752</v>
      </c>
      <c r="H42" s="94">
        <v>3485.0313894252599</v>
      </c>
      <c r="I42" s="94">
        <v>3357.6639987524809</v>
      </c>
      <c r="J42" s="94">
        <v>3611.6788113440039</v>
      </c>
      <c r="K42" s="94">
        <v>3354.7952141702235</v>
      </c>
      <c r="L42" s="94">
        <v>3600.691496904597</v>
      </c>
      <c r="M42" s="94">
        <v>3299.4268873645624</v>
      </c>
      <c r="N42" s="94">
        <v>4163.4008869055833</v>
      </c>
      <c r="O42" s="94">
        <v>3781.3165850788259</v>
      </c>
      <c r="P42" s="94">
        <v>3338.9534975578613</v>
      </c>
      <c r="Q42" s="94">
        <v>3241.382092907515</v>
      </c>
      <c r="R42" s="94">
        <v>2200.8045698953802</v>
      </c>
      <c r="S42" s="94">
        <v>3011.1787886331404</v>
      </c>
      <c r="T42" s="94">
        <v>5000.7986755779766</v>
      </c>
      <c r="U42" s="94">
        <v>5930.5633522589069</v>
      </c>
      <c r="V42" s="94">
        <v>4586.5524504908981</v>
      </c>
      <c r="W42" s="94">
        <v>3759.541357141497</v>
      </c>
      <c r="X42" s="94">
        <v>4915.516998261668</v>
      </c>
      <c r="Y42" s="94">
        <v>4783.2831960829226</v>
      </c>
      <c r="Z42" s="94">
        <v>4440.7225172802082</v>
      </c>
      <c r="AA42" s="94">
        <v>4091.4658880716315</v>
      </c>
      <c r="AB42" s="94">
        <v>3936.6845371689215</v>
      </c>
      <c r="AC42" s="94">
        <v>4012.1740674445377</v>
      </c>
      <c r="AD42" s="94">
        <v>3200.807848833183</v>
      </c>
      <c r="AE42" s="94">
        <v>3628.0198578387317</v>
      </c>
      <c r="AF42" s="94">
        <v>4769.8301387371348</v>
      </c>
      <c r="AG42" s="94">
        <v>3774.7033963075228</v>
      </c>
      <c r="AH42" s="94">
        <v>3923.5526932379253</v>
      </c>
      <c r="AI42" s="94">
        <v>4393.4741044475459</v>
      </c>
    </row>
    <row r="43" spans="1:35" ht="18" customHeight="1" x14ac:dyDescent="0.3">
      <c r="A43" s="95"/>
      <c r="B43" s="95"/>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ht="18" customHeight="1" x14ac:dyDescent="0.3">
      <c r="A44" s="93" t="s">
        <v>167</v>
      </c>
      <c r="B44" s="93" t="s">
        <v>169</v>
      </c>
      <c r="C44" s="94">
        <v>66328.821537924014</v>
      </c>
      <c r="D44" s="94">
        <v>67264.698941036433</v>
      </c>
      <c r="E44" s="94">
        <v>64755.086667264979</v>
      </c>
      <c r="F44" s="94">
        <v>62923.557672523144</v>
      </c>
      <c r="G44" s="94">
        <v>63355.191239765998</v>
      </c>
      <c r="H44" s="94">
        <v>67405.60554257319</v>
      </c>
      <c r="I44" s="94">
        <v>65026.096382233642</v>
      </c>
      <c r="J44" s="94">
        <v>66103.863189825235</v>
      </c>
      <c r="K44" s="94">
        <v>65424.550329402067</v>
      </c>
      <c r="L44" s="94">
        <v>77268.305478600189</v>
      </c>
      <c r="M44" s="94">
        <v>65611.639426381356</v>
      </c>
      <c r="N44" s="94">
        <v>64737.854534373721</v>
      </c>
      <c r="O44" s="94">
        <v>61274.493218562609</v>
      </c>
      <c r="P44" s="94">
        <v>64099.593592532918</v>
      </c>
      <c r="Q44" s="94">
        <v>58262.040548071964</v>
      </c>
      <c r="R44" s="94">
        <v>59948.807033666322</v>
      </c>
      <c r="S44" s="94">
        <v>57218.200418973254</v>
      </c>
      <c r="T44" s="94">
        <v>61943.055441734024</v>
      </c>
      <c r="U44" s="94">
        <v>67156.122843432124</v>
      </c>
      <c r="V44" s="94">
        <v>69036.246855654244</v>
      </c>
      <c r="W44" s="94">
        <v>75106.198086427918</v>
      </c>
      <c r="X44" s="94">
        <v>76164.712908369314</v>
      </c>
      <c r="Y44" s="94">
        <v>80669.469137379987</v>
      </c>
      <c r="Z44" s="94">
        <v>92356.888118761286</v>
      </c>
      <c r="AA44" s="94">
        <v>82547.45327990182</v>
      </c>
      <c r="AB44" s="94">
        <v>92165.092985199881</v>
      </c>
      <c r="AC44" s="94">
        <v>83110.794612301281</v>
      </c>
      <c r="AD44" s="94">
        <v>86241.634504758767</v>
      </c>
      <c r="AE44" s="94">
        <v>88759.370567401085</v>
      </c>
      <c r="AF44" s="94">
        <v>88848.595044027796</v>
      </c>
      <c r="AG44" s="94">
        <v>85930.183663869742</v>
      </c>
      <c r="AH44" s="94">
        <v>90639.014277405557</v>
      </c>
      <c r="AI44" s="94">
        <v>89144.677062141476</v>
      </c>
    </row>
    <row r="45" spans="1:35" ht="18" customHeight="1" x14ac:dyDescent="0.3">
      <c r="A45" s="95"/>
      <c r="B45" s="95"/>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ht="18" customHeight="1" x14ac:dyDescent="0.3">
      <c r="A46" s="93" t="s">
        <v>168</v>
      </c>
      <c r="B46" s="93" t="s">
        <v>184</v>
      </c>
      <c r="C46" s="94">
        <v>167324.31030922924</v>
      </c>
      <c r="D46" s="94">
        <v>169586.53448306781</v>
      </c>
      <c r="E46" s="94">
        <v>162994.89620373666</v>
      </c>
      <c r="F46" s="94">
        <v>165396.57754990438</v>
      </c>
      <c r="G46" s="94">
        <v>167062.52112577407</v>
      </c>
      <c r="H46" s="94">
        <v>170453.73437754804</v>
      </c>
      <c r="I46" s="94">
        <v>173070.57035658811</v>
      </c>
      <c r="J46" s="94">
        <v>176173.38007013311</v>
      </c>
      <c r="K46" s="94">
        <v>176143.89081657637</v>
      </c>
      <c r="L46" s="94">
        <v>176379.70644823366</v>
      </c>
      <c r="M46" s="94">
        <v>179267.32127196083</v>
      </c>
      <c r="N46" s="94">
        <v>177703.79240462868</v>
      </c>
      <c r="O46" s="94">
        <v>178079.29192619724</v>
      </c>
      <c r="P46" s="94">
        <v>180582.66076034721</v>
      </c>
      <c r="Q46" s="94">
        <v>180486.29176595857</v>
      </c>
      <c r="R46" s="94">
        <v>182504.67927104991</v>
      </c>
      <c r="S46" s="94">
        <v>183476.6182854842</v>
      </c>
      <c r="T46" s="94">
        <v>186135.46794489713</v>
      </c>
      <c r="U46" s="94">
        <v>188245.93397633953</v>
      </c>
      <c r="V46" s="94">
        <v>189886.06197661802</v>
      </c>
      <c r="W46" s="94">
        <v>191554.79772493438</v>
      </c>
      <c r="X46" s="94">
        <v>187498.31196324585</v>
      </c>
      <c r="Y46" s="94">
        <v>188028.0524869638</v>
      </c>
      <c r="Z46" s="94">
        <v>187998.80819628993</v>
      </c>
      <c r="AA46" s="94">
        <v>188969.17797663747</v>
      </c>
      <c r="AB46" s="94">
        <v>188602.18806216668</v>
      </c>
      <c r="AC46" s="94">
        <v>188961.64214851728</v>
      </c>
      <c r="AD46" s="94">
        <v>189136.22661046914</v>
      </c>
      <c r="AE46" s="94">
        <v>190589.33038866497</v>
      </c>
      <c r="AF46" s="94">
        <v>192151.87677124201</v>
      </c>
      <c r="AG46" s="94">
        <v>194537.47853844825</v>
      </c>
      <c r="AH46" s="94">
        <v>196396.92129558168</v>
      </c>
      <c r="AI46" s="94">
        <v>200338.45522935895</v>
      </c>
    </row>
    <row r="47" spans="1:35" ht="16.5" x14ac:dyDescent="0.3">
      <c r="A47" s="95"/>
      <c r="B47" s="95"/>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row>
    <row r="48" spans="1:35" ht="16.5" x14ac:dyDescent="0.3">
      <c r="A48" s="93"/>
      <c r="B48" s="93" t="s">
        <v>137</v>
      </c>
      <c r="C48" s="94">
        <v>1442854.7873532013</v>
      </c>
      <c r="D48" s="94">
        <v>1431004.0784307574</v>
      </c>
      <c r="E48" s="94">
        <v>1426987.6991797793</v>
      </c>
      <c r="F48" s="94">
        <v>1425209.1189981895</v>
      </c>
      <c r="G48" s="94">
        <v>1488939.5327645554</v>
      </c>
      <c r="H48" s="94">
        <v>1461968.1325112148</v>
      </c>
      <c r="I48" s="94">
        <v>1484035.0126414124</v>
      </c>
      <c r="J48" s="94">
        <v>1471221.2085063227</v>
      </c>
      <c r="K48" s="94">
        <v>1496168.5232964717</v>
      </c>
      <c r="L48" s="94">
        <v>1538888.0175060567</v>
      </c>
      <c r="M48" s="94">
        <v>1512886.0680474716</v>
      </c>
      <c r="N48" s="94">
        <v>1526308.5790609831</v>
      </c>
      <c r="O48" s="94">
        <v>1560046.1357815252</v>
      </c>
      <c r="P48" s="94">
        <v>1632155.9296344912</v>
      </c>
      <c r="Q48" s="94">
        <v>1609856.0074068117</v>
      </c>
      <c r="R48" s="94">
        <v>1628752.1161587897</v>
      </c>
      <c r="S48" s="94">
        <v>1635742.93366608</v>
      </c>
      <c r="T48" s="94">
        <v>1672833.5335122608</v>
      </c>
      <c r="U48" s="94">
        <v>1711486.2835230052</v>
      </c>
      <c r="V48" s="94">
        <v>1716554.2107688864</v>
      </c>
      <c r="W48" s="94">
        <v>1752563.5036218658</v>
      </c>
      <c r="X48" s="94">
        <v>1716425.5431310988</v>
      </c>
      <c r="Y48" s="94">
        <v>1806944.4742650189</v>
      </c>
      <c r="Z48" s="94">
        <v>1798130.6869903747</v>
      </c>
      <c r="AA48" s="94">
        <v>1728879.5621765761</v>
      </c>
      <c r="AB48" s="94">
        <v>1775492.0938700542</v>
      </c>
      <c r="AC48" s="94">
        <v>1777775.4618145225</v>
      </c>
      <c r="AD48" s="94">
        <v>1840980.9713685343</v>
      </c>
      <c r="AE48" s="94">
        <v>1879557.5931145863</v>
      </c>
      <c r="AF48" s="94">
        <v>1906303.6215457108</v>
      </c>
      <c r="AG48" s="94">
        <v>1866061.3392797611</v>
      </c>
      <c r="AH48" s="94">
        <v>1941191.2782894478</v>
      </c>
      <c r="AI48" s="94">
        <v>1977329.0500506256</v>
      </c>
    </row>
    <row r="49" spans="1:35" thickBot="1" x14ac:dyDescent="0.35">
      <c r="A49" s="55"/>
      <c r="B49" s="55"/>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row>
    <row r="50" spans="1:35" s="104" customFormat="1" ht="15.75" customHeight="1" thickTop="1" x14ac:dyDescent="0.25">
      <c r="A50" s="102" t="s">
        <v>172</v>
      </c>
    </row>
    <row r="51" spans="1:35" s="104" customFormat="1" ht="15.75" customHeight="1" x14ac:dyDescent="0.25">
      <c r="A51" s="121" t="s">
        <v>903</v>
      </c>
    </row>
    <row r="52" spans="1:35" s="102" customFormat="1" ht="15" x14ac:dyDescent="0.25">
      <c r="A52" s="404" t="s">
        <v>911</v>
      </c>
    </row>
    <row r="53" spans="1:35" s="104" customFormat="1" ht="15.75" customHeight="1" x14ac:dyDescent="0.25">
      <c r="A53" s="3691" t="s">
        <v>193</v>
      </c>
      <c r="B53" s="3691"/>
      <c r="C53" s="3691"/>
      <c r="D53" s="3691"/>
      <c r="E53" s="3691"/>
      <c r="F53" s="3691"/>
      <c r="G53" s="3691"/>
      <c r="H53" s="3691"/>
      <c r="I53" s="3691"/>
      <c r="J53" s="3691"/>
      <c r="K53" s="3691"/>
      <c r="L53" s="3691"/>
      <c r="M53" s="3691"/>
      <c r="N53" s="3691"/>
      <c r="O53" s="3691"/>
      <c r="P53" s="3691"/>
      <c r="Q53" s="3691"/>
      <c r="R53" s="3691"/>
      <c r="S53" s="3691"/>
      <c r="T53" s="3691"/>
      <c r="U53" s="3691"/>
      <c r="V53" s="3691"/>
      <c r="W53" s="3691"/>
      <c r="X53" s="3691"/>
      <c r="Y53" s="3691"/>
      <c r="Z53" s="3691"/>
      <c r="AA53" s="3691"/>
      <c r="AB53" s="3691"/>
      <c r="AC53" s="3691"/>
      <c r="AD53" s="3691"/>
      <c r="AE53" s="3691"/>
      <c r="AF53" s="3691"/>
      <c r="AG53" s="3691"/>
    </row>
    <row r="54" spans="1:35" s="336" customFormat="1" ht="28.5" customHeight="1" x14ac:dyDescent="0.25">
      <c r="A54" s="3692" t="s">
        <v>201</v>
      </c>
      <c r="B54" s="3692"/>
      <c r="C54" s="3692"/>
      <c r="D54" s="3692"/>
      <c r="E54" s="3692"/>
      <c r="F54" s="3692"/>
      <c r="G54" s="3692"/>
      <c r="H54" s="3692"/>
      <c r="I54" s="3692"/>
      <c r="J54" s="3692"/>
      <c r="K54" s="3692"/>
      <c r="L54" s="3692"/>
      <c r="M54" s="3692"/>
      <c r="N54" s="3692"/>
      <c r="O54" s="3692"/>
      <c r="P54" s="3692"/>
      <c r="Q54" s="3692"/>
      <c r="R54" s="3692"/>
      <c r="S54" s="3692"/>
      <c r="T54" s="3692"/>
      <c r="U54" s="3692"/>
      <c r="V54" s="3692"/>
      <c r="W54" s="3692"/>
      <c r="X54" s="3692"/>
      <c r="Y54" s="3692"/>
      <c r="Z54" s="3692"/>
      <c r="AA54" s="3692"/>
      <c r="AB54" s="3692"/>
      <c r="AC54" s="3692"/>
      <c r="AD54" s="3692"/>
      <c r="AE54" s="390"/>
      <c r="AF54" s="390"/>
      <c r="AG54" s="390"/>
      <c r="AH54" s="390"/>
      <c r="AI54" s="390"/>
    </row>
    <row r="55" spans="1:35" s="104" customFormat="1" ht="15.75" customHeight="1" x14ac:dyDescent="0.25">
      <c r="A55" s="102" t="s">
        <v>196</v>
      </c>
    </row>
    <row r="56" spans="1:35" s="104" customFormat="1" ht="15.75" customHeight="1" x14ac:dyDescent="0.25">
      <c r="A56" s="121"/>
    </row>
    <row r="57" spans="1:35" s="104" customFormat="1" ht="15.75" customHeight="1" x14ac:dyDescent="0.25">
      <c r="A57" s="103" t="s">
        <v>134</v>
      </c>
    </row>
    <row r="58" spans="1:35" ht="15" customHeight="1" x14ac:dyDescent="0.3">
      <c r="A58" s="104"/>
    </row>
    <row r="59" spans="1:35" x14ac:dyDescent="0.3">
      <c r="A59" s="104"/>
    </row>
  </sheetData>
  <mergeCells count="2">
    <mergeCell ref="A53:AG53"/>
    <mergeCell ref="A54:AD54"/>
  </mergeCells>
  <hyperlinks>
    <hyperlink ref="A52" r:id="rId1" display="https://www.bom.mu/publications-statistics/statistics/monthly-statistical-bulletin/monthly-statistical-bulletin-february-2021" xr:uid="{00000000-0004-0000-1300-000000000000}"/>
  </hyperlinks>
  <pageMargins left="0.75" right="0.75" top="0.75" bottom="0.75" header="0.3" footer="0"/>
  <pageSetup paperSize="9" scale="50" orientation="landscape"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AH50"/>
  <sheetViews>
    <sheetView zoomScale="90" zoomScaleNormal="90" zoomScaleSheetLayoutView="100" workbookViewId="0">
      <pane xSplit="6" ySplit="3" topLeftCell="W4" activePane="bottomRight" state="frozen"/>
      <selection activeCell="K39" sqref="K39"/>
      <selection pane="topRight" activeCell="K39" sqref="K39"/>
      <selection pane="bottomLeft" activeCell="K39" sqref="K39"/>
      <selection pane="bottomRight" activeCell="Z56" sqref="Z56"/>
    </sheetView>
  </sheetViews>
  <sheetFormatPr defaultColWidth="9.140625" defaultRowHeight="15" customHeight="1" x14ac:dyDescent="0.25"/>
  <cols>
    <col min="1" max="1" width="63" style="129" customWidth="1"/>
    <col min="2" max="21" width="12.7109375" style="129" hidden="1" customWidth="1"/>
    <col min="22" max="34" width="12.7109375" style="129" customWidth="1"/>
    <col min="35" max="16384" width="9.140625" style="129"/>
  </cols>
  <sheetData>
    <row r="1" spans="1:34" s="126" customFormat="1" ht="24.75" customHeight="1" x14ac:dyDescent="0.25">
      <c r="A1" s="125" t="s">
        <v>1026</v>
      </c>
    </row>
    <row r="2" spans="1:34" s="126" customFormat="1" ht="15.75" customHeight="1" thickBot="1" x14ac:dyDescent="0.3">
      <c r="A2" s="125"/>
      <c r="R2" s="130"/>
      <c r="W2" s="130"/>
      <c r="AD2" s="130"/>
      <c r="AH2" s="130" t="s">
        <v>8</v>
      </c>
    </row>
    <row r="3" spans="1:34" s="131" customFormat="1" ht="26.25" customHeight="1" thickTop="1" thickBot="1" x14ac:dyDescent="0.35">
      <c r="A3" s="136"/>
      <c r="B3" s="137">
        <v>43374</v>
      </c>
      <c r="C3" s="137">
        <v>43405</v>
      </c>
      <c r="D3" s="137">
        <v>43435</v>
      </c>
      <c r="E3" s="137">
        <v>43466</v>
      </c>
      <c r="F3" s="137">
        <v>43497</v>
      </c>
      <c r="G3" s="137">
        <v>43525</v>
      </c>
      <c r="H3" s="137">
        <v>43556</v>
      </c>
      <c r="I3" s="137">
        <v>43586</v>
      </c>
      <c r="J3" s="137">
        <v>43617</v>
      </c>
      <c r="K3" s="137">
        <v>43647</v>
      </c>
      <c r="L3" s="137">
        <v>43678</v>
      </c>
      <c r="M3" s="137">
        <v>43709</v>
      </c>
      <c r="N3" s="137">
        <v>43739</v>
      </c>
      <c r="O3" s="137">
        <v>43770</v>
      </c>
      <c r="P3" s="137">
        <v>43800</v>
      </c>
      <c r="Q3" s="137">
        <v>43831</v>
      </c>
      <c r="R3" s="138" t="s">
        <v>174</v>
      </c>
      <c r="S3" s="138" t="s">
        <v>140</v>
      </c>
      <c r="T3" s="91" t="s">
        <v>175</v>
      </c>
      <c r="U3" s="91" t="s">
        <v>176</v>
      </c>
      <c r="V3" s="91" t="s">
        <v>197</v>
      </c>
      <c r="W3" s="91" t="s">
        <v>142</v>
      </c>
      <c r="X3" s="91" t="s">
        <v>143</v>
      </c>
      <c r="Y3" s="91" t="s">
        <v>144</v>
      </c>
      <c r="Z3" s="91" t="s">
        <v>145</v>
      </c>
      <c r="AA3" s="91">
        <v>44136</v>
      </c>
      <c r="AB3" s="91">
        <v>44166</v>
      </c>
      <c r="AC3" s="91">
        <v>44197</v>
      </c>
      <c r="AD3" s="91" t="s">
        <v>3248</v>
      </c>
      <c r="AE3" s="91" t="s">
        <v>3249</v>
      </c>
      <c r="AF3" s="91" t="s">
        <v>3253</v>
      </c>
      <c r="AG3" s="91" t="s">
        <v>3251</v>
      </c>
      <c r="AH3" s="91" t="s">
        <v>3252</v>
      </c>
    </row>
    <row r="4" spans="1:34" ht="17.25" customHeight="1" thickTop="1" x14ac:dyDescent="0.25">
      <c r="A4" s="139"/>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row>
    <row r="5" spans="1:34" ht="22.5" customHeight="1" x14ac:dyDescent="0.25">
      <c r="A5" s="140" t="s">
        <v>202</v>
      </c>
      <c r="B5" s="107">
        <v>385649.40622922993</v>
      </c>
      <c r="C5" s="107">
        <v>363279.79565297958</v>
      </c>
      <c r="D5" s="107">
        <v>353672.22692313755</v>
      </c>
      <c r="E5" s="107">
        <v>336891.62640916527</v>
      </c>
      <c r="F5" s="107">
        <v>392202.11374761362</v>
      </c>
      <c r="G5" s="107">
        <v>354145.52008613723</v>
      </c>
      <c r="H5" s="107">
        <v>372566.96164006862</v>
      </c>
      <c r="I5" s="107">
        <v>346889.67271337175</v>
      </c>
      <c r="J5" s="107">
        <v>339080.05635992333</v>
      </c>
      <c r="K5" s="107">
        <v>372547.20632164081</v>
      </c>
      <c r="L5" s="107">
        <v>345020.34132282884</v>
      </c>
      <c r="M5" s="107">
        <v>352026.16984591458</v>
      </c>
      <c r="N5" s="107">
        <v>372869.15477806696</v>
      </c>
      <c r="O5" s="107">
        <v>425430.81849484541</v>
      </c>
      <c r="P5" s="107">
        <v>378325.0342431232</v>
      </c>
      <c r="Q5" s="107">
        <v>378124.14407719782</v>
      </c>
      <c r="R5" s="107">
        <v>389345.73745258374</v>
      </c>
      <c r="S5" s="107">
        <v>393152.78312206076</v>
      </c>
      <c r="T5" s="107">
        <v>393799.49649500381</v>
      </c>
      <c r="U5" s="107">
        <v>399158.47932819545</v>
      </c>
      <c r="V5" s="107">
        <v>431125.96424864652</v>
      </c>
      <c r="W5" s="107">
        <v>397686.15572789341</v>
      </c>
      <c r="X5" s="107">
        <v>491444.3765313914</v>
      </c>
      <c r="Y5" s="107">
        <v>505283.20364732033</v>
      </c>
      <c r="Z5" s="107">
        <v>461673.38126699225</v>
      </c>
      <c r="AA5" s="107">
        <v>477535.98417066422</v>
      </c>
      <c r="AB5" s="107">
        <v>468677.71510817122</v>
      </c>
      <c r="AC5" s="107">
        <v>452951.25845440623</v>
      </c>
      <c r="AD5" s="107">
        <v>524636.90653630672</v>
      </c>
      <c r="AE5" s="107">
        <v>551733.46787802991</v>
      </c>
      <c r="AF5" s="107">
        <v>480913.714471235</v>
      </c>
      <c r="AG5" s="107">
        <v>523729.98302754969</v>
      </c>
      <c r="AH5" s="107">
        <v>517201.64438044082</v>
      </c>
    </row>
    <row r="6" spans="1:34" ht="22.5" customHeight="1" x14ac:dyDescent="0.25">
      <c r="A6" s="141" t="s">
        <v>203</v>
      </c>
      <c r="B6" s="133">
        <v>678116.00874646718</v>
      </c>
      <c r="C6" s="133">
        <v>661319.61851377657</v>
      </c>
      <c r="D6" s="133">
        <v>663158.79373686097</v>
      </c>
      <c r="E6" s="133">
        <v>647990.19809867325</v>
      </c>
      <c r="F6" s="133">
        <v>703553.30534787918</v>
      </c>
      <c r="G6" s="133">
        <v>675194.62987425947</v>
      </c>
      <c r="H6" s="133">
        <v>684160.43367899</v>
      </c>
      <c r="I6" s="133">
        <v>668329.45538384817</v>
      </c>
      <c r="J6" s="133">
        <v>673345.51050488092</v>
      </c>
      <c r="K6" s="133">
        <v>711383.89268833294</v>
      </c>
      <c r="L6" s="133">
        <v>688087.10238610615</v>
      </c>
      <c r="M6" s="133">
        <v>701251.50397485052</v>
      </c>
      <c r="N6" s="133">
        <v>726116.50519541709</v>
      </c>
      <c r="O6" s="133">
        <v>787087.88260076311</v>
      </c>
      <c r="P6" s="133">
        <v>754966.84731831658</v>
      </c>
      <c r="Q6" s="133">
        <v>756348.23036135093</v>
      </c>
      <c r="R6" s="133">
        <v>777464.69550262822</v>
      </c>
      <c r="S6" s="133">
        <v>785681.97074679343</v>
      </c>
      <c r="T6" s="133">
        <v>807365.04549238144</v>
      </c>
      <c r="U6" s="133">
        <v>803679.92756011896</v>
      </c>
      <c r="V6" s="133">
        <v>832593.46048708796</v>
      </c>
      <c r="W6" s="133">
        <v>793383.35183111648</v>
      </c>
      <c r="X6" s="133">
        <v>895454.73890974268</v>
      </c>
      <c r="Y6" s="133">
        <v>885191.04906106566</v>
      </c>
      <c r="Z6" s="133">
        <v>828386.98563737061</v>
      </c>
      <c r="AA6" s="133">
        <v>867378.62936680508</v>
      </c>
      <c r="AB6" s="133">
        <v>851966.97411224968</v>
      </c>
      <c r="AC6" s="133">
        <v>876296.81615577568</v>
      </c>
      <c r="AD6" s="133">
        <v>935790.86435820011</v>
      </c>
      <c r="AE6" s="133">
        <v>968885.73663730244</v>
      </c>
      <c r="AF6" s="133">
        <v>904209.60070943646</v>
      </c>
      <c r="AG6" s="133">
        <v>961762.98252830526</v>
      </c>
      <c r="AH6" s="133">
        <v>984472.99076271045</v>
      </c>
    </row>
    <row r="7" spans="1:34" ht="22.5" customHeight="1" x14ac:dyDescent="0.25">
      <c r="A7" s="141" t="s">
        <v>204</v>
      </c>
      <c r="B7" s="133">
        <v>-292466.60251723725</v>
      </c>
      <c r="C7" s="133">
        <v>-298039.82286079699</v>
      </c>
      <c r="D7" s="133">
        <v>-309486.56681372342</v>
      </c>
      <c r="E7" s="133">
        <v>-311098.57168950798</v>
      </c>
      <c r="F7" s="133">
        <v>-311351.19160026556</v>
      </c>
      <c r="G7" s="133">
        <v>-321049.10978812224</v>
      </c>
      <c r="H7" s="133">
        <v>-311593.47203892138</v>
      </c>
      <c r="I7" s="133">
        <v>-321439.78267047642</v>
      </c>
      <c r="J7" s="133">
        <v>-334265.45414495759</v>
      </c>
      <c r="K7" s="133">
        <v>-338836.68636669213</v>
      </c>
      <c r="L7" s="133">
        <v>-343066.76106327731</v>
      </c>
      <c r="M7" s="133">
        <v>-349225.33412893594</v>
      </c>
      <c r="N7" s="133">
        <v>-353247.35041735013</v>
      </c>
      <c r="O7" s="133">
        <v>-361657.0641059177</v>
      </c>
      <c r="P7" s="133">
        <v>-376641.81307519338</v>
      </c>
      <c r="Q7" s="133">
        <v>-378224.08628415311</v>
      </c>
      <c r="R7" s="133">
        <v>-388118.95805004449</v>
      </c>
      <c r="S7" s="133">
        <v>-392529.18762473267</v>
      </c>
      <c r="T7" s="133">
        <v>-413565.54899737763</v>
      </c>
      <c r="U7" s="133">
        <v>-404521.44823192351</v>
      </c>
      <c r="V7" s="133">
        <v>-401467.49623844144</v>
      </c>
      <c r="W7" s="133">
        <v>-395697.19610322308</v>
      </c>
      <c r="X7" s="133">
        <v>-404010.36237835127</v>
      </c>
      <c r="Y7" s="133">
        <v>-379907.84541374532</v>
      </c>
      <c r="Z7" s="133">
        <v>-366713.60437037837</v>
      </c>
      <c r="AA7" s="133">
        <v>-389842.64519614086</v>
      </c>
      <c r="AB7" s="133">
        <v>-383289.25900407846</v>
      </c>
      <c r="AC7" s="133">
        <v>-423345.55770136946</v>
      </c>
      <c r="AD7" s="133">
        <v>-411153.95782189345</v>
      </c>
      <c r="AE7" s="133">
        <v>-417152.26875927259</v>
      </c>
      <c r="AF7" s="133">
        <v>-423295.88623820146</v>
      </c>
      <c r="AG7" s="133">
        <v>-438032.99950075557</v>
      </c>
      <c r="AH7" s="133">
        <v>-467271.34638226964</v>
      </c>
    </row>
    <row r="8" spans="1:34" ht="14.25" customHeight="1" x14ac:dyDescent="0.25">
      <c r="A8" s="141"/>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row>
    <row r="9" spans="1:34" ht="22.5" customHeight="1" x14ac:dyDescent="0.25">
      <c r="A9" s="140" t="s">
        <v>205</v>
      </c>
      <c r="B9" s="107">
        <v>132582.19629137509</v>
      </c>
      <c r="C9" s="107">
        <v>135312.77791247051</v>
      </c>
      <c r="D9" s="107">
        <v>132372.44885152235</v>
      </c>
      <c r="E9" s="107">
        <v>134947.45689269016</v>
      </c>
      <c r="F9" s="107">
        <v>135234.18626352379</v>
      </c>
      <c r="G9" s="107">
        <v>134998.85710492329</v>
      </c>
      <c r="H9" s="107">
        <v>137618.88812548789</v>
      </c>
      <c r="I9" s="107">
        <v>143328.28211254504</v>
      </c>
      <c r="J9" s="107">
        <v>151952.28731442726</v>
      </c>
      <c r="K9" s="107">
        <v>154739.02827337652</v>
      </c>
      <c r="L9" s="107">
        <v>149034.35477402413</v>
      </c>
      <c r="M9" s="107">
        <v>153434.97414880735</v>
      </c>
      <c r="N9" s="107">
        <v>154371.74485310129</v>
      </c>
      <c r="O9" s="107">
        <v>156427.96770249953</v>
      </c>
      <c r="P9" s="107">
        <v>164461.29444468091</v>
      </c>
      <c r="Q9" s="107">
        <v>173109.62377702535</v>
      </c>
      <c r="R9" s="107">
        <v>176675.21250976957</v>
      </c>
      <c r="S9" s="107">
        <v>177248.7694930635</v>
      </c>
      <c r="T9" s="107">
        <v>172276.68957304404</v>
      </c>
      <c r="U9" s="107">
        <v>180782.39108579364</v>
      </c>
      <c r="V9" s="107">
        <v>171197.6469577543</v>
      </c>
      <c r="W9" s="107">
        <v>181323.72398935939</v>
      </c>
      <c r="X9" s="107">
        <v>176731.37385215604</v>
      </c>
      <c r="Y9" s="107">
        <v>195048.36213158641</v>
      </c>
      <c r="Z9" s="107">
        <v>191636.4330704801</v>
      </c>
      <c r="AA9" s="107">
        <v>195960.85227549582</v>
      </c>
      <c r="AB9" s="107">
        <v>210879.5022295207</v>
      </c>
      <c r="AC9" s="107">
        <v>229393.72252891655</v>
      </c>
      <c r="AD9" s="107">
        <v>210793.90180145408</v>
      </c>
      <c r="AE9" s="107">
        <v>208702.69722161506</v>
      </c>
      <c r="AF9" s="107">
        <v>215582.58239761149</v>
      </c>
      <c r="AG9" s="107">
        <v>222481.33633273543</v>
      </c>
      <c r="AH9" s="107">
        <v>215438.81936172582</v>
      </c>
    </row>
    <row r="10" spans="1:34" ht="22.5" customHeight="1" x14ac:dyDescent="0.25">
      <c r="A10" s="141" t="s">
        <v>206</v>
      </c>
      <c r="B10" s="133">
        <v>5441.6693809101835</v>
      </c>
      <c r="C10" s="133">
        <v>5638.6729159237802</v>
      </c>
      <c r="D10" s="133">
        <v>7704.4489917341543</v>
      </c>
      <c r="E10" s="133">
        <v>7354.9369597161085</v>
      </c>
      <c r="F10" s="133">
        <v>6057.7412150413129</v>
      </c>
      <c r="G10" s="133">
        <v>6188.3169892272736</v>
      </c>
      <c r="H10" s="133">
        <v>6526.4704679423421</v>
      </c>
      <c r="I10" s="133">
        <v>6456.2028305483882</v>
      </c>
      <c r="J10" s="133">
        <v>5837.0643281894327</v>
      </c>
      <c r="K10" s="133">
        <v>6124.8075236438253</v>
      </c>
      <c r="L10" s="133">
        <v>5972.4088819290218</v>
      </c>
      <c r="M10" s="133">
        <v>5242.610979963948</v>
      </c>
      <c r="N10" s="133">
        <v>6250.6338458380906</v>
      </c>
      <c r="O10" s="133">
        <v>5814.1562041309053</v>
      </c>
      <c r="P10" s="133">
        <v>7543.713894688377</v>
      </c>
      <c r="Q10" s="133">
        <v>6263.8035133059066</v>
      </c>
      <c r="R10" s="133">
        <v>5655.1840796482666</v>
      </c>
      <c r="S10" s="133">
        <v>6490.3051716908449</v>
      </c>
      <c r="T10" s="133">
        <v>6930.7378024656709</v>
      </c>
      <c r="U10" s="133">
        <v>5586.7797979408087</v>
      </c>
      <c r="V10" s="133">
        <v>5722.302474896841</v>
      </c>
      <c r="W10" s="133">
        <v>5767.0276340122928</v>
      </c>
      <c r="X10" s="133">
        <v>5098.575338673737</v>
      </c>
      <c r="Y10" s="133">
        <v>5599.5383830129713</v>
      </c>
      <c r="Z10" s="133">
        <v>5477.2437161352191</v>
      </c>
      <c r="AA10" s="133">
        <v>5394.0144405774463</v>
      </c>
      <c r="AB10" s="133">
        <v>6950.9651418888052</v>
      </c>
      <c r="AC10" s="133">
        <v>6011.4850225429063</v>
      </c>
      <c r="AD10" s="133">
        <v>5340.56838381337</v>
      </c>
      <c r="AE10" s="133">
        <v>5928.2086155700936</v>
      </c>
      <c r="AF10" s="133">
        <v>5770.0358313166835</v>
      </c>
      <c r="AG10" s="133">
        <v>5691.350409953624</v>
      </c>
      <c r="AH10" s="133">
        <v>5827.0871118054465</v>
      </c>
    </row>
    <row r="11" spans="1:34" ht="22.5" customHeight="1" x14ac:dyDescent="0.25">
      <c r="A11" s="141" t="s">
        <v>214</v>
      </c>
      <c r="B11" s="133">
        <v>82563.59234208928</v>
      </c>
      <c r="C11" s="133">
        <v>87384.928497697823</v>
      </c>
      <c r="D11" s="133">
        <v>79538.672407307458</v>
      </c>
      <c r="E11" s="133">
        <v>83333.376206196423</v>
      </c>
      <c r="F11" s="133">
        <v>82695.745708529226</v>
      </c>
      <c r="G11" s="133">
        <v>78909.555408014174</v>
      </c>
      <c r="H11" s="133">
        <v>78765.13547548691</v>
      </c>
      <c r="I11" s="133">
        <v>79256.70218141214</v>
      </c>
      <c r="J11" s="133">
        <v>82850.505690479287</v>
      </c>
      <c r="K11" s="133">
        <v>87436.502564791313</v>
      </c>
      <c r="L11" s="133">
        <v>82086.954213231613</v>
      </c>
      <c r="M11" s="133">
        <v>83675.527711102128</v>
      </c>
      <c r="N11" s="133">
        <v>81087.619998718204</v>
      </c>
      <c r="O11" s="133">
        <v>86933.210777206274</v>
      </c>
      <c r="P11" s="133">
        <v>93476.41056536464</v>
      </c>
      <c r="Q11" s="133">
        <v>90915.576182441</v>
      </c>
      <c r="R11" s="133">
        <v>94764.483631942116</v>
      </c>
      <c r="S11" s="133">
        <v>101628.99271691046</v>
      </c>
      <c r="T11" s="133">
        <v>105771.52741119532</v>
      </c>
      <c r="U11" s="133">
        <v>129614.41687471696</v>
      </c>
      <c r="V11" s="133">
        <v>118702.32704485014</v>
      </c>
      <c r="W11" s="133">
        <v>121061.68863668956</v>
      </c>
      <c r="X11" s="133">
        <v>104970.81586813295</v>
      </c>
      <c r="Y11" s="133">
        <v>103196.24441352117</v>
      </c>
      <c r="Z11" s="133">
        <v>111265.96529821929</v>
      </c>
      <c r="AA11" s="133">
        <v>116844.16643911877</v>
      </c>
      <c r="AB11" s="133">
        <v>124183.61474854042</v>
      </c>
      <c r="AC11" s="133">
        <v>145633.34386328957</v>
      </c>
      <c r="AD11" s="133">
        <v>128075.85248768893</v>
      </c>
      <c r="AE11" s="133">
        <v>126821.47929322447</v>
      </c>
      <c r="AF11" s="133">
        <v>117314.12185414774</v>
      </c>
      <c r="AG11" s="133">
        <v>122935.38863166633</v>
      </c>
      <c r="AH11" s="133">
        <v>123526.92849112111</v>
      </c>
    </row>
    <row r="12" spans="1:34" ht="19.5" customHeight="1" x14ac:dyDescent="0.25">
      <c r="A12" s="141" t="s">
        <v>207</v>
      </c>
      <c r="B12" s="133">
        <v>44576.934568375611</v>
      </c>
      <c r="C12" s="133">
        <v>42289.176498848909</v>
      </c>
      <c r="D12" s="133">
        <v>45129.327452480735</v>
      </c>
      <c r="E12" s="133">
        <v>44259.143726777613</v>
      </c>
      <c r="F12" s="133">
        <v>46480.699339953251</v>
      </c>
      <c r="G12" s="133">
        <v>49900.984707681826</v>
      </c>
      <c r="H12" s="133">
        <v>52327.28218205864</v>
      </c>
      <c r="I12" s="133">
        <v>57615.377100584534</v>
      </c>
      <c r="J12" s="133">
        <v>63264.717295758535</v>
      </c>
      <c r="K12" s="133">
        <v>61177.71818494139</v>
      </c>
      <c r="L12" s="133">
        <v>60974.991678863509</v>
      </c>
      <c r="M12" s="133">
        <v>64516.835457741283</v>
      </c>
      <c r="N12" s="133">
        <v>67033.491008544996</v>
      </c>
      <c r="O12" s="133">
        <v>63680.600721162351</v>
      </c>
      <c r="P12" s="133">
        <v>63441.169984627886</v>
      </c>
      <c r="Q12" s="133">
        <v>75930.244081278448</v>
      </c>
      <c r="R12" s="133">
        <v>76255.54479817918</v>
      </c>
      <c r="S12" s="133">
        <v>69129.471604462175</v>
      </c>
      <c r="T12" s="133">
        <v>59574.424359383054</v>
      </c>
      <c r="U12" s="133">
        <v>45581.194413135876</v>
      </c>
      <c r="V12" s="133">
        <v>46773.017438007322</v>
      </c>
      <c r="W12" s="133">
        <v>54495.007718657536</v>
      </c>
      <c r="X12" s="133">
        <v>66661.982645349344</v>
      </c>
      <c r="Y12" s="133">
        <v>86252.579335052287</v>
      </c>
      <c r="Z12" s="133">
        <v>74893.224056125589</v>
      </c>
      <c r="AA12" s="133">
        <v>73722.671395799611</v>
      </c>
      <c r="AB12" s="133">
        <v>79744.922339091499</v>
      </c>
      <c r="AC12" s="133">
        <v>77748.893643084084</v>
      </c>
      <c r="AD12" s="133">
        <v>77377.480929951766</v>
      </c>
      <c r="AE12" s="133">
        <v>75953.009312820519</v>
      </c>
      <c r="AF12" s="133">
        <v>92498.424712147069</v>
      </c>
      <c r="AG12" s="133">
        <v>93854.597291115482</v>
      </c>
      <c r="AH12" s="133">
        <v>86084.803758799244</v>
      </c>
    </row>
    <row r="13" spans="1:34" ht="11.25" customHeight="1" x14ac:dyDescent="0.25">
      <c r="A13" s="141"/>
      <c r="B13" s="133"/>
      <c r="C13" s="133"/>
      <c r="D13" s="133"/>
      <c r="E13" s="133"/>
      <c r="F13" s="133"/>
      <c r="G13" s="133"/>
      <c r="H13" s="133"/>
      <c r="I13" s="133"/>
      <c r="J13" s="133"/>
      <c r="K13" s="133"/>
      <c r="L13" s="133"/>
      <c r="M13" s="133"/>
      <c r="N13" s="133"/>
      <c r="O13" s="133">
        <v>2.5</v>
      </c>
      <c r="P13" s="133"/>
      <c r="Q13" s="133"/>
      <c r="R13" s="133"/>
      <c r="S13" s="133"/>
      <c r="T13" s="133"/>
      <c r="U13" s="133"/>
      <c r="V13" s="133"/>
      <c r="W13" s="133"/>
      <c r="X13" s="133"/>
      <c r="Y13" s="133"/>
      <c r="Z13" s="133"/>
      <c r="AA13" s="133"/>
      <c r="AB13" s="133"/>
      <c r="AC13" s="133"/>
      <c r="AD13" s="133"/>
      <c r="AE13" s="133"/>
      <c r="AF13" s="133"/>
      <c r="AG13" s="133"/>
      <c r="AH13" s="133"/>
    </row>
    <row r="14" spans="1:34" ht="22.5" customHeight="1" x14ac:dyDescent="0.25">
      <c r="A14" s="140" t="s">
        <v>208</v>
      </c>
      <c r="B14" s="107">
        <v>95912.159010256728</v>
      </c>
      <c r="C14" s="107">
        <v>96358.448604507867</v>
      </c>
      <c r="D14" s="107">
        <v>94606.461094577156</v>
      </c>
      <c r="E14" s="107">
        <v>98513.136882358493</v>
      </c>
      <c r="F14" s="107">
        <v>98419.089581583234</v>
      </c>
      <c r="G14" s="107">
        <v>102100.8388480961</v>
      </c>
      <c r="H14" s="107">
        <v>100429.58168204807</v>
      </c>
      <c r="I14" s="107">
        <v>104956.51997646724</v>
      </c>
      <c r="J14" s="107">
        <v>99603.390430154977</v>
      </c>
      <c r="K14" s="107">
        <v>99147.19424265236</v>
      </c>
      <c r="L14" s="107">
        <v>104710.76653035931</v>
      </c>
      <c r="M14" s="107">
        <v>101090.81024325041</v>
      </c>
      <c r="N14" s="107">
        <v>102614.10500011046</v>
      </c>
      <c r="O14" s="107">
        <v>109799.84181547757</v>
      </c>
      <c r="P14" s="107">
        <v>96370.221954894601</v>
      </c>
      <c r="Q14" s="107">
        <v>104792.89405483412</v>
      </c>
      <c r="R14" s="107">
        <v>100235.90780331341</v>
      </c>
      <c r="S14" s="107">
        <v>107522.06243744137</v>
      </c>
      <c r="T14" s="107">
        <v>115117.06355502739</v>
      </c>
      <c r="U14" s="107">
        <v>113663.82334381409</v>
      </c>
      <c r="V14" s="107">
        <v>130985.36750735366</v>
      </c>
      <c r="W14" s="107">
        <v>123870.57175727657</v>
      </c>
      <c r="X14" s="107">
        <v>117658.22214513682</v>
      </c>
      <c r="Y14" s="107">
        <v>115101.32136797829</v>
      </c>
      <c r="Z14" s="107">
        <v>110071.78765070974</v>
      </c>
      <c r="AA14" s="107">
        <v>108053.66679872123</v>
      </c>
      <c r="AB14" s="107">
        <v>105924.61550965313</v>
      </c>
      <c r="AC14" s="107">
        <v>113219.15246678972</v>
      </c>
      <c r="AD14" s="107">
        <v>119083.44453456254</v>
      </c>
      <c r="AE14" s="107">
        <v>124465.12446889046</v>
      </c>
      <c r="AF14" s="107">
        <v>128275.82180672989</v>
      </c>
      <c r="AG14" s="107">
        <v>131361.07199122367</v>
      </c>
      <c r="AH14" s="107">
        <v>144133.0072075119</v>
      </c>
    </row>
    <row r="15" spans="1:34" ht="22.5" customHeight="1" x14ac:dyDescent="0.25">
      <c r="A15" s="141" t="s">
        <v>209</v>
      </c>
      <c r="B15" s="133">
        <v>108217.11890005319</v>
      </c>
      <c r="C15" s="133">
        <v>108579.23208321015</v>
      </c>
      <c r="D15" s="133">
        <v>106178.93122812911</v>
      </c>
      <c r="E15" s="133">
        <v>110549.0315719678</v>
      </c>
      <c r="F15" s="133">
        <v>108574.7629698135</v>
      </c>
      <c r="G15" s="133">
        <v>111766.4702303556</v>
      </c>
      <c r="H15" s="133">
        <v>112862.75934543875</v>
      </c>
      <c r="I15" s="133">
        <v>115551.63246242593</v>
      </c>
      <c r="J15" s="133">
        <v>110970.08129169466</v>
      </c>
      <c r="K15" s="133">
        <v>110078.73144454572</v>
      </c>
      <c r="L15" s="133">
        <v>115273.40085948257</v>
      </c>
      <c r="M15" s="133">
        <v>112146.14209126255</v>
      </c>
      <c r="N15" s="133">
        <v>114600.09017981113</v>
      </c>
      <c r="O15" s="133">
        <v>121045.56187016412</v>
      </c>
      <c r="P15" s="133">
        <v>120246.625444812</v>
      </c>
      <c r="Q15" s="133">
        <v>121462.67168724733</v>
      </c>
      <c r="R15" s="133">
        <v>121946.85739869358</v>
      </c>
      <c r="S15" s="133">
        <v>129309.58465342212</v>
      </c>
      <c r="T15" s="133">
        <v>138351.73114569145</v>
      </c>
      <c r="U15" s="133">
        <v>138328.15159699001</v>
      </c>
      <c r="V15" s="133">
        <v>152923.42619524119</v>
      </c>
      <c r="W15" s="133">
        <v>142978.58982017741</v>
      </c>
      <c r="X15" s="133">
        <v>134498.01065773799</v>
      </c>
      <c r="Y15" s="133">
        <v>131560.56328186748</v>
      </c>
      <c r="Z15" s="133">
        <v>124840.14199082051</v>
      </c>
      <c r="AA15" s="133">
        <v>126668.97558227062</v>
      </c>
      <c r="AB15" s="133">
        <v>131312.31108673761</v>
      </c>
      <c r="AC15" s="133">
        <v>135720.47854898963</v>
      </c>
      <c r="AD15" s="133">
        <v>143416.61068777461</v>
      </c>
      <c r="AE15" s="133">
        <v>147599.41475486901</v>
      </c>
      <c r="AF15" s="133">
        <v>150472.33490783055</v>
      </c>
      <c r="AG15" s="133">
        <v>157416.41771673187</v>
      </c>
      <c r="AH15" s="133">
        <v>173783.68504441847</v>
      </c>
    </row>
    <row r="16" spans="1:34" ht="22.5" customHeight="1" x14ac:dyDescent="0.25">
      <c r="A16" s="141" t="s">
        <v>210</v>
      </c>
      <c r="B16" s="133">
        <v>-12304.959889796466</v>
      </c>
      <c r="C16" s="133">
        <v>-12220.783478702284</v>
      </c>
      <c r="D16" s="133">
        <v>-11572.470133551949</v>
      </c>
      <c r="E16" s="133">
        <v>-12035.894689609304</v>
      </c>
      <c r="F16" s="133">
        <v>-10155.673388230263</v>
      </c>
      <c r="G16" s="133">
        <v>-9665.6313822594966</v>
      </c>
      <c r="H16" s="133">
        <v>-12433.177663390679</v>
      </c>
      <c r="I16" s="133">
        <v>-10595.112485958683</v>
      </c>
      <c r="J16" s="133">
        <v>-11366.690861539679</v>
      </c>
      <c r="K16" s="133">
        <v>-10931.537201893361</v>
      </c>
      <c r="L16" s="133">
        <v>-10562.634329123266</v>
      </c>
      <c r="M16" s="133">
        <v>-11055.331848012143</v>
      </c>
      <c r="N16" s="133">
        <v>-11985.98517970067</v>
      </c>
      <c r="O16" s="133">
        <v>-11245.720054686546</v>
      </c>
      <c r="P16" s="133">
        <v>-23876.403489917404</v>
      </c>
      <c r="Q16" s="133">
        <v>-16669.77763241321</v>
      </c>
      <c r="R16" s="133">
        <v>-21710.949595380163</v>
      </c>
      <c r="S16" s="133">
        <v>-21787.522215980738</v>
      </c>
      <c r="T16" s="133">
        <v>-23234.667590664052</v>
      </c>
      <c r="U16" s="133">
        <v>-24664.328253175914</v>
      </c>
      <c r="V16" s="133">
        <v>-21938.05868788754</v>
      </c>
      <c r="W16" s="133">
        <v>-19108.018062900832</v>
      </c>
      <c r="X16" s="133">
        <v>-16839.788512601172</v>
      </c>
      <c r="Y16" s="133">
        <v>-16459.241913889193</v>
      </c>
      <c r="Z16" s="133">
        <v>-14768.35434011078</v>
      </c>
      <c r="AA16" s="133">
        <v>-18615.30878354939</v>
      </c>
      <c r="AB16" s="133">
        <v>-25387.695577084476</v>
      </c>
      <c r="AC16" s="133">
        <v>-22501.32608219991</v>
      </c>
      <c r="AD16" s="133">
        <v>-24333.166153212067</v>
      </c>
      <c r="AE16" s="133">
        <v>-23134.290285978554</v>
      </c>
      <c r="AF16" s="133">
        <v>-22196.51310110066</v>
      </c>
      <c r="AG16" s="133">
        <v>-26055.345725508207</v>
      </c>
      <c r="AH16" s="133">
        <v>-29650.677836906576</v>
      </c>
    </row>
    <row r="17" spans="1:34" ht="17.25" customHeight="1" x14ac:dyDescent="0.25">
      <c r="A17" s="140"/>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row>
    <row r="18" spans="1:34" ht="22.5" customHeight="1" x14ac:dyDescent="0.25">
      <c r="A18" s="140" t="s">
        <v>215</v>
      </c>
      <c r="B18" s="107">
        <v>451073.7371483951</v>
      </c>
      <c r="C18" s="107">
        <v>451878.05634321668</v>
      </c>
      <c r="D18" s="107">
        <v>456334.86147293949</v>
      </c>
      <c r="E18" s="107">
        <v>455941.45380823663</v>
      </c>
      <c r="F18" s="107">
        <v>461357.69229075871</v>
      </c>
      <c r="G18" s="107">
        <v>461200.64549646678</v>
      </c>
      <c r="H18" s="107">
        <v>466015.88957993238</v>
      </c>
      <c r="I18" s="107">
        <v>468822.28168550559</v>
      </c>
      <c r="J18" s="107">
        <v>474117.6138447515</v>
      </c>
      <c r="K18" s="107">
        <v>475524.32201576926</v>
      </c>
      <c r="L18" s="107">
        <v>479207.38735999202</v>
      </c>
      <c r="M18" s="107">
        <v>483866.50208134501</v>
      </c>
      <c r="N18" s="107">
        <v>484379.95621825446</v>
      </c>
      <c r="O18" s="107">
        <v>486395.38783103629</v>
      </c>
      <c r="P18" s="107">
        <v>491691.96661388484</v>
      </c>
      <c r="Q18" s="107">
        <v>492867.89942938258</v>
      </c>
      <c r="R18" s="107">
        <v>488865.79346722353</v>
      </c>
      <c r="S18" s="107">
        <v>493090.07736421895</v>
      </c>
      <c r="T18" s="107">
        <v>500206.62997035653</v>
      </c>
      <c r="U18" s="107">
        <v>499767.30424507416</v>
      </c>
      <c r="V18" s="107">
        <v>502641.43176622962</v>
      </c>
      <c r="W18" s="107">
        <v>503880.49019510503</v>
      </c>
      <c r="X18" s="107">
        <v>501601.1696651699</v>
      </c>
      <c r="Y18" s="107">
        <v>496108.67695145996</v>
      </c>
      <c r="Z18" s="107">
        <v>494915.82835421042</v>
      </c>
      <c r="AA18" s="107">
        <v>494144.66428709624</v>
      </c>
      <c r="AB18" s="107">
        <v>493910.45560742536</v>
      </c>
      <c r="AC18" s="107">
        <v>505527.66557847703</v>
      </c>
      <c r="AD18" s="107">
        <v>496239.7346823978</v>
      </c>
      <c r="AE18" s="107">
        <v>489644.77953211672</v>
      </c>
      <c r="AF18" s="107">
        <v>499166.25881950383</v>
      </c>
      <c r="AG18" s="107">
        <v>504042.44450547587</v>
      </c>
      <c r="AH18" s="107">
        <v>505319.42920309445</v>
      </c>
    </row>
    <row r="19" spans="1:34" ht="10.5" customHeight="1" x14ac:dyDescent="0.25">
      <c r="A19" s="142"/>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row>
    <row r="20" spans="1:34" ht="21.75" customHeight="1" x14ac:dyDescent="0.25">
      <c r="A20" s="140" t="s">
        <v>211</v>
      </c>
      <c r="B20" s="107">
        <v>522.57621659999995</v>
      </c>
      <c r="C20" s="107">
        <v>530.43674090999991</v>
      </c>
      <c r="D20" s="107">
        <v>451.85899688000006</v>
      </c>
      <c r="E20" s="107">
        <v>449.49498455999998</v>
      </c>
      <c r="F20" s="107">
        <v>460.36892423999996</v>
      </c>
      <c r="G20" s="107">
        <v>495.24021552999994</v>
      </c>
      <c r="H20" s="107">
        <v>452.14654894</v>
      </c>
      <c r="I20" s="107">
        <v>456.44429422000002</v>
      </c>
      <c r="J20" s="107">
        <v>311.48910302000002</v>
      </c>
      <c r="K20" s="107">
        <v>311.82640702999998</v>
      </c>
      <c r="L20" s="107">
        <v>308.17392470999994</v>
      </c>
      <c r="M20" s="107">
        <v>256.47710615</v>
      </c>
      <c r="N20" s="107">
        <v>146.41670360000001</v>
      </c>
      <c r="O20" s="107">
        <v>154.76987269999998</v>
      </c>
      <c r="P20" s="107">
        <v>78.109223049999997</v>
      </c>
      <c r="Q20" s="107">
        <v>73.199827839999998</v>
      </c>
      <c r="R20" s="107">
        <v>159.13884273999997</v>
      </c>
      <c r="S20" s="107">
        <v>90.191372209999997</v>
      </c>
      <c r="T20" s="107">
        <v>95.977676840000015</v>
      </c>
      <c r="U20" s="107">
        <v>100.59973837999999</v>
      </c>
      <c r="V20" s="107">
        <v>12138.693073389999</v>
      </c>
      <c r="W20" s="107">
        <v>12016.07055699</v>
      </c>
      <c r="X20" s="107">
        <v>12031.780456820001</v>
      </c>
      <c r="Y20" s="107">
        <v>10246.224443559999</v>
      </c>
      <c r="Z20" s="107">
        <v>10311.653699110002</v>
      </c>
      <c r="AA20" s="107">
        <v>10417.145987380001</v>
      </c>
      <c r="AB20" s="107">
        <v>2047.99303992</v>
      </c>
      <c r="AC20" s="107">
        <v>2066.7607259299998</v>
      </c>
      <c r="AD20" s="107">
        <v>2079.2860818499998</v>
      </c>
      <c r="AE20" s="107">
        <v>66.589581159999994</v>
      </c>
      <c r="AF20" s="107">
        <v>79.972528219999987</v>
      </c>
      <c r="AG20" s="107">
        <v>64.184046659999993</v>
      </c>
      <c r="AH20" s="107">
        <v>59.933134109999997</v>
      </c>
    </row>
    <row r="21" spans="1:34" ht="9.75" customHeight="1" x14ac:dyDescent="0.25">
      <c r="A21" s="140"/>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row>
    <row r="22" spans="1:34" ht="22.5" customHeight="1" x14ac:dyDescent="0.25">
      <c r="A22" s="140" t="s">
        <v>216</v>
      </c>
      <c r="B22" s="107">
        <v>349789.39643925882</v>
      </c>
      <c r="C22" s="107">
        <v>354170.3034660893</v>
      </c>
      <c r="D22" s="107">
        <v>357735.22139157733</v>
      </c>
      <c r="E22" s="107">
        <v>357962.47704415396</v>
      </c>
      <c r="F22" s="107">
        <v>360581.78950197063</v>
      </c>
      <c r="G22" s="107">
        <v>363085.37267747527</v>
      </c>
      <c r="H22" s="107">
        <v>364932.49857265683</v>
      </c>
      <c r="I22" s="107">
        <v>366847.34362554888</v>
      </c>
      <c r="J22" s="107">
        <v>372438.94038680987</v>
      </c>
      <c r="K22" s="107">
        <v>371917.46975703631</v>
      </c>
      <c r="L22" s="107">
        <v>370888.18591016589</v>
      </c>
      <c r="M22" s="107">
        <v>372574.82047093648</v>
      </c>
      <c r="N22" s="107">
        <v>379078.89212929457</v>
      </c>
      <c r="O22" s="107">
        <v>385351.11206594779</v>
      </c>
      <c r="P22" s="107">
        <v>393440.09602186747</v>
      </c>
      <c r="Q22" s="107">
        <v>393991.29553756956</v>
      </c>
      <c r="R22" s="107">
        <v>404976.78114451043</v>
      </c>
      <c r="S22" s="107">
        <v>417170.38737767446</v>
      </c>
      <c r="T22" s="107">
        <v>431839.58590218471</v>
      </c>
      <c r="U22" s="107">
        <v>439171.12592656486</v>
      </c>
      <c r="V22" s="107">
        <v>442961.82572781673</v>
      </c>
      <c r="W22" s="107">
        <v>440860.03805052245</v>
      </c>
      <c r="X22" s="107">
        <v>441254.28449667618</v>
      </c>
      <c r="Y22" s="107">
        <v>450949.35300080496</v>
      </c>
      <c r="Z22" s="107">
        <v>452880.19470378384</v>
      </c>
      <c r="AA22" s="107">
        <v>451506.00409469916</v>
      </c>
      <c r="AB22" s="107">
        <v>460594.77236869972</v>
      </c>
      <c r="AC22" s="107">
        <v>466335.37205285276</v>
      </c>
      <c r="AD22" s="107">
        <v>471158.83303180221</v>
      </c>
      <c r="AE22" s="107">
        <v>480063.96320307633</v>
      </c>
      <c r="AF22" s="107">
        <v>489982.67451628548</v>
      </c>
      <c r="AG22" s="107">
        <v>492690.02785586292</v>
      </c>
      <c r="AH22" s="107">
        <v>497613.61870424671</v>
      </c>
    </row>
    <row r="23" spans="1:34" ht="10.5" customHeight="1" x14ac:dyDescent="0.25">
      <c r="A23" s="140"/>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row>
    <row r="24" spans="1:34" ht="22.5" customHeight="1" x14ac:dyDescent="0.25">
      <c r="A24" s="140" t="s">
        <v>217</v>
      </c>
      <c r="B24" s="107">
        <v>144883.38886078529</v>
      </c>
      <c r="C24" s="107">
        <v>143439.12745355885</v>
      </c>
      <c r="D24" s="107">
        <v>143496.29122423049</v>
      </c>
      <c r="E24" s="107">
        <v>145106.94909269409</v>
      </c>
      <c r="F24" s="107">
        <v>146097.19155949244</v>
      </c>
      <c r="G24" s="107">
        <v>144905.64824180829</v>
      </c>
      <c r="H24" s="107">
        <v>145337.20193105954</v>
      </c>
      <c r="I24" s="107">
        <v>142617.13254103361</v>
      </c>
      <c r="J24" s="107">
        <v>142168.91231730412</v>
      </c>
      <c r="K24" s="107">
        <v>145175.64693089874</v>
      </c>
      <c r="L24" s="107">
        <v>145009.12880182205</v>
      </c>
      <c r="M24" s="107">
        <v>146886.99544390262</v>
      </c>
      <c r="N24" s="107">
        <v>148587.50168630731</v>
      </c>
      <c r="O24" s="107">
        <v>148924.06911314867</v>
      </c>
      <c r="P24" s="107">
        <v>146135.72684683496</v>
      </c>
      <c r="Q24" s="107">
        <v>149654.89173177833</v>
      </c>
      <c r="R24" s="107">
        <v>149489.65466258017</v>
      </c>
      <c r="S24" s="107">
        <v>148721.92179424886</v>
      </c>
      <c r="T24" s="107">
        <v>145212.12223979147</v>
      </c>
      <c r="U24" s="107">
        <v>145121.90364971879</v>
      </c>
      <c r="V24" s="107">
        <v>146233.60011356845</v>
      </c>
      <c r="W24" s="107">
        <v>147731.5166022795</v>
      </c>
      <c r="X24" s="107">
        <v>148643.92693014941</v>
      </c>
      <c r="Y24" s="107">
        <v>148733.96141695153</v>
      </c>
      <c r="Z24" s="107">
        <v>148776.37339146185</v>
      </c>
      <c r="AA24" s="107">
        <v>150773.99329671604</v>
      </c>
      <c r="AB24" s="107">
        <v>150023.86640949865</v>
      </c>
      <c r="AC24" s="107">
        <v>149489.95006325806</v>
      </c>
      <c r="AD24" s="107">
        <v>148159.36137781234</v>
      </c>
      <c r="AE24" s="107">
        <v>143922.01373360475</v>
      </c>
      <c r="AF24" s="107">
        <v>141332.03858743189</v>
      </c>
      <c r="AG24" s="107">
        <v>142611.96901376377</v>
      </c>
      <c r="AH24" s="107">
        <v>143737.48427063884</v>
      </c>
    </row>
    <row r="25" spans="1:34" ht="8.25" customHeight="1" x14ac:dyDescent="0.25">
      <c r="A25" s="143"/>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row>
    <row r="26" spans="1:34" ht="22.5" customHeight="1" x14ac:dyDescent="0.25">
      <c r="A26" s="140" t="s">
        <v>218</v>
      </c>
      <c r="B26" s="107">
        <v>0</v>
      </c>
      <c r="C26" s="107">
        <v>0</v>
      </c>
      <c r="D26" s="107">
        <v>0</v>
      </c>
      <c r="E26" s="107">
        <v>0</v>
      </c>
      <c r="F26" s="107">
        <v>0</v>
      </c>
      <c r="G26" s="107">
        <v>0</v>
      </c>
      <c r="H26" s="107">
        <v>0</v>
      </c>
      <c r="I26" s="107">
        <v>0</v>
      </c>
      <c r="J26" s="107">
        <v>0</v>
      </c>
      <c r="K26" s="107">
        <v>0</v>
      </c>
      <c r="L26" s="107">
        <v>0</v>
      </c>
      <c r="M26" s="107">
        <v>0</v>
      </c>
      <c r="N26" s="107">
        <v>0</v>
      </c>
      <c r="O26" s="107">
        <v>0</v>
      </c>
      <c r="P26" s="107">
        <v>0</v>
      </c>
      <c r="Q26" s="107">
        <v>0</v>
      </c>
      <c r="R26" s="107">
        <v>0</v>
      </c>
      <c r="S26" s="107">
        <v>0</v>
      </c>
      <c r="T26" s="107">
        <v>0</v>
      </c>
      <c r="U26" s="107">
        <v>0</v>
      </c>
      <c r="V26" s="107">
        <v>0</v>
      </c>
      <c r="W26" s="107">
        <v>0</v>
      </c>
      <c r="X26" s="107">
        <v>0</v>
      </c>
      <c r="Y26" s="107">
        <v>0</v>
      </c>
      <c r="Z26" s="107">
        <v>0</v>
      </c>
      <c r="AA26" s="107">
        <v>0</v>
      </c>
      <c r="AB26" s="107">
        <v>0</v>
      </c>
      <c r="AC26" s="107">
        <v>0</v>
      </c>
      <c r="AD26" s="107">
        <v>0</v>
      </c>
      <c r="AE26" s="107">
        <v>0</v>
      </c>
      <c r="AF26" s="107">
        <v>0</v>
      </c>
      <c r="AG26" s="107">
        <v>0</v>
      </c>
      <c r="AH26" s="107">
        <v>0</v>
      </c>
    </row>
    <row r="27" spans="1:34" ht="10.5" customHeight="1" x14ac:dyDescent="0.25">
      <c r="A27" s="141"/>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row>
    <row r="28" spans="1:34" ht="22.5" customHeight="1" x14ac:dyDescent="0.25">
      <c r="A28" s="140" t="s">
        <v>212</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row>
    <row r="29" spans="1:34" ht="22.5" customHeight="1" x14ac:dyDescent="0.25">
      <c r="A29" s="139" t="s">
        <v>213</v>
      </c>
      <c r="B29" s="107">
        <v>371820.41246335511</v>
      </c>
      <c r="C29" s="107">
        <v>345978.12591905287</v>
      </c>
      <c r="D29" s="107">
        <v>344592.93580855796</v>
      </c>
      <c r="E29" s="107">
        <v>330296.29170795</v>
      </c>
      <c r="F29" s="107">
        <v>385448.02944673214</v>
      </c>
      <c r="G29" s="107">
        <v>345639.7747620907</v>
      </c>
      <c r="H29" s="107">
        <v>365706.06015358894</v>
      </c>
      <c r="I29" s="107">
        <v>348318.70683307596</v>
      </c>
      <c r="J29" s="107">
        <v>345759.14137831796</v>
      </c>
      <c r="K29" s="107">
        <v>374528.30897165101</v>
      </c>
      <c r="L29" s="107">
        <v>354951.43150542554</v>
      </c>
      <c r="M29" s="107">
        <v>360949.47712199442</v>
      </c>
      <c r="N29" s="107">
        <v>378549.76280583034</v>
      </c>
      <c r="O29" s="107">
        <v>429442.59929208434</v>
      </c>
      <c r="P29" s="107">
        <v>385057.17265573645</v>
      </c>
      <c r="Q29" s="107">
        <v>395984.38072670449</v>
      </c>
      <c r="R29" s="107">
        <v>395609.24065458408</v>
      </c>
      <c r="S29" s="107">
        <v>392116.27284580446</v>
      </c>
      <c r="T29" s="107">
        <v>388056.22939926386</v>
      </c>
      <c r="U29" s="107">
        <v>390645.14163770003</v>
      </c>
      <c r="V29" s="107">
        <v>410080.53944106522</v>
      </c>
      <c r="W29" s="107">
        <v>388542.33471318497</v>
      </c>
      <c r="X29" s="107">
        <v>464110.86675237794</v>
      </c>
      <c r="Y29" s="107">
        <v>473879.77038058394</v>
      </c>
      <c r="Z29" s="107">
        <v>420020.78837752168</v>
      </c>
      <c r="AA29" s="107">
        <v>432221.76154978963</v>
      </c>
      <c r="AB29" s="107">
        <v>439047.8970075947</v>
      </c>
      <c r="AC29" s="107">
        <v>454257.41830865305</v>
      </c>
      <c r="AD29" s="107">
        <v>493140.21808222844</v>
      </c>
      <c r="AE29" s="107">
        <v>516704.15221673512</v>
      </c>
      <c r="AF29" s="107">
        <v>457242.30943425174</v>
      </c>
      <c r="AG29" s="107">
        <v>510814.96322751959</v>
      </c>
      <c r="AH29" s="107">
        <v>498674.1029262282</v>
      </c>
    </row>
    <row r="30" spans="1:34" ht="12" customHeight="1" x14ac:dyDescent="0.25">
      <c r="A30" s="144"/>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row>
    <row r="31" spans="1:34" ht="22.5" customHeight="1" x14ac:dyDescent="0.25">
      <c r="A31" s="140" t="s">
        <v>219</v>
      </c>
      <c r="B31" s="107">
        <v>1623.27390423</v>
      </c>
      <c r="C31" s="107">
        <v>1548.5679364100001</v>
      </c>
      <c r="D31" s="107">
        <v>855.12510182999995</v>
      </c>
      <c r="E31" s="107">
        <v>1275.4246460999998</v>
      </c>
      <c r="F31" s="107">
        <v>1296.6051401700001</v>
      </c>
      <c r="G31" s="107">
        <v>1322.7311870499998</v>
      </c>
      <c r="H31" s="107">
        <v>1664.4127358000001</v>
      </c>
      <c r="I31" s="107">
        <v>1730.7663387500002</v>
      </c>
      <c r="J31" s="107">
        <v>1744.1606250000002</v>
      </c>
      <c r="K31" s="107">
        <v>1269.4877059999999</v>
      </c>
      <c r="L31" s="107">
        <v>1336.3206773700001</v>
      </c>
      <c r="M31" s="107">
        <v>1431.07576062</v>
      </c>
      <c r="N31" s="107">
        <v>1613.53974404</v>
      </c>
      <c r="O31" s="107">
        <v>1697.4800377300003</v>
      </c>
      <c r="P31" s="107">
        <v>1644.9191077999999</v>
      </c>
      <c r="Q31" s="107">
        <v>1569.9684395700001</v>
      </c>
      <c r="R31" s="107">
        <v>1514.3693039699997</v>
      </c>
      <c r="S31" s="107">
        <v>1589.9343460800001</v>
      </c>
      <c r="T31" s="107">
        <v>1389.7755594499999</v>
      </c>
      <c r="U31" s="107">
        <v>1248.1248768700002</v>
      </c>
      <c r="V31" s="107">
        <v>1545.2350535099999</v>
      </c>
      <c r="W31" s="107">
        <v>1659.15287908</v>
      </c>
      <c r="X31" s="107">
        <v>1893.0338647900003</v>
      </c>
      <c r="Y31" s="107">
        <v>1791.4027259099998</v>
      </c>
      <c r="Z31" s="107">
        <v>1726.3617396699999</v>
      </c>
      <c r="AA31" s="107">
        <v>1796.3770332900001</v>
      </c>
      <c r="AB31" s="107">
        <v>1653.1243997000001</v>
      </c>
      <c r="AC31" s="107">
        <v>1735.5649875700001</v>
      </c>
      <c r="AD31" s="107">
        <v>1632.2116555099999</v>
      </c>
      <c r="AE31" s="107">
        <v>1836.78979452</v>
      </c>
      <c r="AF31" s="107">
        <v>1747.5416362799999</v>
      </c>
      <c r="AG31" s="107">
        <v>1636.2422863100001</v>
      </c>
      <c r="AH31" s="107">
        <v>1775.39708838</v>
      </c>
    </row>
    <row r="32" spans="1:34" ht="6.75" customHeight="1" x14ac:dyDescent="0.25">
      <c r="A32" s="144"/>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row>
    <row r="33" spans="1:34" ht="18" customHeight="1" x14ac:dyDescent="0.25">
      <c r="A33" s="140" t="s">
        <v>154</v>
      </c>
      <c r="B33" s="107">
        <v>1632.4893438899999</v>
      </c>
      <c r="C33" s="107">
        <v>1792.6862675599998</v>
      </c>
      <c r="D33" s="107">
        <v>2003.9572564100004</v>
      </c>
      <c r="E33" s="107">
        <v>2552.4010111900002</v>
      </c>
      <c r="F33" s="107">
        <v>2499.3138635099999</v>
      </c>
      <c r="G33" s="107">
        <v>2038.20702794</v>
      </c>
      <c r="H33" s="107">
        <v>2539.0902784499999</v>
      </c>
      <c r="I33" s="107">
        <v>3039.9506260800003</v>
      </c>
      <c r="J33" s="107">
        <v>2805.1478813600002</v>
      </c>
      <c r="K33" s="107">
        <v>2330.8089022000004</v>
      </c>
      <c r="L33" s="107">
        <v>2798.3830364800001</v>
      </c>
      <c r="M33" s="107">
        <v>3012.69729035</v>
      </c>
      <c r="N33" s="107">
        <v>3265.6251120099996</v>
      </c>
      <c r="O33" s="107">
        <v>3925.75648331</v>
      </c>
      <c r="P33" s="107">
        <v>4599.7472379300016</v>
      </c>
      <c r="Q33" s="107">
        <v>4238.9144227299994</v>
      </c>
      <c r="R33" s="107">
        <v>57.091407879999998</v>
      </c>
      <c r="S33" s="107">
        <v>55.851357880000002</v>
      </c>
      <c r="T33" s="107">
        <v>55.869201259999997</v>
      </c>
      <c r="U33" s="107">
        <v>54.111268260000003</v>
      </c>
      <c r="V33" s="107">
        <v>54.130567880000001</v>
      </c>
      <c r="W33" s="107">
        <v>67.366464649999998</v>
      </c>
      <c r="X33" s="107">
        <v>91.748766759999995</v>
      </c>
      <c r="Y33" s="107">
        <v>91.150441400000005</v>
      </c>
      <c r="Z33" s="107">
        <v>104.49683879999999</v>
      </c>
      <c r="AA33" s="107">
        <v>117.42358992</v>
      </c>
      <c r="AB33" s="107">
        <v>123.24530838</v>
      </c>
      <c r="AC33" s="107">
        <v>147.75145222</v>
      </c>
      <c r="AD33" s="107">
        <v>151.36129400999999</v>
      </c>
      <c r="AE33" s="107">
        <v>147.90856485</v>
      </c>
      <c r="AF33" s="107">
        <v>150.14729041000001</v>
      </c>
      <c r="AG33" s="107">
        <v>151.25828595999999</v>
      </c>
      <c r="AH33" s="107">
        <v>159.86479464000001</v>
      </c>
    </row>
    <row r="34" spans="1:34" ht="8.25" customHeight="1" x14ac:dyDescent="0.25">
      <c r="A34" s="144"/>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row>
    <row r="35" spans="1:34" ht="17.25" customHeight="1" x14ac:dyDescent="0.25">
      <c r="A35" s="140" t="s">
        <v>192</v>
      </c>
      <c r="B35" s="107">
        <v>725.5638831950298</v>
      </c>
      <c r="C35" s="107">
        <v>682.56711189350335</v>
      </c>
      <c r="D35" s="107">
        <v>721.26581348887601</v>
      </c>
      <c r="E35" s="107">
        <v>793.48505532829211</v>
      </c>
      <c r="F35" s="107">
        <v>845.2363743790977</v>
      </c>
      <c r="G35" s="107">
        <v>973.05045557940718</v>
      </c>
      <c r="H35" s="107">
        <v>883.02524867605166</v>
      </c>
      <c r="I35" s="107">
        <v>855.93827996839514</v>
      </c>
      <c r="J35" s="107">
        <v>682.47721434085372</v>
      </c>
      <c r="K35" s="107">
        <v>1224.048572871633</v>
      </c>
      <c r="L35" s="107">
        <v>1246.6045671305631</v>
      </c>
      <c r="M35" s="107">
        <v>1494.9483908614461</v>
      </c>
      <c r="N35" s="107">
        <v>1200.4160331051226</v>
      </c>
      <c r="O35" s="107">
        <v>955.76363592580117</v>
      </c>
      <c r="P35" s="107">
        <v>386.53557206151777</v>
      </c>
      <c r="Q35" s="107">
        <v>517.60928102836704</v>
      </c>
      <c r="R35" s="107">
        <v>807.8960421569227</v>
      </c>
      <c r="S35" s="107">
        <v>1451.7716805643795</v>
      </c>
      <c r="T35" s="107">
        <v>1616.2441390656709</v>
      </c>
      <c r="U35" s="107">
        <v>1300.3614356249816</v>
      </c>
      <c r="V35" s="107">
        <v>1000.7588714996272</v>
      </c>
      <c r="W35" s="107">
        <v>907.81543222046503</v>
      </c>
      <c r="X35" s="107">
        <v>1014.533581349178</v>
      </c>
      <c r="Y35" s="107">
        <v>1467.2900490025236</v>
      </c>
      <c r="Z35" s="107">
        <v>1443.3517260527958</v>
      </c>
      <c r="AA35" s="107">
        <v>1146.3648273212923</v>
      </c>
      <c r="AB35" s="107">
        <v>789.5229444521342</v>
      </c>
      <c r="AC35" s="107">
        <v>607.31263338088661</v>
      </c>
      <c r="AD35" s="107">
        <v>848.79643543092561</v>
      </c>
      <c r="AE35" s="107">
        <v>1113.7266825691863</v>
      </c>
      <c r="AF35" s="107">
        <v>874.73302784515079</v>
      </c>
      <c r="AG35" s="107">
        <v>886.9074433463129</v>
      </c>
      <c r="AH35" s="107">
        <v>1286.2339281879279</v>
      </c>
    </row>
    <row r="36" spans="1:34" ht="10.5" customHeight="1" x14ac:dyDescent="0.25">
      <c r="A36" s="140"/>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row>
    <row r="37" spans="1:34" ht="17.25" customHeight="1" x14ac:dyDescent="0.25">
      <c r="A37" s="140" t="s">
        <v>185</v>
      </c>
      <c r="B37" s="108">
        <v>0</v>
      </c>
      <c r="C37" s="108">
        <v>0</v>
      </c>
      <c r="D37" s="108">
        <v>0</v>
      </c>
      <c r="E37" s="108">
        <v>0</v>
      </c>
      <c r="F37" s="108">
        <v>0</v>
      </c>
      <c r="G37" s="108">
        <v>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v>0</v>
      </c>
      <c r="Y37" s="108">
        <v>0</v>
      </c>
      <c r="Z37" s="108">
        <v>0</v>
      </c>
      <c r="AA37" s="108">
        <v>0</v>
      </c>
      <c r="AB37" s="108">
        <v>0</v>
      </c>
      <c r="AC37" s="108">
        <v>0</v>
      </c>
      <c r="AD37" s="108">
        <v>0</v>
      </c>
      <c r="AE37" s="108">
        <v>0</v>
      </c>
      <c r="AF37" s="108">
        <v>0</v>
      </c>
      <c r="AG37" s="108">
        <v>0</v>
      </c>
      <c r="AH37" s="108">
        <v>0</v>
      </c>
    </row>
    <row r="38" spans="1:34" ht="13.5" customHeight="1" x14ac:dyDescent="0.25">
      <c r="A38" s="144"/>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row>
    <row r="39" spans="1:34" ht="11.25" customHeight="1" x14ac:dyDescent="0.25">
      <c r="A39" s="140" t="s">
        <v>184</v>
      </c>
      <c r="B39" s="107">
        <v>167324.31030922927</v>
      </c>
      <c r="C39" s="107">
        <v>169586.53448306775</v>
      </c>
      <c r="D39" s="107">
        <v>162994.89620373669</v>
      </c>
      <c r="E39" s="107">
        <v>165396.57754990438</v>
      </c>
      <c r="F39" s="107">
        <v>167062.52112577404</v>
      </c>
      <c r="G39" s="107">
        <v>170453.73437754804</v>
      </c>
      <c r="H39" s="107">
        <v>173070.57035658814</v>
      </c>
      <c r="I39" s="107">
        <v>176173.38007013311</v>
      </c>
      <c r="J39" s="107">
        <v>176143.8908165764</v>
      </c>
      <c r="K39" s="107">
        <v>176379.70644823369</v>
      </c>
      <c r="L39" s="107">
        <v>179267.32127196083</v>
      </c>
      <c r="M39" s="107">
        <v>177703.79240462868</v>
      </c>
      <c r="N39" s="107">
        <v>178079.29192619727</v>
      </c>
      <c r="O39" s="107">
        <v>180582.66076034718</v>
      </c>
      <c r="P39" s="107">
        <v>180486.29176595857</v>
      </c>
      <c r="Q39" s="107">
        <v>182504.67927104994</v>
      </c>
      <c r="R39" s="107">
        <v>183476.61828548415</v>
      </c>
      <c r="S39" s="107">
        <v>186135.4679448971</v>
      </c>
      <c r="T39" s="107">
        <v>188245.9339763395</v>
      </c>
      <c r="U39" s="107">
        <v>189886.06197661796</v>
      </c>
      <c r="V39" s="107">
        <v>191554.79772493441</v>
      </c>
      <c r="W39" s="107">
        <v>187498.31196324585</v>
      </c>
      <c r="X39" s="107">
        <v>188028.0524869638</v>
      </c>
      <c r="Y39" s="107">
        <v>187998.80819628984</v>
      </c>
      <c r="Z39" s="107">
        <v>188969.1779766375</v>
      </c>
      <c r="AA39" s="107">
        <v>188602.18806216671</v>
      </c>
      <c r="AB39" s="107">
        <v>188961.64214851733</v>
      </c>
      <c r="AC39" s="107">
        <v>189136.22661046914</v>
      </c>
      <c r="AD39" s="107">
        <v>190589.330388665</v>
      </c>
      <c r="AE39" s="107">
        <v>192151.87677124201</v>
      </c>
      <c r="AF39" s="107">
        <v>194537.47853844825</v>
      </c>
      <c r="AG39" s="107">
        <v>196396.92129558162</v>
      </c>
      <c r="AH39" s="107">
        <v>200338.45522935892</v>
      </c>
    </row>
    <row r="40" spans="1:34" ht="10.5" customHeight="1" x14ac:dyDescent="0.25">
      <c r="A40" s="141"/>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row>
    <row r="41" spans="1:34" ht="18" customHeight="1" x14ac:dyDescent="0.25">
      <c r="A41" s="140" t="s">
        <v>171</v>
      </c>
      <c r="B41" s="107">
        <v>26896.087258713422</v>
      </c>
      <c r="C41" s="107">
        <v>29100.729134632551</v>
      </c>
      <c r="D41" s="107">
        <v>24134.446545465074</v>
      </c>
      <c r="E41" s="107">
        <v>22460.572900569918</v>
      </c>
      <c r="F41" s="107">
        <v>22922.025947210619</v>
      </c>
      <c r="G41" s="107">
        <v>23532.102590601666</v>
      </c>
      <c r="H41" s="107">
        <v>22046.315201777368</v>
      </c>
      <c r="I41" s="107">
        <v>23957.09387907989</v>
      </c>
      <c r="J41" s="107">
        <v>22699.188226527789</v>
      </c>
      <c r="K41" s="107">
        <v>28820.447157517687</v>
      </c>
      <c r="L41" s="107">
        <v>22167.300292139458</v>
      </c>
      <c r="M41" s="107">
        <v>26108.172329873574</v>
      </c>
      <c r="N41" s="107">
        <v>23713.51470914856</v>
      </c>
      <c r="O41" s="107">
        <v>27019.804582665161</v>
      </c>
      <c r="P41" s="107">
        <v>19019.918825344452</v>
      </c>
      <c r="Q41" s="107">
        <v>20359.622100169196</v>
      </c>
      <c r="R41" s="107">
        <v>19031.86088898444</v>
      </c>
      <c r="S41" s="107">
        <v>23681.893697425519</v>
      </c>
      <c r="T41" s="107">
        <v>24888.141499236568</v>
      </c>
      <c r="U41" s="107">
        <v>25844.567493140414</v>
      </c>
      <c r="V41" s="107">
        <v>30380.829906319705</v>
      </c>
      <c r="W41" s="107">
        <v>27478.335007460904</v>
      </c>
      <c r="X41" s="107">
        <v>30366.914857967749</v>
      </c>
      <c r="Y41" s="107">
        <v>36383.603443842294</v>
      </c>
      <c r="Z41" s="107">
        <v>34065.031889354956</v>
      </c>
      <c r="AA41" s="107">
        <v>39113.909090694455</v>
      </c>
      <c r="AB41" s="107">
        <v>36150.224828007966</v>
      </c>
      <c r="AC41" s="107">
        <v>37315.442194255513</v>
      </c>
      <c r="AD41" s="107">
        <v>42994.589207411875</v>
      </c>
      <c r="AE41" s="107">
        <v>38539.048552894761</v>
      </c>
      <c r="AF41" s="107">
        <v>37991.481935907781</v>
      </c>
      <c r="AG41" s="107">
        <v>36362.362401980514</v>
      </c>
      <c r="AH41" s="107">
        <v>38447.810076982285</v>
      </c>
    </row>
    <row r="42" spans="1:34" ht="12.75" customHeight="1" thickBot="1" x14ac:dyDescent="0.3">
      <c r="A42" s="145"/>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row>
    <row r="43" spans="1:34" s="394" customFormat="1" ht="15.75" customHeight="1" thickTop="1" x14ac:dyDescent="0.25">
      <c r="A43" s="3693" t="s">
        <v>172</v>
      </c>
      <c r="B43" s="3693"/>
      <c r="C43" s="3693"/>
      <c r="D43" s="3693"/>
      <c r="E43" s="3693"/>
      <c r="F43" s="3693"/>
      <c r="G43" s="3693"/>
      <c r="H43" s="3693"/>
      <c r="I43" s="3693"/>
      <c r="J43" s="3693"/>
      <c r="K43" s="3693"/>
      <c r="L43" s="3693"/>
      <c r="M43" s="3693"/>
      <c r="N43" s="3693"/>
      <c r="O43" s="3693"/>
      <c r="P43" s="3693"/>
      <c r="Q43" s="3693"/>
      <c r="R43" s="3693"/>
      <c r="S43" s="3693"/>
      <c r="T43" s="3693"/>
      <c r="U43" s="3693"/>
      <c r="V43" s="3693"/>
      <c r="W43" s="3693"/>
      <c r="X43" s="3693"/>
      <c r="Y43" s="3693"/>
      <c r="Z43" s="3693"/>
      <c r="AA43" s="3693"/>
      <c r="AB43" s="3693"/>
      <c r="AC43" s="3693"/>
      <c r="AD43" s="3693"/>
      <c r="AE43" s="3693"/>
      <c r="AF43" s="3693"/>
      <c r="AG43" s="3693"/>
      <c r="AH43" s="3693"/>
    </row>
    <row r="44" spans="1:34" s="104" customFormat="1" ht="15.75" customHeight="1" x14ac:dyDescent="0.25">
      <c r="A44" s="3694" t="s">
        <v>903</v>
      </c>
      <c r="B44" s="3694"/>
      <c r="C44" s="3694"/>
      <c r="D44" s="3694"/>
      <c r="E44" s="3694"/>
      <c r="F44" s="3694"/>
      <c r="G44" s="3694"/>
      <c r="H44" s="3694"/>
      <c r="I44" s="3694"/>
      <c r="J44" s="3694"/>
      <c r="K44" s="3694"/>
      <c r="L44" s="3694"/>
      <c r="M44" s="3694"/>
      <c r="N44" s="3694"/>
      <c r="O44" s="3694"/>
      <c r="P44" s="3694"/>
      <c r="Q44" s="3694"/>
      <c r="R44" s="3694"/>
      <c r="S44" s="3694"/>
      <c r="T44" s="3694"/>
      <c r="U44" s="3694"/>
      <c r="V44" s="3694"/>
      <c r="W44" s="3694"/>
      <c r="X44" s="3694"/>
      <c r="Y44" s="3694"/>
      <c r="Z44" s="3694"/>
      <c r="AA44" s="3694"/>
      <c r="AB44" s="3694"/>
      <c r="AC44" s="3694"/>
      <c r="AD44" s="3694"/>
      <c r="AE44" s="3694"/>
      <c r="AF44" s="3694"/>
      <c r="AG44" s="3694"/>
      <c r="AH44" s="3694"/>
    </row>
    <row r="45" spans="1:34" s="102" customFormat="1" x14ac:dyDescent="0.25">
      <c r="A45" s="3695" t="s">
        <v>911</v>
      </c>
      <c r="B45" s="3695"/>
      <c r="C45" s="3695"/>
      <c r="D45" s="3695"/>
      <c r="E45" s="3695"/>
      <c r="F45" s="3695"/>
      <c r="G45" s="3695"/>
      <c r="H45" s="3695"/>
      <c r="I45" s="3695"/>
      <c r="J45" s="3695"/>
      <c r="K45" s="3695"/>
      <c r="L45" s="3695"/>
      <c r="M45" s="3695"/>
      <c r="N45" s="3695"/>
      <c r="O45" s="3695"/>
      <c r="P45" s="3695"/>
      <c r="Q45" s="3695"/>
      <c r="R45" s="3695"/>
      <c r="S45" s="3695"/>
      <c r="T45" s="3695"/>
      <c r="U45" s="3695"/>
      <c r="V45" s="3695"/>
      <c r="W45" s="3695"/>
      <c r="X45" s="3695"/>
      <c r="Y45" s="3695"/>
      <c r="Z45" s="3695"/>
      <c r="AA45" s="3695"/>
      <c r="AB45" s="3695"/>
      <c r="AC45" s="3695"/>
      <c r="AD45" s="3695"/>
      <c r="AE45" s="3695"/>
      <c r="AF45" s="3695"/>
      <c r="AG45" s="3695"/>
      <c r="AH45" s="3695"/>
    </row>
    <row r="46" spans="1:34" s="104" customFormat="1" ht="37.5" customHeight="1" x14ac:dyDescent="0.25">
      <c r="A46" s="3691" t="s">
        <v>220</v>
      </c>
      <c r="B46" s="3691"/>
      <c r="C46" s="3691"/>
      <c r="D46" s="3691"/>
      <c r="E46" s="3691"/>
      <c r="F46" s="3691"/>
      <c r="G46" s="3691"/>
      <c r="H46" s="3691"/>
      <c r="I46" s="3691"/>
      <c r="J46" s="3691"/>
      <c r="K46" s="3691"/>
      <c r="L46" s="3691"/>
      <c r="M46" s="3691"/>
      <c r="N46" s="3691"/>
      <c r="O46" s="3691"/>
      <c r="P46" s="3691"/>
      <c r="Q46" s="3691"/>
      <c r="R46" s="3691"/>
      <c r="S46" s="3691"/>
      <c r="T46" s="3691"/>
      <c r="U46" s="3691"/>
      <c r="V46" s="3691"/>
      <c r="W46" s="3691"/>
      <c r="X46" s="3691"/>
      <c r="Y46" s="3691"/>
      <c r="Z46" s="3691"/>
      <c r="AA46" s="3691"/>
      <c r="AB46" s="3691"/>
      <c r="AC46" s="3691"/>
      <c r="AD46" s="3691"/>
      <c r="AE46" s="3691"/>
      <c r="AF46" s="3691"/>
      <c r="AG46" s="3691"/>
      <c r="AH46" s="3691"/>
    </row>
    <row r="47" spans="1:34" s="104" customFormat="1" ht="34.5" customHeight="1" x14ac:dyDescent="0.25">
      <c r="A47" s="3691" t="s">
        <v>923</v>
      </c>
      <c r="B47" s="3691"/>
      <c r="C47" s="3691"/>
      <c r="D47" s="3691"/>
      <c r="E47" s="3691"/>
      <c r="F47" s="3691"/>
      <c r="G47" s="3691"/>
      <c r="H47" s="3691"/>
      <c r="I47" s="3691"/>
      <c r="J47" s="3691"/>
      <c r="K47" s="3691"/>
      <c r="L47" s="3691"/>
      <c r="M47" s="3691"/>
      <c r="N47" s="3691"/>
      <c r="O47" s="3691"/>
      <c r="P47" s="3691"/>
      <c r="Q47" s="3691"/>
      <c r="R47" s="3691"/>
      <c r="S47" s="3691"/>
      <c r="T47" s="3691"/>
      <c r="U47" s="3691"/>
      <c r="V47" s="3691"/>
      <c r="W47" s="3691"/>
      <c r="X47" s="3691"/>
      <c r="Y47" s="3691"/>
      <c r="Z47" s="3691"/>
      <c r="AA47" s="3691"/>
      <c r="AB47" s="3691"/>
      <c r="AC47" s="3691"/>
      <c r="AD47" s="3691"/>
      <c r="AE47" s="3691"/>
      <c r="AF47" s="3691"/>
      <c r="AG47" s="3691"/>
      <c r="AH47" s="3691"/>
    </row>
    <row r="48" spans="1:34" s="104" customFormat="1" ht="15.75" customHeight="1" x14ac:dyDescent="0.25">
      <c r="A48" s="3691" t="s">
        <v>196</v>
      </c>
      <c r="B48" s="3691"/>
      <c r="C48" s="3691"/>
      <c r="D48" s="3691"/>
      <c r="E48" s="3691"/>
      <c r="F48" s="3691"/>
      <c r="G48" s="3691"/>
      <c r="H48" s="3691"/>
      <c r="I48" s="3691"/>
      <c r="J48" s="3691"/>
      <c r="K48" s="3691"/>
      <c r="L48" s="3691"/>
      <c r="M48" s="3691"/>
      <c r="N48" s="3691"/>
      <c r="O48" s="3691"/>
      <c r="P48" s="3691"/>
      <c r="Q48" s="3691"/>
      <c r="R48" s="3691"/>
      <c r="S48" s="3691"/>
      <c r="T48" s="3691"/>
      <c r="U48" s="3691"/>
      <c r="V48" s="3691"/>
      <c r="W48" s="3691"/>
      <c r="X48" s="3691"/>
      <c r="Y48" s="3691"/>
      <c r="Z48" s="3691"/>
      <c r="AA48" s="3691"/>
      <c r="AB48" s="3691"/>
      <c r="AC48" s="3691"/>
      <c r="AD48" s="3691"/>
      <c r="AE48" s="3691"/>
      <c r="AF48" s="3691"/>
      <c r="AG48" s="3691"/>
      <c r="AH48" s="3691"/>
    </row>
    <row r="49" spans="1:34" s="104" customFormat="1" ht="15.75" customHeight="1" x14ac:dyDescent="0.25">
      <c r="A49" s="3691"/>
      <c r="B49" s="3691"/>
      <c r="C49" s="3691"/>
      <c r="D49" s="3691"/>
      <c r="E49" s="3691"/>
      <c r="F49" s="3691"/>
      <c r="G49" s="3691"/>
      <c r="H49" s="3691"/>
      <c r="I49" s="3691"/>
      <c r="J49" s="3691"/>
      <c r="K49" s="3691"/>
      <c r="L49" s="3691"/>
      <c r="M49" s="3691"/>
      <c r="N49" s="3691"/>
      <c r="O49" s="395"/>
      <c r="P49" s="395"/>
      <c r="Q49" s="395"/>
      <c r="R49" s="395"/>
      <c r="S49" s="395"/>
      <c r="T49" s="395"/>
      <c r="U49" s="395"/>
      <c r="V49" s="395"/>
      <c r="W49" s="395"/>
      <c r="X49" s="395"/>
      <c r="Y49" s="395"/>
      <c r="Z49" s="395"/>
      <c r="AA49" s="395"/>
      <c r="AB49" s="395"/>
      <c r="AC49" s="395"/>
      <c r="AD49" s="395"/>
      <c r="AE49" s="395"/>
      <c r="AF49" s="395"/>
      <c r="AG49" s="504"/>
      <c r="AH49" s="506"/>
    </row>
    <row r="50" spans="1:34" s="394" customFormat="1" ht="15.75" customHeight="1" x14ac:dyDescent="0.25">
      <c r="A50" s="102" t="s">
        <v>134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row>
  </sheetData>
  <mergeCells count="7">
    <mergeCell ref="A49:N49"/>
    <mergeCell ref="A43:AH43"/>
    <mergeCell ref="A44:AH44"/>
    <mergeCell ref="A45:AH45"/>
    <mergeCell ref="A46:AH46"/>
    <mergeCell ref="A47:AH47"/>
    <mergeCell ref="A48:AH48"/>
  </mergeCells>
  <hyperlinks>
    <hyperlink ref="A45" r:id="rId1" display="https://www.bom.mu/publications-statistics/statistics/monthly-statistical-bulletin/monthly-statistical-bulletin-february-2021" xr:uid="{00000000-0004-0000-1400-000000000000}"/>
  </hyperlinks>
  <pageMargins left="0.75" right="0.75" top="0.75" bottom="0.75" header="0.3" footer="0"/>
  <pageSetup paperSize="9" scale="56" fitToHeight="0" orientation="landscape" r:id="rId2"/>
  <headerFooter alignWithMargins="0"/>
  <rowBreaks count="1" manualBreakCount="1">
    <brk id="52"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AH45"/>
  <sheetViews>
    <sheetView zoomScale="90" zoomScaleNormal="90" zoomScaleSheetLayoutView="100" workbookViewId="0">
      <pane xSplit="6" ySplit="3" topLeftCell="V4" activePane="bottomRight" state="frozen"/>
      <selection activeCell="K39" sqref="K39"/>
      <selection pane="topRight" activeCell="K39" sqref="K39"/>
      <selection pane="bottomLeft" activeCell="K39" sqref="K39"/>
      <selection pane="bottomRight" activeCell="A41" sqref="A41"/>
    </sheetView>
  </sheetViews>
  <sheetFormatPr defaultColWidth="9.140625" defaultRowHeight="15.75" customHeight="1" x14ac:dyDescent="0.25"/>
  <cols>
    <col min="1" max="1" width="59" style="127" customWidth="1"/>
    <col min="2" max="21" width="12.7109375" style="127" hidden="1" customWidth="1"/>
    <col min="22" max="34" width="12.7109375" style="127" customWidth="1"/>
    <col min="35" max="16384" width="9.140625" style="127"/>
  </cols>
  <sheetData>
    <row r="1" spans="1:34" s="84" customFormat="1" ht="24" customHeight="1" x14ac:dyDescent="0.3">
      <c r="A1" s="105" t="s">
        <v>1027</v>
      </c>
    </row>
    <row r="2" spans="1:34" ht="13.5" customHeight="1" thickBot="1" x14ac:dyDescent="0.3">
      <c r="A2" s="146"/>
      <c r="C2" s="130"/>
      <c r="G2" s="130"/>
      <c r="R2" s="130"/>
      <c r="W2" s="130"/>
      <c r="AB2" s="130"/>
      <c r="AD2" s="130"/>
      <c r="AH2" s="130" t="s">
        <v>8</v>
      </c>
    </row>
    <row r="3" spans="1:34" s="147" customFormat="1" ht="21" customHeight="1" thickTop="1" thickBot="1" x14ac:dyDescent="0.35">
      <c r="A3" s="148"/>
      <c r="B3" s="137">
        <v>43374</v>
      </c>
      <c r="C3" s="137">
        <v>43405</v>
      </c>
      <c r="D3" s="137">
        <v>43435</v>
      </c>
      <c r="E3" s="137">
        <v>43466</v>
      </c>
      <c r="F3" s="137">
        <v>43497</v>
      </c>
      <c r="G3" s="137">
        <v>43525</v>
      </c>
      <c r="H3" s="137">
        <v>43556</v>
      </c>
      <c r="I3" s="137">
        <v>43586</v>
      </c>
      <c r="J3" s="137">
        <v>43617</v>
      </c>
      <c r="K3" s="137">
        <v>43647</v>
      </c>
      <c r="L3" s="137">
        <v>43678</v>
      </c>
      <c r="M3" s="137">
        <v>43709</v>
      </c>
      <c r="N3" s="137">
        <v>43739</v>
      </c>
      <c r="O3" s="137">
        <v>43770</v>
      </c>
      <c r="P3" s="137">
        <v>43800</v>
      </c>
      <c r="Q3" s="137">
        <v>43831</v>
      </c>
      <c r="R3" s="138" t="s">
        <v>174</v>
      </c>
      <c r="S3" s="138" t="s">
        <v>140</v>
      </c>
      <c r="T3" s="91" t="s">
        <v>175</v>
      </c>
      <c r="U3" s="91" t="s">
        <v>176</v>
      </c>
      <c r="V3" s="91" t="s">
        <v>197</v>
      </c>
      <c r="W3" s="91" t="s">
        <v>142</v>
      </c>
      <c r="X3" s="91" t="s">
        <v>143</v>
      </c>
      <c r="Y3" s="91" t="s">
        <v>144</v>
      </c>
      <c r="Z3" s="91" t="s">
        <v>145</v>
      </c>
      <c r="AA3" s="91">
        <v>44136</v>
      </c>
      <c r="AB3" s="91">
        <v>44166</v>
      </c>
      <c r="AC3" s="91">
        <v>44197</v>
      </c>
      <c r="AD3" s="91" t="s">
        <v>3248</v>
      </c>
      <c r="AE3" s="91" t="s">
        <v>3249</v>
      </c>
      <c r="AF3" s="91" t="s">
        <v>3253</v>
      </c>
      <c r="AG3" s="91" t="s">
        <v>3251</v>
      </c>
      <c r="AH3" s="91" t="s">
        <v>3252</v>
      </c>
    </row>
    <row r="4" spans="1:34" ht="15" customHeight="1" thickTop="1" x14ac:dyDescent="0.25">
      <c r="A4" s="141"/>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row>
    <row r="5" spans="1:34" ht="22.5" customHeight="1" x14ac:dyDescent="0.25">
      <c r="A5" s="140" t="s">
        <v>170</v>
      </c>
      <c r="B5" s="107">
        <v>603245.70985475881</v>
      </c>
      <c r="C5" s="107">
        <v>578095.53196456493</v>
      </c>
      <c r="D5" s="107">
        <v>570676.64685810125</v>
      </c>
      <c r="E5" s="107">
        <v>555738.52165962593</v>
      </c>
      <c r="F5" s="107">
        <v>612169.07425153302</v>
      </c>
      <c r="G5" s="107">
        <v>580722.23639972229</v>
      </c>
      <c r="H5" s="107">
        <v>601793.3831605739</v>
      </c>
      <c r="I5" s="107">
        <v>587297.76118893118</v>
      </c>
      <c r="J5" s="107">
        <v>592037.74036985345</v>
      </c>
      <c r="K5" s="107">
        <v>631511.75170988846</v>
      </c>
      <c r="L5" s="107">
        <v>604448.16456935892</v>
      </c>
      <c r="M5" s="107">
        <v>614788.03581099678</v>
      </c>
      <c r="N5" s="107">
        <v>636312.00008742744</v>
      </c>
      <c r="O5" s="107">
        <v>694122.06739733275</v>
      </c>
      <c r="P5" s="107">
        <v>647472.0633556376</v>
      </c>
      <c r="Q5" s="107">
        <v>656936.82186131133</v>
      </c>
      <c r="R5" s="107">
        <v>663250.26434066286</v>
      </c>
      <c r="S5" s="107">
        <v>669451.75571228086</v>
      </c>
      <c r="T5" s="107">
        <v>674018.17257455934</v>
      </c>
      <c r="U5" s="107">
        <v>674698.84540283575</v>
      </c>
      <c r="V5" s="107">
        <v>710010.22029280965</v>
      </c>
      <c r="W5" s="107">
        <v>693282.2088749262</v>
      </c>
      <c r="X5" s="107">
        <v>770270.23610633228</v>
      </c>
      <c r="Y5" s="107">
        <v>783278.32101354213</v>
      </c>
      <c r="Z5" s="107">
        <v>730816.51683918678</v>
      </c>
      <c r="AA5" s="107">
        <v>745880.10079184012</v>
      </c>
      <c r="AB5" s="107">
        <v>753659.20792943332</v>
      </c>
      <c r="AC5" s="107">
        <v>758357.98090497137</v>
      </c>
      <c r="AD5" s="107">
        <v>811243.01065622596</v>
      </c>
      <c r="AE5" s="107">
        <v>844502.63762076199</v>
      </c>
      <c r="AF5" s="107">
        <v>777736.63392093568</v>
      </c>
      <c r="AG5" s="107">
        <v>828016.68544027291</v>
      </c>
      <c r="AH5" s="107">
        <v>821955.15877083782</v>
      </c>
    </row>
    <row r="6" spans="1:34" ht="22.5" customHeight="1" x14ac:dyDescent="0.25">
      <c r="A6" s="141" t="s">
        <v>221</v>
      </c>
      <c r="B6" s="133">
        <v>896191.11415082228</v>
      </c>
      <c r="C6" s="133">
        <v>876588.10035106866</v>
      </c>
      <c r="D6" s="133">
        <v>880669.4843989436</v>
      </c>
      <c r="E6" s="133">
        <v>867388.41003377514</v>
      </c>
      <c r="F6" s="133">
        <v>923993.0794532852</v>
      </c>
      <c r="G6" s="133">
        <v>902296.71547221811</v>
      </c>
      <c r="H6" s="133">
        <v>913921.65625984012</v>
      </c>
      <c r="I6" s="133">
        <v>909355.8619534215</v>
      </c>
      <c r="J6" s="133">
        <v>926623.10344077705</v>
      </c>
      <c r="K6" s="133">
        <v>970603.58319878997</v>
      </c>
      <c r="L6" s="133">
        <v>947835.72570016305</v>
      </c>
      <c r="M6" s="133">
        <v>964327.463522451</v>
      </c>
      <c r="N6" s="133">
        <v>989884.53617529338</v>
      </c>
      <c r="O6" s="133">
        <v>1056196.2182027367</v>
      </c>
      <c r="P6" s="133">
        <v>1024420.1348020786</v>
      </c>
      <c r="Q6" s="133">
        <v>1035432.7387717043</v>
      </c>
      <c r="R6" s="133">
        <v>1051669.5278650182</v>
      </c>
      <c r="S6" s="133">
        <v>1062328.6973418109</v>
      </c>
      <c r="T6" s="133">
        <v>1087943.5535600239</v>
      </c>
      <c r="U6" s="133">
        <v>1079551.4158543271</v>
      </c>
      <c r="V6" s="133">
        <v>1121475.9017184153</v>
      </c>
      <c r="W6" s="133">
        <v>1098950.6150285406</v>
      </c>
      <c r="X6" s="133">
        <v>1184344.438216028</v>
      </c>
      <c r="Y6" s="133">
        <v>1173343.7042032997</v>
      </c>
      <c r="Z6" s="133">
        <v>1107728.9327450846</v>
      </c>
      <c r="AA6" s="133">
        <v>1145991.8670518862</v>
      </c>
      <c r="AB6" s="133">
        <v>1139657.3932159878</v>
      </c>
      <c r="AC6" s="133">
        <v>1184473.452374368</v>
      </c>
      <c r="AD6" s="133">
        <v>1229037.7751683218</v>
      </c>
      <c r="AE6" s="133">
        <v>1266433.8128693639</v>
      </c>
      <c r="AF6" s="133">
        <v>1205915.6741799323</v>
      </c>
      <c r="AG6" s="133">
        <v>1270383.1437136787</v>
      </c>
      <c r="AH6" s="133">
        <v>1298132.4789859958</v>
      </c>
    </row>
    <row r="7" spans="1:34" ht="22.5" customHeight="1" x14ac:dyDescent="0.25">
      <c r="A7" s="141" t="s">
        <v>222</v>
      </c>
      <c r="B7" s="133">
        <v>-292945.40429606347</v>
      </c>
      <c r="C7" s="133">
        <v>-298492.56838650367</v>
      </c>
      <c r="D7" s="133">
        <v>-309992.83754084236</v>
      </c>
      <c r="E7" s="133">
        <v>-311649.88837414928</v>
      </c>
      <c r="F7" s="133">
        <v>-311824.00520175224</v>
      </c>
      <c r="G7" s="133">
        <v>-321574.47907249589</v>
      </c>
      <c r="H7" s="133">
        <v>-312128.27309926628</v>
      </c>
      <c r="I7" s="133">
        <v>-322058.10076449031</v>
      </c>
      <c r="J7" s="133">
        <v>-334585.3630709236</v>
      </c>
      <c r="K7" s="133">
        <v>-339091.83148890157</v>
      </c>
      <c r="L7" s="133">
        <v>-343387.56113080413</v>
      </c>
      <c r="M7" s="133">
        <v>-349539.42771145422</v>
      </c>
      <c r="N7" s="133">
        <v>-353572.53608786588</v>
      </c>
      <c r="O7" s="133">
        <v>-362074.15080540394</v>
      </c>
      <c r="P7" s="133">
        <v>-376948.071446441</v>
      </c>
      <c r="Q7" s="133">
        <v>-378495.91691039287</v>
      </c>
      <c r="R7" s="133">
        <v>-388419.26352435537</v>
      </c>
      <c r="S7" s="133">
        <v>-392876.94162953005</v>
      </c>
      <c r="T7" s="133">
        <v>-413925.38098546455</v>
      </c>
      <c r="U7" s="133">
        <v>-404852.5704514914</v>
      </c>
      <c r="V7" s="133">
        <v>-411465.68142560567</v>
      </c>
      <c r="W7" s="133">
        <v>-405668.40615361446</v>
      </c>
      <c r="X7" s="133">
        <v>-414074.20210969576</v>
      </c>
      <c r="Y7" s="133">
        <v>-390065.38318975759</v>
      </c>
      <c r="Z7" s="133">
        <v>-376912.41590589785</v>
      </c>
      <c r="AA7" s="133">
        <v>-400111.7662600461</v>
      </c>
      <c r="AB7" s="133">
        <v>-385998.18528655457</v>
      </c>
      <c r="AC7" s="133">
        <v>-426115.47146939661</v>
      </c>
      <c r="AD7" s="133">
        <v>-417794.76451209589</v>
      </c>
      <c r="AE7" s="133">
        <v>-421931.17524860188</v>
      </c>
      <c r="AF7" s="133">
        <v>-428179.04025899665</v>
      </c>
      <c r="AG7" s="133">
        <v>-442366.45827340579</v>
      </c>
      <c r="AH7" s="133">
        <v>-476177.32021515799</v>
      </c>
    </row>
    <row r="8" spans="1:34" ht="13.5" customHeight="1" x14ac:dyDescent="0.25">
      <c r="A8" s="141"/>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row>
    <row r="9" spans="1:34" ht="22.5" customHeight="1" x14ac:dyDescent="0.25">
      <c r="A9" s="140" t="s">
        <v>223</v>
      </c>
      <c r="B9" s="107">
        <v>528507.15049697482</v>
      </c>
      <c r="C9" s="107">
        <v>532504.71843454451</v>
      </c>
      <c r="D9" s="107">
        <v>535595.34332503879</v>
      </c>
      <c r="E9" s="107">
        <v>537435.03660130629</v>
      </c>
      <c r="F9" s="107">
        <v>544408.05608472717</v>
      </c>
      <c r="G9" s="107">
        <v>546452.15534119459</v>
      </c>
      <c r="H9" s="107">
        <v>551405.17527963209</v>
      </c>
      <c r="I9" s="107">
        <v>556514.24032124854</v>
      </c>
      <c r="J9" s="107">
        <v>559315.16579802462</v>
      </c>
      <c r="K9" s="107">
        <v>560316.61627336999</v>
      </c>
      <c r="L9" s="107">
        <v>566314.99988263834</v>
      </c>
      <c r="M9" s="107">
        <v>569585.84295182757</v>
      </c>
      <c r="N9" s="107">
        <v>572947.61443394527</v>
      </c>
      <c r="O9" s="107">
        <v>580946.77017233381</v>
      </c>
      <c r="P9" s="107">
        <v>568231.20749208983</v>
      </c>
      <c r="Q9" s="107">
        <v>577470.58963284642</v>
      </c>
      <c r="R9" s="107">
        <v>579449.06567024486</v>
      </c>
      <c r="S9" s="107">
        <v>590893.29062382143</v>
      </c>
      <c r="T9" s="107">
        <v>606617.82903432159</v>
      </c>
      <c r="U9" s="107">
        <v>618478.67383789143</v>
      </c>
      <c r="V9" s="107">
        <v>615619.1752611004</v>
      </c>
      <c r="W9" s="107">
        <v>612042.03886945278</v>
      </c>
      <c r="X9" s="107">
        <v>575645.00194022548</v>
      </c>
      <c r="Y9" s="107">
        <v>565342.6026336879</v>
      </c>
      <c r="Z9" s="107">
        <v>601140.60929480777</v>
      </c>
      <c r="AA9" s="107">
        <v>606637.00377823273</v>
      </c>
      <c r="AB9" s="107">
        <v>612902.89043286897</v>
      </c>
      <c r="AC9" s="107">
        <v>629590.50231638446</v>
      </c>
      <c r="AD9" s="107">
        <v>624614.1777794204</v>
      </c>
      <c r="AE9" s="107">
        <v>614101.8384886795</v>
      </c>
      <c r="AF9" s="107">
        <v>678156.26882610796</v>
      </c>
      <c r="AG9" s="107">
        <v>689030.49952952284</v>
      </c>
      <c r="AH9" s="107">
        <v>697522.58294174669</v>
      </c>
    </row>
    <row r="10" spans="1:34" ht="22.5" customHeight="1" x14ac:dyDescent="0.25">
      <c r="A10" s="140" t="s">
        <v>224</v>
      </c>
      <c r="B10" s="107">
        <v>73521.73544106973</v>
      </c>
      <c r="C10" s="107">
        <v>76710.534558027837</v>
      </c>
      <c r="D10" s="107">
        <v>75333.36498810933</v>
      </c>
      <c r="E10" s="107">
        <v>77577.83028939963</v>
      </c>
      <c r="F10" s="107">
        <v>79130.052553158428</v>
      </c>
      <c r="G10" s="107">
        <v>81328.105320117786</v>
      </c>
      <c r="H10" s="107">
        <v>81462.347226139711</v>
      </c>
      <c r="I10" s="107">
        <v>83756.258916353021</v>
      </c>
      <c r="J10" s="107">
        <v>81157.434213993198</v>
      </c>
      <c r="K10" s="107">
        <v>80769.930632950753</v>
      </c>
      <c r="L10" s="107">
        <v>83083.676186016295</v>
      </c>
      <c r="M10" s="107">
        <v>81688.577415032501</v>
      </c>
      <c r="N10" s="107">
        <v>84532.691022840867</v>
      </c>
      <c r="O10" s="107">
        <v>90520.634915157571</v>
      </c>
      <c r="P10" s="107">
        <v>72506.872336634973</v>
      </c>
      <c r="Q10" s="107">
        <v>80581.332171483809</v>
      </c>
      <c r="R10" s="107">
        <v>86551.353297311303</v>
      </c>
      <c r="S10" s="107">
        <v>93766.65130088247</v>
      </c>
      <c r="T10" s="107">
        <v>102389.82691172507</v>
      </c>
      <c r="U10" s="107">
        <v>114689.53232434727</v>
      </c>
      <c r="V10" s="107">
        <v>108858.03239432072</v>
      </c>
      <c r="W10" s="107">
        <v>102781.82188343778</v>
      </c>
      <c r="X10" s="107">
        <v>68553.84791210563</v>
      </c>
      <c r="Y10" s="107">
        <v>63587.994259148021</v>
      </c>
      <c r="Z10" s="107">
        <v>67640.188858857393</v>
      </c>
      <c r="AA10" s="107">
        <v>73793.763753036474</v>
      </c>
      <c r="AB10" s="107">
        <v>78891.757295663585</v>
      </c>
      <c r="AC10" s="107">
        <v>83951.434636307575</v>
      </c>
      <c r="AD10" s="107">
        <v>88117.980086452633</v>
      </c>
      <c r="AE10" s="107">
        <v>84218.039875542745</v>
      </c>
      <c r="AF10" s="107">
        <v>91392.850719704235</v>
      </c>
      <c r="AG10" s="107">
        <v>97199.326574077029</v>
      </c>
      <c r="AH10" s="107">
        <v>104148.84429318221</v>
      </c>
    </row>
    <row r="11" spans="1:34" ht="22.5" customHeight="1" x14ac:dyDescent="0.25">
      <c r="A11" s="141" t="s">
        <v>225</v>
      </c>
      <c r="B11" s="133">
        <v>108562.61593662319</v>
      </c>
      <c r="C11" s="133">
        <v>108923.96045578015</v>
      </c>
      <c r="D11" s="133">
        <v>106522.54550469911</v>
      </c>
      <c r="E11" s="133">
        <v>110891.83050453781</v>
      </c>
      <c r="F11" s="133">
        <v>108916.8087983835</v>
      </c>
      <c r="G11" s="133">
        <v>112107.7442829256</v>
      </c>
      <c r="H11" s="133">
        <v>113203.19004600875</v>
      </c>
      <c r="I11" s="133">
        <v>115890.98669991593</v>
      </c>
      <c r="J11" s="133">
        <v>111312.03404918466</v>
      </c>
      <c r="K11" s="133">
        <v>110419.95805792572</v>
      </c>
      <c r="L11" s="133">
        <v>115601.73085135258</v>
      </c>
      <c r="M11" s="133">
        <v>112474.58672580255</v>
      </c>
      <c r="N11" s="133">
        <v>114928.57344395113</v>
      </c>
      <c r="O11" s="133">
        <v>121374.08251778412</v>
      </c>
      <c r="P11" s="133">
        <v>120575.18472203201</v>
      </c>
      <c r="Q11" s="133">
        <v>121791.26959406733</v>
      </c>
      <c r="R11" s="133">
        <v>122275.49144287358</v>
      </c>
      <c r="S11" s="133">
        <v>129638.25732720213</v>
      </c>
      <c r="T11" s="133">
        <v>153690.12734889146</v>
      </c>
      <c r="U11" s="133">
        <v>153678.35557526001</v>
      </c>
      <c r="V11" s="133">
        <v>168287.1343339812</v>
      </c>
      <c r="W11" s="133">
        <v>158018.09263549742</v>
      </c>
      <c r="X11" s="133">
        <v>149556.62306209799</v>
      </c>
      <c r="Y11" s="133">
        <v>146628.42226156747</v>
      </c>
      <c r="Z11" s="133">
        <v>139917.55576504051</v>
      </c>
      <c r="AA11" s="133">
        <v>141755.63593183062</v>
      </c>
      <c r="AB11" s="133">
        <v>146408.5262308176</v>
      </c>
      <c r="AC11" s="133">
        <v>150826.24848758962</v>
      </c>
      <c r="AD11" s="133">
        <v>158531.01076336461</v>
      </c>
      <c r="AE11" s="133">
        <v>162723.36962497901</v>
      </c>
      <c r="AF11" s="133">
        <v>165605.53635328053</v>
      </c>
      <c r="AG11" s="133">
        <v>172559.18995670188</v>
      </c>
      <c r="AH11" s="133">
        <v>188936.92518337848</v>
      </c>
    </row>
    <row r="12" spans="1:34" ht="22.5" customHeight="1" x14ac:dyDescent="0.25">
      <c r="A12" s="141" t="s">
        <v>226</v>
      </c>
      <c r="B12" s="133">
        <v>-35040.880495553465</v>
      </c>
      <c r="C12" s="133">
        <v>-32213.425897752317</v>
      </c>
      <c r="D12" s="133">
        <v>-31189.180516589779</v>
      </c>
      <c r="E12" s="133">
        <v>-33314.000215138185</v>
      </c>
      <c r="F12" s="133">
        <v>-29786.756245225064</v>
      </c>
      <c r="G12" s="133">
        <v>-30779.63896280781</v>
      </c>
      <c r="H12" s="133">
        <v>-31740.842819869038</v>
      </c>
      <c r="I12" s="133">
        <v>-32134.727783562914</v>
      </c>
      <c r="J12" s="133">
        <v>-30154.59983519146</v>
      </c>
      <c r="K12" s="133">
        <v>-29650.027424974964</v>
      </c>
      <c r="L12" s="133">
        <v>-32518.054665336287</v>
      </c>
      <c r="M12" s="133">
        <v>-30786.009310770052</v>
      </c>
      <c r="N12" s="133">
        <v>-30395.882421110262</v>
      </c>
      <c r="O12" s="133">
        <v>-30853.447602626547</v>
      </c>
      <c r="P12" s="133">
        <v>-48068.312385397032</v>
      </c>
      <c r="Q12" s="133">
        <v>-41209.93742258352</v>
      </c>
      <c r="R12" s="133">
        <v>-35724.138145562276</v>
      </c>
      <c r="S12" s="133">
        <v>-35871.606026319656</v>
      </c>
      <c r="T12" s="133">
        <v>-51300.300437166385</v>
      </c>
      <c r="U12" s="133">
        <v>-38988.823250912741</v>
      </c>
      <c r="V12" s="133">
        <v>-59429.101939660482</v>
      </c>
      <c r="W12" s="133">
        <v>-55236.270752059645</v>
      </c>
      <c r="X12" s="133">
        <v>-81002.775149992362</v>
      </c>
      <c r="Y12" s="133">
        <v>-83040.428002419445</v>
      </c>
      <c r="Z12" s="133">
        <v>-72277.366906183117</v>
      </c>
      <c r="AA12" s="133">
        <v>-67961.872178794147</v>
      </c>
      <c r="AB12" s="133">
        <v>-67516.768935154018</v>
      </c>
      <c r="AC12" s="133">
        <v>-66874.813851282044</v>
      </c>
      <c r="AD12" s="133">
        <v>-70413.030676911978</v>
      </c>
      <c r="AE12" s="133">
        <v>-78505.329749436263</v>
      </c>
      <c r="AF12" s="133">
        <v>-74212.6856335763</v>
      </c>
      <c r="AG12" s="133">
        <v>-75359.863382624855</v>
      </c>
      <c r="AH12" s="133">
        <v>-84788.080890196274</v>
      </c>
    </row>
    <row r="13" spans="1:34" ht="22.5" customHeight="1" x14ac:dyDescent="0.25">
      <c r="A13" s="140" t="s">
        <v>231</v>
      </c>
      <c r="B13" s="107">
        <v>454985.41505590512</v>
      </c>
      <c r="C13" s="107">
        <v>455794.18387651665</v>
      </c>
      <c r="D13" s="107">
        <v>460261.97833692946</v>
      </c>
      <c r="E13" s="107">
        <v>459857.20631190663</v>
      </c>
      <c r="F13" s="107">
        <v>465278.00353156874</v>
      </c>
      <c r="G13" s="107">
        <v>465124.05002107681</v>
      </c>
      <c r="H13" s="107">
        <v>469942.82805349235</v>
      </c>
      <c r="I13" s="107">
        <v>472757.98140489554</v>
      </c>
      <c r="J13" s="107">
        <v>478157.73158403143</v>
      </c>
      <c r="K13" s="107">
        <v>479546.68564041925</v>
      </c>
      <c r="L13" s="107">
        <v>483231.32369662204</v>
      </c>
      <c r="M13" s="107">
        <v>487897.26553679502</v>
      </c>
      <c r="N13" s="107">
        <v>488414.92341110442</v>
      </c>
      <c r="O13" s="107">
        <v>2.5</v>
      </c>
      <c r="P13" s="107">
        <v>495724.33515545487</v>
      </c>
      <c r="Q13" s="107">
        <v>496889.25746136258</v>
      </c>
      <c r="R13" s="107">
        <v>492897.71237293351</v>
      </c>
      <c r="S13" s="107">
        <v>497126.63932293892</v>
      </c>
      <c r="T13" s="107">
        <v>504228.00212259649</v>
      </c>
      <c r="U13" s="107">
        <v>503789.14151354413</v>
      </c>
      <c r="V13" s="107">
        <v>506761.14286677964</v>
      </c>
      <c r="W13" s="107">
        <v>509260.21698601497</v>
      </c>
      <c r="X13" s="107">
        <v>507091.15402811987</v>
      </c>
      <c r="Y13" s="107">
        <v>501754.60837453988</v>
      </c>
      <c r="Z13" s="107">
        <v>533500.42043595039</v>
      </c>
      <c r="AA13" s="107">
        <v>532843.24002519622</v>
      </c>
      <c r="AB13" s="107">
        <v>534011.13313720538</v>
      </c>
      <c r="AC13" s="107">
        <v>545639.06768007693</v>
      </c>
      <c r="AD13" s="107">
        <v>536496.19769296772</v>
      </c>
      <c r="AE13" s="107">
        <v>529883.79861313675</v>
      </c>
      <c r="AF13" s="107">
        <v>586763.41810640378</v>
      </c>
      <c r="AG13" s="107">
        <v>591831.17295544583</v>
      </c>
      <c r="AH13" s="107">
        <v>593373.73864856444</v>
      </c>
    </row>
    <row r="14" spans="1:34" ht="13.5" customHeight="1" x14ac:dyDescent="0.25">
      <c r="A14" s="141"/>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row>
    <row r="15" spans="1:34" ht="22.5" customHeight="1" x14ac:dyDescent="0.25">
      <c r="A15" s="140" t="s">
        <v>227</v>
      </c>
      <c r="B15" s="107">
        <v>544713.22111905226</v>
      </c>
      <c r="C15" s="107">
        <v>547078.01010348124</v>
      </c>
      <c r="D15" s="107">
        <v>554892.69632883591</v>
      </c>
      <c r="E15" s="107">
        <v>554908.23577923037</v>
      </c>
      <c r="F15" s="107">
        <v>559637.26738361537</v>
      </c>
      <c r="G15" s="107">
        <v>562978.93241245963</v>
      </c>
      <c r="H15" s="107">
        <v>565338.49062105222</v>
      </c>
      <c r="I15" s="107">
        <v>564329.58136491175</v>
      </c>
      <c r="J15" s="107">
        <v>571821.25441540603</v>
      </c>
      <c r="K15" s="107">
        <v>574711.70473376976</v>
      </c>
      <c r="L15" s="107">
        <v>573609.46124614414</v>
      </c>
      <c r="M15" s="107">
        <v>576579.80937112006</v>
      </c>
      <c r="N15" s="107">
        <v>586220.9455710582</v>
      </c>
      <c r="O15" s="107">
        <v>592579.06939322897</v>
      </c>
      <c r="P15" s="107">
        <v>601973.23458341032</v>
      </c>
      <c r="Q15" s="107">
        <v>604264.38169844472</v>
      </c>
      <c r="R15" s="107">
        <v>612966.7983084236</v>
      </c>
      <c r="S15" s="107">
        <v>623487.74252911494</v>
      </c>
      <c r="T15" s="107">
        <v>634874.85028223693</v>
      </c>
      <c r="U15" s="107">
        <v>640638.5183000121</v>
      </c>
      <c r="V15" s="107">
        <v>644329.59710239817</v>
      </c>
      <c r="W15" s="107">
        <v>645173.52177810203</v>
      </c>
      <c r="X15" s="107">
        <v>646149.29340344621</v>
      </c>
      <c r="Y15" s="107">
        <v>655899.11789156613</v>
      </c>
      <c r="Z15" s="107">
        <v>693565.16370723839</v>
      </c>
      <c r="AA15" s="107">
        <v>694772.90107514313</v>
      </c>
      <c r="AB15" s="107">
        <v>703592.72573349939</v>
      </c>
      <c r="AC15" s="107">
        <v>708184.36570888828</v>
      </c>
      <c r="AD15" s="107">
        <v>710613.30748368672</v>
      </c>
      <c r="AE15" s="107">
        <v>710709.83976267208</v>
      </c>
      <c r="AF15" s="107">
        <v>763284.38256650825</v>
      </c>
      <c r="AG15" s="107">
        <v>765919.0235516103</v>
      </c>
      <c r="AH15" s="107">
        <v>765365.56867240334</v>
      </c>
    </row>
    <row r="16" spans="1:34" ht="22.5" customHeight="1" x14ac:dyDescent="0.25">
      <c r="A16" s="141" t="s">
        <v>228</v>
      </c>
      <c r="B16" s="133">
        <v>29071.941947559819</v>
      </c>
      <c r="C16" s="133">
        <v>29111.019947766225</v>
      </c>
      <c r="D16" s="133">
        <v>31636.023138115845</v>
      </c>
      <c r="E16" s="133">
        <v>29893.550483353891</v>
      </c>
      <c r="F16" s="133">
        <v>29612.111529268681</v>
      </c>
      <c r="G16" s="133">
        <v>29987.258875632728</v>
      </c>
      <c r="H16" s="133">
        <v>29808.532092407655</v>
      </c>
      <c r="I16" s="133">
        <v>29873.778942881614</v>
      </c>
      <c r="J16" s="133">
        <v>30056.327956020566</v>
      </c>
      <c r="K16" s="133">
        <v>30327.714046756177</v>
      </c>
      <c r="L16" s="133">
        <v>30499.597336790979</v>
      </c>
      <c r="M16" s="133">
        <v>30620.709542476052</v>
      </c>
      <c r="N16" s="133">
        <v>31634.880380811912</v>
      </c>
      <c r="O16" s="133">
        <v>31672.719324559101</v>
      </c>
      <c r="P16" s="133">
        <v>35365.44116659162</v>
      </c>
      <c r="Q16" s="133">
        <v>33646.968742174089</v>
      </c>
      <c r="R16" s="133">
        <v>33729.331543131731</v>
      </c>
      <c r="S16" s="133">
        <v>34041.210177219153</v>
      </c>
      <c r="T16" s="133">
        <v>35441.178040064326</v>
      </c>
      <c r="U16" s="133">
        <v>36965.41341447919</v>
      </c>
      <c r="V16" s="133">
        <v>36133.21804392316</v>
      </c>
      <c r="W16" s="133">
        <v>36349.4683146877</v>
      </c>
      <c r="X16" s="133">
        <v>36481.794617266271</v>
      </c>
      <c r="Y16" s="133">
        <v>36167.186899197026</v>
      </c>
      <c r="Z16" s="133">
        <v>36623.820447114776</v>
      </c>
      <c r="AA16" s="133">
        <v>36907.671134592551</v>
      </c>
      <c r="AB16" s="133">
        <v>39610.504011841193</v>
      </c>
      <c r="AC16" s="133">
        <v>38497.754583117094</v>
      </c>
      <c r="AD16" s="133">
        <v>38230.063502696634</v>
      </c>
      <c r="AE16" s="133">
        <v>38930.812688919905</v>
      </c>
      <c r="AF16" s="133">
        <v>39704.961290793319</v>
      </c>
      <c r="AG16" s="133">
        <v>39960.940228936379</v>
      </c>
      <c r="AH16" s="133">
        <v>39426.331250734554</v>
      </c>
    </row>
    <row r="17" spans="1:34" ht="22.5" customHeight="1" x14ac:dyDescent="0.25">
      <c r="A17" s="141" t="s">
        <v>232</v>
      </c>
      <c r="B17" s="133">
        <v>349817.3692072588</v>
      </c>
      <c r="C17" s="133">
        <v>354201.30768308928</v>
      </c>
      <c r="D17" s="133">
        <v>357765.07698057732</v>
      </c>
      <c r="E17" s="133">
        <v>357996.54613215395</v>
      </c>
      <c r="F17" s="133">
        <v>360616.08258897066</v>
      </c>
      <c r="G17" s="133">
        <v>363121.49049247528</v>
      </c>
      <c r="H17" s="133">
        <v>364963.17042565683</v>
      </c>
      <c r="I17" s="133">
        <v>366876.16172554885</v>
      </c>
      <c r="J17" s="133">
        <v>372476.17302280985</v>
      </c>
      <c r="K17" s="133">
        <v>371956.17727903632</v>
      </c>
      <c r="L17" s="133">
        <v>370917.33419416589</v>
      </c>
      <c r="M17" s="133">
        <v>372604.91621793649</v>
      </c>
      <c r="N17" s="133">
        <v>379112.62310929457</v>
      </c>
      <c r="O17" s="133">
        <v>385379.45376494777</v>
      </c>
      <c r="P17" s="133">
        <v>393472.95413386746</v>
      </c>
      <c r="Q17" s="133">
        <v>394025.78620856954</v>
      </c>
      <c r="R17" s="133">
        <v>405010.9204585104</v>
      </c>
      <c r="S17" s="133">
        <v>417207.36841667444</v>
      </c>
      <c r="T17" s="133">
        <v>431884.0214971847</v>
      </c>
      <c r="U17" s="133">
        <v>439214.34439756483</v>
      </c>
      <c r="V17" s="133">
        <v>442993.63756981672</v>
      </c>
      <c r="W17" s="133">
        <v>441891.34842852247</v>
      </c>
      <c r="X17" s="133">
        <v>442286.64786667615</v>
      </c>
      <c r="Y17" s="133">
        <v>451981.33376380499</v>
      </c>
      <c r="Z17" s="133">
        <v>486714.30772278382</v>
      </c>
      <c r="AA17" s="133">
        <v>485340.02046269918</v>
      </c>
      <c r="AB17" s="133">
        <v>493926.79344369972</v>
      </c>
      <c r="AC17" s="133">
        <v>499582.36185885279</v>
      </c>
      <c r="AD17" s="133">
        <v>504343.96406380221</v>
      </c>
      <c r="AE17" s="133">
        <v>511973.02573807631</v>
      </c>
      <c r="AF17" s="133">
        <v>568689.48635028547</v>
      </c>
      <c r="AG17" s="133">
        <v>570517.19365886296</v>
      </c>
      <c r="AH17" s="133">
        <v>569547.83374324674</v>
      </c>
    </row>
    <row r="18" spans="1:34" ht="22.5" customHeight="1" x14ac:dyDescent="0.25">
      <c r="A18" s="141" t="s">
        <v>233</v>
      </c>
      <c r="B18" s="133">
        <v>144948.09209820529</v>
      </c>
      <c r="C18" s="133">
        <v>143502.54002618886</v>
      </c>
      <c r="D18" s="133">
        <v>143591.75394556049</v>
      </c>
      <c r="E18" s="133">
        <v>145167.76914755409</v>
      </c>
      <c r="F18" s="133">
        <v>146160.50104224373</v>
      </c>
      <c r="G18" s="133">
        <v>145041.4055475583</v>
      </c>
      <c r="H18" s="133">
        <v>145419.72368479954</v>
      </c>
      <c r="I18" s="133">
        <v>142675.43303174363</v>
      </c>
      <c r="J18" s="133">
        <v>142305.97178097413</v>
      </c>
      <c r="K18" s="133">
        <v>145276.86816338875</v>
      </c>
      <c r="L18" s="133">
        <v>145133.04978730206</v>
      </c>
      <c r="M18" s="133">
        <v>147008.39646150314</v>
      </c>
      <c r="N18" s="133">
        <v>148678.14615921731</v>
      </c>
      <c r="O18" s="133">
        <v>149076.11817971867</v>
      </c>
      <c r="P18" s="133">
        <v>146311.98532118497</v>
      </c>
      <c r="Q18" s="133">
        <v>149732.40711379156</v>
      </c>
      <c r="R18" s="133">
        <v>149590.31547323018</v>
      </c>
      <c r="S18" s="133">
        <v>148814.45449413886</v>
      </c>
      <c r="T18" s="133">
        <v>145371.78443962146</v>
      </c>
      <c r="U18" s="133">
        <v>145231.1709535988</v>
      </c>
      <c r="V18" s="133">
        <v>146359.36920270845</v>
      </c>
      <c r="W18" s="133">
        <v>147731.5166022795</v>
      </c>
      <c r="X18" s="133">
        <v>148643.92693014941</v>
      </c>
      <c r="Y18" s="133">
        <v>148733.96141695153</v>
      </c>
      <c r="Z18" s="133">
        <v>148776.37339146185</v>
      </c>
      <c r="AA18" s="133">
        <v>150773.99329671604</v>
      </c>
      <c r="AB18" s="133">
        <v>150023.86640949865</v>
      </c>
      <c r="AC18" s="133">
        <v>149489.95006325806</v>
      </c>
      <c r="AD18" s="133">
        <v>148159.36137781234</v>
      </c>
      <c r="AE18" s="133">
        <v>143922.01373360475</v>
      </c>
      <c r="AF18" s="133">
        <v>141332.03858743189</v>
      </c>
      <c r="AG18" s="133">
        <v>142611.96901376377</v>
      </c>
      <c r="AH18" s="133">
        <v>143737.48427063884</v>
      </c>
    </row>
    <row r="19" spans="1:34" ht="22.5" customHeight="1" x14ac:dyDescent="0.25">
      <c r="A19" s="141" t="s">
        <v>234</v>
      </c>
      <c r="B19" s="133">
        <v>20875.81786602833</v>
      </c>
      <c r="C19" s="133">
        <v>20263.142446436872</v>
      </c>
      <c r="D19" s="133">
        <v>21899.842264582279</v>
      </c>
      <c r="E19" s="133">
        <v>21850.370016168483</v>
      </c>
      <c r="F19" s="133">
        <v>23248.572223132323</v>
      </c>
      <c r="G19" s="133">
        <v>24828.777496793307</v>
      </c>
      <c r="H19" s="133">
        <v>25147.064418188154</v>
      </c>
      <c r="I19" s="133">
        <v>24904.207664737729</v>
      </c>
      <c r="J19" s="133">
        <v>26982.781655601539</v>
      </c>
      <c r="K19" s="133">
        <v>27150.945244588522</v>
      </c>
      <c r="L19" s="133">
        <v>27059.47992788527</v>
      </c>
      <c r="M19" s="133">
        <v>26345.787149204461</v>
      </c>
      <c r="N19" s="133">
        <v>26795.295921734403</v>
      </c>
      <c r="O19" s="133">
        <v>26450.778124003409</v>
      </c>
      <c r="P19" s="133">
        <v>26822.853961766399</v>
      </c>
      <c r="Q19" s="133">
        <v>26859.219633909466</v>
      </c>
      <c r="R19" s="133">
        <v>24636.230833551264</v>
      </c>
      <c r="S19" s="133">
        <v>23424.709441082585</v>
      </c>
      <c r="T19" s="133">
        <v>22177.866305366384</v>
      </c>
      <c r="U19" s="133">
        <v>19227.589534369341</v>
      </c>
      <c r="V19" s="133">
        <v>18843.372285949888</v>
      </c>
      <c r="W19" s="133">
        <v>19201.188432612289</v>
      </c>
      <c r="X19" s="133">
        <v>18736.923989354444</v>
      </c>
      <c r="Y19" s="133">
        <v>19016.635811612556</v>
      </c>
      <c r="Z19" s="133">
        <v>21450.662145877915</v>
      </c>
      <c r="AA19" s="133">
        <v>21751.216181135442</v>
      </c>
      <c r="AB19" s="133">
        <v>20031.561868459889</v>
      </c>
      <c r="AC19" s="133">
        <v>20614.299203660394</v>
      </c>
      <c r="AD19" s="133">
        <v>19879.918539375511</v>
      </c>
      <c r="AE19" s="133">
        <v>15883.987602071098</v>
      </c>
      <c r="AF19" s="133">
        <v>13557.896337997492</v>
      </c>
      <c r="AG19" s="133">
        <v>12828.920650047221</v>
      </c>
      <c r="AH19" s="133">
        <v>12653.919407783216</v>
      </c>
    </row>
    <row r="20" spans="1:34" ht="13.5" customHeight="1" x14ac:dyDescent="0.25">
      <c r="A20" s="141"/>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row>
    <row r="21" spans="1:34" ht="22.5" customHeight="1" x14ac:dyDescent="0.25">
      <c r="A21" s="140" t="s">
        <v>229</v>
      </c>
      <c r="B21" s="107">
        <v>371878.45595635509</v>
      </c>
      <c r="C21" s="107">
        <v>346036.16941205284</v>
      </c>
      <c r="D21" s="107">
        <v>344650.97930155793</v>
      </c>
      <c r="E21" s="107">
        <v>330354.33520094998</v>
      </c>
      <c r="F21" s="107">
        <v>385506.07293973211</v>
      </c>
      <c r="G21" s="107">
        <v>345697.81825509068</v>
      </c>
      <c r="H21" s="107">
        <v>365764.10364658892</v>
      </c>
      <c r="I21" s="107">
        <v>348376.75032607594</v>
      </c>
      <c r="J21" s="107">
        <v>345817.18487131794</v>
      </c>
      <c r="K21" s="107">
        <v>374586.35246465099</v>
      </c>
      <c r="L21" s="107">
        <v>355009.47499842552</v>
      </c>
      <c r="M21" s="107">
        <v>361007.5206149944</v>
      </c>
      <c r="N21" s="107">
        <v>378607.80629883031</v>
      </c>
      <c r="O21" s="107">
        <v>429500.64278508432</v>
      </c>
      <c r="P21" s="107">
        <v>385115.21614873642</v>
      </c>
      <c r="Q21" s="107">
        <v>396042.42421970447</v>
      </c>
      <c r="R21" s="107">
        <v>395667.28414758405</v>
      </c>
      <c r="S21" s="107">
        <v>392174.31633880443</v>
      </c>
      <c r="T21" s="107">
        <v>388114.27289226383</v>
      </c>
      <c r="U21" s="107">
        <v>390703.1851307</v>
      </c>
      <c r="V21" s="107">
        <v>410138.5829340652</v>
      </c>
      <c r="W21" s="107">
        <v>388600.37820618495</v>
      </c>
      <c r="X21" s="107">
        <v>464168.91024537792</v>
      </c>
      <c r="Y21" s="107">
        <v>473937.81387358392</v>
      </c>
      <c r="Z21" s="107">
        <v>420078.83187052165</v>
      </c>
      <c r="AA21" s="107">
        <v>432279.80504278961</v>
      </c>
      <c r="AB21" s="107">
        <v>439105.94050059468</v>
      </c>
      <c r="AC21" s="107">
        <v>454315.46180165303</v>
      </c>
      <c r="AD21" s="107">
        <v>493198.26157522842</v>
      </c>
      <c r="AE21" s="107">
        <v>516762.1957097351</v>
      </c>
      <c r="AF21" s="107">
        <v>457300.35292725172</v>
      </c>
      <c r="AG21" s="107">
        <v>510873.00672051957</v>
      </c>
      <c r="AH21" s="107">
        <v>498732.14641922817</v>
      </c>
    </row>
    <row r="22" spans="1:34" ht="13.5" customHeight="1" x14ac:dyDescent="0.25">
      <c r="A22" s="141"/>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row>
    <row r="23" spans="1:34" ht="22.5" customHeight="1" x14ac:dyDescent="0.25">
      <c r="A23" s="140" t="s">
        <v>219</v>
      </c>
      <c r="B23" s="107">
        <v>1624.2148832299999</v>
      </c>
      <c r="C23" s="107">
        <v>1549.5089154100001</v>
      </c>
      <c r="D23" s="107">
        <v>856.06608082999992</v>
      </c>
      <c r="E23" s="107">
        <v>1276.3656250999998</v>
      </c>
      <c r="F23" s="107">
        <v>1297.5461191700001</v>
      </c>
      <c r="G23" s="107">
        <v>1323.6721660499998</v>
      </c>
      <c r="H23" s="107">
        <v>1665.3537148</v>
      </c>
      <c r="I23" s="107">
        <v>1731.7073177500001</v>
      </c>
      <c r="J23" s="107">
        <v>1745.1016040000002</v>
      </c>
      <c r="K23" s="107">
        <v>1270.4286849999999</v>
      </c>
      <c r="L23" s="107">
        <v>1337.2616563700001</v>
      </c>
      <c r="M23" s="107">
        <v>1432.01673962</v>
      </c>
      <c r="N23" s="107">
        <v>1614.4807230399999</v>
      </c>
      <c r="O23" s="107">
        <v>1698.3874377300003</v>
      </c>
      <c r="P23" s="107">
        <v>1645.8600867999999</v>
      </c>
      <c r="Q23" s="107">
        <v>1571.04019756</v>
      </c>
      <c r="R23" s="107">
        <v>1515.4410619599996</v>
      </c>
      <c r="S23" s="107">
        <v>1591.00610407</v>
      </c>
      <c r="T23" s="107">
        <v>1402.85396128</v>
      </c>
      <c r="U23" s="107">
        <v>1291.2186228800001</v>
      </c>
      <c r="V23" s="107">
        <v>2054.9898269199998</v>
      </c>
      <c r="W23" s="107">
        <v>2561.1279846699999</v>
      </c>
      <c r="X23" s="107">
        <v>3037.2003470899999</v>
      </c>
      <c r="Y23" s="107">
        <v>3242.8194992999997</v>
      </c>
      <c r="Z23" s="107">
        <v>3321.13749422</v>
      </c>
      <c r="AA23" s="107">
        <v>3509.1284145600002</v>
      </c>
      <c r="AB23" s="107">
        <v>3573.3840891999998</v>
      </c>
      <c r="AC23" s="107">
        <v>3781.9343671400002</v>
      </c>
      <c r="AD23" s="107">
        <v>3801.0068398799995</v>
      </c>
      <c r="AE23" s="107">
        <v>4048.8971004699997</v>
      </c>
      <c r="AF23" s="107">
        <v>4047.7999850399992</v>
      </c>
      <c r="AG23" s="107">
        <v>4266.4755032100002</v>
      </c>
      <c r="AH23" s="107">
        <v>4917.7199097399998</v>
      </c>
    </row>
    <row r="24" spans="1:34" ht="13.5" customHeight="1" x14ac:dyDescent="0.25">
      <c r="A24" s="141"/>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row>
    <row r="25" spans="1:34" ht="22.5" customHeight="1" x14ac:dyDescent="0.25">
      <c r="A25" s="140" t="s">
        <v>154</v>
      </c>
      <c r="B25" s="107">
        <v>1632.4893438899999</v>
      </c>
      <c r="C25" s="107">
        <v>1792.6862675599998</v>
      </c>
      <c r="D25" s="107">
        <v>2003.9572564100004</v>
      </c>
      <c r="E25" s="107">
        <v>2552.4010111900002</v>
      </c>
      <c r="F25" s="107">
        <v>2499.3138635099999</v>
      </c>
      <c r="G25" s="107">
        <v>2038.20702794</v>
      </c>
      <c r="H25" s="107">
        <v>2539.0902784499999</v>
      </c>
      <c r="I25" s="107">
        <v>3039.9506260800003</v>
      </c>
      <c r="J25" s="107">
        <v>2805.1478813600002</v>
      </c>
      <c r="K25" s="107">
        <v>2330.8089022000004</v>
      </c>
      <c r="L25" s="107">
        <v>2798.3830364800001</v>
      </c>
      <c r="M25" s="107">
        <v>3012.69729035</v>
      </c>
      <c r="N25" s="107">
        <v>3265.6251120099996</v>
      </c>
      <c r="O25" s="107">
        <v>3925.75648331</v>
      </c>
      <c r="P25" s="107">
        <v>4599.7472379300016</v>
      </c>
      <c r="Q25" s="107">
        <v>4238.9144227299994</v>
      </c>
      <c r="R25" s="107">
        <v>57.091407879999998</v>
      </c>
      <c r="S25" s="107">
        <v>55.851357880000002</v>
      </c>
      <c r="T25" s="107">
        <v>55.869201259999997</v>
      </c>
      <c r="U25" s="107">
        <v>54.111268260000003</v>
      </c>
      <c r="V25" s="107">
        <v>54.130567880000001</v>
      </c>
      <c r="W25" s="107">
        <v>67.366464649999998</v>
      </c>
      <c r="X25" s="107">
        <v>91.748766759999995</v>
      </c>
      <c r="Y25" s="107">
        <v>91.150441400000005</v>
      </c>
      <c r="Z25" s="107">
        <v>104.49683879999999</v>
      </c>
      <c r="AA25" s="107">
        <v>117.42358992</v>
      </c>
      <c r="AB25" s="107">
        <v>123.24530838</v>
      </c>
      <c r="AC25" s="107">
        <v>147.75145222</v>
      </c>
      <c r="AD25" s="107">
        <v>151.36129400999999</v>
      </c>
      <c r="AE25" s="107">
        <v>147.90856485</v>
      </c>
      <c r="AF25" s="107">
        <v>150.14729041000001</v>
      </c>
      <c r="AG25" s="107">
        <v>151.25828595999999</v>
      </c>
      <c r="AH25" s="107">
        <v>159.86479464000001</v>
      </c>
    </row>
    <row r="26" spans="1:34" ht="13.5" customHeight="1" x14ac:dyDescent="0.25">
      <c r="A26" s="141"/>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row>
    <row r="27" spans="1:34" ht="22.5" customHeight="1" x14ac:dyDescent="0.25">
      <c r="A27" s="140" t="s">
        <v>192</v>
      </c>
      <c r="B27" s="107">
        <v>725.5638831950298</v>
      </c>
      <c r="C27" s="107">
        <v>682.56711189350335</v>
      </c>
      <c r="D27" s="107">
        <v>721.26581348887601</v>
      </c>
      <c r="E27" s="107">
        <v>793.48505532829211</v>
      </c>
      <c r="F27" s="107">
        <v>845.2363743790977</v>
      </c>
      <c r="G27" s="107">
        <v>973.05045557940718</v>
      </c>
      <c r="H27" s="107">
        <v>883.02524867605166</v>
      </c>
      <c r="I27" s="107">
        <v>855.93827996839514</v>
      </c>
      <c r="J27" s="107">
        <v>682.47721434085372</v>
      </c>
      <c r="K27" s="107">
        <v>1224.048572871633</v>
      </c>
      <c r="L27" s="107">
        <v>1246.6045671305631</v>
      </c>
      <c r="M27" s="107">
        <v>1494.9483908614461</v>
      </c>
      <c r="N27" s="107">
        <v>1200.4160331051226</v>
      </c>
      <c r="O27" s="107">
        <v>955.76363592580117</v>
      </c>
      <c r="P27" s="107">
        <v>386.53557206151777</v>
      </c>
      <c r="Q27" s="107">
        <v>517.60928102836704</v>
      </c>
      <c r="R27" s="107">
        <v>807.8960421569227</v>
      </c>
      <c r="S27" s="107">
        <v>1451.7716805643795</v>
      </c>
      <c r="T27" s="107">
        <v>1616.2441390656709</v>
      </c>
      <c r="U27" s="107">
        <v>1300.3614356249816</v>
      </c>
      <c r="V27" s="107">
        <v>1000.7588714996272</v>
      </c>
      <c r="W27" s="107">
        <v>907.81543222046503</v>
      </c>
      <c r="X27" s="107">
        <v>1014.533581349178</v>
      </c>
      <c r="Y27" s="107">
        <v>1467.2900490025236</v>
      </c>
      <c r="Z27" s="107">
        <v>1443.3517260527958</v>
      </c>
      <c r="AA27" s="107">
        <v>1146.3648273212923</v>
      </c>
      <c r="AB27" s="107">
        <v>789.5229444521342</v>
      </c>
      <c r="AC27" s="107">
        <v>607.31263338088661</v>
      </c>
      <c r="AD27" s="107">
        <v>848.79643543092561</v>
      </c>
      <c r="AE27" s="107">
        <v>1113.7266825691863</v>
      </c>
      <c r="AF27" s="107">
        <v>874.73302784515079</v>
      </c>
      <c r="AG27" s="107">
        <v>886.9074433463129</v>
      </c>
      <c r="AH27" s="107">
        <v>1286.2339281879279</v>
      </c>
    </row>
    <row r="28" spans="1:34" ht="13.5" customHeight="1" x14ac:dyDescent="0.25">
      <c r="A28" s="141"/>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row>
    <row r="29" spans="1:34" ht="22.5" customHeight="1" x14ac:dyDescent="0.25">
      <c r="A29" s="140" t="s">
        <v>185</v>
      </c>
      <c r="B29" s="108">
        <v>0</v>
      </c>
      <c r="C29" s="108">
        <v>0</v>
      </c>
      <c r="D29" s="108">
        <v>0</v>
      </c>
      <c r="E29" s="108">
        <v>0</v>
      </c>
      <c r="F29" s="108">
        <v>0</v>
      </c>
      <c r="G29" s="108">
        <v>0</v>
      </c>
      <c r="H29" s="108">
        <v>0</v>
      </c>
      <c r="I29" s="108">
        <v>0</v>
      </c>
      <c r="J29" s="108">
        <v>0</v>
      </c>
      <c r="K29" s="108">
        <v>0</v>
      </c>
      <c r="L29" s="108">
        <v>0</v>
      </c>
      <c r="M29" s="108">
        <v>0</v>
      </c>
      <c r="N29" s="108">
        <v>0</v>
      </c>
      <c r="O29" s="108">
        <v>0</v>
      </c>
      <c r="P29" s="108">
        <v>0</v>
      </c>
      <c r="Q29" s="108">
        <v>0</v>
      </c>
      <c r="R29" s="108">
        <v>0</v>
      </c>
      <c r="S29" s="108">
        <v>0</v>
      </c>
      <c r="T29" s="108">
        <v>0</v>
      </c>
      <c r="U29" s="108">
        <v>0</v>
      </c>
      <c r="V29" s="108">
        <v>0</v>
      </c>
      <c r="W29" s="108">
        <v>0</v>
      </c>
      <c r="X29" s="108">
        <v>0</v>
      </c>
      <c r="Y29" s="108">
        <v>0</v>
      </c>
      <c r="Z29" s="108">
        <v>0</v>
      </c>
      <c r="AA29" s="108">
        <v>0</v>
      </c>
      <c r="AB29" s="108">
        <v>0</v>
      </c>
      <c r="AC29" s="108">
        <v>0</v>
      </c>
      <c r="AD29" s="108">
        <v>0</v>
      </c>
      <c r="AE29" s="108">
        <v>0</v>
      </c>
      <c r="AF29" s="108">
        <v>0</v>
      </c>
      <c r="AG29" s="108">
        <v>0</v>
      </c>
      <c r="AH29" s="108">
        <v>0</v>
      </c>
    </row>
    <row r="30" spans="1:34" ht="13.5" customHeight="1" x14ac:dyDescent="0.25">
      <c r="A30" s="140"/>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row>
    <row r="31" spans="1:34" ht="22.5" customHeight="1" x14ac:dyDescent="0.25">
      <c r="A31" s="140" t="s">
        <v>184</v>
      </c>
      <c r="B31" s="107">
        <v>184560.96970361937</v>
      </c>
      <c r="C31" s="107">
        <v>185634.10930544781</v>
      </c>
      <c r="D31" s="107">
        <v>179789.45059458673</v>
      </c>
      <c r="E31" s="107">
        <v>181584.39022957438</v>
      </c>
      <c r="F31" s="107">
        <v>184348.49805244402</v>
      </c>
      <c r="G31" s="107">
        <v>191580.51658052808</v>
      </c>
      <c r="H31" s="107">
        <v>196348.37790652827</v>
      </c>
      <c r="I31" s="107">
        <v>203059.44546283313</v>
      </c>
      <c r="J31" s="107">
        <v>206939.94366730633</v>
      </c>
      <c r="K31" s="107">
        <v>208628.49552108371</v>
      </c>
      <c r="L31" s="107">
        <v>213530.47211507088</v>
      </c>
      <c r="M31" s="107">
        <v>214015.83826313863</v>
      </c>
      <c r="N31" s="107">
        <v>214897.29406523731</v>
      </c>
      <c r="O31" s="107">
        <v>219063.34317591711</v>
      </c>
      <c r="P31" s="107">
        <v>202909.76263088861</v>
      </c>
      <c r="Q31" s="107">
        <v>207851.93480854982</v>
      </c>
      <c r="R31" s="107">
        <v>213391.78002219409</v>
      </c>
      <c r="S31" s="107">
        <v>219402.21658233705</v>
      </c>
      <c r="T31" s="107">
        <v>231561.45596144948</v>
      </c>
      <c r="U31" s="107">
        <v>235244.80914070798</v>
      </c>
      <c r="V31" s="107">
        <v>240168.8175008744</v>
      </c>
      <c r="W31" s="107">
        <v>239442.65778811579</v>
      </c>
      <c r="X31" s="107">
        <v>239734.94097950388</v>
      </c>
      <c r="Y31" s="107">
        <v>239173.75834845979</v>
      </c>
      <c r="Z31" s="107">
        <v>240117.00027631735</v>
      </c>
      <c r="AA31" s="107">
        <v>242333.71534306684</v>
      </c>
      <c r="AB31" s="107">
        <v>243801.96936709742</v>
      </c>
      <c r="AC31" s="107">
        <v>243961.5728057294</v>
      </c>
      <c r="AD31" s="107">
        <v>245252.98143415523</v>
      </c>
      <c r="AE31" s="107">
        <v>248521.26146194196</v>
      </c>
      <c r="AF31" s="107">
        <v>221671.66760576807</v>
      </c>
      <c r="AG31" s="107">
        <v>228165.70157461139</v>
      </c>
      <c r="AH31" s="107">
        <v>240532.87219494893</v>
      </c>
    </row>
    <row r="32" spans="1:34" ht="13.5" customHeight="1" x14ac:dyDescent="0.25">
      <c r="A32" s="141"/>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row>
    <row r="33" spans="1:34" ht="22.5" customHeight="1" x14ac:dyDescent="0.25">
      <c r="A33" s="140" t="s">
        <v>171</v>
      </c>
      <c r="B33" s="108">
        <v>26617.945462391956</v>
      </c>
      <c r="C33" s="108">
        <v>27827.199283264174</v>
      </c>
      <c r="D33" s="108">
        <v>23357.574807430465</v>
      </c>
      <c r="E33" s="108">
        <v>21704.345359559138</v>
      </c>
      <c r="F33" s="108">
        <v>22443.195603409276</v>
      </c>
      <c r="G33" s="108">
        <v>22582.194843269004</v>
      </c>
      <c r="H33" s="108">
        <v>20660.117024110368</v>
      </c>
      <c r="I33" s="108">
        <v>22418.628132560669</v>
      </c>
      <c r="J33" s="108">
        <v>21541.796514146852</v>
      </c>
      <c r="K33" s="108">
        <v>29076.529103682446</v>
      </c>
      <c r="L33" s="108">
        <v>23231.506832375955</v>
      </c>
      <c r="M33" s="108">
        <v>26831.048092739558</v>
      </c>
      <c r="N33" s="108">
        <v>23453.046718091926</v>
      </c>
      <c r="O33" s="108">
        <v>27345.874658470031</v>
      </c>
      <c r="P33" s="108">
        <v>19072.914587900203</v>
      </c>
      <c r="Q33" s="108">
        <v>19921.106866140493</v>
      </c>
      <c r="R33" s="108">
        <v>18293.039020708904</v>
      </c>
      <c r="S33" s="108">
        <v>22182.141743331649</v>
      </c>
      <c r="T33" s="108">
        <v>23010.455171324906</v>
      </c>
      <c r="U33" s="108">
        <v>23945.315342544403</v>
      </c>
      <c r="V33" s="108">
        <v>27882.518750275995</v>
      </c>
      <c r="W33" s="108">
        <v>28571.380090245635</v>
      </c>
      <c r="X33" s="108">
        <v>-8281.389277159411</v>
      </c>
      <c r="Y33" s="108">
        <v>-25191.026456272048</v>
      </c>
      <c r="Z33" s="108">
        <v>-26672.855779345526</v>
      </c>
      <c r="AA33" s="108">
        <v>-21642.233722918427</v>
      </c>
      <c r="AB33" s="108">
        <v>-24424.689581111343</v>
      </c>
      <c r="AC33" s="108">
        <v>-23049.915547845856</v>
      </c>
      <c r="AD33" s="108">
        <v>-18008.526626935411</v>
      </c>
      <c r="AE33" s="108">
        <v>-22699.353172986783</v>
      </c>
      <c r="AF33" s="108">
        <v>8563.8193440307041</v>
      </c>
      <c r="AG33" s="108">
        <v>6784.811890348421</v>
      </c>
      <c r="AH33" s="108">
        <v>8483.335793245762</v>
      </c>
    </row>
    <row r="34" spans="1:34" ht="13.5" customHeight="1" thickBot="1" x14ac:dyDescent="0.3">
      <c r="A34" s="145"/>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row>
    <row r="35" spans="1:34" s="394" customFormat="1" ht="15.75" customHeight="1" thickTop="1" x14ac:dyDescent="0.25">
      <c r="A35" s="102" t="s">
        <v>172</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row>
    <row r="36" spans="1:34" s="104" customFormat="1" ht="15.75" customHeight="1" x14ac:dyDescent="0.25">
      <c r="A36" s="121" t="s">
        <v>903</v>
      </c>
    </row>
    <row r="37" spans="1:34" s="102" customFormat="1" ht="15" x14ac:dyDescent="0.25">
      <c r="A37" s="404" t="s">
        <v>911</v>
      </c>
    </row>
    <row r="38" spans="1:34" ht="15.75" customHeight="1" x14ac:dyDescent="0.25">
      <c r="A38" s="135" t="s">
        <v>230</v>
      </c>
    </row>
    <row r="39" spans="1:34" ht="15.75" customHeight="1" x14ac:dyDescent="0.25">
      <c r="A39" s="123" t="s">
        <v>235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row>
    <row r="40" spans="1:34" ht="15.75" customHeight="1" x14ac:dyDescent="0.25">
      <c r="A40" s="123" t="s">
        <v>236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row>
    <row r="41" spans="1:34" ht="15.75" customHeight="1" x14ac:dyDescent="0.25">
      <c r="A41" s="123" t="s">
        <v>196</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row>
    <row r="42" spans="1:34" ht="15.75" customHeight="1" x14ac:dyDescent="0.25">
      <c r="A42" s="121"/>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row>
    <row r="43" spans="1:34" ht="15.75" customHeight="1" x14ac:dyDescent="0.25">
      <c r="A43" s="102" t="s">
        <v>134</v>
      </c>
    </row>
    <row r="44" spans="1:34" ht="12.75" customHeight="1" x14ac:dyDescent="0.25"/>
    <row r="45" spans="1:34" ht="12.75" customHeight="1" x14ac:dyDescent="0.25"/>
  </sheetData>
  <hyperlinks>
    <hyperlink ref="A37" r:id="rId1" display="https://www.bom.mu/publications-statistics/statistics/monthly-statistical-bulletin/monthly-statistical-bulletin-february-2021" xr:uid="{00000000-0004-0000-1500-000000000000}"/>
  </hyperlinks>
  <pageMargins left="0.75" right="0.75" top="0.75" bottom="0.75" header="0.3" footer="0"/>
  <pageSetup paperSize="9" scale="57" fitToHeight="0" orientation="landscape" r:id="rId2"/>
  <headerFooter scaleWithDoc="0"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WYW65"/>
  <sheetViews>
    <sheetView showGridLines="0" zoomScaleNormal="100" zoomScaleSheetLayoutView="100" workbookViewId="0">
      <pane xSplit="1" ySplit="3" topLeftCell="B4" activePane="bottomRight" state="frozen"/>
      <selection activeCell="K39" sqref="K39"/>
      <selection pane="topRight" activeCell="K39" sqref="K39"/>
      <selection pane="bottomLeft" activeCell="K39" sqref="K39"/>
      <selection pane="bottomRight" activeCell="A60" sqref="A60:XFD60"/>
    </sheetView>
  </sheetViews>
  <sheetFormatPr defaultRowHeight="14.25" x14ac:dyDescent="0.25"/>
  <cols>
    <col min="1" max="1" width="60.28515625" style="159" customWidth="1"/>
    <col min="2" max="126" width="12.7109375" style="159" hidden="1" customWidth="1"/>
    <col min="127" max="139" width="12.7109375" style="159" customWidth="1"/>
    <col min="140" max="310" width="9.140625" style="159"/>
    <col min="311" max="311" width="54.140625" style="159" customWidth="1"/>
    <col min="312" max="349" width="9.140625" style="159" hidden="1" customWidth="1"/>
    <col min="350" max="362" width="8.7109375" style="159" customWidth="1"/>
    <col min="363" max="566" width="9.140625" style="159"/>
    <col min="567" max="567" width="54.140625" style="159" customWidth="1"/>
    <col min="568" max="605" width="9.140625" style="159" hidden="1" customWidth="1"/>
    <col min="606" max="618" width="8.7109375" style="159" customWidth="1"/>
    <col min="619" max="822" width="9.140625" style="159"/>
    <col min="823" max="823" width="54.140625" style="159" customWidth="1"/>
    <col min="824" max="861" width="9.140625" style="159" hidden="1" customWidth="1"/>
    <col min="862" max="874" width="8.7109375" style="159" customWidth="1"/>
    <col min="875" max="1078" width="9.140625" style="159"/>
    <col min="1079" max="1079" width="54.140625" style="159" customWidth="1"/>
    <col min="1080" max="1117" width="9.140625" style="159" hidden="1" customWidth="1"/>
    <col min="1118" max="1130" width="8.7109375" style="159" customWidth="1"/>
    <col min="1131" max="1334" width="9.140625" style="159"/>
    <col min="1335" max="1335" width="54.140625" style="159" customWidth="1"/>
    <col min="1336" max="1373" width="9.140625" style="159" hidden="1" customWidth="1"/>
    <col min="1374" max="1386" width="8.7109375" style="159" customWidth="1"/>
    <col min="1387" max="1590" width="9.140625" style="159"/>
    <col min="1591" max="1591" width="54.140625" style="159" customWidth="1"/>
    <col min="1592" max="1629" width="9.140625" style="159" hidden="1" customWidth="1"/>
    <col min="1630" max="1642" width="8.7109375" style="159" customWidth="1"/>
    <col min="1643" max="1846" width="9.140625" style="159"/>
    <col min="1847" max="1847" width="54.140625" style="159" customWidth="1"/>
    <col min="1848" max="1885" width="9.140625" style="159" hidden="1" customWidth="1"/>
    <col min="1886" max="1898" width="8.7109375" style="159" customWidth="1"/>
    <col min="1899" max="2102" width="9.140625" style="159"/>
    <col min="2103" max="2103" width="54.140625" style="159" customWidth="1"/>
    <col min="2104" max="2141" width="9.140625" style="159" hidden="1" customWidth="1"/>
    <col min="2142" max="2154" width="8.7109375" style="159" customWidth="1"/>
    <col min="2155" max="2358" width="9.140625" style="159"/>
    <col min="2359" max="2359" width="54.140625" style="159" customWidth="1"/>
    <col min="2360" max="2397" width="9.140625" style="159" hidden="1" customWidth="1"/>
    <col min="2398" max="2410" width="8.7109375" style="159" customWidth="1"/>
    <col min="2411" max="2614" width="9.140625" style="159"/>
    <col min="2615" max="2615" width="54.140625" style="159" customWidth="1"/>
    <col min="2616" max="2653" width="9.140625" style="159" hidden="1" customWidth="1"/>
    <col min="2654" max="2666" width="8.7109375" style="159" customWidth="1"/>
    <col min="2667" max="2870" width="9.140625" style="159"/>
    <col min="2871" max="2871" width="54.140625" style="159" customWidth="1"/>
    <col min="2872" max="2909" width="9.140625" style="159" hidden="1" customWidth="1"/>
    <col min="2910" max="2922" width="8.7109375" style="159" customWidth="1"/>
    <col min="2923" max="3126" width="9.140625" style="159"/>
    <col min="3127" max="3127" width="54.140625" style="159" customWidth="1"/>
    <col min="3128" max="3165" width="9.140625" style="159" hidden="1" customWidth="1"/>
    <col min="3166" max="3178" width="8.7109375" style="159" customWidth="1"/>
    <col min="3179" max="3382" width="9.140625" style="159"/>
    <col min="3383" max="3383" width="54.140625" style="159" customWidth="1"/>
    <col min="3384" max="3421" width="9.140625" style="159" hidden="1" customWidth="1"/>
    <col min="3422" max="3434" width="8.7109375" style="159" customWidth="1"/>
    <col min="3435" max="3638" width="9.140625" style="159"/>
    <col min="3639" max="3639" width="54.140625" style="159" customWidth="1"/>
    <col min="3640" max="3677" width="9.140625" style="159" hidden="1" customWidth="1"/>
    <col min="3678" max="3690" width="8.7109375" style="159" customWidth="1"/>
    <col min="3691" max="3894" width="9.140625" style="159"/>
    <col min="3895" max="3895" width="54.140625" style="159" customWidth="1"/>
    <col min="3896" max="3933" width="9.140625" style="159" hidden="1" customWidth="1"/>
    <col min="3934" max="3946" width="8.7109375" style="159" customWidth="1"/>
    <col min="3947" max="4150" width="9.140625" style="159"/>
    <col min="4151" max="4151" width="54.140625" style="159" customWidth="1"/>
    <col min="4152" max="4189" width="9.140625" style="159" hidden="1" customWidth="1"/>
    <col min="4190" max="4202" width="8.7109375" style="159" customWidth="1"/>
    <col min="4203" max="4406" width="9.140625" style="159"/>
    <col min="4407" max="4407" width="54.140625" style="159" customWidth="1"/>
    <col min="4408" max="4445" width="9.140625" style="159" hidden="1" customWidth="1"/>
    <col min="4446" max="4458" width="8.7109375" style="159" customWidth="1"/>
    <col min="4459" max="4662" width="9.140625" style="159"/>
    <col min="4663" max="4663" width="54.140625" style="159" customWidth="1"/>
    <col min="4664" max="4701" width="9.140625" style="159" hidden="1" customWidth="1"/>
    <col min="4702" max="4714" width="8.7109375" style="159" customWidth="1"/>
    <col min="4715" max="4918" width="9.140625" style="159"/>
    <col min="4919" max="4919" width="54.140625" style="159" customWidth="1"/>
    <col min="4920" max="4957" width="9.140625" style="159" hidden="1" customWidth="1"/>
    <col min="4958" max="4970" width="8.7109375" style="159" customWidth="1"/>
    <col min="4971" max="5174" width="9.140625" style="159"/>
    <col min="5175" max="5175" width="54.140625" style="159" customWidth="1"/>
    <col min="5176" max="5213" width="9.140625" style="159" hidden="1" customWidth="1"/>
    <col min="5214" max="5226" width="8.7109375" style="159" customWidth="1"/>
    <col min="5227" max="5430" width="9.140625" style="159"/>
    <col min="5431" max="5431" width="54.140625" style="159" customWidth="1"/>
    <col min="5432" max="5469" width="9.140625" style="159" hidden="1" customWidth="1"/>
    <col min="5470" max="5482" width="8.7109375" style="159" customWidth="1"/>
    <col min="5483" max="5686" width="9.140625" style="159"/>
    <col min="5687" max="5687" width="54.140625" style="159" customWidth="1"/>
    <col min="5688" max="5725" width="9.140625" style="159" hidden="1" customWidth="1"/>
    <col min="5726" max="5738" width="8.7109375" style="159" customWidth="1"/>
    <col min="5739" max="5942" width="9.140625" style="159"/>
    <col min="5943" max="5943" width="54.140625" style="159" customWidth="1"/>
    <col min="5944" max="5981" width="9.140625" style="159" hidden="1" customWidth="1"/>
    <col min="5982" max="5994" width="8.7109375" style="159" customWidth="1"/>
    <col min="5995" max="6198" width="9.140625" style="159"/>
    <col min="6199" max="6199" width="54.140625" style="159" customWidth="1"/>
    <col min="6200" max="6237" width="9.140625" style="159" hidden="1" customWidth="1"/>
    <col min="6238" max="6250" width="8.7109375" style="159" customWidth="1"/>
    <col min="6251" max="6454" width="9.140625" style="159"/>
    <col min="6455" max="6455" width="54.140625" style="159" customWidth="1"/>
    <col min="6456" max="6493" width="9.140625" style="159" hidden="1" customWidth="1"/>
    <col min="6494" max="6506" width="8.7109375" style="159" customWidth="1"/>
    <col min="6507" max="6710" width="9.140625" style="159"/>
    <col min="6711" max="6711" width="54.140625" style="159" customWidth="1"/>
    <col min="6712" max="6749" width="9.140625" style="159" hidden="1" customWidth="1"/>
    <col min="6750" max="6762" width="8.7109375" style="159" customWidth="1"/>
    <col min="6763" max="6966" width="9.140625" style="159"/>
    <col min="6967" max="6967" width="54.140625" style="159" customWidth="1"/>
    <col min="6968" max="7005" width="9.140625" style="159" hidden="1" customWidth="1"/>
    <col min="7006" max="7018" width="8.7109375" style="159" customWidth="1"/>
    <col min="7019" max="7222" width="9.140625" style="159"/>
    <col min="7223" max="7223" width="54.140625" style="159" customWidth="1"/>
    <col min="7224" max="7261" width="9.140625" style="159" hidden="1" customWidth="1"/>
    <col min="7262" max="7274" width="8.7109375" style="159" customWidth="1"/>
    <col min="7275" max="7478" width="9.140625" style="159"/>
    <col min="7479" max="7479" width="54.140625" style="159" customWidth="1"/>
    <col min="7480" max="7517" width="9.140625" style="159" hidden="1" customWidth="1"/>
    <col min="7518" max="7530" width="8.7109375" style="159" customWidth="1"/>
    <col min="7531" max="7734" width="9.140625" style="159"/>
    <col min="7735" max="7735" width="54.140625" style="159" customWidth="1"/>
    <col min="7736" max="7773" width="9.140625" style="159" hidden="1" customWidth="1"/>
    <col min="7774" max="7786" width="8.7109375" style="159" customWidth="1"/>
    <col min="7787" max="7990" width="9.140625" style="159"/>
    <col min="7991" max="7991" width="54.140625" style="159" customWidth="1"/>
    <col min="7992" max="8029" width="9.140625" style="159" hidden="1" customWidth="1"/>
    <col min="8030" max="8042" width="8.7109375" style="159" customWidth="1"/>
    <col min="8043" max="8246" width="9.140625" style="159"/>
    <col min="8247" max="8247" width="54.140625" style="159" customWidth="1"/>
    <col min="8248" max="8285" width="9.140625" style="159" hidden="1" customWidth="1"/>
    <col min="8286" max="8298" width="8.7109375" style="159" customWidth="1"/>
    <col min="8299" max="8502" width="9.140625" style="159"/>
    <col min="8503" max="8503" width="54.140625" style="159" customWidth="1"/>
    <col min="8504" max="8541" width="9.140625" style="159" hidden="1" customWidth="1"/>
    <col min="8542" max="8554" width="8.7109375" style="159" customWidth="1"/>
    <col min="8555" max="8758" width="9.140625" style="159"/>
    <col min="8759" max="8759" width="54.140625" style="159" customWidth="1"/>
    <col min="8760" max="8797" width="9.140625" style="159" hidden="1" customWidth="1"/>
    <col min="8798" max="8810" width="8.7109375" style="159" customWidth="1"/>
    <col min="8811" max="9014" width="9.140625" style="159"/>
    <col min="9015" max="9015" width="54.140625" style="159" customWidth="1"/>
    <col min="9016" max="9053" width="9.140625" style="159" hidden="1" customWidth="1"/>
    <col min="9054" max="9066" width="8.7109375" style="159" customWidth="1"/>
    <col min="9067" max="9270" width="9.140625" style="159"/>
    <col min="9271" max="9271" width="54.140625" style="159" customWidth="1"/>
    <col min="9272" max="9309" width="9.140625" style="159" hidden="1" customWidth="1"/>
    <col min="9310" max="9322" width="8.7109375" style="159" customWidth="1"/>
    <col min="9323" max="9526" width="9.140625" style="159"/>
    <col min="9527" max="9527" width="54.140625" style="159" customWidth="1"/>
    <col min="9528" max="9565" width="9.140625" style="159" hidden="1" customWidth="1"/>
    <col min="9566" max="9578" width="8.7109375" style="159" customWidth="1"/>
    <col min="9579" max="9782" width="9.140625" style="159"/>
    <col min="9783" max="9783" width="54.140625" style="159" customWidth="1"/>
    <col min="9784" max="9821" width="9.140625" style="159" hidden="1" customWidth="1"/>
    <col min="9822" max="9834" width="8.7109375" style="159" customWidth="1"/>
    <col min="9835" max="10038" width="9.140625" style="159"/>
    <col min="10039" max="10039" width="54.140625" style="159" customWidth="1"/>
    <col min="10040" max="10077" width="9.140625" style="159" hidden="1" customWidth="1"/>
    <col min="10078" max="10090" width="8.7109375" style="159" customWidth="1"/>
    <col min="10091" max="10294" width="9.140625" style="159"/>
    <col min="10295" max="10295" width="54.140625" style="159" customWidth="1"/>
    <col min="10296" max="10333" width="9.140625" style="159" hidden="1" customWidth="1"/>
    <col min="10334" max="10346" width="8.7109375" style="159" customWidth="1"/>
    <col min="10347" max="10550" width="9.140625" style="159"/>
    <col min="10551" max="10551" width="54.140625" style="159" customWidth="1"/>
    <col min="10552" max="10589" width="9.140625" style="159" hidden="1" customWidth="1"/>
    <col min="10590" max="10602" width="8.7109375" style="159" customWidth="1"/>
    <col min="10603" max="10806" width="9.140625" style="159"/>
    <col min="10807" max="10807" width="54.140625" style="159" customWidth="1"/>
    <col min="10808" max="10845" width="9.140625" style="159" hidden="1" customWidth="1"/>
    <col min="10846" max="10858" width="8.7109375" style="159" customWidth="1"/>
    <col min="10859" max="11062" width="9.140625" style="159"/>
    <col min="11063" max="11063" width="54.140625" style="159" customWidth="1"/>
    <col min="11064" max="11101" width="9.140625" style="159" hidden="1" customWidth="1"/>
    <col min="11102" max="11114" width="8.7109375" style="159" customWidth="1"/>
    <col min="11115" max="11318" width="9.140625" style="159"/>
    <col min="11319" max="11319" width="54.140625" style="159" customWidth="1"/>
    <col min="11320" max="11357" width="9.140625" style="159" hidden="1" customWidth="1"/>
    <col min="11358" max="11370" width="8.7109375" style="159" customWidth="1"/>
    <col min="11371" max="11574" width="9.140625" style="159"/>
    <col min="11575" max="11575" width="54.140625" style="159" customWidth="1"/>
    <col min="11576" max="11613" width="9.140625" style="159" hidden="1" customWidth="1"/>
    <col min="11614" max="11626" width="8.7109375" style="159" customWidth="1"/>
    <col min="11627" max="11830" width="9.140625" style="159"/>
    <col min="11831" max="11831" width="54.140625" style="159" customWidth="1"/>
    <col min="11832" max="11869" width="9.140625" style="159" hidden="1" customWidth="1"/>
    <col min="11870" max="11882" width="8.7109375" style="159" customWidth="1"/>
    <col min="11883" max="12086" width="9.140625" style="159"/>
    <col min="12087" max="12087" width="54.140625" style="159" customWidth="1"/>
    <col min="12088" max="12125" width="9.140625" style="159" hidden="1" customWidth="1"/>
    <col min="12126" max="12138" width="8.7109375" style="159" customWidth="1"/>
    <col min="12139" max="12342" width="9.140625" style="159"/>
    <col min="12343" max="12343" width="54.140625" style="159" customWidth="1"/>
    <col min="12344" max="12381" width="9.140625" style="159" hidden="1" customWidth="1"/>
    <col min="12382" max="12394" width="8.7109375" style="159" customWidth="1"/>
    <col min="12395" max="12598" width="9.140625" style="159"/>
    <col min="12599" max="12599" width="54.140625" style="159" customWidth="1"/>
    <col min="12600" max="12637" width="9.140625" style="159" hidden="1" customWidth="1"/>
    <col min="12638" max="12650" width="8.7109375" style="159" customWidth="1"/>
    <col min="12651" max="12854" width="9.140625" style="159"/>
    <col min="12855" max="12855" width="54.140625" style="159" customWidth="1"/>
    <col min="12856" max="12893" width="9.140625" style="159" hidden="1" customWidth="1"/>
    <col min="12894" max="12906" width="8.7109375" style="159" customWidth="1"/>
    <col min="12907" max="13110" width="9.140625" style="159"/>
    <col min="13111" max="13111" width="54.140625" style="159" customWidth="1"/>
    <col min="13112" max="13149" width="9.140625" style="159" hidden="1" customWidth="1"/>
    <col min="13150" max="13162" width="8.7109375" style="159" customWidth="1"/>
    <col min="13163" max="13366" width="9.140625" style="159"/>
    <col min="13367" max="13367" width="54.140625" style="159" customWidth="1"/>
    <col min="13368" max="13405" width="9.140625" style="159" hidden="1" customWidth="1"/>
    <col min="13406" max="13418" width="8.7109375" style="159" customWidth="1"/>
    <col min="13419" max="13622" width="9.140625" style="159"/>
    <col min="13623" max="13623" width="54.140625" style="159" customWidth="1"/>
    <col min="13624" max="13661" width="9.140625" style="159" hidden="1" customWidth="1"/>
    <col min="13662" max="13674" width="8.7109375" style="159" customWidth="1"/>
    <col min="13675" max="13878" width="9.140625" style="159"/>
    <col min="13879" max="13879" width="54.140625" style="159" customWidth="1"/>
    <col min="13880" max="13917" width="9.140625" style="159" hidden="1" customWidth="1"/>
    <col min="13918" max="13930" width="8.7109375" style="159" customWidth="1"/>
    <col min="13931" max="14134" width="9.140625" style="159"/>
    <col min="14135" max="14135" width="54.140625" style="159" customWidth="1"/>
    <col min="14136" max="14173" width="9.140625" style="159" hidden="1" customWidth="1"/>
    <col min="14174" max="14186" width="8.7109375" style="159" customWidth="1"/>
    <col min="14187" max="14390" width="9.140625" style="159"/>
    <col min="14391" max="14391" width="54.140625" style="159" customWidth="1"/>
    <col min="14392" max="14429" width="9.140625" style="159" hidden="1" customWidth="1"/>
    <col min="14430" max="14442" width="8.7109375" style="159" customWidth="1"/>
    <col min="14443" max="14646" width="9.140625" style="159"/>
    <col min="14647" max="14647" width="54.140625" style="159" customWidth="1"/>
    <col min="14648" max="14685" width="9.140625" style="159" hidden="1" customWidth="1"/>
    <col min="14686" max="14698" width="8.7109375" style="159" customWidth="1"/>
    <col min="14699" max="14902" width="9.140625" style="159"/>
    <col min="14903" max="14903" width="54.140625" style="159" customWidth="1"/>
    <col min="14904" max="14941" width="9.140625" style="159" hidden="1" customWidth="1"/>
    <col min="14942" max="14954" width="8.7109375" style="159" customWidth="1"/>
    <col min="14955" max="15158" width="9.140625" style="159"/>
    <col min="15159" max="15159" width="54.140625" style="159" customWidth="1"/>
    <col min="15160" max="15197" width="9.140625" style="159" hidden="1" customWidth="1"/>
    <col min="15198" max="15210" width="8.7109375" style="159" customWidth="1"/>
    <col min="15211" max="15414" width="9.140625" style="159"/>
    <col min="15415" max="15415" width="54.140625" style="159" customWidth="1"/>
    <col min="15416" max="15453" width="9.140625" style="159" hidden="1" customWidth="1"/>
    <col min="15454" max="15466" width="8.7109375" style="159" customWidth="1"/>
    <col min="15467" max="15670" width="9.140625" style="159"/>
    <col min="15671" max="15671" width="54.140625" style="159" customWidth="1"/>
    <col min="15672" max="15709" width="9.140625" style="159" hidden="1" customWidth="1"/>
    <col min="15710" max="15722" width="8.7109375" style="159" customWidth="1"/>
    <col min="15723" max="15926" width="9.140625" style="159"/>
    <col min="15927" max="15927" width="54.140625" style="159" customWidth="1"/>
    <col min="15928" max="15965" width="9.140625" style="159" hidden="1" customWidth="1"/>
    <col min="15966" max="15978" width="8.7109375" style="159" customWidth="1"/>
    <col min="15979" max="16182" width="9.140625" style="159"/>
    <col min="16183" max="16183" width="54.140625" style="159" customWidth="1"/>
    <col min="16184" max="16221" width="9.140625" style="159" hidden="1" customWidth="1"/>
    <col min="16222" max="16234" width="8.7109375" style="159" customWidth="1"/>
    <col min="16235" max="16384" width="9.140625" style="159"/>
  </cols>
  <sheetData>
    <row r="1" spans="1:139" s="151" customFormat="1" ht="22.5" customHeight="1" x14ac:dyDescent="0.25">
      <c r="A1" s="150" t="s">
        <v>1028</v>
      </c>
    </row>
    <row r="2" spans="1:139" s="153" customFormat="1" ht="18.75" customHeight="1" thickBot="1" x14ac:dyDescent="0.3">
      <c r="A2" s="152"/>
      <c r="DS2" s="154"/>
      <c r="DX2" s="154"/>
      <c r="EC2" s="154"/>
      <c r="EE2" s="154"/>
      <c r="EI2" s="154" t="s">
        <v>8</v>
      </c>
    </row>
    <row r="3" spans="1:139" ht="21" customHeight="1" thickTop="1" thickBot="1" x14ac:dyDescent="0.35">
      <c r="A3" s="155" t="s">
        <v>237</v>
      </c>
      <c r="B3" s="156">
        <v>40208</v>
      </c>
      <c r="C3" s="157">
        <v>40237</v>
      </c>
      <c r="D3" s="157">
        <v>40239</v>
      </c>
      <c r="E3" s="157">
        <v>40270</v>
      </c>
      <c r="F3" s="157">
        <v>40301</v>
      </c>
      <c r="G3" s="157">
        <v>40332</v>
      </c>
      <c r="H3" s="157">
        <v>40363</v>
      </c>
      <c r="I3" s="157">
        <v>40394</v>
      </c>
      <c r="J3" s="157">
        <v>40425</v>
      </c>
      <c r="K3" s="157">
        <v>40456</v>
      </c>
      <c r="L3" s="157">
        <v>40487</v>
      </c>
      <c r="M3" s="157">
        <v>40518</v>
      </c>
      <c r="N3" s="157">
        <v>40549</v>
      </c>
      <c r="O3" s="157">
        <v>40580</v>
      </c>
      <c r="P3" s="157">
        <v>40611</v>
      </c>
      <c r="Q3" s="157">
        <v>40642</v>
      </c>
      <c r="R3" s="157">
        <v>40673</v>
      </c>
      <c r="S3" s="157">
        <v>40704</v>
      </c>
      <c r="T3" s="157">
        <v>40735</v>
      </c>
      <c r="U3" s="157">
        <v>40766</v>
      </c>
      <c r="V3" s="157">
        <v>40797</v>
      </c>
      <c r="W3" s="157">
        <v>40828</v>
      </c>
      <c r="X3" s="157">
        <v>40859</v>
      </c>
      <c r="Y3" s="157">
        <v>40890</v>
      </c>
      <c r="Z3" s="157">
        <v>40921</v>
      </c>
      <c r="AA3" s="157">
        <v>40952</v>
      </c>
      <c r="AB3" s="157">
        <v>40983</v>
      </c>
      <c r="AC3" s="157">
        <v>41014</v>
      </c>
      <c r="AD3" s="157">
        <v>41045</v>
      </c>
      <c r="AE3" s="157">
        <v>41076</v>
      </c>
      <c r="AF3" s="157">
        <v>41107</v>
      </c>
      <c r="AG3" s="157">
        <v>41138</v>
      </c>
      <c r="AH3" s="157">
        <v>41169</v>
      </c>
      <c r="AI3" s="157">
        <v>41200</v>
      </c>
      <c r="AJ3" s="157">
        <v>41231</v>
      </c>
      <c r="AK3" s="157">
        <v>41262</v>
      </c>
      <c r="AL3" s="157">
        <v>41293</v>
      </c>
      <c r="AM3" s="157">
        <v>41324</v>
      </c>
      <c r="AN3" s="157">
        <v>41355</v>
      </c>
      <c r="AO3" s="157">
        <v>41386</v>
      </c>
      <c r="AP3" s="157">
        <v>41417</v>
      </c>
      <c r="AQ3" s="157">
        <v>41448</v>
      </c>
      <c r="AR3" s="157">
        <v>41479</v>
      </c>
      <c r="AS3" s="157">
        <v>41510</v>
      </c>
      <c r="AT3" s="157">
        <v>41541</v>
      </c>
      <c r="AU3" s="157">
        <v>41572</v>
      </c>
      <c r="AV3" s="157">
        <v>41603</v>
      </c>
      <c r="AW3" s="157">
        <v>41634</v>
      </c>
      <c r="AX3" s="157">
        <v>41665</v>
      </c>
      <c r="AY3" s="157">
        <v>41696</v>
      </c>
      <c r="AZ3" s="157">
        <v>41727</v>
      </c>
      <c r="BA3" s="157">
        <v>41758</v>
      </c>
      <c r="BB3" s="157">
        <v>41789</v>
      </c>
      <c r="BC3" s="157">
        <v>41820</v>
      </c>
      <c r="BD3" s="157">
        <v>41851</v>
      </c>
      <c r="BE3" s="157">
        <v>41882</v>
      </c>
      <c r="BF3" s="157">
        <v>41912</v>
      </c>
      <c r="BG3" s="157">
        <v>41913</v>
      </c>
      <c r="BH3" s="157">
        <v>41944</v>
      </c>
      <c r="BI3" s="157">
        <v>41975</v>
      </c>
      <c r="BJ3" s="157">
        <v>42006</v>
      </c>
      <c r="BK3" s="157">
        <v>42037</v>
      </c>
      <c r="BL3" s="157">
        <v>42068</v>
      </c>
      <c r="BM3" s="157">
        <v>42099</v>
      </c>
      <c r="BN3" s="157">
        <v>42130</v>
      </c>
      <c r="BO3" s="157">
        <v>42161</v>
      </c>
      <c r="BP3" s="157">
        <v>42192</v>
      </c>
      <c r="BQ3" s="157">
        <v>42223</v>
      </c>
      <c r="BR3" s="157">
        <v>42254</v>
      </c>
      <c r="BS3" s="157">
        <v>42285</v>
      </c>
      <c r="BT3" s="157">
        <v>42316</v>
      </c>
      <c r="BU3" s="157">
        <v>42347</v>
      </c>
      <c r="BV3" s="157">
        <v>42378</v>
      </c>
      <c r="BW3" s="157">
        <v>42409</v>
      </c>
      <c r="BX3" s="157">
        <v>42440</v>
      </c>
      <c r="BY3" s="157">
        <v>42471</v>
      </c>
      <c r="BZ3" s="157">
        <v>42502</v>
      </c>
      <c r="CA3" s="157">
        <v>42533</v>
      </c>
      <c r="CB3" s="157">
        <v>42564</v>
      </c>
      <c r="CC3" s="157">
        <v>42595</v>
      </c>
      <c r="CD3" s="157">
        <v>42626</v>
      </c>
      <c r="CE3" s="157">
        <v>42657</v>
      </c>
      <c r="CF3" s="157">
        <v>42688</v>
      </c>
      <c r="CG3" s="157">
        <v>42719</v>
      </c>
      <c r="CH3" s="157">
        <v>42750</v>
      </c>
      <c r="CI3" s="157">
        <v>42781</v>
      </c>
      <c r="CJ3" s="157">
        <v>42812</v>
      </c>
      <c r="CK3" s="157">
        <v>42843</v>
      </c>
      <c r="CL3" s="157">
        <v>42874</v>
      </c>
      <c r="CM3" s="157">
        <v>42905</v>
      </c>
      <c r="CN3" s="157">
        <v>42936</v>
      </c>
      <c r="CO3" s="157">
        <v>42967</v>
      </c>
      <c r="CP3" s="157">
        <v>42998</v>
      </c>
      <c r="CQ3" s="157">
        <v>43029</v>
      </c>
      <c r="CR3" s="157">
        <v>43060</v>
      </c>
      <c r="CS3" s="157">
        <v>43091</v>
      </c>
      <c r="CT3" s="157">
        <v>43122</v>
      </c>
      <c r="CU3" s="157">
        <v>43153</v>
      </c>
      <c r="CV3" s="157">
        <v>43184</v>
      </c>
      <c r="CW3" s="157">
        <v>43215</v>
      </c>
      <c r="CX3" s="157">
        <v>43246</v>
      </c>
      <c r="CY3" s="157">
        <v>43277</v>
      </c>
      <c r="CZ3" s="157">
        <v>43308</v>
      </c>
      <c r="DA3" s="157">
        <v>43339</v>
      </c>
      <c r="DB3" s="157">
        <v>43370</v>
      </c>
      <c r="DC3" s="157">
        <v>43401</v>
      </c>
      <c r="DD3" s="157">
        <v>43432</v>
      </c>
      <c r="DE3" s="157">
        <v>43462</v>
      </c>
      <c r="DF3" s="157">
        <v>43493</v>
      </c>
      <c r="DG3" s="157">
        <v>43524</v>
      </c>
      <c r="DH3" s="157">
        <v>43552</v>
      </c>
      <c r="DI3" s="157">
        <v>43583</v>
      </c>
      <c r="DJ3" s="157">
        <v>43613</v>
      </c>
      <c r="DK3" s="157">
        <v>43644</v>
      </c>
      <c r="DL3" s="157">
        <v>43674</v>
      </c>
      <c r="DM3" s="157">
        <v>43705</v>
      </c>
      <c r="DN3" s="157">
        <v>43736</v>
      </c>
      <c r="DO3" s="157">
        <v>43766</v>
      </c>
      <c r="DP3" s="157">
        <v>43797</v>
      </c>
      <c r="DQ3" s="157">
        <v>43827</v>
      </c>
      <c r="DR3" s="157">
        <v>43858</v>
      </c>
      <c r="DS3" s="158" t="s">
        <v>174</v>
      </c>
      <c r="DT3" s="158" t="s">
        <v>140</v>
      </c>
      <c r="DU3" s="91" t="s">
        <v>175</v>
      </c>
      <c r="DV3" s="91" t="s">
        <v>141</v>
      </c>
      <c r="DW3" s="91" t="s">
        <v>177</v>
      </c>
      <c r="DX3" s="91" t="s">
        <v>142</v>
      </c>
      <c r="DY3" s="91" t="s">
        <v>143</v>
      </c>
      <c r="DZ3" s="91" t="s">
        <v>144</v>
      </c>
      <c r="EA3" s="91" t="s">
        <v>145</v>
      </c>
      <c r="EB3" s="91">
        <v>44136</v>
      </c>
      <c r="EC3" s="91">
        <v>44166</v>
      </c>
      <c r="ED3" s="91">
        <v>44197</v>
      </c>
      <c r="EE3" s="91" t="s">
        <v>3248</v>
      </c>
      <c r="EF3" s="91" t="s">
        <v>3249</v>
      </c>
      <c r="EG3" s="91" t="s">
        <v>3253</v>
      </c>
      <c r="EH3" s="91" t="s">
        <v>3251</v>
      </c>
      <c r="EI3" s="91" t="s">
        <v>3252</v>
      </c>
    </row>
    <row r="4" spans="1:139" ht="17.100000000000001" customHeight="1" thickTop="1" x14ac:dyDescent="0.25">
      <c r="A4" s="160"/>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row>
    <row r="5" spans="1:139" ht="17.100000000000001" customHeight="1" x14ac:dyDescent="0.25">
      <c r="A5" s="160" t="s">
        <v>238</v>
      </c>
      <c r="B5" s="162">
        <v>16171.960026841443</v>
      </c>
      <c r="C5" s="162">
        <v>15979.918504390556</v>
      </c>
      <c r="D5" s="162">
        <v>15845.174678718537</v>
      </c>
      <c r="E5" s="162">
        <v>16036.327574022573</v>
      </c>
      <c r="F5" s="162">
        <v>16227.254416493004</v>
      </c>
      <c r="G5" s="162">
        <v>15904.557043885216</v>
      </c>
      <c r="H5" s="162">
        <v>16369.721227265134</v>
      </c>
      <c r="I5" s="162">
        <v>16281.24484228429</v>
      </c>
      <c r="J5" s="162">
        <v>16241.980758452173</v>
      </c>
      <c r="K5" s="162">
        <v>16473.996105313156</v>
      </c>
      <c r="L5" s="162">
        <v>16722.43897559122</v>
      </c>
      <c r="M5" s="162">
        <v>18975.006270668913</v>
      </c>
      <c r="N5" s="162">
        <v>18010.593082900665</v>
      </c>
      <c r="O5" s="162">
        <v>17749.329653375997</v>
      </c>
      <c r="P5" s="162">
        <v>17492.407133231845</v>
      </c>
      <c r="Q5" s="162">
        <v>17646.497592686108</v>
      </c>
      <c r="R5" s="162">
        <v>17594.772439179418</v>
      </c>
      <c r="S5" s="162">
        <v>17516.570954198032</v>
      </c>
      <c r="T5" s="162">
        <v>18045.280669068587</v>
      </c>
      <c r="U5" s="162">
        <v>18269.489570318754</v>
      </c>
      <c r="V5" s="162">
        <v>17957.873646394448</v>
      </c>
      <c r="W5" s="162">
        <v>18294.304306683174</v>
      </c>
      <c r="X5" s="162">
        <v>17891.407119467123</v>
      </c>
      <c r="Y5" s="162">
        <v>20307.786446312803</v>
      </c>
      <c r="Z5" s="162">
        <v>19209.573208944614</v>
      </c>
      <c r="AA5" s="162">
        <v>18923.022119759324</v>
      </c>
      <c r="AB5" s="162">
        <v>18978.695497382185</v>
      </c>
      <c r="AC5" s="162">
        <v>18961.549992068223</v>
      </c>
      <c r="AD5" s="162">
        <v>18678.032246711129</v>
      </c>
      <c r="AE5" s="162">
        <v>19013.633662171222</v>
      </c>
      <c r="AF5" s="162">
        <v>19228.031835841684</v>
      </c>
      <c r="AG5" s="162">
        <v>19287.1599017013</v>
      </c>
      <c r="AH5" s="162">
        <v>19233.798105900336</v>
      </c>
      <c r="AI5" s="162">
        <v>19257.554559318654</v>
      </c>
      <c r="AJ5" s="162">
        <v>19629.552590686864</v>
      </c>
      <c r="AK5" s="162">
        <v>22169.717386902448</v>
      </c>
      <c r="AL5" s="162">
        <v>20964.304899561892</v>
      </c>
      <c r="AM5" s="162">
        <v>20780.286985424955</v>
      </c>
      <c r="AN5" s="162">
        <v>20987.016268127656</v>
      </c>
      <c r="AO5" s="162">
        <v>20656.089712851328</v>
      </c>
      <c r="AP5" s="162">
        <v>20557.306859228109</v>
      </c>
      <c r="AQ5" s="162">
        <v>20523.48661882988</v>
      </c>
      <c r="AR5" s="162">
        <v>20820.159883091204</v>
      </c>
      <c r="AS5" s="162">
        <v>20987.512445111654</v>
      </c>
      <c r="AT5" s="162">
        <v>20664.185177378316</v>
      </c>
      <c r="AU5" s="162">
        <v>20702.891560809614</v>
      </c>
      <c r="AV5" s="162">
        <v>20888.105552438185</v>
      </c>
      <c r="AW5" s="162">
        <v>23316.684992015878</v>
      </c>
      <c r="AX5" s="162">
        <v>22265.883860057205</v>
      </c>
      <c r="AY5" s="162">
        <v>22077.566872167037</v>
      </c>
      <c r="AZ5" s="162">
        <v>22090.400144122301</v>
      </c>
      <c r="BA5" s="162">
        <v>21718.536421617555</v>
      </c>
      <c r="BB5" s="162">
        <v>21737.2264592838</v>
      </c>
      <c r="BC5" s="162">
        <v>21684.992832060678</v>
      </c>
      <c r="BD5" s="162">
        <v>22175.789473345048</v>
      </c>
      <c r="BE5" s="162">
        <v>22196.112731025903</v>
      </c>
      <c r="BF5" s="162">
        <v>21848.23998536943</v>
      </c>
      <c r="BG5" s="162">
        <v>22102.50724703589</v>
      </c>
      <c r="BH5" s="162">
        <v>22503.624769895934</v>
      </c>
      <c r="BI5" s="162">
        <v>25391.16857677501</v>
      </c>
      <c r="BJ5" s="162">
        <v>24029.803890028252</v>
      </c>
      <c r="BK5" s="162">
        <v>24013.562842210038</v>
      </c>
      <c r="BL5" s="162">
        <v>23784.870318967191</v>
      </c>
      <c r="BM5" s="162">
        <v>23912.218911613985</v>
      </c>
      <c r="BN5" s="162">
        <v>24220.596316528303</v>
      </c>
      <c r="BO5" s="162">
        <v>24017.50101763201</v>
      </c>
      <c r="BP5" s="162">
        <v>24588.241511306522</v>
      </c>
      <c r="BQ5" s="162">
        <v>24794.334919669374</v>
      </c>
      <c r="BR5" s="162">
        <v>24354.580198828076</v>
      </c>
      <c r="BS5" s="162">
        <v>24815.527936131883</v>
      </c>
      <c r="BT5" s="162">
        <v>25002.24008601328</v>
      </c>
      <c r="BU5" s="162">
        <v>27638</v>
      </c>
      <c r="BV5" s="162">
        <v>26531.097152112925</v>
      </c>
      <c r="BW5" s="162">
        <v>26526.899703812975</v>
      </c>
      <c r="BX5" s="162">
        <v>26183.738862633141</v>
      </c>
      <c r="BY5" s="162">
        <v>26254.514732054799</v>
      </c>
      <c r="BZ5" s="162">
        <v>26173.261525868962</v>
      </c>
      <c r="CA5" s="162">
        <v>26253.964140184591</v>
      </c>
      <c r="CB5" s="162">
        <v>26762.160082529066</v>
      </c>
      <c r="CC5" s="162">
        <v>26565.777695196768</v>
      </c>
      <c r="CD5" s="162">
        <v>26679.574401556256</v>
      </c>
      <c r="CE5" s="162">
        <v>27085.920970584004</v>
      </c>
      <c r="CF5" s="162">
        <v>26977.870846605641</v>
      </c>
      <c r="CG5" s="162">
        <v>29731.251114000625</v>
      </c>
      <c r="CH5" s="162">
        <v>28503.782930543362</v>
      </c>
      <c r="CI5" s="162">
        <v>28353.789284723396</v>
      </c>
      <c r="CJ5" s="162">
        <v>28226.794639748969</v>
      </c>
      <c r="CK5" s="162">
        <v>28264.118735730339</v>
      </c>
      <c r="CL5" s="162">
        <v>28038.109877324951</v>
      </c>
      <c r="CM5" s="162">
        <v>28460.470012456764</v>
      </c>
      <c r="CN5" s="162">
        <v>28732.075101738672</v>
      </c>
      <c r="CO5" s="162">
        <v>28547.538359344486</v>
      </c>
      <c r="CP5" s="162">
        <v>28558.473586083212</v>
      </c>
      <c r="CQ5" s="162">
        <v>28844.392046574456</v>
      </c>
      <c r="CR5" s="162">
        <v>29119.574478804388</v>
      </c>
      <c r="CS5" s="162">
        <v>32218.438809848714</v>
      </c>
      <c r="CT5" s="162">
        <v>30902.666062600962</v>
      </c>
      <c r="CU5" s="162">
        <v>30604.554093916278</v>
      </c>
      <c r="CV5" s="162">
        <v>29949.46705897844</v>
      </c>
      <c r="CW5" s="162">
        <v>29305.442108130697</v>
      </c>
      <c r="CX5" s="162">
        <v>28891.577411526578</v>
      </c>
      <c r="CY5" s="162">
        <v>29087.652257059555</v>
      </c>
      <c r="CZ5" s="162">
        <v>29217.356379832076</v>
      </c>
      <c r="DA5" s="162">
        <v>29104.323065575794</v>
      </c>
      <c r="DB5" s="162">
        <v>29000.117582687668</v>
      </c>
      <c r="DC5" s="162">
        <v>29071.941947559819</v>
      </c>
      <c r="DD5" s="162">
        <v>29111.019947766225</v>
      </c>
      <c r="DE5" s="162">
        <v>31636.023138115845</v>
      </c>
      <c r="DF5" s="162">
        <v>29893.550483353891</v>
      </c>
      <c r="DG5" s="162">
        <v>29612.111529268681</v>
      </c>
      <c r="DH5" s="162">
        <v>29987.258875632728</v>
      </c>
      <c r="DI5" s="162">
        <v>29808.532092407655</v>
      </c>
      <c r="DJ5" s="162">
        <v>29873.778942881614</v>
      </c>
      <c r="DK5" s="162">
        <v>30056.327956020566</v>
      </c>
      <c r="DL5" s="162">
        <v>30327.714046756177</v>
      </c>
      <c r="DM5" s="162">
        <v>30499.597336790979</v>
      </c>
      <c r="DN5" s="162">
        <v>30620.709542476052</v>
      </c>
      <c r="DO5" s="162">
        <v>31634.880380811912</v>
      </c>
      <c r="DP5" s="162">
        <v>31672.719324559101</v>
      </c>
      <c r="DQ5" s="162">
        <v>35365.44116659162</v>
      </c>
      <c r="DR5" s="162">
        <v>33646.968742174089</v>
      </c>
      <c r="DS5" s="162">
        <v>33729.331543131731</v>
      </c>
      <c r="DT5" s="162">
        <v>34041.210177219153</v>
      </c>
      <c r="DU5" s="162">
        <v>35441.178040064326</v>
      </c>
      <c r="DV5" s="162">
        <v>36965.41341447919</v>
      </c>
      <c r="DW5" s="162">
        <v>36133.21804392316</v>
      </c>
      <c r="DX5" s="162">
        <v>36349.4683146877</v>
      </c>
      <c r="DY5" s="162">
        <v>36481.794617266271</v>
      </c>
      <c r="DZ5" s="162">
        <v>36167.186899197026</v>
      </c>
      <c r="EA5" s="162">
        <v>36623.820447114776</v>
      </c>
      <c r="EB5" s="162">
        <v>36907.671134592551</v>
      </c>
      <c r="EC5" s="162">
        <v>39610.504011841193</v>
      </c>
      <c r="ED5" s="162">
        <v>38497.754583117094</v>
      </c>
      <c r="EE5" s="162">
        <v>38230.063502696634</v>
      </c>
      <c r="EF5" s="162">
        <v>38930.812688919905</v>
      </c>
      <c r="EG5" s="162">
        <v>39704.961290793319</v>
      </c>
      <c r="EH5" s="162">
        <v>39960.940228936379</v>
      </c>
      <c r="EI5" s="162">
        <v>39426.331250734554</v>
      </c>
    </row>
    <row r="6" spans="1:139" ht="17.100000000000001" customHeight="1" x14ac:dyDescent="0.25">
      <c r="A6" s="160" t="s">
        <v>239</v>
      </c>
      <c r="B6" s="162">
        <v>2780.4818602185578</v>
      </c>
      <c r="C6" s="162">
        <v>2661.1428895894414</v>
      </c>
      <c r="D6" s="162">
        <v>2898.1288821314602</v>
      </c>
      <c r="E6" s="162">
        <v>2715.3582111474238</v>
      </c>
      <c r="F6" s="162">
        <v>2684.0971327969955</v>
      </c>
      <c r="G6" s="162">
        <v>2744.9043118847831</v>
      </c>
      <c r="H6" s="162">
        <v>2589.750992474867</v>
      </c>
      <c r="I6" s="162">
        <v>2818.4901145357067</v>
      </c>
      <c r="J6" s="162">
        <v>2854.1944993078255</v>
      </c>
      <c r="K6" s="162">
        <v>2652.7364417868403</v>
      </c>
      <c r="L6" s="162">
        <v>2792.7197988087805</v>
      </c>
      <c r="M6" s="162">
        <v>3616.7552011710859</v>
      </c>
      <c r="N6" s="162">
        <v>3226.065290569335</v>
      </c>
      <c r="O6" s="162">
        <v>2789.5613597740057</v>
      </c>
      <c r="P6" s="162">
        <v>3064.4438332881532</v>
      </c>
      <c r="Q6" s="162">
        <v>2706.3366797338899</v>
      </c>
      <c r="R6" s="162">
        <v>3000.4766235805801</v>
      </c>
      <c r="S6" s="162">
        <v>2937.2266495119648</v>
      </c>
      <c r="T6" s="162">
        <v>2860.3833820514105</v>
      </c>
      <c r="U6" s="162">
        <v>3375.9320411612475</v>
      </c>
      <c r="V6" s="162">
        <v>3198.9278438555507</v>
      </c>
      <c r="W6" s="162">
        <v>3543.8328578868231</v>
      </c>
      <c r="X6" s="162">
        <v>3523.5380632228726</v>
      </c>
      <c r="Y6" s="162">
        <v>4161.9693968671954</v>
      </c>
      <c r="Z6" s="162">
        <v>3378.484805855383</v>
      </c>
      <c r="AA6" s="162">
        <v>3248.2380390606745</v>
      </c>
      <c r="AB6" s="162">
        <v>2883.3512458578157</v>
      </c>
      <c r="AC6" s="162">
        <v>2977.8079643617739</v>
      </c>
      <c r="AD6" s="162">
        <v>3403.9576576288719</v>
      </c>
      <c r="AE6" s="162">
        <v>2731.8580123987772</v>
      </c>
      <c r="AF6" s="162">
        <v>2921.5951604483175</v>
      </c>
      <c r="AG6" s="162">
        <v>3285.2655863486962</v>
      </c>
      <c r="AH6" s="162">
        <v>3218.9780038196668</v>
      </c>
      <c r="AI6" s="162">
        <v>3775.3428060113479</v>
      </c>
      <c r="AJ6" s="162">
        <v>3586.6000795631339</v>
      </c>
      <c r="AK6" s="162">
        <v>4791.5966149175529</v>
      </c>
      <c r="AL6" s="162">
        <v>4198.8004375281098</v>
      </c>
      <c r="AM6" s="162">
        <v>3718.4681231650479</v>
      </c>
      <c r="AN6" s="162">
        <v>3968.0071440123438</v>
      </c>
      <c r="AO6" s="162">
        <v>4263.4817446186689</v>
      </c>
      <c r="AP6" s="162">
        <v>4030.7237780018918</v>
      </c>
      <c r="AQ6" s="162">
        <v>3881.5519780801178</v>
      </c>
      <c r="AR6" s="162">
        <v>4400.6176584587956</v>
      </c>
      <c r="AS6" s="162">
        <v>4329.7500811983455</v>
      </c>
      <c r="AT6" s="162">
        <v>4242.0866869116808</v>
      </c>
      <c r="AU6" s="162">
        <v>4812.0552422003866</v>
      </c>
      <c r="AV6" s="162">
        <v>4467.8940639118146</v>
      </c>
      <c r="AW6" s="162">
        <v>6810.9656838341225</v>
      </c>
      <c r="AX6" s="162">
        <v>5069.9095430427915</v>
      </c>
      <c r="AY6" s="162">
        <v>4859.8693030329596</v>
      </c>
      <c r="AZ6" s="162">
        <v>4678.5999159676958</v>
      </c>
      <c r="BA6" s="162">
        <v>5002.6420686924439</v>
      </c>
      <c r="BB6" s="162">
        <v>4285.1118852461977</v>
      </c>
      <c r="BC6" s="162">
        <v>4659.9065244093199</v>
      </c>
      <c r="BD6" s="162">
        <v>5162.9735006449473</v>
      </c>
      <c r="BE6" s="162">
        <v>4784.119899514094</v>
      </c>
      <c r="BF6" s="162">
        <v>4722.670419430573</v>
      </c>
      <c r="BG6" s="162">
        <v>4493.5170977541047</v>
      </c>
      <c r="BH6" s="162">
        <v>4728.3325385640619</v>
      </c>
      <c r="BI6" s="162">
        <v>7139.7543311749869</v>
      </c>
      <c r="BJ6" s="162">
        <v>4663.7387838217473</v>
      </c>
      <c r="BK6" s="162">
        <v>4523.7478623699599</v>
      </c>
      <c r="BL6" s="162">
        <v>4450.9223558028089</v>
      </c>
      <c r="BM6" s="162">
        <v>4979.4203134760128</v>
      </c>
      <c r="BN6" s="162">
        <v>4161.0018502116955</v>
      </c>
      <c r="BO6" s="162">
        <v>4383.6580079079868</v>
      </c>
      <c r="BP6" s="162">
        <v>4496.3473000134763</v>
      </c>
      <c r="BQ6" s="162">
        <v>3994.4044263306255</v>
      </c>
      <c r="BR6" s="162">
        <v>4461.7785986819208</v>
      </c>
      <c r="BS6" s="162">
        <v>4318.628638748115</v>
      </c>
      <c r="BT6" s="162">
        <v>4136.1890971867178</v>
      </c>
      <c r="BU6" s="162">
        <v>5700</v>
      </c>
      <c r="BV6" s="162">
        <v>4639.9123097070715</v>
      </c>
      <c r="BW6" s="162">
        <v>4120.3852649670216</v>
      </c>
      <c r="BX6" s="162">
        <v>4559.5574301768565</v>
      </c>
      <c r="BY6" s="162">
        <v>4193.0783909652037</v>
      </c>
      <c r="BZ6" s="162">
        <v>4398.2989610010391</v>
      </c>
      <c r="CA6" s="162">
        <v>4326.8833435254101</v>
      </c>
      <c r="CB6" s="162">
        <v>4260.7877591309334</v>
      </c>
      <c r="CC6" s="162">
        <v>4589.0046524532281</v>
      </c>
      <c r="CD6" s="162">
        <v>4732.6255099037444</v>
      </c>
      <c r="CE6" s="162">
        <v>4727.9586299159955</v>
      </c>
      <c r="CF6" s="162">
        <v>5014.1771895143556</v>
      </c>
      <c r="CG6" s="162">
        <v>6187.1460565193684</v>
      </c>
      <c r="CH6" s="162">
        <v>5518.0582707766389</v>
      </c>
      <c r="CI6" s="162">
        <v>5086.7802471466075</v>
      </c>
      <c r="CJ6" s="162">
        <v>5413.5634866610299</v>
      </c>
      <c r="CK6" s="162">
        <v>4919.5590877596596</v>
      </c>
      <c r="CL6" s="162">
        <v>4519.4033162250489</v>
      </c>
      <c r="CM6" s="162">
        <v>5103.3417168232363</v>
      </c>
      <c r="CN6" s="162">
        <v>4617.9956123513275</v>
      </c>
      <c r="CO6" s="162">
        <v>4377.7882468055095</v>
      </c>
      <c r="CP6" s="162">
        <v>4636.5514420067884</v>
      </c>
      <c r="CQ6" s="162">
        <v>5956.1293232755443</v>
      </c>
      <c r="CR6" s="162">
        <v>5488.725887875612</v>
      </c>
      <c r="CS6" s="162">
        <v>6493.0487123812809</v>
      </c>
      <c r="CT6" s="162">
        <v>6233.4020422090307</v>
      </c>
      <c r="CU6" s="162">
        <v>5547.9557401637248</v>
      </c>
      <c r="CV6" s="162">
        <v>5202.3559418015602</v>
      </c>
      <c r="CW6" s="162">
        <v>5160.4314191792973</v>
      </c>
      <c r="CX6" s="162">
        <v>5317.7048001934272</v>
      </c>
      <c r="CY6" s="162">
        <v>4753.28732685045</v>
      </c>
      <c r="CZ6" s="162">
        <v>5137.0804043879234</v>
      </c>
      <c r="DA6" s="162">
        <v>4877.3073580142081</v>
      </c>
      <c r="DB6" s="162">
        <v>4489.8915086023289</v>
      </c>
      <c r="DC6" s="162">
        <v>5441.6693809101835</v>
      </c>
      <c r="DD6" s="162">
        <v>5638.6729159237802</v>
      </c>
      <c r="DE6" s="162">
        <v>7704.4489917341543</v>
      </c>
      <c r="DF6" s="162">
        <v>7354.9369597161085</v>
      </c>
      <c r="DG6" s="162">
        <v>6057.7412150413129</v>
      </c>
      <c r="DH6" s="162">
        <v>6188.3169892272736</v>
      </c>
      <c r="DI6" s="162">
        <v>6526.4704679423421</v>
      </c>
      <c r="DJ6" s="162">
        <v>6456.2028305483882</v>
      </c>
      <c r="DK6" s="162">
        <v>5837.0643281894327</v>
      </c>
      <c r="DL6" s="162">
        <v>6124.8075236438253</v>
      </c>
      <c r="DM6" s="162">
        <v>5972.4088819290218</v>
      </c>
      <c r="DN6" s="162">
        <v>5242.610979963948</v>
      </c>
      <c r="DO6" s="162">
        <v>6250.6338458380906</v>
      </c>
      <c r="DP6" s="162">
        <v>5814.1562041309053</v>
      </c>
      <c r="DQ6" s="162">
        <v>7543.713894688377</v>
      </c>
      <c r="DR6" s="162">
        <v>6263.8035133059066</v>
      </c>
      <c r="DS6" s="162">
        <v>5655.1840796482666</v>
      </c>
      <c r="DT6" s="162">
        <v>6490.3051716908449</v>
      </c>
      <c r="DU6" s="162">
        <v>6930.7378024656709</v>
      </c>
      <c r="DV6" s="162">
        <v>5586.7797979408087</v>
      </c>
      <c r="DW6" s="162">
        <v>5722.302474896841</v>
      </c>
      <c r="DX6" s="162">
        <v>5767.0276340122928</v>
      </c>
      <c r="DY6" s="162">
        <v>5098.575338673737</v>
      </c>
      <c r="DZ6" s="162">
        <v>5599.5383830129713</v>
      </c>
      <c r="EA6" s="162">
        <v>5477.2437161352191</v>
      </c>
      <c r="EB6" s="162">
        <v>5394.0144405774463</v>
      </c>
      <c r="EC6" s="162">
        <v>6950.9651418888052</v>
      </c>
      <c r="ED6" s="162">
        <v>6011.4850225429063</v>
      </c>
      <c r="EE6" s="162">
        <v>5340.56838381337</v>
      </c>
      <c r="EF6" s="162">
        <v>5928.2086155700936</v>
      </c>
      <c r="EG6" s="162">
        <v>5770.0358313166835</v>
      </c>
      <c r="EH6" s="162">
        <v>5691.350409953624</v>
      </c>
      <c r="EI6" s="162">
        <v>5827.0871118054465</v>
      </c>
    </row>
    <row r="7" spans="1:139" ht="17.100000000000001" customHeight="1" x14ac:dyDescent="0.25">
      <c r="A7" s="160" t="s">
        <v>240</v>
      </c>
      <c r="B7" s="162">
        <v>13354.1369304</v>
      </c>
      <c r="C7" s="162">
        <v>15547.269751184082</v>
      </c>
      <c r="D7" s="162">
        <v>16275.622386438796</v>
      </c>
      <c r="E7" s="162">
        <v>15221.23032284</v>
      </c>
      <c r="F7" s="162">
        <v>16093.601333399249</v>
      </c>
      <c r="G7" s="162">
        <v>16999.361531195795</v>
      </c>
      <c r="H7" s="162">
        <v>19152.045058170501</v>
      </c>
      <c r="I7" s="162">
        <v>17322.563515917751</v>
      </c>
      <c r="J7" s="162">
        <v>17348.093718887878</v>
      </c>
      <c r="K7" s="162">
        <v>19741.48304675605</v>
      </c>
      <c r="L7" s="162">
        <v>20508.300298751532</v>
      </c>
      <c r="M7" s="162">
        <v>22343.765787940167</v>
      </c>
      <c r="N7" s="162">
        <v>22984.200542913426</v>
      </c>
      <c r="O7" s="162">
        <v>22919.075251580765</v>
      </c>
      <c r="P7" s="162">
        <v>22059.179417132509</v>
      </c>
      <c r="Q7" s="162">
        <v>23166.702863040875</v>
      </c>
      <c r="R7" s="162">
        <v>20938.908755252636</v>
      </c>
      <c r="S7" s="162">
        <v>21782.913917106107</v>
      </c>
      <c r="T7" s="162">
        <v>21168.268613999975</v>
      </c>
      <c r="U7" s="162">
        <v>22548.75644605832</v>
      </c>
      <c r="V7" s="162">
        <v>21135.314750968126</v>
      </c>
      <c r="W7" s="162">
        <v>20621.053342979791</v>
      </c>
      <c r="X7" s="162">
        <v>20552.26384958261</v>
      </c>
      <c r="Y7" s="162">
        <v>23811.115484457412</v>
      </c>
      <c r="Z7" s="162">
        <v>21262.747211979215</v>
      </c>
      <c r="AA7" s="162">
        <v>22729.78389618911</v>
      </c>
      <c r="AB7" s="162">
        <v>22777.196732427616</v>
      </c>
      <c r="AC7" s="162">
        <v>22587.705621703659</v>
      </c>
      <c r="AD7" s="162">
        <v>22581.00185845033</v>
      </c>
      <c r="AE7" s="162">
        <v>24165.476965627764</v>
      </c>
      <c r="AF7" s="162">
        <v>23900.002767059999</v>
      </c>
      <c r="AG7" s="162">
        <v>23612.924114190002</v>
      </c>
      <c r="AH7" s="162">
        <v>24815.184473119996</v>
      </c>
      <c r="AI7" s="162">
        <v>23406.22358813</v>
      </c>
      <c r="AJ7" s="162">
        <v>22282.956181639998</v>
      </c>
      <c r="AK7" s="162">
        <v>25661.61601234</v>
      </c>
      <c r="AL7" s="162">
        <v>24923.575304820002</v>
      </c>
      <c r="AM7" s="162">
        <v>27863.721685230001</v>
      </c>
      <c r="AN7" s="162">
        <v>27008.273728829998</v>
      </c>
      <c r="AO7" s="162">
        <v>23896.042957950001</v>
      </c>
      <c r="AP7" s="162">
        <v>28157.483017939998</v>
      </c>
      <c r="AQ7" s="162">
        <v>28688.974320559999</v>
      </c>
      <c r="AR7" s="162">
        <v>28935.587960119999</v>
      </c>
      <c r="AS7" s="162">
        <v>26134.653011400002</v>
      </c>
      <c r="AT7" s="162">
        <v>25278.962214350006</v>
      </c>
      <c r="AU7" s="162">
        <v>26462.917852329996</v>
      </c>
      <c r="AV7" s="162">
        <v>28401.248003600002</v>
      </c>
      <c r="AW7" s="162">
        <v>32222.361538929999</v>
      </c>
      <c r="AX7" s="162">
        <v>31332.858156099996</v>
      </c>
      <c r="AY7" s="162">
        <v>37154.273890489996</v>
      </c>
      <c r="AZ7" s="162">
        <v>35714.452707160002</v>
      </c>
      <c r="BA7" s="162">
        <v>35349.192402590001</v>
      </c>
      <c r="BB7" s="162">
        <v>36559.695734500005</v>
      </c>
      <c r="BC7" s="162">
        <v>35792.13994986</v>
      </c>
      <c r="BD7" s="162">
        <v>37463.480514460003</v>
      </c>
      <c r="BE7" s="162">
        <v>39541.545096289999</v>
      </c>
      <c r="BF7" s="162">
        <v>37218.004232480009</v>
      </c>
      <c r="BG7" s="162">
        <v>38604.992392180007</v>
      </c>
      <c r="BH7" s="162">
        <v>36126.117609040004</v>
      </c>
      <c r="BI7" s="162">
        <v>35402.665723730002</v>
      </c>
      <c r="BJ7" s="162">
        <v>40194.553121159995</v>
      </c>
      <c r="BK7" s="162">
        <v>41903.326050510004</v>
      </c>
      <c r="BL7" s="162">
        <v>45342.041259387093</v>
      </c>
      <c r="BM7" s="162">
        <v>46268.043769730008</v>
      </c>
      <c r="BN7" s="162">
        <v>42422.148787660008</v>
      </c>
      <c r="BO7" s="162">
        <v>43192.988507800001</v>
      </c>
      <c r="BP7" s="162">
        <v>39688.594744379996</v>
      </c>
      <c r="BQ7" s="162">
        <v>37781.122630039994</v>
      </c>
      <c r="BR7" s="162">
        <v>38130.92308647</v>
      </c>
      <c r="BS7" s="162">
        <v>42033.614138259996</v>
      </c>
      <c r="BT7" s="162">
        <v>41357.989154869996</v>
      </c>
      <c r="BU7" s="162">
        <v>40232</v>
      </c>
      <c r="BV7" s="162">
        <v>43327.37065099</v>
      </c>
      <c r="BW7" s="162">
        <v>42270.242217110004</v>
      </c>
      <c r="BX7" s="162">
        <v>38702.747159840001</v>
      </c>
      <c r="BY7" s="162">
        <v>36966.402783769998</v>
      </c>
      <c r="BZ7" s="162">
        <v>45500.998912250005</v>
      </c>
      <c r="CA7" s="162">
        <v>39838.989369879993</v>
      </c>
      <c r="CB7" s="162">
        <v>40788.16046508</v>
      </c>
      <c r="CC7" s="162">
        <v>41119.640720480005</v>
      </c>
      <c r="CD7" s="162">
        <v>41671.594240912294</v>
      </c>
      <c r="CE7" s="162">
        <v>39342.389224932289</v>
      </c>
      <c r="CF7" s="162">
        <v>43057.980335112297</v>
      </c>
      <c r="CG7" s="162">
        <v>46144.057143852289</v>
      </c>
      <c r="CH7" s="162">
        <v>49052.035099962297</v>
      </c>
      <c r="CI7" s="162">
        <v>46447.503736152299</v>
      </c>
      <c r="CJ7" s="162">
        <v>42630.130434432293</v>
      </c>
      <c r="CK7" s="162">
        <v>50649.058355552283</v>
      </c>
      <c r="CL7" s="162">
        <v>51387.394905092289</v>
      </c>
      <c r="CM7" s="162">
        <v>47138.658829172295</v>
      </c>
      <c r="CN7" s="162">
        <v>48911.241085272297</v>
      </c>
      <c r="CO7" s="162">
        <v>46142.886787152289</v>
      </c>
      <c r="CP7" s="162">
        <v>52734.662568232292</v>
      </c>
      <c r="CQ7" s="162">
        <v>47975.549305722285</v>
      </c>
      <c r="CR7" s="162">
        <v>55447.42017634229</v>
      </c>
      <c r="CS7" s="162">
        <v>63436.593504842291</v>
      </c>
      <c r="CT7" s="162">
        <v>64010.385101322288</v>
      </c>
      <c r="CU7" s="162">
        <v>64691.880049190004</v>
      </c>
      <c r="CV7" s="162">
        <v>61775.648335420003</v>
      </c>
      <c r="CW7" s="162">
        <v>62298.683299819997</v>
      </c>
      <c r="CX7" s="162">
        <v>65146.519412010006</v>
      </c>
      <c r="CY7" s="162">
        <v>75207.92356529001</v>
      </c>
      <c r="CZ7" s="162">
        <v>66305.61094092</v>
      </c>
      <c r="DA7" s="162">
        <v>78975.213065695003</v>
      </c>
      <c r="DB7" s="162">
        <v>66270.398734379996</v>
      </c>
      <c r="DC7" s="162">
        <v>63583.843827479999</v>
      </c>
      <c r="DD7" s="162">
        <v>68343.119430899998</v>
      </c>
      <c r="DE7" s="162">
        <v>61526.639409400006</v>
      </c>
      <c r="DF7" s="162">
        <v>65569.821188270012</v>
      </c>
      <c r="DG7" s="162">
        <v>67814.736733609985</v>
      </c>
      <c r="DH7" s="162">
        <v>65703.469429789999</v>
      </c>
      <c r="DI7" s="162">
        <v>67220.293253249998</v>
      </c>
      <c r="DJ7" s="162">
        <v>72201.11818676001</v>
      </c>
      <c r="DK7" s="162">
        <v>69836.564613819995</v>
      </c>
      <c r="DL7" s="162">
        <v>73400.208292349998</v>
      </c>
      <c r="DM7" s="162">
        <v>68249.798498079996</v>
      </c>
      <c r="DN7" s="162">
        <v>69874.510723400002</v>
      </c>
      <c r="DO7" s="162">
        <v>66725.449632139993</v>
      </c>
      <c r="DP7" s="162">
        <v>73298.830747629996</v>
      </c>
      <c r="DQ7" s="162">
        <v>80442.341112480019</v>
      </c>
      <c r="DR7" s="162">
        <v>77776.282186179989</v>
      </c>
      <c r="DS7" s="162">
        <v>82662.719124980009</v>
      </c>
      <c r="DT7" s="162">
        <v>85871.212860280008</v>
      </c>
      <c r="DU7" s="162">
        <v>90023.860949669994</v>
      </c>
      <c r="DV7" s="162">
        <v>114298.81100968999</v>
      </c>
      <c r="DW7" s="162">
        <v>106491.25758024</v>
      </c>
      <c r="DX7" s="162">
        <v>111756.76418896001</v>
      </c>
      <c r="DY7" s="162">
        <v>95879.586515479998</v>
      </c>
      <c r="DZ7" s="162">
        <v>94156.614546609999</v>
      </c>
      <c r="EA7" s="162">
        <v>135936.18902791</v>
      </c>
      <c r="EB7" s="162">
        <v>141911.90418340999</v>
      </c>
      <c r="EC7" s="162">
        <v>148154.26381224999</v>
      </c>
      <c r="ED7" s="162">
        <v>169642.08276880998</v>
      </c>
      <c r="EE7" s="162">
        <v>152420.99205742002</v>
      </c>
      <c r="EF7" s="162">
        <v>151391.00562089001</v>
      </c>
      <c r="EG7" s="162">
        <v>189957.66987225</v>
      </c>
      <c r="EH7" s="162">
        <v>196874.81280272</v>
      </c>
      <c r="EI7" s="162">
        <v>193686.90778528</v>
      </c>
    </row>
    <row r="8" spans="1:139" ht="17.100000000000001" customHeight="1" x14ac:dyDescent="0.25">
      <c r="A8" s="160" t="s">
        <v>241</v>
      </c>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row>
    <row r="9" spans="1:139" s="165" customFormat="1" ht="17.100000000000001" customHeight="1" x14ac:dyDescent="0.25">
      <c r="A9" s="163" t="s">
        <v>242</v>
      </c>
      <c r="B9" s="164">
        <v>13180.361091909999</v>
      </c>
      <c r="C9" s="164">
        <v>15445.119449369999</v>
      </c>
      <c r="D9" s="164">
        <v>16168.046902009999</v>
      </c>
      <c r="E9" s="164">
        <v>15124.25977701</v>
      </c>
      <c r="F9" s="164">
        <v>16001.144004809998</v>
      </c>
      <c r="G9" s="164">
        <v>16558.544007380002</v>
      </c>
      <c r="H9" s="164">
        <v>19007.349950509997</v>
      </c>
      <c r="I9" s="164">
        <v>17182.945034510001</v>
      </c>
      <c r="J9" s="164">
        <v>17080.954378169998</v>
      </c>
      <c r="K9" s="164">
        <v>19601.086913409999</v>
      </c>
      <c r="L9" s="164">
        <v>20360.644917080001</v>
      </c>
      <c r="M9" s="164">
        <v>22187.582204819999</v>
      </c>
      <c r="N9" s="164">
        <v>22842.828379009999</v>
      </c>
      <c r="O9" s="164">
        <v>22753.930035100002</v>
      </c>
      <c r="P9" s="164">
        <v>21902.896262459999</v>
      </c>
      <c r="Q9" s="164">
        <v>22996.164349359999</v>
      </c>
      <c r="R9" s="164">
        <v>20819.986171249999</v>
      </c>
      <c r="S9" s="164">
        <v>21555.850004669999</v>
      </c>
      <c r="T9" s="164">
        <v>21020.661866890001</v>
      </c>
      <c r="U9" s="164">
        <v>22403.703741509999</v>
      </c>
      <c r="V9" s="164">
        <v>20956.707757559998</v>
      </c>
      <c r="W9" s="164">
        <v>20392.186258429996</v>
      </c>
      <c r="X9" s="164">
        <v>20406.316159820002</v>
      </c>
      <c r="Y9" s="164">
        <v>23666.373667289998</v>
      </c>
      <c r="Z9" s="164">
        <v>21128.55688815</v>
      </c>
      <c r="AA9" s="164">
        <v>22606.986195919999</v>
      </c>
      <c r="AB9" s="164">
        <v>22648.888231509998</v>
      </c>
      <c r="AC9" s="164">
        <v>22462.387835019999</v>
      </c>
      <c r="AD9" s="164">
        <v>22476.149191739998</v>
      </c>
      <c r="AE9" s="164">
        <v>23977.369481069996</v>
      </c>
      <c r="AF9" s="164">
        <v>23701.931139239998</v>
      </c>
      <c r="AG9" s="164">
        <v>23541.113787940001</v>
      </c>
      <c r="AH9" s="164">
        <v>24591.544820159997</v>
      </c>
      <c r="AI9" s="164">
        <v>23167.60481945</v>
      </c>
      <c r="AJ9" s="164">
        <v>22131.482146099999</v>
      </c>
      <c r="AK9" s="164">
        <v>25515.138641540001</v>
      </c>
      <c r="AL9" s="164">
        <v>24854.226564650002</v>
      </c>
      <c r="AM9" s="164">
        <v>27797.761466790002</v>
      </c>
      <c r="AN9" s="164">
        <v>26943.295328619999</v>
      </c>
      <c r="AO9" s="164">
        <v>23830.458748830002</v>
      </c>
      <c r="AP9" s="164">
        <v>28088.96964996</v>
      </c>
      <c r="AQ9" s="164">
        <v>28377.491470929999</v>
      </c>
      <c r="AR9" s="164">
        <v>28845.220740209999</v>
      </c>
      <c r="AS9" s="164">
        <v>26045.912519270001</v>
      </c>
      <c r="AT9" s="164">
        <v>25113.663529400004</v>
      </c>
      <c r="AU9" s="164">
        <v>26366.097784619997</v>
      </c>
      <c r="AV9" s="164">
        <v>28225.168882770002</v>
      </c>
      <c r="AW9" s="164">
        <v>31894.798558349998</v>
      </c>
      <c r="AX9" s="164">
        <v>31263.989790459997</v>
      </c>
      <c r="AY9" s="164">
        <v>37062.201626349997</v>
      </c>
      <c r="AZ9" s="164">
        <v>35626.74721275</v>
      </c>
      <c r="BA9" s="164">
        <v>35263.900715039999</v>
      </c>
      <c r="BB9" s="164">
        <v>36480.672927440006</v>
      </c>
      <c r="BC9" s="164">
        <v>35505.536266570001</v>
      </c>
      <c r="BD9" s="164">
        <v>37346.30601778</v>
      </c>
      <c r="BE9" s="164">
        <v>39447.964838309999</v>
      </c>
      <c r="BF9" s="164">
        <v>37043.045730330006</v>
      </c>
      <c r="BG9" s="164">
        <v>38406.794046370007</v>
      </c>
      <c r="BH9" s="164">
        <v>36009.536248050004</v>
      </c>
      <c r="BI9" s="164">
        <v>35269.696321449999</v>
      </c>
      <c r="BJ9" s="164">
        <v>40104.413002199995</v>
      </c>
      <c r="BK9" s="164">
        <v>41805.112039910004</v>
      </c>
      <c r="BL9" s="164">
        <v>45054.548004237091</v>
      </c>
      <c r="BM9" s="164">
        <v>46161.870899910005</v>
      </c>
      <c r="BN9" s="164">
        <v>42302.540231880004</v>
      </c>
      <c r="BO9" s="164">
        <v>42987.27696255</v>
      </c>
      <c r="BP9" s="164">
        <v>39385.219822699997</v>
      </c>
      <c r="BQ9" s="164">
        <v>36807.436373129996</v>
      </c>
      <c r="BR9" s="164">
        <v>37970.221436699998</v>
      </c>
      <c r="BS9" s="164">
        <v>41922.34927662</v>
      </c>
      <c r="BT9" s="164">
        <v>41263.81340811</v>
      </c>
      <c r="BU9" s="164">
        <v>39962</v>
      </c>
      <c r="BV9" s="164">
        <v>43239.512165820001</v>
      </c>
      <c r="BW9" s="164">
        <v>42176.046251020001</v>
      </c>
      <c r="BX9" s="164">
        <v>38608.694038940004</v>
      </c>
      <c r="BY9" s="164">
        <v>36805.113869389999</v>
      </c>
      <c r="BZ9" s="164">
        <v>45411.241120620005</v>
      </c>
      <c r="CA9" s="164">
        <v>39659.050252699992</v>
      </c>
      <c r="CB9" s="164">
        <v>40641.943913030002</v>
      </c>
      <c r="CC9" s="164">
        <v>40847.126320720003</v>
      </c>
      <c r="CD9" s="164">
        <v>41470.56727</v>
      </c>
      <c r="CE9" s="164">
        <v>39234.331478</v>
      </c>
      <c r="CF9" s="164">
        <v>42934.689576000004</v>
      </c>
      <c r="CG9" s="164">
        <v>45642.115197769999</v>
      </c>
      <c r="CH9" s="164">
        <v>48951.913890610005</v>
      </c>
      <c r="CI9" s="164">
        <v>46324.269419410004</v>
      </c>
      <c r="CJ9" s="164">
        <v>42441.435363860001</v>
      </c>
      <c r="CK9" s="164">
        <v>50524.902447699991</v>
      </c>
      <c r="CL9" s="164">
        <v>51270.683553429997</v>
      </c>
      <c r="CM9" s="164">
        <v>46984.148916220001</v>
      </c>
      <c r="CN9" s="164">
        <v>48775.635459120007</v>
      </c>
      <c r="CO9" s="164">
        <v>46023.509124389995</v>
      </c>
      <c r="CP9" s="164">
        <v>52573.411807529999</v>
      </c>
      <c r="CQ9" s="164">
        <v>47851.757256239995</v>
      </c>
      <c r="CR9" s="164">
        <v>55350.635036970001</v>
      </c>
      <c r="CS9" s="164">
        <v>63319.442593779997</v>
      </c>
      <c r="CT9" s="164">
        <v>63907.960726270678</v>
      </c>
      <c r="CU9" s="164">
        <v>64589.194299900002</v>
      </c>
      <c r="CV9" s="164">
        <v>61684.655452080005</v>
      </c>
      <c r="CW9" s="164">
        <v>62161.711645019997</v>
      </c>
      <c r="CX9" s="164">
        <v>65056.358257800006</v>
      </c>
      <c r="CY9" s="164">
        <v>75026.109037970004</v>
      </c>
      <c r="CZ9" s="164">
        <v>66061.261849009999</v>
      </c>
      <c r="DA9" s="164">
        <v>78886.824107995009</v>
      </c>
      <c r="DB9" s="164">
        <v>66111.966410969995</v>
      </c>
      <c r="DC9" s="164">
        <v>63491.167822060001</v>
      </c>
      <c r="DD9" s="164">
        <v>68248.702641269992</v>
      </c>
      <c r="DE9" s="164">
        <v>61401.321099070003</v>
      </c>
      <c r="DF9" s="164">
        <v>65474.932045410009</v>
      </c>
      <c r="DG9" s="164">
        <v>67717.134163858689</v>
      </c>
      <c r="DH9" s="164">
        <v>65531.594309039996</v>
      </c>
      <c r="DI9" s="164">
        <v>67107.099646510003</v>
      </c>
      <c r="DJ9" s="164">
        <v>72113.999596050009</v>
      </c>
      <c r="DK9" s="164">
        <v>69662.272514149998</v>
      </c>
      <c r="DL9" s="164">
        <v>73260.279537859999</v>
      </c>
      <c r="DM9" s="164">
        <v>68096.729228600001</v>
      </c>
      <c r="DN9" s="164">
        <v>69723.013958799478</v>
      </c>
      <c r="DO9" s="164">
        <v>66601.074179229996</v>
      </c>
      <c r="DP9" s="164">
        <v>73118.439982059994</v>
      </c>
      <c r="DQ9" s="164">
        <v>80233.224526130012</v>
      </c>
      <c r="DR9" s="164">
        <v>77664.276133166772</v>
      </c>
      <c r="DS9" s="164">
        <v>82527.919000330003</v>
      </c>
      <c r="DT9" s="164">
        <v>85741.699121390004</v>
      </c>
      <c r="DU9" s="164">
        <v>89819.763154839995</v>
      </c>
      <c r="DV9" s="164">
        <v>114146.32523480999</v>
      </c>
      <c r="DW9" s="164">
        <v>106333.6766491</v>
      </c>
      <c r="DX9" s="164">
        <v>110725.45381096001</v>
      </c>
      <c r="DY9" s="164">
        <v>94847.223145479991</v>
      </c>
      <c r="DZ9" s="164">
        <v>93124.633783609999</v>
      </c>
      <c r="EA9" s="164">
        <v>102102.07600891001</v>
      </c>
      <c r="EB9" s="164">
        <v>108077.88781541001</v>
      </c>
      <c r="EC9" s="164">
        <v>114822.24273725</v>
      </c>
      <c r="ED9" s="164">
        <v>136395.09296280998</v>
      </c>
      <c r="EE9" s="164">
        <v>119235.86102542</v>
      </c>
      <c r="EF9" s="164">
        <v>119481.94308589</v>
      </c>
      <c r="EG9" s="164">
        <v>111250.85803824999</v>
      </c>
      <c r="EH9" s="164">
        <v>119047.64699972</v>
      </c>
      <c r="EI9" s="164">
        <v>121752.69274627999</v>
      </c>
    </row>
    <row r="10" spans="1:139" s="165" customFormat="1" ht="17.100000000000001" customHeight="1" x14ac:dyDescent="0.25">
      <c r="A10" s="163" t="s">
        <v>243</v>
      </c>
      <c r="B10" s="164">
        <v>173.77583848999998</v>
      </c>
      <c r="C10" s="164">
        <v>102.15030181408299</v>
      </c>
      <c r="D10" s="164">
        <v>107.57548442879599</v>
      </c>
      <c r="E10" s="164">
        <v>96.970545829999992</v>
      </c>
      <c r="F10" s="164">
        <v>92.457328589252</v>
      </c>
      <c r="G10" s="164">
        <v>440.817523815794</v>
      </c>
      <c r="H10" s="164">
        <v>144.695107660503</v>
      </c>
      <c r="I10" s="164">
        <v>139.61848140775101</v>
      </c>
      <c r="J10" s="164">
        <v>267.13934071788196</v>
      </c>
      <c r="K10" s="164">
        <v>140.39613334605099</v>
      </c>
      <c r="L10" s="164">
        <v>147.65538167153198</v>
      </c>
      <c r="M10" s="164">
        <v>156.18358312016798</v>
      </c>
      <c r="N10" s="164">
        <v>141.37216390342701</v>
      </c>
      <c r="O10" s="164">
        <v>165.14521648076197</v>
      </c>
      <c r="P10" s="164">
        <v>156.283154672509</v>
      </c>
      <c r="Q10" s="164">
        <v>170.538513680878</v>
      </c>
      <c r="R10" s="164">
        <v>118.92258400263799</v>
      </c>
      <c r="S10" s="164">
        <v>227.06391243610898</v>
      </c>
      <c r="T10" s="164">
        <v>147.606747109975</v>
      </c>
      <c r="U10" s="164">
        <v>145.05270454831998</v>
      </c>
      <c r="V10" s="164">
        <v>178.60699340812801</v>
      </c>
      <c r="W10" s="164">
        <v>228.86708454979401</v>
      </c>
      <c r="X10" s="164">
        <v>145.94768976260698</v>
      </c>
      <c r="Y10" s="164">
        <v>144.74181716741302</v>
      </c>
      <c r="Z10" s="164">
        <v>134.190323829216</v>
      </c>
      <c r="AA10" s="164">
        <v>122.79770026911299</v>
      </c>
      <c r="AB10" s="164">
        <v>128.30850091761698</v>
      </c>
      <c r="AC10" s="164">
        <v>125.31778668365899</v>
      </c>
      <c r="AD10" s="164">
        <v>104.85266671033099</v>
      </c>
      <c r="AE10" s="164">
        <v>188.10748455776599</v>
      </c>
      <c r="AF10" s="164">
        <v>198.07162782</v>
      </c>
      <c r="AG10" s="164">
        <v>71.810326250000003</v>
      </c>
      <c r="AH10" s="164">
        <v>223.63965296000001</v>
      </c>
      <c r="AI10" s="164">
        <v>238.61876867999996</v>
      </c>
      <c r="AJ10" s="164">
        <v>151.47403553999999</v>
      </c>
      <c r="AK10" s="164">
        <v>146.47737080000002</v>
      </c>
      <c r="AL10" s="164">
        <v>69.348740169999985</v>
      </c>
      <c r="AM10" s="164">
        <v>65.960218440000006</v>
      </c>
      <c r="AN10" s="164">
        <v>64.97840020999999</v>
      </c>
      <c r="AO10" s="164">
        <v>65.584209119999997</v>
      </c>
      <c r="AP10" s="164">
        <v>68.513367979999998</v>
      </c>
      <c r="AQ10" s="164">
        <v>311.48284962999998</v>
      </c>
      <c r="AR10" s="164">
        <v>90.367219909999989</v>
      </c>
      <c r="AS10" s="164">
        <v>88.740492129999993</v>
      </c>
      <c r="AT10" s="164">
        <v>165.29868494999999</v>
      </c>
      <c r="AU10" s="164">
        <v>96.820067709999989</v>
      </c>
      <c r="AV10" s="164">
        <v>176.07912083000002</v>
      </c>
      <c r="AW10" s="164">
        <v>327.56298057999999</v>
      </c>
      <c r="AX10" s="164">
        <v>68.868365640000007</v>
      </c>
      <c r="AY10" s="164">
        <v>92.072264139999987</v>
      </c>
      <c r="AZ10" s="164">
        <v>87.70549441</v>
      </c>
      <c r="BA10" s="164">
        <v>85.291687549999992</v>
      </c>
      <c r="BB10" s="164">
        <v>79.022807060000005</v>
      </c>
      <c r="BC10" s="164">
        <v>286.60368328999999</v>
      </c>
      <c r="BD10" s="164">
        <v>117.17449668</v>
      </c>
      <c r="BE10" s="164">
        <v>93.580257980000013</v>
      </c>
      <c r="BF10" s="164">
        <v>174.95850214999999</v>
      </c>
      <c r="BG10" s="164">
        <v>198.19834580999998</v>
      </c>
      <c r="BH10" s="164">
        <v>116.58136098999999</v>
      </c>
      <c r="BI10" s="164">
        <v>132.96940228</v>
      </c>
      <c r="BJ10" s="164">
        <v>90.140118959999995</v>
      </c>
      <c r="BK10" s="164">
        <v>98.214010599999995</v>
      </c>
      <c r="BL10" s="164">
        <v>287.49325514999998</v>
      </c>
      <c r="BM10" s="164">
        <v>106.17286981999999</v>
      </c>
      <c r="BN10" s="164">
        <v>119.60855578000002</v>
      </c>
      <c r="BO10" s="164">
        <v>205.71154525</v>
      </c>
      <c r="BP10" s="164">
        <v>303.37492168</v>
      </c>
      <c r="BQ10" s="164">
        <v>973.68625691</v>
      </c>
      <c r="BR10" s="164">
        <v>160.70164977000002</v>
      </c>
      <c r="BS10" s="164">
        <v>111.26486164000001</v>
      </c>
      <c r="BT10" s="164">
        <v>94.175746759999996</v>
      </c>
      <c r="BU10" s="164">
        <v>269</v>
      </c>
      <c r="BV10" s="164">
        <v>87.858485169999994</v>
      </c>
      <c r="BW10" s="164">
        <v>94.195966089999999</v>
      </c>
      <c r="BX10" s="164">
        <v>94.053120899999996</v>
      </c>
      <c r="BY10" s="164">
        <v>161.28891437999999</v>
      </c>
      <c r="BZ10" s="164">
        <v>89.757791629999986</v>
      </c>
      <c r="CA10" s="164">
        <v>179.93911718000001</v>
      </c>
      <c r="CB10" s="164">
        <v>146.21655204999999</v>
      </c>
      <c r="CC10" s="164">
        <v>272.51439976</v>
      </c>
      <c r="CD10" s="164">
        <v>201.026970912292</v>
      </c>
      <c r="CE10" s="164">
        <v>108.05774693229202</v>
      </c>
      <c r="CF10" s="164">
        <v>123.29075911229199</v>
      </c>
      <c r="CG10" s="164">
        <v>501.94194608229202</v>
      </c>
      <c r="CH10" s="164">
        <v>100.121209352292</v>
      </c>
      <c r="CI10" s="164">
        <v>123.23431674229201</v>
      </c>
      <c r="CJ10" s="164">
        <v>188.695070572292</v>
      </c>
      <c r="CK10" s="164">
        <v>124.155907852292</v>
      </c>
      <c r="CL10" s="164">
        <v>116.71135166229199</v>
      </c>
      <c r="CM10" s="164">
        <v>154.50991295229201</v>
      </c>
      <c r="CN10" s="164">
        <v>135.60562615229202</v>
      </c>
      <c r="CO10" s="164">
        <v>119.37766276229199</v>
      </c>
      <c r="CP10" s="164">
        <v>161.25076070229198</v>
      </c>
      <c r="CQ10" s="164">
        <v>123.792049482292</v>
      </c>
      <c r="CR10" s="164">
        <v>96.785139372292008</v>
      </c>
      <c r="CS10" s="164">
        <v>117.1509110622919</v>
      </c>
      <c r="CT10" s="164">
        <v>102.42437505161277</v>
      </c>
      <c r="CU10" s="164">
        <v>102.68574928999996</v>
      </c>
      <c r="CV10" s="164">
        <v>90.992883340000006</v>
      </c>
      <c r="CW10" s="164">
        <v>136.97165480000001</v>
      </c>
      <c r="CX10" s="164">
        <v>90.161154210000007</v>
      </c>
      <c r="CY10" s="164">
        <v>181.81452732</v>
      </c>
      <c r="CZ10" s="164">
        <v>244.34909191</v>
      </c>
      <c r="DA10" s="164">
        <v>88.388957700000006</v>
      </c>
      <c r="DB10" s="164">
        <v>158.43232340999998</v>
      </c>
      <c r="DC10" s="164">
        <v>92.67600542000001</v>
      </c>
      <c r="DD10" s="164">
        <v>94.416789629999997</v>
      </c>
      <c r="DE10" s="164">
        <v>125.31831032999997</v>
      </c>
      <c r="DF10" s="164">
        <v>94.889142859999993</v>
      </c>
      <c r="DG10" s="164">
        <v>97.602569751300095</v>
      </c>
      <c r="DH10" s="164">
        <v>171.87512075000001</v>
      </c>
      <c r="DI10" s="164">
        <v>113.19360673999999</v>
      </c>
      <c r="DJ10" s="164">
        <v>87.118590710000007</v>
      </c>
      <c r="DK10" s="164">
        <v>174.29209967000003</v>
      </c>
      <c r="DL10" s="164">
        <v>139.92875448999999</v>
      </c>
      <c r="DM10" s="164">
        <v>153.06926948</v>
      </c>
      <c r="DN10" s="164">
        <v>151.49676460052194</v>
      </c>
      <c r="DO10" s="164">
        <v>124.37545290999998</v>
      </c>
      <c r="DP10" s="164">
        <v>180.39076556999999</v>
      </c>
      <c r="DQ10" s="164">
        <v>209.11658635000001</v>
      </c>
      <c r="DR10" s="164">
        <v>112.00605301321792</v>
      </c>
      <c r="DS10" s="164">
        <v>134.80012464999999</v>
      </c>
      <c r="DT10" s="164">
        <v>129.51373888999998</v>
      </c>
      <c r="DU10" s="164">
        <v>204.09779483000003</v>
      </c>
      <c r="DV10" s="164">
        <v>152.48577488000001</v>
      </c>
      <c r="DW10" s="164">
        <v>157.5809311400001</v>
      </c>
      <c r="DX10" s="164">
        <v>1031.3103779999999</v>
      </c>
      <c r="DY10" s="164">
        <v>1032.36337</v>
      </c>
      <c r="DZ10" s="164">
        <v>1031.980763</v>
      </c>
      <c r="EA10" s="164">
        <v>33834.113019000004</v>
      </c>
      <c r="EB10" s="164">
        <v>33834.016367999997</v>
      </c>
      <c r="EC10" s="164">
        <v>33332.021075000004</v>
      </c>
      <c r="ED10" s="164">
        <v>33246.989805999998</v>
      </c>
      <c r="EE10" s="164">
        <v>33185.131032000005</v>
      </c>
      <c r="EF10" s="164">
        <v>31909.062534999997</v>
      </c>
      <c r="EG10" s="164">
        <v>78706.811833999993</v>
      </c>
      <c r="EH10" s="164">
        <v>77827.165803000011</v>
      </c>
      <c r="EI10" s="164">
        <v>71934.215039000002</v>
      </c>
    </row>
    <row r="11" spans="1:139" ht="17.100000000000001" customHeight="1" x14ac:dyDescent="0.25">
      <c r="A11" s="160"/>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row>
    <row r="12" spans="1:139" s="168" customFormat="1" ht="17.100000000000001" customHeight="1" x14ac:dyDescent="0.25">
      <c r="A12" s="166" t="s">
        <v>244</v>
      </c>
      <c r="B12" s="167">
        <v>32306.578817460002</v>
      </c>
      <c r="C12" s="167">
        <v>34188.331145164077</v>
      </c>
      <c r="D12" s="167">
        <v>35018.925947288793</v>
      </c>
      <c r="E12" s="167">
        <v>33972.916108009995</v>
      </c>
      <c r="F12" s="167">
        <v>35004.952882689249</v>
      </c>
      <c r="G12" s="167">
        <v>35648.822886965791</v>
      </c>
      <c r="H12" s="167">
        <v>38111.517277910505</v>
      </c>
      <c r="I12" s="167">
        <v>36422.298472737748</v>
      </c>
      <c r="J12" s="167">
        <v>36444.268976647872</v>
      </c>
      <c r="K12" s="167">
        <v>38868.215593856046</v>
      </c>
      <c r="L12" s="167">
        <v>40023.459073151535</v>
      </c>
      <c r="M12" s="167">
        <v>44935.527259780167</v>
      </c>
      <c r="N12" s="167">
        <v>44220.858916383426</v>
      </c>
      <c r="O12" s="167">
        <v>43457.96626473077</v>
      </c>
      <c r="P12" s="167">
        <v>42616.030383652513</v>
      </c>
      <c r="Q12" s="167">
        <v>43519.537135460872</v>
      </c>
      <c r="R12" s="167">
        <v>41534.157818012638</v>
      </c>
      <c r="S12" s="167">
        <v>42236.711520816105</v>
      </c>
      <c r="T12" s="167">
        <v>42073.932665119974</v>
      </c>
      <c r="U12" s="167">
        <v>44194.178057538316</v>
      </c>
      <c r="V12" s="167">
        <v>42292.116241218129</v>
      </c>
      <c r="W12" s="167">
        <v>42459.190507549793</v>
      </c>
      <c r="X12" s="167">
        <v>41967.209032272607</v>
      </c>
      <c r="Y12" s="167">
        <v>48280.871327637411</v>
      </c>
      <c r="Z12" s="167">
        <v>43850.805226779208</v>
      </c>
      <c r="AA12" s="167">
        <v>44901.044055009108</v>
      </c>
      <c r="AB12" s="167">
        <v>44639.243475667616</v>
      </c>
      <c r="AC12" s="167">
        <v>44527.06357813366</v>
      </c>
      <c r="AD12" s="167">
        <v>44662.991762790334</v>
      </c>
      <c r="AE12" s="167">
        <v>45910.968640197767</v>
      </c>
      <c r="AF12" s="167">
        <v>46049.62976335</v>
      </c>
      <c r="AG12" s="167">
        <v>46185.349602239992</v>
      </c>
      <c r="AH12" s="167">
        <v>47267.960582839994</v>
      </c>
      <c r="AI12" s="167">
        <v>46439.120953460006</v>
      </c>
      <c r="AJ12" s="167">
        <v>45499.108851889992</v>
      </c>
      <c r="AK12" s="167">
        <v>52622.930014159996</v>
      </c>
      <c r="AL12" s="167">
        <v>50086.680641910003</v>
      </c>
      <c r="AM12" s="167">
        <v>52362.476793820002</v>
      </c>
      <c r="AN12" s="167">
        <v>51963.297140969997</v>
      </c>
      <c r="AO12" s="167">
        <v>48815.614415420001</v>
      </c>
      <c r="AP12" s="167">
        <v>52745.513655169998</v>
      </c>
      <c r="AQ12" s="167">
        <v>53094.012917469998</v>
      </c>
      <c r="AR12" s="167">
        <v>54156.36550167</v>
      </c>
      <c r="AS12" s="167">
        <v>51451.915537709996</v>
      </c>
      <c r="AT12" s="167">
        <v>50185.234078640002</v>
      </c>
      <c r="AU12" s="167">
        <v>51977.864655339996</v>
      </c>
      <c r="AV12" s="167">
        <v>53757.247619950002</v>
      </c>
      <c r="AW12" s="167">
        <v>62350.012214779999</v>
      </c>
      <c r="AX12" s="167">
        <v>58668.651559199992</v>
      </c>
      <c r="AY12" s="167">
        <v>64091.710065689993</v>
      </c>
      <c r="AZ12" s="167">
        <v>62483.452767249997</v>
      </c>
      <c r="BA12" s="167">
        <v>62070.370892899999</v>
      </c>
      <c r="BB12" s="167">
        <v>62582.034079030003</v>
      </c>
      <c r="BC12" s="167">
        <v>62137.03930633</v>
      </c>
      <c r="BD12" s="167">
        <v>64802.243488449996</v>
      </c>
      <c r="BE12" s="167">
        <v>66521.777726829998</v>
      </c>
      <c r="BF12" s="167">
        <v>63788.91463728001</v>
      </c>
      <c r="BG12" s="167">
        <v>65201.016736970007</v>
      </c>
      <c r="BH12" s="167">
        <v>63358.074917500002</v>
      </c>
      <c r="BI12" s="167">
        <v>67933.588631680002</v>
      </c>
      <c r="BJ12" s="167">
        <v>68888.095795009998</v>
      </c>
      <c r="BK12" s="167">
        <v>70440.636755090003</v>
      </c>
      <c r="BL12" s="167">
        <v>73577.833934157097</v>
      </c>
      <c r="BM12" s="167">
        <v>75159.682994820003</v>
      </c>
      <c r="BN12" s="167">
        <v>70803.746954400005</v>
      </c>
      <c r="BO12" s="167">
        <v>71594.147533340001</v>
      </c>
      <c r="BP12" s="167">
        <v>68773.183555700001</v>
      </c>
      <c r="BQ12" s="167">
        <v>66569.861976039989</v>
      </c>
      <c r="BR12" s="167">
        <v>66947.281883980002</v>
      </c>
      <c r="BS12" s="167">
        <v>71167.770713139995</v>
      </c>
      <c r="BT12" s="167">
        <v>70496.418338069998</v>
      </c>
      <c r="BU12" s="167">
        <v>73569</v>
      </c>
      <c r="BV12" s="167">
        <v>74498.380112810002</v>
      </c>
      <c r="BW12" s="167">
        <v>72917.527185890009</v>
      </c>
      <c r="BX12" s="167">
        <v>69446.043452650003</v>
      </c>
      <c r="BY12" s="167">
        <v>67413.995906789991</v>
      </c>
      <c r="BZ12" s="167">
        <v>76072.559399120015</v>
      </c>
      <c r="CA12" s="167">
        <v>70419.836853589994</v>
      </c>
      <c r="CB12" s="167">
        <v>71811.108306740003</v>
      </c>
      <c r="CC12" s="167">
        <v>72274.423068130011</v>
      </c>
      <c r="CD12" s="167">
        <v>73083.794152372298</v>
      </c>
      <c r="CE12" s="167">
        <v>71156.268825432286</v>
      </c>
      <c r="CF12" s="167">
        <v>75050.0283712323</v>
      </c>
      <c r="CG12" s="167">
        <v>82062.454314372284</v>
      </c>
      <c r="CH12" s="167">
        <v>83073.876301282289</v>
      </c>
      <c r="CI12" s="167">
        <v>79888.073268022301</v>
      </c>
      <c r="CJ12" s="167">
        <v>76270.488560842292</v>
      </c>
      <c r="CK12" s="167">
        <v>83832.736179042287</v>
      </c>
      <c r="CL12" s="167">
        <v>83944.908098642292</v>
      </c>
      <c r="CM12" s="167">
        <v>80702.470558452304</v>
      </c>
      <c r="CN12" s="167">
        <v>82261.311799362302</v>
      </c>
      <c r="CO12" s="167">
        <v>79068.213393302285</v>
      </c>
      <c r="CP12" s="167">
        <v>85929.687596322299</v>
      </c>
      <c r="CQ12" s="167">
        <v>82776.070675572293</v>
      </c>
      <c r="CR12" s="167">
        <v>90055.720543022297</v>
      </c>
      <c r="CS12" s="167">
        <v>102148.08102707229</v>
      </c>
      <c r="CT12" s="167">
        <v>101146.45320613228</v>
      </c>
      <c r="CU12" s="167">
        <v>100844.38988327001</v>
      </c>
      <c r="CV12" s="167">
        <v>96927.471336200004</v>
      </c>
      <c r="CW12" s="167">
        <v>96764.55682713</v>
      </c>
      <c r="CX12" s="167">
        <v>99355.801623730018</v>
      </c>
      <c r="CY12" s="167">
        <v>109048.86314920001</v>
      </c>
      <c r="CZ12" s="167">
        <v>100660.04772514</v>
      </c>
      <c r="DA12" s="167">
        <v>112956.84348928501</v>
      </c>
      <c r="DB12" s="167">
        <v>99760.407825670001</v>
      </c>
      <c r="DC12" s="167">
        <v>98097.455155950011</v>
      </c>
      <c r="DD12" s="167">
        <v>103092.81229459</v>
      </c>
      <c r="DE12" s="167">
        <v>100867.11153925001</v>
      </c>
      <c r="DF12" s="167">
        <v>102818.30863134001</v>
      </c>
      <c r="DG12" s="167">
        <v>103484.58947791997</v>
      </c>
      <c r="DH12" s="167">
        <v>101879.04529465</v>
      </c>
      <c r="DI12" s="167">
        <v>103555.29581359999</v>
      </c>
      <c r="DJ12" s="167">
        <v>108531.09996019001</v>
      </c>
      <c r="DK12" s="167">
        <v>105729.95689803</v>
      </c>
      <c r="DL12" s="167">
        <v>109852.72986275</v>
      </c>
      <c r="DM12" s="167">
        <v>104721.80471679999</v>
      </c>
      <c r="DN12" s="167">
        <v>105737.83124584</v>
      </c>
      <c r="DO12" s="167">
        <v>104610.96385879</v>
      </c>
      <c r="DP12" s="167">
        <v>110785.70627632001</v>
      </c>
      <c r="DQ12" s="167">
        <v>123351.49617376001</v>
      </c>
      <c r="DR12" s="167">
        <v>117687.05444165999</v>
      </c>
      <c r="DS12" s="167">
        <v>122047.23474776</v>
      </c>
      <c r="DT12" s="167">
        <v>126402.72820919001</v>
      </c>
      <c r="DU12" s="167">
        <v>132395.77679219999</v>
      </c>
      <c r="DV12" s="167">
        <v>156851.00422210997</v>
      </c>
      <c r="DW12" s="167">
        <v>148346.77809906</v>
      </c>
      <c r="DX12" s="167">
        <v>153873.26013765999</v>
      </c>
      <c r="DY12" s="167">
        <v>137459.95647142001</v>
      </c>
      <c r="DZ12" s="167">
        <v>135923.33982882</v>
      </c>
      <c r="EA12" s="167">
        <v>178037.25319116001</v>
      </c>
      <c r="EB12" s="167">
        <v>184213.58975858</v>
      </c>
      <c r="EC12" s="167">
        <v>194715.73296597999</v>
      </c>
      <c r="ED12" s="167">
        <v>214151.32237446998</v>
      </c>
      <c r="EE12" s="167">
        <v>195991.62394393003</v>
      </c>
      <c r="EF12" s="167">
        <v>196250.02692537999</v>
      </c>
      <c r="EG12" s="167">
        <v>235432.66699435998</v>
      </c>
      <c r="EH12" s="167">
        <v>242527.10344161</v>
      </c>
      <c r="EI12" s="167">
        <v>238940.32614781999</v>
      </c>
    </row>
    <row r="13" spans="1:139" ht="17.100000000000001" customHeight="1" thickBot="1" x14ac:dyDescent="0.3">
      <c r="A13" s="160"/>
      <c r="B13" s="162"/>
      <c r="C13" s="162"/>
      <c r="D13" s="162"/>
      <c r="E13" s="162"/>
      <c r="F13" s="162"/>
      <c r="G13" s="162"/>
      <c r="H13" s="162"/>
      <c r="I13" s="162"/>
      <c r="J13" s="162"/>
      <c r="K13" s="162"/>
      <c r="L13" s="162"/>
      <c r="M13" s="162"/>
      <c r="N13" s="162"/>
      <c r="O13" s="162">
        <v>2.5</v>
      </c>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row>
    <row r="14" spans="1:139" ht="17.100000000000001" customHeight="1" thickTop="1" thickBot="1" x14ac:dyDescent="0.3">
      <c r="A14" s="169" t="s">
        <v>245</v>
      </c>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row>
    <row r="15" spans="1:139" ht="17.100000000000001" customHeight="1" thickTop="1" x14ac:dyDescent="0.25">
      <c r="A15" s="160"/>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row>
    <row r="16" spans="1:139" ht="17.100000000000001" customHeight="1" x14ac:dyDescent="0.25">
      <c r="A16" s="160" t="s">
        <v>246</v>
      </c>
      <c r="B16" s="162">
        <v>66426.303235972882</v>
      </c>
      <c r="C16" s="162">
        <v>67813.347178623269</v>
      </c>
      <c r="D16" s="162">
        <v>67350.55298928589</v>
      </c>
      <c r="E16" s="162">
        <v>67898.424276395206</v>
      </c>
      <c r="F16" s="162">
        <v>70563.533940011592</v>
      </c>
      <c r="G16" s="162">
        <v>69029.206086238628</v>
      </c>
      <c r="H16" s="162">
        <v>69173.827566074178</v>
      </c>
      <c r="I16" s="162">
        <v>70109.753901685341</v>
      </c>
      <c r="J16" s="162">
        <v>73222.669057128718</v>
      </c>
      <c r="K16" s="162">
        <v>72628.910586909114</v>
      </c>
      <c r="L16" s="162">
        <v>74948.541309052278</v>
      </c>
      <c r="M16" s="162">
        <v>77907.26620021234</v>
      </c>
      <c r="N16" s="162">
        <v>74640.649942564065</v>
      </c>
      <c r="O16" s="162">
        <v>74618.615312754191</v>
      </c>
      <c r="P16" s="162">
        <v>76376.735414886105</v>
      </c>
      <c r="Q16" s="162">
        <v>75700.789623743025</v>
      </c>
      <c r="R16" s="162">
        <v>77269.692369705648</v>
      </c>
      <c r="S16" s="162">
        <v>79953.017943437662</v>
      </c>
      <c r="T16" s="162">
        <v>79074.75525046949</v>
      </c>
      <c r="U16" s="162">
        <v>79520.667822633579</v>
      </c>
      <c r="V16" s="162">
        <v>78671.260029511788</v>
      </c>
      <c r="W16" s="162">
        <v>81199.667306703283</v>
      </c>
      <c r="X16" s="162">
        <v>77556.049942866448</v>
      </c>
      <c r="Y16" s="162">
        <v>80100.875885288551</v>
      </c>
      <c r="Z16" s="162">
        <v>80040.746933815622</v>
      </c>
      <c r="AA16" s="162">
        <v>79939.581236785903</v>
      </c>
      <c r="AB16" s="162">
        <v>79411.668224062698</v>
      </c>
      <c r="AC16" s="162">
        <v>79032.748513622151</v>
      </c>
      <c r="AD16" s="162">
        <v>78098.527743300889</v>
      </c>
      <c r="AE16" s="162">
        <v>85159.248901662751</v>
      </c>
      <c r="AF16" s="162">
        <v>86394.874568552084</v>
      </c>
      <c r="AG16" s="162">
        <v>86880.112743733043</v>
      </c>
      <c r="AH16" s="162">
        <v>87928.224802783152</v>
      </c>
      <c r="AI16" s="162">
        <v>88106.871545446251</v>
      </c>
      <c r="AJ16" s="162">
        <v>90488.3945909303</v>
      </c>
      <c r="AK16" s="162">
        <v>91559.825805914632</v>
      </c>
      <c r="AL16" s="162">
        <v>94098.106945505308</v>
      </c>
      <c r="AM16" s="162">
        <v>93549.31388682939</v>
      </c>
      <c r="AN16" s="162">
        <v>96754.802980609718</v>
      </c>
      <c r="AO16" s="162">
        <v>95870.007278678371</v>
      </c>
      <c r="AP16" s="162">
        <v>104072.51915873688</v>
      </c>
      <c r="AQ16" s="162">
        <v>103579.9323233067</v>
      </c>
      <c r="AR16" s="162">
        <v>100694.20800170788</v>
      </c>
      <c r="AS16" s="162">
        <v>99291.769986535714</v>
      </c>
      <c r="AT16" s="162">
        <v>100933.44968334469</v>
      </c>
      <c r="AU16" s="162">
        <v>100229.18125081969</v>
      </c>
      <c r="AV16" s="162">
        <v>99261.274187500021</v>
      </c>
      <c r="AW16" s="162">
        <v>103497.94482550361</v>
      </c>
      <c r="AX16" s="162">
        <v>102921.43799632388</v>
      </c>
      <c r="AY16" s="162">
        <v>108544.33997084292</v>
      </c>
      <c r="AZ16" s="162">
        <v>110343.08859754098</v>
      </c>
      <c r="BA16" s="162">
        <v>114721.20755311572</v>
      </c>
      <c r="BB16" s="162">
        <v>117055.21513527753</v>
      </c>
      <c r="BC16" s="162">
        <v>119619.60702976644</v>
      </c>
      <c r="BD16" s="162">
        <v>121075.74227892855</v>
      </c>
      <c r="BE16" s="162">
        <v>123260.36938210644</v>
      </c>
      <c r="BF16" s="162">
        <v>120752.98616916555</v>
      </c>
      <c r="BG16" s="162">
        <v>119694.92564294937</v>
      </c>
      <c r="BH16" s="162">
        <v>117838.97237219621</v>
      </c>
      <c r="BI16" s="162">
        <v>122735.45625949455</v>
      </c>
      <c r="BJ16" s="162">
        <v>120049.19112513392</v>
      </c>
      <c r="BK16" s="162">
        <v>126047.57279302411</v>
      </c>
      <c r="BL16" s="162">
        <v>139062.48919025276</v>
      </c>
      <c r="BM16" s="162">
        <v>137586.09214340354</v>
      </c>
      <c r="BN16" s="162">
        <v>138175.21268258648</v>
      </c>
      <c r="BO16" s="162">
        <v>138628.47666558527</v>
      </c>
      <c r="BP16" s="162">
        <v>142104.72795610214</v>
      </c>
      <c r="BQ16" s="162">
        <v>142278.28919419972</v>
      </c>
      <c r="BR16" s="162">
        <v>144450.61180768846</v>
      </c>
      <c r="BS16" s="162">
        <v>148534.72719634642</v>
      </c>
      <c r="BT16" s="162">
        <v>150438.85095480151</v>
      </c>
      <c r="BU16" s="162">
        <v>151519.5</v>
      </c>
      <c r="BV16" s="162">
        <v>153595.05761268668</v>
      </c>
      <c r="BW16" s="162">
        <v>156324.69065769573</v>
      </c>
      <c r="BX16" s="162">
        <v>157406.6914241621</v>
      </c>
      <c r="BY16" s="162">
        <v>156600.80811839449</v>
      </c>
      <c r="BZ16" s="162">
        <v>159897.71195550862</v>
      </c>
      <c r="CA16" s="162">
        <v>166725.92581236121</v>
      </c>
      <c r="CB16" s="162">
        <v>166910.92624923383</v>
      </c>
      <c r="CC16" s="162">
        <v>166395.73053723547</v>
      </c>
      <c r="CD16" s="162">
        <v>169580.80563689113</v>
      </c>
      <c r="CE16" s="162">
        <v>171298.85641524161</v>
      </c>
      <c r="CF16" s="162">
        <v>173801.30735711419</v>
      </c>
      <c r="CG16" s="162">
        <v>177668.55562032614</v>
      </c>
      <c r="CH16" s="162">
        <v>174394.86292201749</v>
      </c>
      <c r="CI16" s="162">
        <v>174924.25180757011</v>
      </c>
      <c r="CJ16" s="162">
        <v>175637.22381427392</v>
      </c>
      <c r="CK16" s="162">
        <v>179152.63008492597</v>
      </c>
      <c r="CL16" s="162">
        <v>178461.27118693173</v>
      </c>
      <c r="CM16" s="162">
        <v>180437.56616006474</v>
      </c>
      <c r="CN16" s="162">
        <v>176191.51600309185</v>
      </c>
      <c r="CO16" s="162">
        <v>175785.32195359335</v>
      </c>
      <c r="CP16" s="162">
        <v>185058.20583007197</v>
      </c>
      <c r="CQ16" s="162">
        <v>188375.48139406703</v>
      </c>
      <c r="CR16" s="162">
        <v>191339.81988459302</v>
      </c>
      <c r="CS16" s="162">
        <v>200039.4517179582</v>
      </c>
      <c r="CT16" s="162">
        <v>196835.78700488887</v>
      </c>
      <c r="CU16" s="162">
        <v>202954.33186410007</v>
      </c>
      <c r="CV16" s="162">
        <v>207215.69517574867</v>
      </c>
      <c r="CW16" s="162">
        <v>214373.48147916992</v>
      </c>
      <c r="CX16" s="162">
        <v>221942.12390585776</v>
      </c>
      <c r="CY16" s="162">
        <v>230238.77583979841</v>
      </c>
      <c r="CZ16" s="162">
        <v>221922.20800793669</v>
      </c>
      <c r="DA16" s="162">
        <v>225940.38191798772</v>
      </c>
      <c r="DB16" s="162">
        <v>218871.25093894106</v>
      </c>
      <c r="DC16" s="162">
        <v>217596.3036255289</v>
      </c>
      <c r="DD16" s="162">
        <v>214815.73631158541</v>
      </c>
      <c r="DE16" s="162">
        <v>217004.41993496372</v>
      </c>
      <c r="DF16" s="162">
        <v>218846.8952504606</v>
      </c>
      <c r="DG16" s="162">
        <v>219966.96050391931</v>
      </c>
      <c r="DH16" s="162">
        <v>226576.71631358506</v>
      </c>
      <c r="DI16" s="162">
        <v>229226.42152050519</v>
      </c>
      <c r="DJ16" s="162">
        <v>240408.08847555952</v>
      </c>
      <c r="DK16" s="162">
        <v>252957.68400993009</v>
      </c>
      <c r="DL16" s="162">
        <v>258964.54538824756</v>
      </c>
      <c r="DM16" s="162">
        <v>259427.82324653002</v>
      </c>
      <c r="DN16" s="162">
        <v>262761.86596508219</v>
      </c>
      <c r="DO16" s="162">
        <v>263442.84530936059</v>
      </c>
      <c r="DP16" s="162">
        <v>268691.24890248722</v>
      </c>
      <c r="DQ16" s="162">
        <v>269147.02911251434</v>
      </c>
      <c r="DR16" s="162">
        <v>278812.67778411362</v>
      </c>
      <c r="DS16" s="162">
        <v>273904.52688807907</v>
      </c>
      <c r="DT16" s="162">
        <v>276298.97259022022</v>
      </c>
      <c r="DU16" s="162">
        <v>280218.67607955547</v>
      </c>
      <c r="DV16" s="162">
        <v>275540.36607464025</v>
      </c>
      <c r="DW16" s="162">
        <v>278884.25604416308</v>
      </c>
      <c r="DX16" s="162">
        <v>295596.05314703286</v>
      </c>
      <c r="DY16" s="162">
        <v>278825.85957494081</v>
      </c>
      <c r="DZ16" s="162">
        <v>277995.11736622191</v>
      </c>
      <c r="EA16" s="162">
        <v>269143.13557219441</v>
      </c>
      <c r="EB16" s="162">
        <v>268344.11662117584</v>
      </c>
      <c r="EC16" s="162">
        <v>284981.4928212621</v>
      </c>
      <c r="ED16" s="162">
        <v>305406.72245056508</v>
      </c>
      <c r="EE16" s="162">
        <v>286606.10411991918</v>
      </c>
      <c r="EF16" s="162">
        <v>292769.16974273225</v>
      </c>
      <c r="EG16" s="162">
        <v>296822.91944970074</v>
      </c>
      <c r="EH16" s="162">
        <v>304286.70241272327</v>
      </c>
      <c r="EI16" s="162">
        <v>304753.51439039694</v>
      </c>
    </row>
    <row r="17" spans="1:139" ht="17.100000000000001" customHeight="1" x14ac:dyDescent="0.25">
      <c r="A17" s="160" t="s">
        <v>247</v>
      </c>
      <c r="B17" s="162">
        <v>-16094.591653099998</v>
      </c>
      <c r="C17" s="162">
        <v>-15133.990915980001</v>
      </c>
      <c r="D17" s="162">
        <v>-10574.257390679999</v>
      </c>
      <c r="E17" s="162">
        <v>-13160.13132181</v>
      </c>
      <c r="F17" s="162">
        <v>-13184.197336680001</v>
      </c>
      <c r="G17" s="162">
        <v>-12603.214470860001</v>
      </c>
      <c r="H17" s="162">
        <v>-12649.402737140001</v>
      </c>
      <c r="I17" s="162">
        <v>-13999.36386032</v>
      </c>
      <c r="J17" s="162">
        <v>-12309.791425859999</v>
      </c>
      <c r="K17" s="162">
        <v>-9506.4930552200003</v>
      </c>
      <c r="L17" s="162">
        <v>-11316.247423609999</v>
      </c>
      <c r="M17" s="162">
        <v>-9687.6799926800013</v>
      </c>
      <c r="N17" s="162">
        <v>-8384.2803368000004</v>
      </c>
      <c r="O17" s="162">
        <v>-7735.6408573600002</v>
      </c>
      <c r="P17" s="162">
        <v>-11176.693028849997</v>
      </c>
      <c r="Q17" s="162">
        <v>-9606.6951597400002</v>
      </c>
      <c r="R17" s="162">
        <v>-11320.184787369999</v>
      </c>
      <c r="S17" s="162">
        <v>-10168.74607549</v>
      </c>
      <c r="T17" s="162">
        <v>-11201.799995440004</v>
      </c>
      <c r="U17" s="162">
        <v>-8361.1217992800011</v>
      </c>
      <c r="V17" s="162">
        <v>-10561.849022570001</v>
      </c>
      <c r="W17" s="162">
        <v>-11253.339342660001</v>
      </c>
      <c r="X17" s="162">
        <v>-9436.6171233200002</v>
      </c>
      <c r="Y17" s="162">
        <v>-7837.3001372700001</v>
      </c>
      <c r="Z17" s="162">
        <v>-10079.960773000003</v>
      </c>
      <c r="AA17" s="162">
        <v>-8692.3302772299994</v>
      </c>
      <c r="AB17" s="162">
        <v>-9372.881900270002</v>
      </c>
      <c r="AC17" s="162">
        <v>-8880.1699302400029</v>
      </c>
      <c r="AD17" s="162">
        <v>-8780.1530179400033</v>
      </c>
      <c r="AE17" s="162">
        <v>-11179.910112040001</v>
      </c>
      <c r="AF17" s="162">
        <v>-11456.030725809998</v>
      </c>
      <c r="AG17" s="162">
        <v>-13179.341982179998</v>
      </c>
      <c r="AH17" s="162">
        <v>-11879.09227354</v>
      </c>
      <c r="AI17" s="162">
        <v>-13350.546611650003</v>
      </c>
      <c r="AJ17" s="162">
        <v>-16898.939951499997</v>
      </c>
      <c r="AK17" s="162">
        <v>-11466.967172649998</v>
      </c>
      <c r="AL17" s="162">
        <v>-13650.276193949998</v>
      </c>
      <c r="AM17" s="162">
        <v>-12018.874950829999</v>
      </c>
      <c r="AN17" s="162">
        <v>-12476.195903029999</v>
      </c>
      <c r="AO17" s="162">
        <v>-14313.36957282</v>
      </c>
      <c r="AP17" s="162">
        <v>-17374.062681929754</v>
      </c>
      <c r="AQ17" s="162">
        <v>-18112.053482993684</v>
      </c>
      <c r="AR17" s="162">
        <v>-14044.60487612374</v>
      </c>
      <c r="AS17" s="162">
        <v>-13816.06028582856</v>
      </c>
      <c r="AT17" s="162">
        <v>-17341.511666418828</v>
      </c>
      <c r="AU17" s="162">
        <v>-15217.901120033093</v>
      </c>
      <c r="AV17" s="162">
        <v>-13552.266238281474</v>
      </c>
      <c r="AW17" s="162">
        <v>-10932.694839660657</v>
      </c>
      <c r="AX17" s="162">
        <v>-13197.887711877294</v>
      </c>
      <c r="AY17" s="162">
        <v>-12463.583303451964</v>
      </c>
      <c r="AZ17" s="162">
        <v>-13387.690245879574</v>
      </c>
      <c r="BA17" s="162">
        <v>-17897.114501728862</v>
      </c>
      <c r="BB17" s="162">
        <v>-16472.475734490621</v>
      </c>
      <c r="BC17" s="162">
        <v>-18912.303265928196</v>
      </c>
      <c r="BD17" s="162">
        <v>-19181.228839505362</v>
      </c>
      <c r="BE17" s="162">
        <v>-20865.026249724659</v>
      </c>
      <c r="BF17" s="162">
        <v>-24581.233548614022</v>
      </c>
      <c r="BG17" s="162">
        <v>-22626.159615587952</v>
      </c>
      <c r="BH17" s="162">
        <v>-19870.683686191223</v>
      </c>
      <c r="BI17" s="162">
        <v>-20743.429970004472</v>
      </c>
      <c r="BJ17" s="162">
        <v>-19352.681883520723</v>
      </c>
      <c r="BK17" s="162">
        <v>-22349.474304150681</v>
      </c>
      <c r="BL17" s="162">
        <v>-23502.995871067244</v>
      </c>
      <c r="BM17" s="162">
        <v>-22661.474497705807</v>
      </c>
      <c r="BN17" s="162">
        <v>-22878.465939326445</v>
      </c>
      <c r="BO17" s="162">
        <v>-21714.827886328236</v>
      </c>
      <c r="BP17" s="162">
        <v>-26328.382232080454</v>
      </c>
      <c r="BQ17" s="162">
        <v>-25956.873075779848</v>
      </c>
      <c r="BR17" s="162">
        <v>-26828.959248950447</v>
      </c>
      <c r="BS17" s="162">
        <v>-25650.317494534476</v>
      </c>
      <c r="BT17" s="162">
        <v>-29430.173450514856</v>
      </c>
      <c r="BU17" s="162">
        <v>-28634.9</v>
      </c>
      <c r="BV17" s="162">
        <v>-26971.136303966399</v>
      </c>
      <c r="BW17" s="162">
        <v>-29312.760556908066</v>
      </c>
      <c r="BX17" s="162">
        <v>-31958.729724419147</v>
      </c>
      <c r="BY17" s="162">
        <v>-34518.630189887648</v>
      </c>
      <c r="BZ17" s="162">
        <v>-29765.040157252177</v>
      </c>
      <c r="CA17" s="162">
        <v>-35913.45428410665</v>
      </c>
      <c r="CB17" s="162">
        <v>-35783.323356305329</v>
      </c>
      <c r="CC17" s="162">
        <v>-37224.626337385162</v>
      </c>
      <c r="CD17" s="162">
        <v>-37942.026526596077</v>
      </c>
      <c r="CE17" s="162">
        <v>-41152.21912881577</v>
      </c>
      <c r="CF17" s="162">
        <v>-41550.868337346699</v>
      </c>
      <c r="CG17" s="162">
        <v>-38386.59096716639</v>
      </c>
      <c r="CH17" s="162">
        <v>-32405.033911957518</v>
      </c>
      <c r="CI17" s="162">
        <v>-35191.526846515859</v>
      </c>
      <c r="CJ17" s="162">
        <v>-40506.141151634103</v>
      </c>
      <c r="CK17" s="162">
        <v>-39546.197622725238</v>
      </c>
      <c r="CL17" s="162">
        <v>-35351.569054948355</v>
      </c>
      <c r="CM17" s="162">
        <v>-34907.183384128431</v>
      </c>
      <c r="CN17" s="162">
        <v>-27481.992926843894</v>
      </c>
      <c r="CO17" s="162">
        <v>-28939.114406344157</v>
      </c>
      <c r="CP17" s="162">
        <v>-26135.339736256545</v>
      </c>
      <c r="CQ17" s="162">
        <v>-29274.277120821997</v>
      </c>
      <c r="CR17" s="162">
        <v>-29484.768431556058</v>
      </c>
      <c r="CS17" s="162">
        <v>-24932.121414385856</v>
      </c>
      <c r="CT17" s="162">
        <v>-23701.260518967501</v>
      </c>
      <c r="CU17" s="162">
        <v>-19829.780191346192</v>
      </c>
      <c r="CV17" s="162">
        <v>-18394.546459666919</v>
      </c>
      <c r="CW17" s="162">
        <v>-17571.779205522427</v>
      </c>
      <c r="CX17" s="162">
        <v>-18573.606077410073</v>
      </c>
      <c r="CY17" s="162">
        <v>-22246.375063844021</v>
      </c>
      <c r="CZ17" s="162">
        <v>-25283.029247717244</v>
      </c>
      <c r="DA17" s="162">
        <v>-21010.18099120606</v>
      </c>
      <c r="DB17" s="162">
        <v>-22958.469095949196</v>
      </c>
      <c r="DC17" s="162">
        <v>-22390.423569186998</v>
      </c>
      <c r="DD17" s="162">
        <v>-19647.914046480033</v>
      </c>
      <c r="DE17" s="162">
        <v>-19273.09610646783</v>
      </c>
      <c r="DF17" s="162">
        <v>-20935.306592958881</v>
      </c>
      <c r="DG17" s="162">
        <v>-19289.037028424798</v>
      </c>
      <c r="DH17" s="162">
        <v>-20772.733527978315</v>
      </c>
      <c r="DI17" s="162">
        <v>-18967.234455908358</v>
      </c>
      <c r="DJ17" s="162">
        <v>-21200.26106011423</v>
      </c>
      <c r="DK17" s="162">
        <v>-18445.956216161783</v>
      </c>
      <c r="DL17" s="162">
        <v>-18377.2636097016</v>
      </c>
      <c r="DM17" s="162">
        <v>-21627.090344343022</v>
      </c>
      <c r="DN17" s="162">
        <v>-19402.232828217911</v>
      </c>
      <c r="DO17" s="162">
        <v>-18081.413977269593</v>
      </c>
      <c r="DP17" s="162">
        <v>-19279.206900320001</v>
      </c>
      <c r="DQ17" s="162">
        <v>-23863.349618259625</v>
      </c>
      <c r="DR17" s="162">
        <v>-24211.561883350314</v>
      </c>
      <c r="DS17" s="162">
        <v>-13684.554506002109</v>
      </c>
      <c r="DT17" s="162">
        <v>-13755.411136558921</v>
      </c>
      <c r="DU17" s="162">
        <v>-12727.236643302333</v>
      </c>
      <c r="DV17" s="162">
        <v>1025.7089805331761</v>
      </c>
      <c r="DW17" s="162">
        <v>-22127.335113032943</v>
      </c>
      <c r="DX17" s="162">
        <v>-21088.749873838813</v>
      </c>
      <c r="DY17" s="162">
        <v>-49104.374233031187</v>
      </c>
      <c r="DZ17" s="162">
        <v>-51513.327108830243</v>
      </c>
      <c r="EA17" s="162">
        <v>-42431.598791852331</v>
      </c>
      <c r="EB17" s="162">
        <v>-34259.903045684754</v>
      </c>
      <c r="EC17" s="162">
        <v>-27032.858213989537</v>
      </c>
      <c r="ED17" s="162">
        <v>-29267.717830482128</v>
      </c>
      <c r="EE17" s="162">
        <v>-30965.464448109906</v>
      </c>
      <c r="EF17" s="162">
        <v>-40247.084593347718</v>
      </c>
      <c r="EG17" s="162">
        <v>-36882.971087025631</v>
      </c>
      <c r="EH17" s="162">
        <v>-34161.745417146652</v>
      </c>
      <c r="EI17" s="162">
        <v>-39984.162914329703</v>
      </c>
    </row>
    <row r="18" spans="1:139" ht="17.100000000000001" customHeight="1" x14ac:dyDescent="0.25">
      <c r="A18" s="160" t="s">
        <v>248</v>
      </c>
      <c r="B18" s="162">
        <v>416.39877228</v>
      </c>
      <c r="C18" s="162">
        <v>398.98351687999997</v>
      </c>
      <c r="D18" s="162">
        <v>464.59303090000003</v>
      </c>
      <c r="E18" s="162">
        <v>369.60301450999998</v>
      </c>
      <c r="F18" s="162">
        <v>408.48481404999995</v>
      </c>
      <c r="G18" s="162">
        <v>451.59551101999995</v>
      </c>
      <c r="H18" s="162">
        <v>445.53247376000002</v>
      </c>
      <c r="I18" s="162">
        <v>375.32156171000003</v>
      </c>
      <c r="J18" s="162">
        <v>729.0334312199999</v>
      </c>
      <c r="K18" s="162">
        <v>725.01450312999987</v>
      </c>
      <c r="L18" s="162">
        <v>1098.9094759899999</v>
      </c>
      <c r="M18" s="162">
        <v>992.11887309000008</v>
      </c>
      <c r="N18" s="162">
        <v>1201.4398751599999</v>
      </c>
      <c r="O18" s="162">
        <v>986.17518556999994</v>
      </c>
      <c r="P18" s="162">
        <v>242.02596110999997</v>
      </c>
      <c r="Q18" s="162">
        <v>265.07175250999995</v>
      </c>
      <c r="R18" s="162">
        <v>629.2786777099999</v>
      </c>
      <c r="S18" s="162">
        <v>246.32987396999999</v>
      </c>
      <c r="T18" s="162">
        <v>1772.48621953</v>
      </c>
      <c r="U18" s="162">
        <v>1112.8485640200001</v>
      </c>
      <c r="V18" s="162">
        <v>719.99327042000004</v>
      </c>
      <c r="W18" s="162">
        <v>955.00277437</v>
      </c>
      <c r="X18" s="162">
        <v>1127.9270470100003</v>
      </c>
      <c r="Y18" s="162">
        <v>1138.7372729100002</v>
      </c>
      <c r="Z18" s="162">
        <v>1211.1530704200002</v>
      </c>
      <c r="AA18" s="162">
        <v>1131.4411226499999</v>
      </c>
      <c r="AB18" s="162">
        <v>1179.4819348599999</v>
      </c>
      <c r="AC18" s="162">
        <v>1157.8965479799999</v>
      </c>
      <c r="AD18" s="162">
        <v>218.86825797</v>
      </c>
      <c r="AE18" s="162">
        <v>450.09873363999998</v>
      </c>
      <c r="AF18" s="162">
        <v>152.5676181</v>
      </c>
      <c r="AG18" s="162">
        <v>445.32254952000005</v>
      </c>
      <c r="AH18" s="162">
        <v>763.68187892000003</v>
      </c>
      <c r="AI18" s="162">
        <v>1163.6323081500002</v>
      </c>
      <c r="AJ18" s="162">
        <v>1325.8463739199999</v>
      </c>
      <c r="AK18" s="162">
        <v>1804.5649623700001</v>
      </c>
      <c r="AL18" s="162">
        <v>2146.9082228399998</v>
      </c>
      <c r="AM18" s="162">
        <v>2114.7532336799995</v>
      </c>
      <c r="AN18" s="162">
        <v>2108.0848065299997</v>
      </c>
      <c r="AO18" s="162">
        <v>2342.2126538799998</v>
      </c>
      <c r="AP18" s="162">
        <v>1233.3859579699999</v>
      </c>
      <c r="AQ18" s="162">
        <v>1546.1322582800001</v>
      </c>
      <c r="AR18" s="162">
        <v>1729.84466681</v>
      </c>
      <c r="AS18" s="162">
        <v>2100.3866184399999</v>
      </c>
      <c r="AT18" s="162">
        <v>2973.8737531799998</v>
      </c>
      <c r="AU18" s="162">
        <v>2466.6333634100001</v>
      </c>
      <c r="AV18" s="162">
        <v>2627.7498871299995</v>
      </c>
      <c r="AW18" s="162">
        <v>2715.6635386299995</v>
      </c>
      <c r="AX18" s="162">
        <v>3505.64319918</v>
      </c>
      <c r="AY18" s="162">
        <v>3459.2269215600004</v>
      </c>
      <c r="AZ18" s="162">
        <v>3529.4347085599993</v>
      </c>
      <c r="BA18" s="162">
        <v>3453.8968748400002</v>
      </c>
      <c r="BB18" s="162">
        <v>2412.4059201499999</v>
      </c>
      <c r="BC18" s="162">
        <v>2414.3403686699999</v>
      </c>
      <c r="BD18" s="162">
        <v>1784.51822917</v>
      </c>
      <c r="BE18" s="162">
        <v>2049.3917820399997</v>
      </c>
      <c r="BF18" s="162">
        <v>2089.3361430999998</v>
      </c>
      <c r="BG18" s="162">
        <v>2102.1365570700004</v>
      </c>
      <c r="BH18" s="162">
        <v>2294.0404291999994</v>
      </c>
      <c r="BI18" s="162">
        <v>2467.8894129999999</v>
      </c>
      <c r="BJ18" s="162">
        <v>2207.8287976499996</v>
      </c>
      <c r="BK18" s="162">
        <v>2382.2947444899996</v>
      </c>
      <c r="BL18" s="162">
        <v>2443.1738772899998</v>
      </c>
      <c r="BM18" s="162">
        <v>2611.5448260100006</v>
      </c>
      <c r="BN18" s="162">
        <v>2007.7485255200002</v>
      </c>
      <c r="BO18" s="162">
        <v>2027.59553033</v>
      </c>
      <c r="BP18" s="162">
        <v>1574.8875632300001</v>
      </c>
      <c r="BQ18" s="162">
        <v>1242.43514559</v>
      </c>
      <c r="BR18" s="162">
        <v>1307.1408722699998</v>
      </c>
      <c r="BS18" s="162">
        <v>1065.56092048</v>
      </c>
      <c r="BT18" s="162">
        <v>1057.6542133000003</v>
      </c>
      <c r="BU18" s="162">
        <v>1056.7</v>
      </c>
      <c r="BV18" s="162">
        <v>996.92193865999991</v>
      </c>
      <c r="BW18" s="162">
        <v>1008.8143971</v>
      </c>
      <c r="BX18" s="162">
        <v>1011.9442757100001</v>
      </c>
      <c r="BY18" s="162">
        <v>1066.7009175000001</v>
      </c>
      <c r="BZ18" s="162">
        <v>1016.77921311</v>
      </c>
      <c r="CA18" s="162">
        <v>866.98502473000008</v>
      </c>
      <c r="CB18" s="162">
        <v>1356.7076687000001</v>
      </c>
      <c r="CC18" s="162">
        <v>876.30193002999999</v>
      </c>
      <c r="CD18" s="162">
        <v>902.85366694000004</v>
      </c>
      <c r="CE18" s="162">
        <v>874.22326047999991</v>
      </c>
      <c r="CF18" s="162">
        <v>871.67880075999994</v>
      </c>
      <c r="CG18" s="162">
        <v>884.54086482000002</v>
      </c>
      <c r="CH18" s="162">
        <v>764.88943096000003</v>
      </c>
      <c r="CI18" s="162">
        <v>759.47528250999994</v>
      </c>
      <c r="CJ18" s="162">
        <v>783.26216117999991</v>
      </c>
      <c r="CK18" s="162">
        <v>777.68830327000012</v>
      </c>
      <c r="CL18" s="162">
        <v>780.34392504000004</v>
      </c>
      <c r="CM18" s="162">
        <v>666.0651149900001</v>
      </c>
      <c r="CN18" s="162">
        <v>663.17858106999995</v>
      </c>
      <c r="CO18" s="162">
        <v>662.97412502999987</v>
      </c>
      <c r="CP18" s="162">
        <v>679.88341018999995</v>
      </c>
      <c r="CQ18" s="162">
        <v>680.51631947999999</v>
      </c>
      <c r="CR18" s="162">
        <v>686.30011655999999</v>
      </c>
      <c r="CS18" s="162">
        <v>675.2423620400001</v>
      </c>
      <c r="CT18" s="162">
        <v>728.38201835000007</v>
      </c>
      <c r="CU18" s="162">
        <v>618.91564277000009</v>
      </c>
      <c r="CV18" s="162">
        <v>647.7223449899999</v>
      </c>
      <c r="CW18" s="162">
        <v>619.35890265</v>
      </c>
      <c r="CX18" s="162">
        <v>615.95369096000013</v>
      </c>
      <c r="CY18" s="162">
        <v>532.94062998999993</v>
      </c>
      <c r="CZ18" s="162">
        <v>486.13695540999993</v>
      </c>
      <c r="DA18" s="162">
        <v>504.09098372999995</v>
      </c>
      <c r="DB18" s="162">
        <v>490.31621081999998</v>
      </c>
      <c r="DC18" s="162">
        <v>486.93154324999995</v>
      </c>
      <c r="DD18" s="162">
        <v>505.02529141000002</v>
      </c>
      <c r="DE18" s="162">
        <v>448.45071628999995</v>
      </c>
      <c r="DF18" s="162">
        <v>424.32515734000003</v>
      </c>
      <c r="DG18" s="162">
        <v>415.21715676999997</v>
      </c>
      <c r="DH18" s="162">
        <v>425.40114375000002</v>
      </c>
      <c r="DI18" s="162">
        <v>408.29458506000003</v>
      </c>
      <c r="DJ18" s="162">
        <v>436.04864189999995</v>
      </c>
      <c r="DK18" s="162">
        <v>290.27401915000002</v>
      </c>
      <c r="DL18" s="162">
        <v>262.41021176999999</v>
      </c>
      <c r="DM18" s="162">
        <v>270.84950722999997</v>
      </c>
      <c r="DN18" s="162">
        <v>162.27015924</v>
      </c>
      <c r="DO18" s="162">
        <v>117.93738719999999</v>
      </c>
      <c r="DP18" s="162">
        <v>136.1017042</v>
      </c>
      <c r="DQ18" s="162">
        <v>22.977313389999999</v>
      </c>
      <c r="DR18" s="162">
        <v>55.86070909</v>
      </c>
      <c r="DS18" s="162">
        <v>37.523696020000003</v>
      </c>
      <c r="DT18" s="162">
        <v>581.83854550000001</v>
      </c>
      <c r="DU18" s="162">
        <v>588.79924046999997</v>
      </c>
      <c r="DV18" s="162">
        <v>595.43215739000004</v>
      </c>
      <c r="DW18" s="162">
        <v>12103.041259670001</v>
      </c>
      <c r="DX18" s="162">
        <v>12052.1134747</v>
      </c>
      <c r="DY18" s="162">
        <v>12003.757200059999</v>
      </c>
      <c r="DZ18" s="162">
        <v>10233.65064851</v>
      </c>
      <c r="EA18" s="162">
        <v>10266.188454180001</v>
      </c>
      <c r="EB18" s="162">
        <v>10257.780566359997</v>
      </c>
      <c r="EC18" s="162">
        <v>2052.56562381</v>
      </c>
      <c r="ED18" s="162">
        <v>2039.6351765099998</v>
      </c>
      <c r="EE18" s="162">
        <v>2037.7262019</v>
      </c>
      <c r="EF18" s="162">
        <v>14.186722280000001</v>
      </c>
      <c r="EG18" s="162">
        <v>29.864407589999999</v>
      </c>
      <c r="EH18" s="162">
        <v>44.455103069999993</v>
      </c>
      <c r="EI18" s="162">
        <v>39.964073280000001</v>
      </c>
    </row>
    <row r="19" spans="1:139" ht="17.100000000000001" customHeight="1" x14ac:dyDescent="0.25">
      <c r="A19" s="160" t="s">
        <v>249</v>
      </c>
      <c r="B19" s="162">
        <v>153.19780331999999</v>
      </c>
      <c r="C19" s="162">
        <v>154.31596911</v>
      </c>
      <c r="D19" s="162">
        <v>138.70587049999997</v>
      </c>
      <c r="E19" s="162">
        <v>145.20146566999998</v>
      </c>
      <c r="F19" s="162">
        <v>139.64907062999998</v>
      </c>
      <c r="G19" s="162">
        <v>144.54348844999998</v>
      </c>
      <c r="H19" s="162">
        <v>136.46690247999999</v>
      </c>
      <c r="I19" s="162">
        <v>137.70103456999999</v>
      </c>
      <c r="J19" s="162">
        <v>166.28222216</v>
      </c>
      <c r="K19" s="162">
        <v>164.10271523999998</v>
      </c>
      <c r="L19" s="162">
        <v>188.36966712999998</v>
      </c>
      <c r="M19" s="162">
        <v>289.10614802999993</v>
      </c>
      <c r="N19" s="162">
        <v>325.25928297999997</v>
      </c>
      <c r="O19" s="162">
        <v>266.26099159999995</v>
      </c>
      <c r="P19" s="162">
        <v>282.16233682000001</v>
      </c>
      <c r="Q19" s="162">
        <v>326.19289162000001</v>
      </c>
      <c r="R19" s="162">
        <v>355.96613649</v>
      </c>
      <c r="S19" s="162">
        <v>144.95301177000002</v>
      </c>
      <c r="T19" s="162">
        <v>145.04960496999999</v>
      </c>
      <c r="U19" s="162">
        <v>146.18456738</v>
      </c>
      <c r="V19" s="162">
        <v>147.98835771</v>
      </c>
      <c r="W19" s="162">
        <v>189.87692557</v>
      </c>
      <c r="X19" s="162">
        <v>188.68572480999998</v>
      </c>
      <c r="Y19" s="162">
        <v>187.66180904000001</v>
      </c>
      <c r="Z19" s="162">
        <v>184.76241243000001</v>
      </c>
      <c r="AA19" s="162">
        <v>235.96431477000002</v>
      </c>
      <c r="AB19" s="162">
        <v>228.80128807000003</v>
      </c>
      <c r="AC19" s="162">
        <v>202.30284356000001</v>
      </c>
      <c r="AD19" s="162">
        <v>207.31680611000002</v>
      </c>
      <c r="AE19" s="162">
        <v>142.31707372000002</v>
      </c>
      <c r="AF19" s="162">
        <v>246.29880878</v>
      </c>
      <c r="AG19" s="162">
        <v>157.61338316000001</v>
      </c>
      <c r="AH19" s="162">
        <v>186.53756657</v>
      </c>
      <c r="AI19" s="162">
        <v>186.00266166</v>
      </c>
      <c r="AJ19" s="162">
        <v>148.20166657000001</v>
      </c>
      <c r="AK19" s="162">
        <v>184.47326498999999</v>
      </c>
      <c r="AL19" s="162">
        <v>158.50110899000001</v>
      </c>
      <c r="AM19" s="162">
        <v>151.81138362999999</v>
      </c>
      <c r="AN19" s="162">
        <v>144.74117856000001</v>
      </c>
      <c r="AO19" s="162">
        <v>154.39851223000002</v>
      </c>
      <c r="AP19" s="162">
        <v>135.40763834000001</v>
      </c>
      <c r="AQ19" s="162">
        <v>198.07188681</v>
      </c>
      <c r="AR19" s="162">
        <v>126.59522910000001</v>
      </c>
      <c r="AS19" s="162">
        <v>150.84449430999999</v>
      </c>
      <c r="AT19" s="162">
        <v>162.74188365000003</v>
      </c>
      <c r="AU19" s="162">
        <v>164.49673319999999</v>
      </c>
      <c r="AV19" s="162">
        <v>163.62766462999997</v>
      </c>
      <c r="AW19" s="162">
        <v>172.66457023999999</v>
      </c>
      <c r="AX19" s="162">
        <v>134.78201322999996</v>
      </c>
      <c r="AY19" s="162">
        <v>146.16603488000001</v>
      </c>
      <c r="AZ19" s="162">
        <v>154.80724961999994</v>
      </c>
      <c r="BA19" s="162">
        <v>158.50427366000002</v>
      </c>
      <c r="BB19" s="162">
        <v>161.91662781999997</v>
      </c>
      <c r="BC19" s="162">
        <v>159.59387422</v>
      </c>
      <c r="BD19" s="162">
        <v>117.25199542000001</v>
      </c>
      <c r="BE19" s="162">
        <v>129.45984655000001</v>
      </c>
      <c r="BF19" s="162">
        <v>134.73078520999996</v>
      </c>
      <c r="BG19" s="162">
        <v>140.02408560999999</v>
      </c>
      <c r="BH19" s="162">
        <v>139.35857369000001</v>
      </c>
      <c r="BI19" s="162">
        <v>152.22108252999999</v>
      </c>
      <c r="BJ19" s="162">
        <v>115.15130846999999</v>
      </c>
      <c r="BK19" s="162">
        <v>126.01319054</v>
      </c>
      <c r="BL19" s="162">
        <v>127.1554088</v>
      </c>
      <c r="BM19" s="162">
        <v>371.52363643000001</v>
      </c>
      <c r="BN19" s="162">
        <v>379.96656151999991</v>
      </c>
      <c r="BO19" s="162">
        <v>3704.0103747000003</v>
      </c>
      <c r="BP19" s="162">
        <v>3664.27348949</v>
      </c>
      <c r="BQ19" s="162">
        <v>3670.1731644900001</v>
      </c>
      <c r="BR19" s="162">
        <v>3675.21057273</v>
      </c>
      <c r="BS19" s="162">
        <v>3683.2173269999998</v>
      </c>
      <c r="BT19" s="162">
        <v>3657.3844738899998</v>
      </c>
      <c r="BU19" s="162">
        <v>3668.5</v>
      </c>
      <c r="BV19" s="162">
        <v>3617.0592188099999</v>
      </c>
      <c r="BW19" s="162">
        <v>3626.6453938499999</v>
      </c>
      <c r="BX19" s="162">
        <v>3623.0380289999998</v>
      </c>
      <c r="BY19" s="162">
        <v>3622.9704508099999</v>
      </c>
      <c r="BZ19" s="162">
        <v>3621.55255085</v>
      </c>
      <c r="CA19" s="162">
        <v>3760.6580941399998</v>
      </c>
      <c r="CB19" s="162">
        <v>3749.1737147999997</v>
      </c>
      <c r="CC19" s="162">
        <v>3761.8094959199998</v>
      </c>
      <c r="CD19" s="162">
        <v>3762.2770625399999</v>
      </c>
      <c r="CE19" s="162">
        <v>3758.5232117199998</v>
      </c>
      <c r="CF19" s="162">
        <v>3767.8315939099998</v>
      </c>
      <c r="CG19" s="162">
        <v>3786.0611617799996</v>
      </c>
      <c r="CH19" s="162">
        <v>3776.0857908899998</v>
      </c>
      <c r="CI19" s="162">
        <v>3765.93455279</v>
      </c>
      <c r="CJ19" s="162">
        <v>3765.1976652000003</v>
      </c>
      <c r="CK19" s="162">
        <v>3761.3297814900002</v>
      </c>
      <c r="CL19" s="162">
        <v>3766.3030819800001</v>
      </c>
      <c r="CM19" s="162">
        <v>3851.56925434</v>
      </c>
      <c r="CN19" s="162">
        <v>3838.2095615300004</v>
      </c>
      <c r="CO19" s="162">
        <v>3841.6459451600003</v>
      </c>
      <c r="CP19" s="162">
        <v>3854.8684223200003</v>
      </c>
      <c r="CQ19" s="162">
        <v>3851.2765629800001</v>
      </c>
      <c r="CR19" s="162">
        <v>3841.4149903800003</v>
      </c>
      <c r="CS19" s="162">
        <v>3843.0021967400003</v>
      </c>
      <c r="CT19" s="162">
        <v>3829.80791262</v>
      </c>
      <c r="CU19" s="162">
        <v>3850.1254325200002</v>
      </c>
      <c r="CV19" s="162">
        <v>3837.4422250600001</v>
      </c>
      <c r="CW19" s="162">
        <v>3832.0039649100004</v>
      </c>
      <c r="CX19" s="162">
        <v>3838.5214351200002</v>
      </c>
      <c r="CY19" s="162">
        <v>3939.3595319200003</v>
      </c>
      <c r="CZ19" s="162">
        <v>3924.4904188699998</v>
      </c>
      <c r="DA19" s="162">
        <v>3928.2821452100002</v>
      </c>
      <c r="DB19" s="162">
        <v>3940.63574281</v>
      </c>
      <c r="DC19" s="162">
        <v>3911.6779075099998</v>
      </c>
      <c r="DD19" s="162">
        <v>3916.1275332999999</v>
      </c>
      <c r="DE19" s="162">
        <v>3927.1168639899997</v>
      </c>
      <c r="DF19" s="162">
        <v>3915.7525036699999</v>
      </c>
      <c r="DG19" s="162">
        <v>3920.3112408100001</v>
      </c>
      <c r="DH19" s="162">
        <v>3923.40452461</v>
      </c>
      <c r="DI19" s="162">
        <v>3926.9384735599997</v>
      </c>
      <c r="DJ19" s="162">
        <v>3935.6997193899997</v>
      </c>
      <c r="DK19" s="162">
        <v>4040.11773928</v>
      </c>
      <c r="DL19" s="162">
        <v>4022.36362465</v>
      </c>
      <c r="DM19" s="162">
        <v>4023.9363366299999</v>
      </c>
      <c r="DN19" s="162">
        <v>4030.76345545</v>
      </c>
      <c r="DO19" s="162">
        <v>4034.9671928500002</v>
      </c>
      <c r="DP19" s="162">
        <v>4030.7474261400002</v>
      </c>
      <c r="DQ19" s="162">
        <v>4032.3685415700002</v>
      </c>
      <c r="DR19" s="162">
        <v>4021.3580319799999</v>
      </c>
      <c r="DS19" s="162">
        <v>4031.9189057100002</v>
      </c>
      <c r="DT19" s="162">
        <v>4036.5619587200003</v>
      </c>
      <c r="DU19" s="162">
        <v>4021.3721522400001</v>
      </c>
      <c r="DV19" s="162">
        <v>4021.8372684700003</v>
      </c>
      <c r="DW19" s="162">
        <v>4119.7111005500001</v>
      </c>
      <c r="DX19" s="162">
        <v>5379.726790910001</v>
      </c>
      <c r="DY19" s="162">
        <v>5489.9843629499983</v>
      </c>
      <c r="DZ19" s="162">
        <v>5645.9314230800037</v>
      </c>
      <c r="EA19" s="162">
        <v>38584.592081740004</v>
      </c>
      <c r="EB19" s="162">
        <v>38698.5757381</v>
      </c>
      <c r="EC19" s="162">
        <v>40100.677529779998</v>
      </c>
      <c r="ED19" s="162">
        <v>40111.402101599997</v>
      </c>
      <c r="EE19" s="162">
        <v>40256.463010569998</v>
      </c>
      <c r="EF19" s="162">
        <v>40239.019081019993</v>
      </c>
      <c r="EG19" s="162">
        <v>87597.159286900001</v>
      </c>
      <c r="EH19" s="162">
        <v>87788.728449970004</v>
      </c>
      <c r="EI19" s="162">
        <v>88054.309445469989</v>
      </c>
    </row>
    <row r="20" spans="1:139" ht="17.100000000000001" customHeight="1" x14ac:dyDescent="0.25">
      <c r="A20" s="160" t="s">
        <v>250</v>
      </c>
      <c r="B20" s="162">
        <v>18594.729341072874</v>
      </c>
      <c r="C20" s="162">
        <v>19044.324603401274</v>
      </c>
      <c r="D20" s="162">
        <v>22360.668552649873</v>
      </c>
      <c r="E20" s="162">
        <v>21280.181327235212</v>
      </c>
      <c r="F20" s="162">
        <v>22922.517605351597</v>
      </c>
      <c r="G20" s="162">
        <v>21373.307422236627</v>
      </c>
      <c r="H20" s="162">
        <v>18994.907343880179</v>
      </c>
      <c r="I20" s="162">
        <v>20201.11458074515</v>
      </c>
      <c r="J20" s="162">
        <v>25363.924309142734</v>
      </c>
      <c r="K20" s="162">
        <v>25143.319156730104</v>
      </c>
      <c r="L20" s="162">
        <v>24896.11395498427</v>
      </c>
      <c r="M20" s="162">
        <v>24565.283968943342</v>
      </c>
      <c r="N20" s="162">
        <v>23562.209847259786</v>
      </c>
      <c r="O20" s="162">
        <v>24677.444186577806</v>
      </c>
      <c r="P20" s="162">
        <v>23108.200299823584</v>
      </c>
      <c r="Q20" s="162">
        <v>23165.82197285549</v>
      </c>
      <c r="R20" s="162">
        <v>25400.594578360418</v>
      </c>
      <c r="S20" s="162">
        <v>27938.843234947642</v>
      </c>
      <c r="T20" s="162">
        <v>27716.558216280049</v>
      </c>
      <c r="U20" s="162">
        <v>28224.401098000351</v>
      </c>
      <c r="V20" s="162">
        <v>26685.276395961795</v>
      </c>
      <c r="W20" s="162">
        <v>28632.017156241829</v>
      </c>
      <c r="X20" s="162">
        <v>27468.836560251591</v>
      </c>
      <c r="Y20" s="162">
        <v>25309.103500960551</v>
      </c>
      <c r="Z20" s="162">
        <v>27505.896416856463</v>
      </c>
      <c r="AA20" s="162">
        <v>27713.612342122353</v>
      </c>
      <c r="AB20" s="162">
        <v>26807.826071009738</v>
      </c>
      <c r="AC20" s="162">
        <v>26985.714396542317</v>
      </c>
      <c r="AD20" s="162">
        <v>25081.56802680812</v>
      </c>
      <c r="AE20" s="162">
        <v>28660.785956678155</v>
      </c>
      <c r="AF20" s="162">
        <v>29288.080506300139</v>
      </c>
      <c r="AG20" s="162">
        <v>28118.357092553313</v>
      </c>
      <c r="AH20" s="162">
        <v>29731.391392921221</v>
      </c>
      <c r="AI20" s="162">
        <v>29666.838950144462</v>
      </c>
      <c r="AJ20" s="162">
        <v>29564.39343112606</v>
      </c>
      <c r="AK20" s="162">
        <v>29458.966505068092</v>
      </c>
      <c r="AL20" s="162">
        <v>32666.559441311121</v>
      </c>
      <c r="AM20" s="162">
        <v>31434.526478312724</v>
      </c>
      <c r="AN20" s="162">
        <v>34568.136052714675</v>
      </c>
      <c r="AO20" s="162">
        <v>35237.634672762681</v>
      </c>
      <c r="AP20" s="162">
        <v>35321.736417755252</v>
      </c>
      <c r="AQ20" s="162">
        <v>34118.070068315443</v>
      </c>
      <c r="AR20" s="162">
        <v>34349.677520039455</v>
      </c>
      <c r="AS20" s="162">
        <v>36275.025275776556</v>
      </c>
      <c r="AT20" s="162">
        <v>36543.319575843278</v>
      </c>
      <c r="AU20" s="162">
        <v>35664.545571807263</v>
      </c>
      <c r="AV20" s="162">
        <v>34743.13788053047</v>
      </c>
      <c r="AW20" s="162">
        <v>33103.565879656737</v>
      </c>
      <c r="AX20" s="162">
        <v>34695.323937723748</v>
      </c>
      <c r="AY20" s="162">
        <v>35594.439558382459</v>
      </c>
      <c r="AZ20" s="162">
        <v>38156.187542883796</v>
      </c>
      <c r="BA20" s="162">
        <v>38366.123306714959</v>
      </c>
      <c r="BB20" s="162">
        <v>40575.027869459576</v>
      </c>
      <c r="BC20" s="162">
        <v>41144.198700293819</v>
      </c>
      <c r="BD20" s="162">
        <v>38994.040175877031</v>
      </c>
      <c r="BE20" s="162">
        <v>38052.417033983897</v>
      </c>
      <c r="BF20" s="162">
        <v>34606.904911888341</v>
      </c>
      <c r="BG20" s="162">
        <v>34109.909932740469</v>
      </c>
      <c r="BH20" s="162">
        <v>37043.612771806722</v>
      </c>
      <c r="BI20" s="162">
        <v>36678.548153023294</v>
      </c>
      <c r="BJ20" s="162">
        <v>34131.393553218462</v>
      </c>
      <c r="BK20" s="162">
        <v>35765.769668424458</v>
      </c>
      <c r="BL20" s="162">
        <v>44551.988671439511</v>
      </c>
      <c r="BM20" s="162">
        <v>42748.003113312807</v>
      </c>
      <c r="BN20" s="162">
        <v>46880.714875900085</v>
      </c>
      <c r="BO20" s="162">
        <v>51051.107150947049</v>
      </c>
      <c r="BP20" s="162">
        <v>52242.323221041683</v>
      </c>
      <c r="BQ20" s="162">
        <v>54664.162452459925</v>
      </c>
      <c r="BR20" s="162">
        <v>55656.722119757993</v>
      </c>
      <c r="BS20" s="162">
        <v>56465.417236151901</v>
      </c>
      <c r="BT20" s="162">
        <v>55227.297853406679</v>
      </c>
      <c r="BU20" s="162">
        <v>54040.800000000003</v>
      </c>
      <c r="BV20" s="162">
        <v>56739.522353380264</v>
      </c>
      <c r="BW20" s="162">
        <v>58729.86270584767</v>
      </c>
      <c r="BX20" s="162">
        <v>60636.900551802959</v>
      </c>
      <c r="BY20" s="162">
        <v>59357.853390026838</v>
      </c>
      <c r="BZ20" s="162">
        <v>58698.444163096399</v>
      </c>
      <c r="CA20" s="162">
        <v>65020.277793534573</v>
      </c>
      <c r="CB20" s="162">
        <v>64422.375969688524</v>
      </c>
      <c r="CC20" s="162">
        <v>61534.792557670284</v>
      </c>
      <c r="CD20" s="162">
        <v>63220.115687402707</v>
      </c>
      <c r="CE20" s="162">
        <v>63623.114933193639</v>
      </c>
      <c r="CF20" s="162">
        <v>61839.921043205184</v>
      </c>
      <c r="CG20" s="162">
        <v>61890.112365387526</v>
      </c>
      <c r="CH20" s="162">
        <v>63456.927930627688</v>
      </c>
      <c r="CI20" s="162">
        <v>64370.061528331978</v>
      </c>
      <c r="CJ20" s="162">
        <v>63409.053928177484</v>
      </c>
      <c r="CK20" s="162">
        <v>60312.714367918365</v>
      </c>
      <c r="CL20" s="162">
        <v>63711.441040361075</v>
      </c>
      <c r="CM20" s="162">
        <v>69345.546586814031</v>
      </c>
      <c r="CN20" s="162">
        <v>70949.599419485647</v>
      </c>
      <c r="CO20" s="162">
        <v>72282.614224136923</v>
      </c>
      <c r="CP20" s="162">
        <v>77527.930330003146</v>
      </c>
      <c r="CQ20" s="162">
        <v>80856.926480132723</v>
      </c>
      <c r="CR20" s="162">
        <v>76327.046016954657</v>
      </c>
      <c r="CS20" s="162">
        <v>77477.493835279631</v>
      </c>
      <c r="CT20" s="162">
        <v>76546.263210759076</v>
      </c>
      <c r="CU20" s="162">
        <v>86749.20286477395</v>
      </c>
      <c r="CV20" s="162">
        <v>96378.841949931724</v>
      </c>
      <c r="CW20" s="162">
        <v>104488.50831407748</v>
      </c>
      <c r="CX20" s="162">
        <v>108467.19133079766</v>
      </c>
      <c r="CY20" s="162">
        <v>103415.83778866437</v>
      </c>
      <c r="CZ20" s="162">
        <v>100389.75840935941</v>
      </c>
      <c r="DA20" s="162">
        <v>96405.730566441547</v>
      </c>
      <c r="DB20" s="162">
        <v>100583.32597095185</v>
      </c>
      <c r="DC20" s="162">
        <v>101507.03435115184</v>
      </c>
      <c r="DD20" s="162">
        <v>96496.162795225304</v>
      </c>
      <c r="DE20" s="162">
        <v>101239.7798695259</v>
      </c>
      <c r="DF20" s="162">
        <v>99433.357687171723</v>
      </c>
      <c r="DG20" s="162">
        <v>101528.86239515475</v>
      </c>
      <c r="DH20" s="162">
        <v>108273.74315931668</v>
      </c>
      <c r="DI20" s="162">
        <v>111039.12430961682</v>
      </c>
      <c r="DJ20" s="162">
        <v>115048.47581654516</v>
      </c>
      <c r="DK20" s="162">
        <v>133112.16265416832</v>
      </c>
      <c r="DL20" s="162">
        <v>135019.32575221598</v>
      </c>
      <c r="DM20" s="162">
        <v>137373.71402924694</v>
      </c>
      <c r="DN20" s="162">
        <v>141814.83550571432</v>
      </c>
      <c r="DO20" s="162">
        <v>144903.37205335102</v>
      </c>
      <c r="DP20" s="162">
        <v>142793.18485618688</v>
      </c>
      <c r="DQ20" s="162">
        <v>125987.52917545472</v>
      </c>
      <c r="DR20" s="162">
        <v>140991.28020017332</v>
      </c>
      <c r="DS20" s="162">
        <v>142242.18023604696</v>
      </c>
      <c r="DT20" s="162">
        <v>140759.2337486913</v>
      </c>
      <c r="DU20" s="162">
        <v>139705.83403676309</v>
      </c>
      <c r="DV20" s="162">
        <v>124332.3402589262</v>
      </c>
      <c r="DW20" s="162">
        <v>124632.89519229365</v>
      </c>
      <c r="DX20" s="162">
        <v>138065.88340095407</v>
      </c>
      <c r="DY20" s="162">
        <v>109755.27043330966</v>
      </c>
      <c r="DZ20" s="162">
        <v>106438.03249997162</v>
      </c>
      <c r="EA20" s="162">
        <v>97525.064124912169</v>
      </c>
      <c r="EB20" s="162">
        <v>98826.98012118107</v>
      </c>
      <c r="EC20" s="162">
        <v>105386.14479469259</v>
      </c>
      <c r="ED20" s="162">
        <v>104138.71952353296</v>
      </c>
      <c r="EE20" s="162">
        <v>101943.20494015915</v>
      </c>
      <c r="EF20" s="162">
        <v>96525.264027114521</v>
      </c>
      <c r="EG20" s="162">
        <v>112134.30506261507</v>
      </c>
      <c r="EH20" s="162">
        <v>115431.03710681672</v>
      </c>
      <c r="EI20" s="162">
        <v>113923.29884680705</v>
      </c>
    </row>
    <row r="21" spans="1:139" ht="17.100000000000001" customHeight="1" x14ac:dyDescent="0.25">
      <c r="A21" s="160"/>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row>
    <row r="22" spans="1:139" s="168" customFormat="1" ht="17.100000000000001" customHeight="1" x14ac:dyDescent="0.25">
      <c r="A22" s="166" t="s">
        <v>251</v>
      </c>
      <c r="B22" s="167">
        <v>32306.578817400012</v>
      </c>
      <c r="C22" s="167">
        <v>34188.33114523199</v>
      </c>
      <c r="D22" s="167">
        <v>35018.925947356023</v>
      </c>
      <c r="E22" s="167">
        <v>33972.916107529993</v>
      </c>
      <c r="F22" s="167">
        <v>35004.95288266</v>
      </c>
      <c r="G22" s="167">
        <v>35648.823192611999</v>
      </c>
      <c r="H22" s="167">
        <v>38111.516861294003</v>
      </c>
      <c r="I22" s="167">
        <v>36422.298056900181</v>
      </c>
      <c r="J22" s="167">
        <v>36444.268975505984</v>
      </c>
      <c r="K22" s="167">
        <v>38868.215593329005</v>
      </c>
      <c r="L22" s="167">
        <v>40023.459073578015</v>
      </c>
      <c r="M22" s="167">
        <v>44935.527259708993</v>
      </c>
      <c r="N22" s="167">
        <v>44220.858916644269</v>
      </c>
      <c r="O22" s="167">
        <v>43457.966445986371</v>
      </c>
      <c r="P22" s="167">
        <v>42616.030384142519</v>
      </c>
      <c r="Q22" s="167">
        <v>43519.537135277533</v>
      </c>
      <c r="R22" s="167">
        <v>41534.157818175219</v>
      </c>
      <c r="S22" s="167">
        <v>42236.711518740027</v>
      </c>
      <c r="T22" s="167">
        <v>42073.932863249436</v>
      </c>
      <c r="U22" s="167">
        <v>44194.178056753226</v>
      </c>
      <c r="V22" s="167">
        <v>42292.116239109986</v>
      </c>
      <c r="W22" s="167">
        <v>42459.190507741456</v>
      </c>
      <c r="X22" s="167">
        <v>41967.209031114857</v>
      </c>
      <c r="Y22" s="167">
        <v>48280.871329008005</v>
      </c>
      <c r="Z22" s="167">
        <v>43850.805226809163</v>
      </c>
      <c r="AA22" s="167">
        <v>44901.044054853548</v>
      </c>
      <c r="AB22" s="167">
        <v>44639.243475712952</v>
      </c>
      <c r="AC22" s="167">
        <v>44527.063578379821</v>
      </c>
      <c r="AD22" s="167">
        <v>44662.991762632766</v>
      </c>
      <c r="AE22" s="167">
        <v>45910.968640304593</v>
      </c>
      <c r="AF22" s="167">
        <v>46049.629763321958</v>
      </c>
      <c r="AG22" s="167">
        <v>46185.349601679744</v>
      </c>
      <c r="AH22" s="167">
        <v>47267.960581811938</v>
      </c>
      <c r="AI22" s="167">
        <v>46439.120953461781</v>
      </c>
      <c r="AJ22" s="167">
        <v>45499.109248794244</v>
      </c>
      <c r="AK22" s="167">
        <v>52622.930355556542</v>
      </c>
      <c r="AL22" s="167">
        <v>50086.680642074178</v>
      </c>
      <c r="AM22" s="167">
        <v>52362.47707499667</v>
      </c>
      <c r="AN22" s="167">
        <v>51963.297009955029</v>
      </c>
      <c r="AO22" s="167">
        <v>48815.61419920568</v>
      </c>
      <c r="AP22" s="167">
        <v>52745.513655361865</v>
      </c>
      <c r="AQ22" s="167">
        <v>53094.012917087573</v>
      </c>
      <c r="AR22" s="167">
        <v>54156.365501454675</v>
      </c>
      <c r="AS22" s="167">
        <v>51451.915537680601</v>
      </c>
      <c r="AT22" s="167">
        <v>50185.234077912588</v>
      </c>
      <c r="AU22" s="167">
        <v>51977.864655589321</v>
      </c>
      <c r="AV22" s="167">
        <v>53757.247620448077</v>
      </c>
      <c r="AW22" s="167">
        <v>62350.012215056217</v>
      </c>
      <c r="AX22" s="167">
        <v>58668.651559132835</v>
      </c>
      <c r="AY22" s="167">
        <v>64091.710065448504</v>
      </c>
      <c r="AZ22" s="167">
        <v>62483.452766957605</v>
      </c>
      <c r="BA22" s="167">
        <v>62070.370893171887</v>
      </c>
      <c r="BB22" s="167">
        <v>62582.034079297329</v>
      </c>
      <c r="BC22" s="167">
        <v>62137.039306434432</v>
      </c>
      <c r="BD22" s="167">
        <v>64802.243488136155</v>
      </c>
      <c r="BE22" s="167">
        <v>66521.777726987872</v>
      </c>
      <c r="BF22" s="167">
        <v>63788.91463697319</v>
      </c>
      <c r="BG22" s="167">
        <v>65201.016737300946</v>
      </c>
      <c r="BH22" s="167">
        <v>63358.07491708827</v>
      </c>
      <c r="BI22" s="167">
        <v>67933.588631996783</v>
      </c>
      <c r="BJ22" s="167">
        <v>68888.095794514724</v>
      </c>
      <c r="BK22" s="167">
        <v>70440.636755478976</v>
      </c>
      <c r="BL22" s="167">
        <v>73577.833933835995</v>
      </c>
      <c r="BM22" s="167">
        <v>75159.682994824921</v>
      </c>
      <c r="BN22" s="167">
        <v>70803.746954399961</v>
      </c>
      <c r="BO22" s="167">
        <v>71594.147533339987</v>
      </c>
      <c r="BP22" s="167">
        <v>68773.18355570003</v>
      </c>
      <c r="BQ22" s="167">
        <v>66569.861976039945</v>
      </c>
      <c r="BR22" s="167">
        <v>66947.281883980017</v>
      </c>
      <c r="BS22" s="167">
        <v>71167.770713140038</v>
      </c>
      <c r="BT22" s="167">
        <v>70496.418338069983</v>
      </c>
      <c r="BU22" s="167">
        <v>73569</v>
      </c>
      <c r="BV22" s="167">
        <v>74498.380112810017</v>
      </c>
      <c r="BW22" s="167">
        <v>72917.527185889994</v>
      </c>
      <c r="BX22" s="167">
        <v>69446.043452650003</v>
      </c>
      <c r="BY22" s="167">
        <v>67413.995906789991</v>
      </c>
      <c r="BZ22" s="167">
        <v>76072.559399120044</v>
      </c>
      <c r="CA22" s="167">
        <v>70419.836853590008</v>
      </c>
      <c r="CB22" s="167">
        <v>71811.108306739974</v>
      </c>
      <c r="CC22" s="167">
        <v>72274.423068130025</v>
      </c>
      <c r="CD22" s="167">
        <v>73083.794152372357</v>
      </c>
      <c r="CE22" s="167">
        <v>71156.268825432198</v>
      </c>
      <c r="CF22" s="167">
        <v>75050.0283712323</v>
      </c>
      <c r="CG22" s="167">
        <v>82062.45431437224</v>
      </c>
      <c r="CH22" s="167">
        <v>83073.876301282289</v>
      </c>
      <c r="CI22" s="167">
        <v>79888.073268022243</v>
      </c>
      <c r="CJ22" s="167">
        <v>76270.488560842321</v>
      </c>
      <c r="CK22" s="167">
        <v>83832.73617904236</v>
      </c>
      <c r="CL22" s="167">
        <v>83944.908098642307</v>
      </c>
      <c r="CM22" s="167">
        <v>80702.47055845226</v>
      </c>
      <c r="CN22" s="167">
        <v>82261.311799362316</v>
      </c>
      <c r="CO22" s="167">
        <v>79068.213393302285</v>
      </c>
      <c r="CP22" s="167">
        <v>85929.68759632227</v>
      </c>
      <c r="CQ22" s="167">
        <v>82776.070675572308</v>
      </c>
      <c r="CR22" s="167">
        <v>90055.720543022311</v>
      </c>
      <c r="CS22" s="167">
        <v>102148.08102707274</v>
      </c>
      <c r="CT22" s="167">
        <v>101146.4532061323</v>
      </c>
      <c r="CU22" s="167">
        <v>100844.38988326993</v>
      </c>
      <c r="CV22" s="167">
        <v>96927.471336200018</v>
      </c>
      <c r="CW22" s="167">
        <v>96764.55682713</v>
      </c>
      <c r="CX22" s="167">
        <v>99355.801623730033</v>
      </c>
      <c r="CY22" s="167">
        <v>109048.8631492</v>
      </c>
      <c r="CZ22" s="167">
        <v>100660.04772514006</v>
      </c>
      <c r="DA22" s="167">
        <v>112956.84348928012</v>
      </c>
      <c r="DB22" s="167">
        <v>99760.407825670001</v>
      </c>
      <c r="DC22" s="167">
        <v>98097.45515595004</v>
      </c>
      <c r="DD22" s="167">
        <v>103092.81229459008</v>
      </c>
      <c r="DE22" s="167">
        <v>100867.11153925001</v>
      </c>
      <c r="DF22" s="167">
        <v>102818.30863133998</v>
      </c>
      <c r="DG22" s="167">
        <v>103484.58947791977</v>
      </c>
      <c r="DH22" s="167">
        <v>101879.04529465007</v>
      </c>
      <c r="DI22" s="167">
        <v>103555.29581360002</v>
      </c>
      <c r="DJ22" s="167">
        <v>108531.09996019013</v>
      </c>
      <c r="DK22" s="167">
        <v>105729.95689802998</v>
      </c>
      <c r="DL22" s="167">
        <v>109852.72986274998</v>
      </c>
      <c r="DM22" s="167">
        <v>104721.80471680008</v>
      </c>
      <c r="DN22" s="167">
        <v>105737.83124583997</v>
      </c>
      <c r="DO22" s="167">
        <v>104610.96385878997</v>
      </c>
      <c r="DP22" s="167">
        <v>110785.70627632033</v>
      </c>
      <c r="DQ22" s="167">
        <v>123351.49617376001</v>
      </c>
      <c r="DR22" s="167">
        <v>117687.05444165997</v>
      </c>
      <c r="DS22" s="167">
        <v>122047.23474776</v>
      </c>
      <c r="DT22" s="167">
        <v>126402.72820918998</v>
      </c>
      <c r="DU22" s="167">
        <v>132395.77679220008</v>
      </c>
      <c r="DV22" s="167">
        <v>156851.00422210718</v>
      </c>
      <c r="DW22" s="167">
        <v>148346.77809905648</v>
      </c>
      <c r="DX22" s="167">
        <v>153873.26013785001</v>
      </c>
      <c r="DY22" s="167">
        <v>137459.95647160997</v>
      </c>
      <c r="DZ22" s="167">
        <v>135923.33982901004</v>
      </c>
      <c r="EA22" s="167">
        <v>178037.25319134988</v>
      </c>
      <c r="EB22" s="167">
        <v>184213.58975877002</v>
      </c>
      <c r="EC22" s="167">
        <v>194715.73296617001</v>
      </c>
      <c r="ED22" s="167">
        <v>214151.32237466006</v>
      </c>
      <c r="EE22" s="167">
        <v>195991.62394412007</v>
      </c>
      <c r="EF22" s="167">
        <v>196250.02692557001</v>
      </c>
      <c r="EG22" s="167">
        <v>235432.66699455003</v>
      </c>
      <c r="EH22" s="167">
        <v>242527.10344179993</v>
      </c>
      <c r="EI22" s="167">
        <v>238940.32614801015</v>
      </c>
    </row>
    <row r="23" spans="1:139" ht="15.6" customHeight="1" thickBot="1" x14ac:dyDescent="0.3">
      <c r="A23" s="171"/>
      <c r="B23" s="172"/>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2"/>
      <c r="AT23" s="172"/>
      <c r="AU23" s="172"/>
      <c r="AV23" s="172"/>
      <c r="AW23" s="172"/>
      <c r="AX23" s="172"/>
      <c r="AY23" s="172"/>
      <c r="AZ23" s="172"/>
      <c r="BA23" s="172"/>
      <c r="BB23" s="172"/>
      <c r="BC23" s="172"/>
      <c r="BD23" s="172"/>
      <c r="BE23" s="172"/>
      <c r="BF23" s="172"/>
      <c r="BG23" s="172"/>
      <c r="BH23" s="172"/>
      <c r="BI23" s="172"/>
      <c r="BJ23" s="172"/>
      <c r="BK23" s="172"/>
      <c r="BL23" s="172"/>
      <c r="BM23" s="172"/>
      <c r="BN23" s="172"/>
      <c r="BO23" s="172"/>
      <c r="BP23" s="172"/>
      <c r="BQ23" s="172"/>
      <c r="BR23" s="172"/>
      <c r="BS23" s="172"/>
      <c r="BT23" s="172"/>
      <c r="BU23" s="172"/>
      <c r="BV23" s="172"/>
      <c r="BW23" s="172"/>
      <c r="BX23" s="172"/>
      <c r="BY23" s="172"/>
      <c r="BZ23" s="172"/>
      <c r="CA23" s="172"/>
      <c r="CB23" s="172"/>
      <c r="CC23" s="172"/>
      <c r="CD23" s="172"/>
      <c r="CE23" s="172"/>
      <c r="CF23" s="172"/>
      <c r="CG23" s="172"/>
      <c r="CH23" s="172"/>
      <c r="CI23" s="172"/>
      <c r="CJ23" s="172"/>
      <c r="CK23" s="172"/>
      <c r="CL23" s="172"/>
      <c r="CM23" s="172"/>
      <c r="CN23" s="172"/>
      <c r="CO23" s="172"/>
      <c r="CP23" s="172"/>
      <c r="CQ23" s="172"/>
      <c r="CR23" s="172"/>
      <c r="CS23" s="172"/>
      <c r="CT23" s="172"/>
      <c r="CU23" s="172"/>
      <c r="CV23" s="172"/>
      <c r="CW23" s="172"/>
      <c r="CX23" s="172"/>
      <c r="CY23" s="172"/>
      <c r="CZ23" s="172"/>
      <c r="DA23" s="172"/>
      <c r="DB23" s="172"/>
      <c r="DC23" s="172"/>
      <c r="DD23" s="172"/>
      <c r="DE23" s="172"/>
      <c r="DF23" s="172"/>
      <c r="DG23" s="172"/>
      <c r="DH23" s="172"/>
      <c r="DI23" s="172"/>
      <c r="DJ23" s="172"/>
      <c r="DK23" s="172"/>
      <c r="DL23" s="172"/>
      <c r="DM23" s="172"/>
      <c r="DN23" s="172"/>
      <c r="DO23" s="172"/>
      <c r="DP23" s="172"/>
      <c r="DQ23" s="172"/>
      <c r="DR23" s="172"/>
      <c r="DS23" s="172"/>
      <c r="DT23" s="172"/>
      <c r="DU23" s="172"/>
      <c r="DV23" s="172"/>
      <c r="DW23" s="172"/>
      <c r="DX23" s="172"/>
      <c r="DY23" s="172"/>
      <c r="DZ23" s="172"/>
      <c r="EA23" s="172"/>
      <c r="EB23" s="172"/>
      <c r="EC23" s="172"/>
      <c r="ED23" s="172"/>
      <c r="EE23" s="172"/>
      <c r="EF23" s="172"/>
      <c r="EG23" s="172"/>
      <c r="EH23" s="172"/>
      <c r="EI23" s="172"/>
    </row>
    <row r="24" spans="1:139" ht="15" thickTop="1" x14ac:dyDescent="0.25">
      <c r="A24" s="165" t="s">
        <v>172</v>
      </c>
    </row>
    <row r="26" spans="1:139" ht="25.5" customHeight="1" x14ac:dyDescent="0.25">
      <c r="A26" s="150" t="s">
        <v>1029</v>
      </c>
    </row>
    <row r="27" spans="1:139" s="173" customFormat="1" ht="18.75" customHeight="1" thickBot="1" x14ac:dyDescent="0.3">
      <c r="A27" s="153"/>
      <c r="DS27" s="154"/>
      <c r="DX27" s="154"/>
      <c r="EE27" s="154"/>
      <c r="EI27" s="154" t="s">
        <v>8</v>
      </c>
    </row>
    <row r="28" spans="1:139" ht="18.75" thickTop="1" thickBot="1" x14ac:dyDescent="0.35">
      <c r="A28" s="155" t="s">
        <v>252</v>
      </c>
      <c r="B28" s="157">
        <f t="shared" ref="B28:BM28" si="0">B3</f>
        <v>40208</v>
      </c>
      <c r="C28" s="157">
        <f t="shared" si="0"/>
        <v>40237</v>
      </c>
      <c r="D28" s="157">
        <f t="shared" si="0"/>
        <v>40239</v>
      </c>
      <c r="E28" s="157">
        <f t="shared" si="0"/>
        <v>40270</v>
      </c>
      <c r="F28" s="157">
        <f t="shared" si="0"/>
        <v>40301</v>
      </c>
      <c r="G28" s="157">
        <f t="shared" si="0"/>
        <v>40332</v>
      </c>
      <c r="H28" s="157">
        <f t="shared" si="0"/>
        <v>40363</v>
      </c>
      <c r="I28" s="157">
        <f t="shared" si="0"/>
        <v>40394</v>
      </c>
      <c r="J28" s="157">
        <f t="shared" si="0"/>
        <v>40425</v>
      </c>
      <c r="K28" s="157">
        <f t="shared" si="0"/>
        <v>40456</v>
      </c>
      <c r="L28" s="157">
        <f t="shared" si="0"/>
        <v>40487</v>
      </c>
      <c r="M28" s="157">
        <f t="shared" si="0"/>
        <v>40518</v>
      </c>
      <c r="N28" s="157">
        <f t="shared" si="0"/>
        <v>40549</v>
      </c>
      <c r="O28" s="157">
        <f t="shared" si="0"/>
        <v>40580</v>
      </c>
      <c r="P28" s="157">
        <f t="shared" si="0"/>
        <v>40611</v>
      </c>
      <c r="Q28" s="157">
        <f t="shared" si="0"/>
        <v>40642</v>
      </c>
      <c r="R28" s="157">
        <f t="shared" si="0"/>
        <v>40673</v>
      </c>
      <c r="S28" s="157">
        <f t="shared" si="0"/>
        <v>40704</v>
      </c>
      <c r="T28" s="157">
        <f t="shared" si="0"/>
        <v>40735</v>
      </c>
      <c r="U28" s="157">
        <f t="shared" si="0"/>
        <v>40766</v>
      </c>
      <c r="V28" s="157">
        <f t="shared" si="0"/>
        <v>40797</v>
      </c>
      <c r="W28" s="157">
        <f t="shared" si="0"/>
        <v>40828</v>
      </c>
      <c r="X28" s="157">
        <f t="shared" si="0"/>
        <v>40859</v>
      </c>
      <c r="Y28" s="157">
        <f t="shared" si="0"/>
        <v>40890</v>
      </c>
      <c r="Z28" s="157">
        <f t="shared" si="0"/>
        <v>40921</v>
      </c>
      <c r="AA28" s="157">
        <f t="shared" si="0"/>
        <v>40952</v>
      </c>
      <c r="AB28" s="157">
        <f t="shared" si="0"/>
        <v>40983</v>
      </c>
      <c r="AC28" s="157">
        <f t="shared" si="0"/>
        <v>41014</v>
      </c>
      <c r="AD28" s="157">
        <f t="shared" si="0"/>
        <v>41045</v>
      </c>
      <c r="AE28" s="157">
        <f t="shared" si="0"/>
        <v>41076</v>
      </c>
      <c r="AF28" s="157">
        <f t="shared" si="0"/>
        <v>41107</v>
      </c>
      <c r="AG28" s="157">
        <f t="shared" si="0"/>
        <v>41138</v>
      </c>
      <c r="AH28" s="157">
        <f t="shared" si="0"/>
        <v>41169</v>
      </c>
      <c r="AI28" s="157">
        <f t="shared" si="0"/>
        <v>41200</v>
      </c>
      <c r="AJ28" s="157">
        <f t="shared" si="0"/>
        <v>41231</v>
      </c>
      <c r="AK28" s="157">
        <f t="shared" si="0"/>
        <v>41262</v>
      </c>
      <c r="AL28" s="157">
        <f t="shared" si="0"/>
        <v>41293</v>
      </c>
      <c r="AM28" s="157">
        <f t="shared" si="0"/>
        <v>41324</v>
      </c>
      <c r="AN28" s="157">
        <f t="shared" si="0"/>
        <v>41355</v>
      </c>
      <c r="AO28" s="157">
        <f t="shared" si="0"/>
        <v>41386</v>
      </c>
      <c r="AP28" s="157">
        <f t="shared" si="0"/>
        <v>41417</v>
      </c>
      <c r="AQ28" s="157">
        <f t="shared" si="0"/>
        <v>41448</v>
      </c>
      <c r="AR28" s="157">
        <f t="shared" si="0"/>
        <v>41479</v>
      </c>
      <c r="AS28" s="157">
        <f t="shared" si="0"/>
        <v>41510</v>
      </c>
      <c r="AT28" s="157">
        <f t="shared" si="0"/>
        <v>41541</v>
      </c>
      <c r="AU28" s="157">
        <f t="shared" si="0"/>
        <v>41572</v>
      </c>
      <c r="AV28" s="157">
        <f t="shared" si="0"/>
        <v>41603</v>
      </c>
      <c r="AW28" s="157">
        <f t="shared" si="0"/>
        <v>41634</v>
      </c>
      <c r="AX28" s="157">
        <f t="shared" si="0"/>
        <v>41665</v>
      </c>
      <c r="AY28" s="157">
        <f t="shared" si="0"/>
        <v>41696</v>
      </c>
      <c r="AZ28" s="157">
        <f t="shared" si="0"/>
        <v>41727</v>
      </c>
      <c r="BA28" s="157">
        <f t="shared" si="0"/>
        <v>41758</v>
      </c>
      <c r="BB28" s="157">
        <f t="shared" si="0"/>
        <v>41789</v>
      </c>
      <c r="BC28" s="157">
        <f t="shared" si="0"/>
        <v>41820</v>
      </c>
      <c r="BD28" s="157">
        <f t="shared" si="0"/>
        <v>41851</v>
      </c>
      <c r="BE28" s="157">
        <f t="shared" si="0"/>
        <v>41882</v>
      </c>
      <c r="BF28" s="157">
        <f t="shared" si="0"/>
        <v>41912</v>
      </c>
      <c r="BG28" s="157">
        <f t="shared" si="0"/>
        <v>41913</v>
      </c>
      <c r="BH28" s="157">
        <f t="shared" si="0"/>
        <v>41944</v>
      </c>
      <c r="BI28" s="157">
        <f t="shared" si="0"/>
        <v>41975</v>
      </c>
      <c r="BJ28" s="157">
        <f t="shared" si="0"/>
        <v>42006</v>
      </c>
      <c r="BK28" s="157">
        <f t="shared" si="0"/>
        <v>42037</v>
      </c>
      <c r="BL28" s="157">
        <f t="shared" si="0"/>
        <v>42068</v>
      </c>
      <c r="BM28" s="157">
        <f t="shared" si="0"/>
        <v>42099</v>
      </c>
      <c r="BN28" s="157">
        <f t="shared" ref="BN28:DR28" si="1">BN3</f>
        <v>42130</v>
      </c>
      <c r="BO28" s="157">
        <f t="shared" si="1"/>
        <v>42161</v>
      </c>
      <c r="BP28" s="157">
        <f t="shared" si="1"/>
        <v>42192</v>
      </c>
      <c r="BQ28" s="157">
        <f t="shared" si="1"/>
        <v>42223</v>
      </c>
      <c r="BR28" s="157">
        <f t="shared" si="1"/>
        <v>42254</v>
      </c>
      <c r="BS28" s="157">
        <f t="shared" si="1"/>
        <v>42285</v>
      </c>
      <c r="BT28" s="157">
        <f t="shared" si="1"/>
        <v>42316</v>
      </c>
      <c r="BU28" s="157">
        <f t="shared" si="1"/>
        <v>42347</v>
      </c>
      <c r="BV28" s="157">
        <f t="shared" si="1"/>
        <v>42378</v>
      </c>
      <c r="BW28" s="157">
        <f t="shared" si="1"/>
        <v>42409</v>
      </c>
      <c r="BX28" s="157">
        <f t="shared" si="1"/>
        <v>42440</v>
      </c>
      <c r="BY28" s="157">
        <f t="shared" si="1"/>
        <v>42471</v>
      </c>
      <c r="BZ28" s="157">
        <f t="shared" si="1"/>
        <v>42502</v>
      </c>
      <c r="CA28" s="157">
        <f t="shared" si="1"/>
        <v>42533</v>
      </c>
      <c r="CB28" s="157">
        <f t="shared" si="1"/>
        <v>42564</v>
      </c>
      <c r="CC28" s="157">
        <f t="shared" si="1"/>
        <v>42595</v>
      </c>
      <c r="CD28" s="157">
        <f t="shared" si="1"/>
        <v>42626</v>
      </c>
      <c r="CE28" s="157">
        <f t="shared" si="1"/>
        <v>42657</v>
      </c>
      <c r="CF28" s="157">
        <f t="shared" si="1"/>
        <v>42688</v>
      </c>
      <c r="CG28" s="157">
        <f t="shared" si="1"/>
        <v>42719</v>
      </c>
      <c r="CH28" s="157">
        <f t="shared" si="1"/>
        <v>42750</v>
      </c>
      <c r="CI28" s="157">
        <f t="shared" si="1"/>
        <v>42781</v>
      </c>
      <c r="CJ28" s="157">
        <f t="shared" si="1"/>
        <v>42812</v>
      </c>
      <c r="CK28" s="157">
        <f t="shared" si="1"/>
        <v>42843</v>
      </c>
      <c r="CL28" s="157">
        <f t="shared" si="1"/>
        <v>42874</v>
      </c>
      <c r="CM28" s="157">
        <f t="shared" si="1"/>
        <v>42905</v>
      </c>
      <c r="CN28" s="157">
        <f t="shared" si="1"/>
        <v>42936</v>
      </c>
      <c r="CO28" s="157">
        <f t="shared" si="1"/>
        <v>42967</v>
      </c>
      <c r="CP28" s="157">
        <f t="shared" si="1"/>
        <v>42998</v>
      </c>
      <c r="CQ28" s="157">
        <f t="shared" si="1"/>
        <v>43029</v>
      </c>
      <c r="CR28" s="157">
        <f t="shared" si="1"/>
        <v>43060</v>
      </c>
      <c r="CS28" s="157">
        <f t="shared" si="1"/>
        <v>43091</v>
      </c>
      <c r="CT28" s="157">
        <f t="shared" si="1"/>
        <v>43122</v>
      </c>
      <c r="CU28" s="157">
        <f t="shared" si="1"/>
        <v>43153</v>
      </c>
      <c r="CV28" s="157">
        <f t="shared" si="1"/>
        <v>43184</v>
      </c>
      <c r="CW28" s="157">
        <f t="shared" si="1"/>
        <v>43215</v>
      </c>
      <c r="CX28" s="157">
        <f t="shared" si="1"/>
        <v>43246</v>
      </c>
      <c r="CY28" s="157">
        <f t="shared" si="1"/>
        <v>43277</v>
      </c>
      <c r="CZ28" s="157">
        <f t="shared" si="1"/>
        <v>43308</v>
      </c>
      <c r="DA28" s="157">
        <f t="shared" si="1"/>
        <v>43339</v>
      </c>
      <c r="DB28" s="157">
        <f t="shared" si="1"/>
        <v>43370</v>
      </c>
      <c r="DC28" s="157">
        <f t="shared" si="1"/>
        <v>43401</v>
      </c>
      <c r="DD28" s="157">
        <f t="shared" si="1"/>
        <v>43432</v>
      </c>
      <c r="DE28" s="157">
        <f t="shared" si="1"/>
        <v>43462</v>
      </c>
      <c r="DF28" s="157">
        <f t="shared" si="1"/>
        <v>43493</v>
      </c>
      <c r="DG28" s="157">
        <f t="shared" si="1"/>
        <v>43524</v>
      </c>
      <c r="DH28" s="157">
        <f t="shared" si="1"/>
        <v>43552</v>
      </c>
      <c r="DI28" s="157">
        <f t="shared" si="1"/>
        <v>43583</v>
      </c>
      <c r="DJ28" s="157">
        <f t="shared" si="1"/>
        <v>43613</v>
      </c>
      <c r="DK28" s="157">
        <f t="shared" si="1"/>
        <v>43644</v>
      </c>
      <c r="DL28" s="157">
        <f t="shared" si="1"/>
        <v>43674</v>
      </c>
      <c r="DM28" s="157">
        <f t="shared" si="1"/>
        <v>43705</v>
      </c>
      <c r="DN28" s="157">
        <f t="shared" si="1"/>
        <v>43736</v>
      </c>
      <c r="DO28" s="157">
        <f t="shared" si="1"/>
        <v>43766</v>
      </c>
      <c r="DP28" s="157">
        <f t="shared" si="1"/>
        <v>43797</v>
      </c>
      <c r="DQ28" s="157">
        <f t="shared" si="1"/>
        <v>43827</v>
      </c>
      <c r="DR28" s="157">
        <f t="shared" si="1"/>
        <v>43858</v>
      </c>
      <c r="DS28" s="158" t="s">
        <v>174</v>
      </c>
      <c r="DT28" s="158" t="s">
        <v>140</v>
      </c>
      <c r="DU28" s="91" t="s">
        <v>175</v>
      </c>
      <c r="DV28" s="91" t="s">
        <v>141</v>
      </c>
      <c r="DW28" s="91" t="s">
        <v>177</v>
      </c>
      <c r="DX28" s="91" t="s">
        <v>142</v>
      </c>
      <c r="DY28" s="91" t="s">
        <v>143</v>
      </c>
      <c r="DZ28" s="91" t="s">
        <v>144</v>
      </c>
      <c r="EA28" s="91" t="s">
        <v>145</v>
      </c>
      <c r="EB28" s="91">
        <v>44136</v>
      </c>
      <c r="EC28" s="91">
        <v>44166</v>
      </c>
      <c r="ED28" s="91">
        <v>44197</v>
      </c>
      <c r="EE28" s="91" t="s">
        <v>3248</v>
      </c>
      <c r="EF28" s="91" t="s">
        <v>3249</v>
      </c>
      <c r="EG28" s="91" t="s">
        <v>3253</v>
      </c>
      <c r="EH28" s="91" t="s">
        <v>3251</v>
      </c>
      <c r="EI28" s="91" t="s">
        <v>3252</v>
      </c>
    </row>
    <row r="29" spans="1:139" ht="17.100000000000001" customHeight="1" thickTop="1" x14ac:dyDescent="0.25">
      <c r="A29" s="160"/>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61"/>
      <c r="BV29" s="161"/>
      <c r="BW29" s="161"/>
      <c r="BX29" s="161"/>
      <c r="BY29" s="161"/>
      <c r="BZ29" s="161"/>
      <c r="CA29" s="161"/>
      <c r="CB29" s="161"/>
      <c r="CC29" s="161"/>
      <c r="CD29" s="161"/>
      <c r="CE29" s="161"/>
      <c r="CF29" s="161"/>
      <c r="CG29" s="161"/>
      <c r="CH29" s="161"/>
      <c r="CI29" s="161"/>
      <c r="CJ29" s="161"/>
      <c r="CK29" s="161"/>
      <c r="CL29" s="161"/>
      <c r="CM29" s="161"/>
      <c r="CN29" s="161"/>
      <c r="CO29" s="161"/>
      <c r="CP29" s="161"/>
      <c r="CQ29" s="161"/>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row>
    <row r="30" spans="1:139" ht="17.100000000000001" customHeight="1" x14ac:dyDescent="0.25">
      <c r="A30" s="166" t="s">
        <v>253</v>
      </c>
      <c r="B30" s="167">
        <v>16171.960026841443</v>
      </c>
      <c r="C30" s="167">
        <v>15979.918504390556</v>
      </c>
      <c r="D30" s="167">
        <v>15845.174678718537</v>
      </c>
      <c r="E30" s="167">
        <v>16036.327574022573</v>
      </c>
      <c r="F30" s="167">
        <v>16227.254416493004</v>
      </c>
      <c r="G30" s="167">
        <v>15904.557043885216</v>
      </c>
      <c r="H30" s="167">
        <v>16369.721227265134</v>
      </c>
      <c r="I30" s="167">
        <v>16281.24484228429</v>
      </c>
      <c r="J30" s="167">
        <v>16241.980758452173</v>
      </c>
      <c r="K30" s="167">
        <v>16473.996105313156</v>
      </c>
      <c r="L30" s="167">
        <v>16722.43897559122</v>
      </c>
      <c r="M30" s="167">
        <v>18975.006270668913</v>
      </c>
      <c r="N30" s="167">
        <v>18010.593082900665</v>
      </c>
      <c r="O30" s="167">
        <v>17749.329653375997</v>
      </c>
      <c r="P30" s="167">
        <v>17492.407133231845</v>
      </c>
      <c r="Q30" s="167">
        <v>17646.497592686108</v>
      </c>
      <c r="R30" s="167">
        <v>17594.772439179418</v>
      </c>
      <c r="S30" s="167">
        <v>17516.570954198032</v>
      </c>
      <c r="T30" s="167">
        <v>18045.280669068587</v>
      </c>
      <c r="U30" s="167">
        <v>18269.489570318754</v>
      </c>
      <c r="V30" s="167">
        <v>17957.873646394448</v>
      </c>
      <c r="W30" s="167">
        <v>18294.304306683174</v>
      </c>
      <c r="X30" s="167">
        <v>17891.407119467123</v>
      </c>
      <c r="Y30" s="167">
        <v>20307.786446312803</v>
      </c>
      <c r="Z30" s="167">
        <v>19209.573208944614</v>
      </c>
      <c r="AA30" s="167">
        <v>18923.022119759324</v>
      </c>
      <c r="AB30" s="167">
        <v>18978.695497382185</v>
      </c>
      <c r="AC30" s="167">
        <v>18961.549992068223</v>
      </c>
      <c r="AD30" s="167">
        <v>18678.032246711129</v>
      </c>
      <c r="AE30" s="167">
        <v>19013.633662171222</v>
      </c>
      <c r="AF30" s="167">
        <v>19228.031835841684</v>
      </c>
      <c r="AG30" s="167">
        <v>19287.1599017013</v>
      </c>
      <c r="AH30" s="167">
        <v>19233.798105900336</v>
      </c>
      <c r="AI30" s="167">
        <v>19257.554559318654</v>
      </c>
      <c r="AJ30" s="167">
        <v>19629.552590686864</v>
      </c>
      <c r="AK30" s="167">
        <v>22169.717386902448</v>
      </c>
      <c r="AL30" s="167">
        <v>20964.304899561892</v>
      </c>
      <c r="AM30" s="167">
        <v>20780.286985424955</v>
      </c>
      <c r="AN30" s="167">
        <v>20987.016268127656</v>
      </c>
      <c r="AO30" s="167">
        <v>20656.089712851328</v>
      </c>
      <c r="AP30" s="167">
        <v>20557.306859228109</v>
      </c>
      <c r="AQ30" s="167">
        <v>20523.48661882988</v>
      </c>
      <c r="AR30" s="167">
        <v>20820.159883091204</v>
      </c>
      <c r="AS30" s="167">
        <v>20987.512445111654</v>
      </c>
      <c r="AT30" s="167">
        <v>20664.185177378316</v>
      </c>
      <c r="AU30" s="167">
        <v>20702.891560809614</v>
      </c>
      <c r="AV30" s="167">
        <v>20888.105552438185</v>
      </c>
      <c r="AW30" s="167">
        <v>23316.684992015878</v>
      </c>
      <c r="AX30" s="167">
        <v>22265.883860057205</v>
      </c>
      <c r="AY30" s="167">
        <v>22077.566872167037</v>
      </c>
      <c r="AZ30" s="167">
        <v>22090.400144122301</v>
      </c>
      <c r="BA30" s="167">
        <v>21718.536421617555</v>
      </c>
      <c r="BB30" s="167">
        <v>21737.2264592838</v>
      </c>
      <c r="BC30" s="167">
        <v>21684.992832060678</v>
      </c>
      <c r="BD30" s="167">
        <v>22175.789473345048</v>
      </c>
      <c r="BE30" s="167">
        <v>22196.112731025903</v>
      </c>
      <c r="BF30" s="167">
        <v>21848.23998536943</v>
      </c>
      <c r="BG30" s="167">
        <v>22102.50724703589</v>
      </c>
      <c r="BH30" s="167">
        <v>22503.624769895934</v>
      </c>
      <c r="BI30" s="167">
        <v>25391.16857677501</v>
      </c>
      <c r="BJ30" s="167">
        <v>24029.803890028252</v>
      </c>
      <c r="BK30" s="167">
        <v>24013.562842210038</v>
      </c>
      <c r="BL30" s="167">
        <v>23784.870318967191</v>
      </c>
      <c r="BM30" s="167">
        <v>23912.218911613985</v>
      </c>
      <c r="BN30" s="167">
        <v>24220.596316528303</v>
      </c>
      <c r="BO30" s="167">
        <v>24017.50101763201</v>
      </c>
      <c r="BP30" s="167">
        <v>24588.241511306522</v>
      </c>
      <c r="BQ30" s="167">
        <v>24794.334919669374</v>
      </c>
      <c r="BR30" s="167">
        <v>24354.580198828076</v>
      </c>
      <c r="BS30" s="167">
        <v>24815.527936131883</v>
      </c>
      <c r="BT30" s="167">
        <v>25002.24008601328</v>
      </c>
      <c r="BU30" s="167">
        <v>27638</v>
      </c>
      <c r="BV30" s="167">
        <v>26531.097152112925</v>
      </c>
      <c r="BW30" s="167">
        <v>26526.899703812975</v>
      </c>
      <c r="BX30" s="167">
        <v>26183.738862633141</v>
      </c>
      <c r="BY30" s="167">
        <v>26254.514732054799</v>
      </c>
      <c r="BZ30" s="167">
        <v>26173.261525868962</v>
      </c>
      <c r="CA30" s="167">
        <v>26253.964140184591</v>
      </c>
      <c r="CB30" s="167">
        <v>26762.160082529066</v>
      </c>
      <c r="CC30" s="167">
        <v>26565.777695196768</v>
      </c>
      <c r="CD30" s="167">
        <v>26679.574401556256</v>
      </c>
      <c r="CE30" s="167">
        <v>27085.920970584004</v>
      </c>
      <c r="CF30" s="167">
        <v>26977.870846605641</v>
      </c>
      <c r="CG30" s="167">
        <v>29731.251114000625</v>
      </c>
      <c r="CH30" s="167">
        <v>28503.782930543362</v>
      </c>
      <c r="CI30" s="167">
        <v>28353.789284723396</v>
      </c>
      <c r="CJ30" s="167">
        <v>28226.794639748969</v>
      </c>
      <c r="CK30" s="167">
        <v>28264.118735730339</v>
      </c>
      <c r="CL30" s="167">
        <v>28038.109877324951</v>
      </c>
      <c r="CM30" s="167">
        <v>28460.470012456764</v>
      </c>
      <c r="CN30" s="167">
        <v>28732.075101738672</v>
      </c>
      <c r="CO30" s="167">
        <v>28547.538359344486</v>
      </c>
      <c r="CP30" s="167">
        <v>28558.473586083212</v>
      </c>
      <c r="CQ30" s="167">
        <v>28844.392046574456</v>
      </c>
      <c r="CR30" s="167">
        <v>29119.574478804388</v>
      </c>
      <c r="CS30" s="167">
        <v>32218.438809848714</v>
      </c>
      <c r="CT30" s="167">
        <v>30902.666062600962</v>
      </c>
      <c r="CU30" s="167">
        <v>30604.554093916278</v>
      </c>
      <c r="CV30" s="167">
        <v>29949.46705897844</v>
      </c>
      <c r="CW30" s="167">
        <v>29305.442108130697</v>
      </c>
      <c r="CX30" s="167">
        <v>28891.577411526578</v>
      </c>
      <c r="CY30" s="167">
        <v>29087.652257059555</v>
      </c>
      <c r="CZ30" s="167">
        <v>29217.356379832076</v>
      </c>
      <c r="DA30" s="167">
        <v>29104.323065575794</v>
      </c>
      <c r="DB30" s="167">
        <v>29000.117582687668</v>
      </c>
      <c r="DC30" s="167">
        <v>29071.941947559819</v>
      </c>
      <c r="DD30" s="167">
        <v>29111.019947766225</v>
      </c>
      <c r="DE30" s="167">
        <v>31636.023138115845</v>
      </c>
      <c r="DF30" s="167">
        <v>29893.550483353891</v>
      </c>
      <c r="DG30" s="167">
        <v>29612.111529268681</v>
      </c>
      <c r="DH30" s="167">
        <v>29987.258875632728</v>
      </c>
      <c r="DI30" s="167">
        <v>29808.532092407655</v>
      </c>
      <c r="DJ30" s="167">
        <v>29873.778942881614</v>
      </c>
      <c r="DK30" s="167">
        <v>30056.327956020566</v>
      </c>
      <c r="DL30" s="167">
        <v>30327.714046756177</v>
      </c>
      <c r="DM30" s="167">
        <v>30499.597336790979</v>
      </c>
      <c r="DN30" s="167">
        <v>30620.709542476052</v>
      </c>
      <c r="DO30" s="167">
        <v>31634.880380811912</v>
      </c>
      <c r="DP30" s="167">
        <v>31672.719324559101</v>
      </c>
      <c r="DQ30" s="167">
        <v>35365.44116659162</v>
      </c>
      <c r="DR30" s="167">
        <v>33646.968742174089</v>
      </c>
      <c r="DS30" s="167">
        <v>33729.331543131731</v>
      </c>
      <c r="DT30" s="167">
        <v>34041.210177219153</v>
      </c>
      <c r="DU30" s="167">
        <v>35441.178040064326</v>
      </c>
      <c r="DV30" s="167">
        <v>36965.41341447919</v>
      </c>
      <c r="DW30" s="167">
        <v>36133.21804392316</v>
      </c>
      <c r="DX30" s="167">
        <v>36349.4683146877</v>
      </c>
      <c r="DY30" s="167">
        <v>36481.794617266271</v>
      </c>
      <c r="DZ30" s="167">
        <v>36167.186899197026</v>
      </c>
      <c r="EA30" s="167">
        <v>36623.820447114776</v>
      </c>
      <c r="EB30" s="167">
        <v>36907.671134592551</v>
      </c>
      <c r="EC30" s="167">
        <v>39610.504011841193</v>
      </c>
      <c r="ED30" s="167">
        <v>38497.754583117094</v>
      </c>
      <c r="EE30" s="167">
        <v>38230.063502696634</v>
      </c>
      <c r="EF30" s="167">
        <v>38930.812688919905</v>
      </c>
      <c r="EG30" s="167">
        <v>39704.961290793319</v>
      </c>
      <c r="EH30" s="167">
        <v>39960.940228936379</v>
      </c>
      <c r="EI30" s="167">
        <v>39426.331250734554</v>
      </c>
    </row>
    <row r="31" spans="1:139" ht="17.100000000000001" customHeight="1" x14ac:dyDescent="0.25">
      <c r="A31" s="160"/>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c r="BV31" s="162"/>
      <c r="BW31" s="162"/>
      <c r="BX31" s="162"/>
      <c r="BY31" s="162"/>
      <c r="BZ31" s="162"/>
      <c r="CA31" s="162"/>
      <c r="CB31" s="162"/>
      <c r="CC31" s="162"/>
      <c r="CD31" s="162"/>
      <c r="CE31" s="162"/>
      <c r="CF31" s="162"/>
      <c r="CG31" s="162"/>
      <c r="CH31" s="162"/>
      <c r="CI31" s="162"/>
      <c r="CJ31" s="162"/>
      <c r="CK31" s="162"/>
      <c r="CL31" s="162"/>
      <c r="CM31" s="162"/>
      <c r="CN31" s="162"/>
      <c r="CO31" s="162"/>
      <c r="CP31" s="162"/>
      <c r="CQ31" s="162"/>
      <c r="CR31" s="162"/>
      <c r="CS31" s="162"/>
      <c r="CT31" s="162"/>
      <c r="CU31" s="162"/>
      <c r="CV31" s="162"/>
      <c r="CW31" s="162"/>
      <c r="CX31" s="162"/>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row>
    <row r="32" spans="1:139" s="175" customFormat="1" ht="17.100000000000001" customHeight="1" x14ac:dyDescent="0.25">
      <c r="A32" s="166" t="s">
        <v>254</v>
      </c>
      <c r="B32" s="174">
        <v>262779.5015632147</v>
      </c>
      <c r="C32" s="174">
        <v>264057.76339828677</v>
      </c>
      <c r="D32" s="174">
        <v>264776.04770116782</v>
      </c>
      <c r="E32" s="174">
        <v>265200.44039999519</v>
      </c>
      <c r="F32" s="174">
        <v>269104.80540743779</v>
      </c>
      <c r="G32" s="174">
        <v>270106.42494520359</v>
      </c>
      <c r="H32" s="174">
        <v>264769.68598999013</v>
      </c>
      <c r="I32" s="174">
        <v>264669.62046290125</v>
      </c>
      <c r="J32" s="174">
        <v>265976.39699568599</v>
      </c>
      <c r="K32" s="174">
        <v>269571.33023849851</v>
      </c>
      <c r="L32" s="174">
        <v>270029.13039542979</v>
      </c>
      <c r="M32" s="174">
        <v>279886.99483961938</v>
      </c>
      <c r="N32" s="174">
        <v>279119.75838825299</v>
      </c>
      <c r="O32" s="174">
        <v>279143.96090258844</v>
      </c>
      <c r="P32" s="174">
        <v>279033.05188559968</v>
      </c>
      <c r="Q32" s="174">
        <v>279723.28703053849</v>
      </c>
      <c r="R32" s="174">
        <v>280000.01104516501</v>
      </c>
      <c r="S32" s="174">
        <v>286647.83603887563</v>
      </c>
      <c r="T32" s="174">
        <v>284975.68760065449</v>
      </c>
      <c r="U32" s="174">
        <v>288194.10910637275</v>
      </c>
      <c r="V32" s="174">
        <v>289106.27921217348</v>
      </c>
      <c r="W32" s="174">
        <v>289175.53447019449</v>
      </c>
      <c r="X32" s="174">
        <v>292816.04205141065</v>
      </c>
      <c r="Y32" s="174">
        <v>297267.0356254995</v>
      </c>
      <c r="Z32" s="174">
        <v>296980.53648144862</v>
      </c>
      <c r="AA32" s="174">
        <v>297392.54275508103</v>
      </c>
      <c r="AB32" s="174">
        <v>300043.49338473415</v>
      </c>
      <c r="AC32" s="174">
        <v>300289.76140986924</v>
      </c>
      <c r="AD32" s="174">
        <v>303466.85046386882</v>
      </c>
      <c r="AE32" s="174">
        <v>306962.05544932105</v>
      </c>
      <c r="AF32" s="174">
        <v>307708.81543507014</v>
      </c>
      <c r="AG32" s="174">
        <v>308071.75529019051</v>
      </c>
      <c r="AH32" s="174">
        <v>310215.23095012933</v>
      </c>
      <c r="AI32" s="174">
        <v>313379.31191915669</v>
      </c>
      <c r="AJ32" s="174">
        <v>315137.22430656629</v>
      </c>
      <c r="AK32" s="174">
        <v>321473.1614820658</v>
      </c>
      <c r="AL32" s="174">
        <v>317682.17211174121</v>
      </c>
      <c r="AM32" s="174">
        <v>321694.93921399117</v>
      </c>
      <c r="AN32" s="174">
        <v>323809.9441676701</v>
      </c>
      <c r="AO32" s="174">
        <v>322165.43226985569</v>
      </c>
      <c r="AP32" s="174">
        <v>322155.49817562092</v>
      </c>
      <c r="AQ32" s="174">
        <v>326886.59317617537</v>
      </c>
      <c r="AR32" s="174">
        <v>328319.31068521115</v>
      </c>
      <c r="AS32" s="174">
        <v>326233.81419469474</v>
      </c>
      <c r="AT32" s="174">
        <v>325961.08539955295</v>
      </c>
      <c r="AU32" s="174">
        <v>325273.5265156586</v>
      </c>
      <c r="AV32" s="174">
        <v>329997.05301319313</v>
      </c>
      <c r="AW32" s="174">
        <v>339223.05653291399</v>
      </c>
      <c r="AX32" s="174">
        <v>339885.00907691423</v>
      </c>
      <c r="AY32" s="174">
        <v>344194.73731778259</v>
      </c>
      <c r="AZ32" s="174">
        <v>346774.53440549463</v>
      </c>
      <c r="BA32" s="174">
        <v>348117.7985624203</v>
      </c>
      <c r="BB32" s="174">
        <v>349455.69587364286</v>
      </c>
      <c r="BC32" s="174">
        <v>353543.85195621575</v>
      </c>
      <c r="BD32" s="174">
        <v>352288.15233182034</v>
      </c>
      <c r="BE32" s="174">
        <v>353822.35197988013</v>
      </c>
      <c r="BF32" s="174"/>
      <c r="BG32" s="174">
        <v>360738.60955280316</v>
      </c>
      <c r="BH32" s="174">
        <v>363488.5939377285</v>
      </c>
      <c r="BI32" s="174">
        <v>368807.39966870245</v>
      </c>
      <c r="BJ32" s="174">
        <v>371339.34610959678</v>
      </c>
      <c r="BK32" s="174">
        <v>375903.78862909717</v>
      </c>
      <c r="BL32" s="174">
        <v>382688.10021914449</v>
      </c>
      <c r="BM32" s="174">
        <v>382541.94092201203</v>
      </c>
      <c r="BN32" s="174">
        <v>384214.44659292855</v>
      </c>
      <c r="BO32" s="174">
        <v>390950.69252831343</v>
      </c>
      <c r="BP32" s="174">
        <v>391937.41968210641</v>
      </c>
      <c r="BQ32" s="174">
        <v>396664.11114246375</v>
      </c>
      <c r="BR32" s="174">
        <v>395207.15163287392</v>
      </c>
      <c r="BS32" s="174">
        <v>399456.09791243402</v>
      </c>
      <c r="BT32" s="174">
        <v>402314.58556001104</v>
      </c>
      <c r="BU32" s="174">
        <v>405833.20807412814</v>
      </c>
      <c r="BV32" s="174">
        <v>410894.74005079851</v>
      </c>
      <c r="BW32" s="174">
        <v>411062.4337523788</v>
      </c>
      <c r="BX32" s="174">
        <v>411003.53531777876</v>
      </c>
      <c r="BY32" s="174">
        <v>415303.89044441318</v>
      </c>
      <c r="BZ32" s="174">
        <v>418219.55332661653</v>
      </c>
      <c r="CA32" s="174">
        <v>423303.51975117775</v>
      </c>
      <c r="CB32" s="174">
        <v>428864.33145541447</v>
      </c>
      <c r="CC32" s="174">
        <v>429428.36075120146</v>
      </c>
      <c r="CD32" s="174">
        <v>429496.01749830076</v>
      </c>
      <c r="CE32" s="174">
        <v>434988.71208623721</v>
      </c>
      <c r="CF32" s="174">
        <v>433639.22775976022</v>
      </c>
      <c r="CG32" s="174">
        <v>442364.44616217952</v>
      </c>
      <c r="CH32" s="174">
        <v>448499.33825286059</v>
      </c>
      <c r="CI32" s="174">
        <v>450716.43873719231</v>
      </c>
      <c r="CJ32" s="174">
        <v>450990.02541797649</v>
      </c>
      <c r="CK32" s="174">
        <v>452343.40161049931</v>
      </c>
      <c r="CL32" s="174">
        <v>459250.08892718429</v>
      </c>
      <c r="CM32" s="174">
        <v>456427.19202104118</v>
      </c>
      <c r="CN32" s="174">
        <v>459067.44018989836</v>
      </c>
      <c r="CO32" s="174">
        <v>461030.86411248631</v>
      </c>
      <c r="CP32" s="174">
        <v>479119.89097030851</v>
      </c>
      <c r="CQ32" s="174">
        <v>472736.14482511242</v>
      </c>
      <c r="CR32" s="174">
        <v>472409.0927920519</v>
      </c>
      <c r="CS32" s="174">
        <v>482667.74237499374</v>
      </c>
      <c r="CT32" s="174">
        <v>479564.60623322381</v>
      </c>
      <c r="CU32" s="174">
        <v>485263.4403891979</v>
      </c>
      <c r="CV32" s="174">
        <v>484935.02354812616</v>
      </c>
      <c r="CW32" s="174">
        <v>486766.53321843152</v>
      </c>
      <c r="CX32" s="174">
        <v>484396.28383912839</v>
      </c>
      <c r="CY32" s="174">
        <v>488646.41254468495</v>
      </c>
      <c r="CZ32" s="174">
        <v>482974.75570640434</v>
      </c>
      <c r="DA32" s="174">
        <v>486271.87387543957</v>
      </c>
      <c r="DB32" s="174">
        <v>486063.92147704825</v>
      </c>
      <c r="DC32" s="174">
        <v>494765.46130546415</v>
      </c>
      <c r="DD32" s="174">
        <v>497703.84770927817</v>
      </c>
      <c r="DE32" s="174">
        <v>501356.83092613786</v>
      </c>
      <c r="DF32" s="174">
        <v>503164.31527970801</v>
      </c>
      <c r="DG32" s="174">
        <v>506776.58363121439</v>
      </c>
      <c r="DH32" s="174">
        <v>508162.89604003355</v>
      </c>
      <c r="DI32" s="174">
        <v>510382.89411045646</v>
      </c>
      <c r="DJ32" s="174">
        <v>509551.59475729236</v>
      </c>
      <c r="DK32" s="174">
        <v>514782.14480378397</v>
      </c>
      <c r="DL32" s="174">
        <v>517233.04544242506</v>
      </c>
      <c r="DM32" s="174">
        <v>516050.38398146792</v>
      </c>
      <c r="DN32" s="174">
        <v>519613.31267943967</v>
      </c>
      <c r="DO32" s="174">
        <v>527790.76926851191</v>
      </c>
      <c r="DP32" s="174">
        <v>534455.57194466633</v>
      </c>
      <c r="DQ32" s="174">
        <v>539784.93945505237</v>
      </c>
      <c r="DR32" s="174">
        <v>543758.1933223611</v>
      </c>
      <c r="DS32" s="174">
        <v>554601.23593174061</v>
      </c>
      <c r="DT32" s="174">
        <v>566021.82291081338</v>
      </c>
      <c r="DU32" s="174">
        <v>577255.80593680614</v>
      </c>
      <c r="DV32" s="174">
        <v>584445.51535116357</v>
      </c>
      <c r="DW32" s="174">
        <v>589353.00677252514</v>
      </c>
      <c r="DX32" s="174">
        <v>589622.86503080209</v>
      </c>
      <c r="DY32" s="174">
        <v>590930.57479682565</v>
      </c>
      <c r="DZ32" s="174">
        <v>600715.29518075648</v>
      </c>
      <c r="EA32" s="174">
        <v>635490.68111424567</v>
      </c>
      <c r="EB32" s="174">
        <v>636114.01375941525</v>
      </c>
      <c r="EC32" s="174">
        <v>643950.65985319833</v>
      </c>
      <c r="ED32" s="174">
        <v>649072.31192211073</v>
      </c>
      <c r="EE32" s="174">
        <v>652503.32544161461</v>
      </c>
      <c r="EF32" s="174">
        <v>655895.039471681</v>
      </c>
      <c r="EG32" s="174">
        <v>710021.52493771736</v>
      </c>
      <c r="EH32" s="174">
        <v>713129.16267262667</v>
      </c>
      <c r="EI32" s="174">
        <v>713285.31801388564</v>
      </c>
    </row>
    <row r="33" spans="1:139" ht="17.100000000000001" customHeight="1" x14ac:dyDescent="0.25">
      <c r="A33" s="160" t="s">
        <v>255</v>
      </c>
      <c r="B33" s="162">
        <v>213521.08369421167</v>
      </c>
      <c r="C33" s="162">
        <v>214152.52219590041</v>
      </c>
      <c r="D33" s="162">
        <v>214996.89740597483</v>
      </c>
      <c r="E33" s="162">
        <v>216068.66031839768</v>
      </c>
      <c r="F33" s="162">
        <v>218565.43243162055</v>
      </c>
      <c r="G33" s="162">
        <v>219744.42829505008</v>
      </c>
      <c r="H33" s="162">
        <v>220026.54403680007</v>
      </c>
      <c r="I33" s="162">
        <v>219522.36123575034</v>
      </c>
      <c r="J33" s="162">
        <v>223006.83569222022</v>
      </c>
      <c r="K33" s="162">
        <v>224565.69035535166</v>
      </c>
      <c r="L33" s="162">
        <v>227322.56248384828</v>
      </c>
      <c r="M33" s="162">
        <v>233793.48419983912</v>
      </c>
      <c r="N33" s="162">
        <v>232896.93570251323</v>
      </c>
      <c r="O33" s="162">
        <v>233587.29308369145</v>
      </c>
      <c r="P33" s="162">
        <v>233430.08036890274</v>
      </c>
      <c r="Q33" s="162">
        <v>235733.74221987731</v>
      </c>
      <c r="R33" s="162">
        <v>235292.93225596426</v>
      </c>
      <c r="S33" s="162">
        <v>239285.97167290945</v>
      </c>
      <c r="T33" s="162">
        <v>239686.7516539924</v>
      </c>
      <c r="U33" s="162">
        <v>241762.08585902042</v>
      </c>
      <c r="V33" s="162">
        <v>243785.04594335333</v>
      </c>
      <c r="W33" s="162">
        <v>244785.86623858049</v>
      </c>
      <c r="X33" s="162">
        <v>246774.50444475445</v>
      </c>
      <c r="Y33" s="162">
        <v>252351.37967126927</v>
      </c>
      <c r="Z33" s="162">
        <v>251074.05522328083</v>
      </c>
      <c r="AA33" s="162">
        <v>251274.87608042461</v>
      </c>
      <c r="AB33" s="162">
        <v>254185.33444486526</v>
      </c>
      <c r="AC33" s="162">
        <v>253833.36365588987</v>
      </c>
      <c r="AD33" s="162">
        <v>255425.76570462392</v>
      </c>
      <c r="AE33" s="162">
        <v>257808.53456294621</v>
      </c>
      <c r="AF33" s="162">
        <v>259251.55818388495</v>
      </c>
      <c r="AG33" s="162">
        <v>260172.38056515891</v>
      </c>
      <c r="AH33" s="162">
        <v>262817.61866149365</v>
      </c>
      <c r="AI33" s="162">
        <v>265685.06515032356</v>
      </c>
      <c r="AJ33" s="162">
        <v>266845.83043018705</v>
      </c>
      <c r="AK33" s="162">
        <v>273700.65408594679</v>
      </c>
      <c r="AL33" s="162">
        <v>272175.75214871624</v>
      </c>
      <c r="AM33" s="162">
        <v>275407.04238395503</v>
      </c>
      <c r="AN33" s="162">
        <v>277346.35851650289</v>
      </c>
      <c r="AO33" s="162">
        <v>275625.55968584697</v>
      </c>
      <c r="AP33" s="162">
        <v>275817.62297859474</v>
      </c>
      <c r="AQ33" s="162">
        <v>279725.38262216351</v>
      </c>
      <c r="AR33" s="162">
        <v>281168.70816883206</v>
      </c>
      <c r="AS33" s="162">
        <v>279220.67769182712</v>
      </c>
      <c r="AT33" s="162">
        <v>278938.85514650441</v>
      </c>
      <c r="AU33" s="162">
        <v>281126.22713029268</v>
      </c>
      <c r="AV33" s="162">
        <v>284577.17221535498</v>
      </c>
      <c r="AW33" s="162">
        <v>292239.93514942372</v>
      </c>
      <c r="AX33" s="162">
        <v>293301.91346407199</v>
      </c>
      <c r="AY33" s="162">
        <v>296922.706717967</v>
      </c>
      <c r="AZ33" s="162">
        <v>297774.71599538618</v>
      </c>
      <c r="BA33" s="162">
        <v>299610.84284902748</v>
      </c>
      <c r="BB33" s="162">
        <v>300842.119230679</v>
      </c>
      <c r="BC33" s="162">
        <v>304026.26109071745</v>
      </c>
      <c r="BD33" s="162">
        <v>303694.53967249679</v>
      </c>
      <c r="BE33" s="162">
        <v>304959.77667235408</v>
      </c>
      <c r="BF33" s="162">
        <v>304788.46004529129</v>
      </c>
      <c r="BG33" s="162">
        <v>309195.26034288359</v>
      </c>
      <c r="BH33" s="162">
        <v>312595.0378667335</v>
      </c>
      <c r="BI33" s="162">
        <v>315928.37547089229</v>
      </c>
      <c r="BJ33" s="162">
        <v>317313.51560598653</v>
      </c>
      <c r="BK33" s="162">
        <v>319149.10425981949</v>
      </c>
      <c r="BL33" s="162">
        <v>321415.93491189805</v>
      </c>
      <c r="BM33" s="162">
        <v>323925.42465895909</v>
      </c>
      <c r="BN33" s="162">
        <v>327291.49538695271</v>
      </c>
      <c r="BO33" s="162">
        <v>331546.6572541935</v>
      </c>
      <c r="BP33" s="162">
        <v>331888.50616126024</v>
      </c>
      <c r="BQ33" s="162">
        <v>333104.72531767166</v>
      </c>
      <c r="BR33" s="162">
        <v>333950.8097552968</v>
      </c>
      <c r="BS33" s="162">
        <v>336355.88035406766</v>
      </c>
      <c r="BT33" s="162">
        <v>334947.85481433308</v>
      </c>
      <c r="BU33" s="162">
        <v>340382.34104877291</v>
      </c>
      <c r="BV33" s="162">
        <v>344561.44557284965</v>
      </c>
      <c r="BW33" s="162">
        <v>344333.73861898226</v>
      </c>
      <c r="BX33" s="162">
        <v>345155.05724248721</v>
      </c>
      <c r="BY33" s="162">
        <v>348137.16686652356</v>
      </c>
      <c r="BZ33" s="162">
        <v>349003.384800356</v>
      </c>
      <c r="CA33" s="162">
        <v>354277.1888720229</v>
      </c>
      <c r="CB33" s="162">
        <v>359250.40112428821</v>
      </c>
      <c r="CC33" s="162">
        <v>358254.62756738212</v>
      </c>
      <c r="CD33" s="162">
        <v>360409.1292259834</v>
      </c>
      <c r="CE33" s="162">
        <v>362058.77726732404</v>
      </c>
      <c r="CF33" s="162">
        <v>363418.64994330367</v>
      </c>
      <c r="CG33" s="162">
        <v>370421.8685497737</v>
      </c>
      <c r="CH33" s="162">
        <v>371795.26211189845</v>
      </c>
      <c r="CI33" s="162">
        <v>375430.56392913277</v>
      </c>
      <c r="CJ33" s="162">
        <v>374828.36321020662</v>
      </c>
      <c r="CK33" s="162">
        <v>374963.7468177625</v>
      </c>
      <c r="CL33" s="162">
        <v>376820.62604355684</v>
      </c>
      <c r="CM33" s="162">
        <v>378235.04925993888</v>
      </c>
      <c r="CN33" s="162">
        <v>381727.34615589271</v>
      </c>
      <c r="CO33" s="162">
        <v>383297.05028324784</v>
      </c>
      <c r="CP33" s="162">
        <v>393274.2198047163</v>
      </c>
      <c r="CQ33" s="162">
        <v>392801.23869676382</v>
      </c>
      <c r="CR33" s="162">
        <v>392498.83864456031</v>
      </c>
      <c r="CS33" s="162">
        <v>402595.47519923234</v>
      </c>
      <c r="CT33" s="162">
        <v>402068.72158102668</v>
      </c>
      <c r="CU33" s="162">
        <v>404902.86070235434</v>
      </c>
      <c r="CV33" s="162">
        <v>403892.89173214865</v>
      </c>
      <c r="CW33" s="162">
        <v>403198.88798027206</v>
      </c>
      <c r="CX33" s="162">
        <v>400170.78264582035</v>
      </c>
      <c r="CY33" s="162">
        <v>402559.80232859822</v>
      </c>
      <c r="CZ33" s="162">
        <v>398545.98182793421</v>
      </c>
      <c r="DA33" s="162">
        <v>399885.37566679617</v>
      </c>
      <c r="DB33" s="162">
        <v>401129.99403478671</v>
      </c>
      <c r="DC33" s="162">
        <v>405909.8991193031</v>
      </c>
      <c r="DD33" s="162">
        <v>409157.41910667333</v>
      </c>
      <c r="DE33" s="162">
        <v>412277.16296210728</v>
      </c>
      <c r="DF33" s="162">
        <v>413954.62327104452</v>
      </c>
      <c r="DG33" s="162">
        <v>415347.72805608716</v>
      </c>
      <c r="DH33" s="162">
        <v>416746.47042478342</v>
      </c>
      <c r="DI33" s="162">
        <v>416905.59199882706</v>
      </c>
      <c r="DJ33" s="162">
        <v>417016.23017847474</v>
      </c>
      <c r="DK33" s="162">
        <v>421675.57124950312</v>
      </c>
      <c r="DL33" s="162">
        <v>421609.68825040915</v>
      </c>
      <c r="DM33" s="162">
        <v>420306.24850470253</v>
      </c>
      <c r="DN33" s="162">
        <v>419950.11007934174</v>
      </c>
      <c r="DO33" s="162">
        <v>424667.4332815705</v>
      </c>
      <c r="DP33" s="162">
        <v>430092.00263252715</v>
      </c>
      <c r="DQ33" s="162">
        <v>436287.2349872021</v>
      </c>
      <c r="DR33" s="162">
        <v>439939.0333575845</v>
      </c>
      <c r="DS33" s="162">
        <v>449251.6302752241</v>
      </c>
      <c r="DT33" s="162">
        <v>452251.28667232883</v>
      </c>
      <c r="DU33" s="162">
        <v>457571.28964476561</v>
      </c>
      <c r="DV33" s="162">
        <v>464536.40528024867</v>
      </c>
      <c r="DW33" s="162">
        <v>467655.95106603578</v>
      </c>
      <c r="DX33" s="162">
        <v>471762.73893901333</v>
      </c>
      <c r="DY33" s="162">
        <v>468424.93314883218</v>
      </c>
      <c r="DZ33" s="162">
        <v>475307.92274957534</v>
      </c>
      <c r="EA33" s="162">
        <v>508217.56825418083</v>
      </c>
      <c r="EB33" s="162">
        <v>507835.76845324051</v>
      </c>
      <c r="EC33" s="162">
        <v>515340.35422207887</v>
      </c>
      <c r="ED33" s="162">
        <v>517343.49007352057</v>
      </c>
      <c r="EE33" s="162">
        <v>519011.55036969681</v>
      </c>
      <c r="EF33" s="162">
        <v>521879.12150753057</v>
      </c>
      <c r="EG33" s="162">
        <v>563766.10044026328</v>
      </c>
      <c r="EH33" s="162">
        <v>565151.15645439585</v>
      </c>
      <c r="EI33" s="162">
        <v>572271.5668224328</v>
      </c>
    </row>
    <row r="34" spans="1:139" ht="17.100000000000001" customHeight="1" x14ac:dyDescent="0.25">
      <c r="A34" s="160" t="s">
        <v>256</v>
      </c>
      <c r="B34" s="162">
        <v>49258.417869002995</v>
      </c>
      <c r="C34" s="162">
        <v>49905.241202386365</v>
      </c>
      <c r="D34" s="162">
        <v>49779.150295192965</v>
      </c>
      <c r="E34" s="162">
        <v>49131.780081597477</v>
      </c>
      <c r="F34" s="162">
        <v>50539.372975817263</v>
      </c>
      <c r="G34" s="162">
        <v>50361.996650153487</v>
      </c>
      <c r="H34" s="162">
        <v>44743.141953190068</v>
      </c>
      <c r="I34" s="162">
        <v>45147.25922715092</v>
      </c>
      <c r="J34" s="162">
        <v>42969.561303465794</v>
      </c>
      <c r="K34" s="162">
        <v>45005.639883146825</v>
      </c>
      <c r="L34" s="162">
        <v>42706.567911581544</v>
      </c>
      <c r="M34" s="162">
        <v>46093.510639780267</v>
      </c>
      <c r="N34" s="162">
        <v>46222.822685739731</v>
      </c>
      <c r="O34" s="162">
        <v>45556.667818897025</v>
      </c>
      <c r="P34" s="162">
        <v>45602.971516696918</v>
      </c>
      <c r="Q34" s="162">
        <v>43989.544810661188</v>
      </c>
      <c r="R34" s="162">
        <v>44707.07878920075</v>
      </c>
      <c r="S34" s="162">
        <v>47361.864365966161</v>
      </c>
      <c r="T34" s="162">
        <v>45288.935946662117</v>
      </c>
      <c r="U34" s="162">
        <v>46432.023247352321</v>
      </c>
      <c r="V34" s="162">
        <v>45321.233268820164</v>
      </c>
      <c r="W34" s="162">
        <v>44389.668231614007</v>
      </c>
      <c r="X34" s="162">
        <v>46041.537606656202</v>
      </c>
      <c r="Y34" s="162">
        <v>44915.655954230228</v>
      </c>
      <c r="Z34" s="162">
        <v>45906.481258167805</v>
      </c>
      <c r="AA34" s="162">
        <v>46117.66667465643</v>
      </c>
      <c r="AB34" s="162">
        <v>45858.158939868867</v>
      </c>
      <c r="AC34" s="162">
        <v>46456.39775397937</v>
      </c>
      <c r="AD34" s="162">
        <v>48041.084759244921</v>
      </c>
      <c r="AE34" s="162">
        <v>49153.52088637487</v>
      </c>
      <c r="AF34" s="162">
        <v>48457.25725118519</v>
      </c>
      <c r="AG34" s="162">
        <v>47899.374725031601</v>
      </c>
      <c r="AH34" s="162">
        <v>47397.612288635704</v>
      </c>
      <c r="AI34" s="162">
        <v>47694.246768833138</v>
      </c>
      <c r="AJ34" s="162">
        <v>48291.393876379254</v>
      </c>
      <c r="AK34" s="162">
        <v>47772.507396118992</v>
      </c>
      <c r="AL34" s="162">
        <v>45506.419963024957</v>
      </c>
      <c r="AM34" s="162">
        <v>46287.896830036152</v>
      </c>
      <c r="AN34" s="162">
        <v>46463.585651167188</v>
      </c>
      <c r="AO34" s="162">
        <v>46539.872584008735</v>
      </c>
      <c r="AP34" s="162">
        <v>46337.875197026187</v>
      </c>
      <c r="AQ34" s="162">
        <v>47161.210554011886</v>
      </c>
      <c r="AR34" s="162">
        <v>47150.602516379113</v>
      </c>
      <c r="AS34" s="162">
        <v>47013.13650286763</v>
      </c>
      <c r="AT34" s="162">
        <v>47022.230253048561</v>
      </c>
      <c r="AU34" s="162">
        <v>44147.299385365928</v>
      </c>
      <c r="AV34" s="162">
        <v>45419.880797838174</v>
      </c>
      <c r="AW34" s="162">
        <v>46983.121383490296</v>
      </c>
      <c r="AX34" s="162">
        <v>46583.095612842248</v>
      </c>
      <c r="AY34" s="162">
        <v>47272.030599815611</v>
      </c>
      <c r="AZ34" s="162">
        <v>48999.81841010847</v>
      </c>
      <c r="BA34" s="162">
        <v>48506.955713392825</v>
      </c>
      <c r="BB34" s="162">
        <v>48613.576642963882</v>
      </c>
      <c r="BC34" s="162">
        <v>49517.590865498278</v>
      </c>
      <c r="BD34" s="162">
        <v>48593.612659323546</v>
      </c>
      <c r="BE34" s="162">
        <v>48862.575307526073</v>
      </c>
      <c r="BF34" s="162">
        <v>49737.102566827001</v>
      </c>
      <c r="BG34" s="162">
        <v>51543.349209919579</v>
      </c>
      <c r="BH34" s="162">
        <v>50893.556070995015</v>
      </c>
      <c r="BI34" s="162">
        <v>52879.024197810155</v>
      </c>
      <c r="BJ34" s="162">
        <v>54025.830503610283</v>
      </c>
      <c r="BK34" s="162">
        <v>56754.684369277653</v>
      </c>
      <c r="BL34" s="162">
        <v>61272.165307246447</v>
      </c>
      <c r="BM34" s="162">
        <v>58616.516263052945</v>
      </c>
      <c r="BN34" s="162">
        <v>56922.951205975849</v>
      </c>
      <c r="BO34" s="162">
        <v>59404.035274119953</v>
      </c>
      <c r="BP34" s="162">
        <v>60048.913520846174</v>
      </c>
      <c r="BQ34" s="162">
        <v>63559.385824792058</v>
      </c>
      <c r="BR34" s="162">
        <v>61256.341877577128</v>
      </c>
      <c r="BS34" s="162">
        <v>63100.217558366363</v>
      </c>
      <c r="BT34" s="162">
        <v>67366.730745677953</v>
      </c>
      <c r="BU34" s="162">
        <v>65450.867025355248</v>
      </c>
      <c r="BV34" s="162">
        <v>66333.29447794889</v>
      </c>
      <c r="BW34" s="162">
        <v>66728.695133396541</v>
      </c>
      <c r="BX34" s="162">
        <v>65848.478075291554</v>
      </c>
      <c r="BY34" s="162">
        <v>67166.723577889585</v>
      </c>
      <c r="BZ34" s="162">
        <v>69216.168526260561</v>
      </c>
      <c r="CA34" s="162">
        <v>69026.330879154833</v>
      </c>
      <c r="CB34" s="162">
        <v>69613.930331126248</v>
      </c>
      <c r="CC34" s="162">
        <v>71173.73318381935</v>
      </c>
      <c r="CD34" s="162">
        <v>69086.888272317388</v>
      </c>
      <c r="CE34" s="162">
        <v>72929.934818913185</v>
      </c>
      <c r="CF34" s="162">
        <v>70220.577816456527</v>
      </c>
      <c r="CG34" s="162">
        <v>71942.577612405832</v>
      </c>
      <c r="CH34" s="162">
        <v>76704.076140962148</v>
      </c>
      <c r="CI34" s="162">
        <v>75285.874808059525</v>
      </c>
      <c r="CJ34" s="162">
        <v>76161.66220776987</v>
      </c>
      <c r="CK34" s="162">
        <v>77379.654792736823</v>
      </c>
      <c r="CL34" s="162">
        <v>82429.462883627435</v>
      </c>
      <c r="CM34" s="162">
        <v>78192.142761102295</v>
      </c>
      <c r="CN34" s="162">
        <v>77340.09403400564</v>
      </c>
      <c r="CO34" s="162">
        <v>77733.813829238454</v>
      </c>
      <c r="CP34" s="162">
        <v>85845.671165592197</v>
      </c>
      <c r="CQ34" s="162">
        <v>79934.906128348637</v>
      </c>
      <c r="CR34" s="162">
        <v>79910.254147491592</v>
      </c>
      <c r="CS34" s="162">
        <v>80072.267175761386</v>
      </c>
      <c r="CT34" s="162">
        <v>77495.884652197128</v>
      </c>
      <c r="CU34" s="162">
        <v>80360.579686843557</v>
      </c>
      <c r="CV34" s="162">
        <v>81042.131815977496</v>
      </c>
      <c r="CW34" s="162">
        <v>83567.645238159472</v>
      </c>
      <c r="CX34" s="162">
        <v>84225.501193308024</v>
      </c>
      <c r="CY34" s="162">
        <v>86086.610216086716</v>
      </c>
      <c r="CZ34" s="162">
        <v>84428.773878470151</v>
      </c>
      <c r="DA34" s="162">
        <v>86386.498208643417</v>
      </c>
      <c r="DB34" s="162">
        <v>84933.927442261527</v>
      </c>
      <c r="DC34" s="162">
        <v>88855.562186161042</v>
      </c>
      <c r="DD34" s="162">
        <v>88546.428602604836</v>
      </c>
      <c r="DE34" s="162">
        <v>89079.667964030567</v>
      </c>
      <c r="DF34" s="162">
        <v>89209.692008663493</v>
      </c>
      <c r="DG34" s="162">
        <v>91428.855575127222</v>
      </c>
      <c r="DH34" s="162">
        <v>91416.425615250162</v>
      </c>
      <c r="DI34" s="162">
        <v>93477.302111629368</v>
      </c>
      <c r="DJ34" s="162">
        <v>92535.364578817622</v>
      </c>
      <c r="DK34" s="162">
        <v>93106.573554280825</v>
      </c>
      <c r="DL34" s="162">
        <v>95623.357192015887</v>
      </c>
      <c r="DM34" s="162">
        <v>95744.135476765383</v>
      </c>
      <c r="DN34" s="162">
        <v>99663.202600097924</v>
      </c>
      <c r="DO34" s="162">
        <v>103123.3359869414</v>
      </c>
      <c r="DP34" s="162">
        <v>104363.56931213924</v>
      </c>
      <c r="DQ34" s="162">
        <v>103497.70446785023</v>
      </c>
      <c r="DR34" s="162">
        <v>103819.15996477655</v>
      </c>
      <c r="DS34" s="162">
        <v>105349.60565651649</v>
      </c>
      <c r="DT34" s="162">
        <v>113770.53623848449</v>
      </c>
      <c r="DU34" s="162">
        <v>119684.51629204056</v>
      </c>
      <c r="DV34" s="162">
        <v>119909.11007091495</v>
      </c>
      <c r="DW34" s="162">
        <v>121697.05570648938</v>
      </c>
      <c r="DX34" s="162">
        <v>117860.12609178873</v>
      </c>
      <c r="DY34" s="162">
        <v>122505.64164799343</v>
      </c>
      <c r="DZ34" s="162">
        <v>125407.37243118114</v>
      </c>
      <c r="EA34" s="162">
        <v>127273.11286006481</v>
      </c>
      <c r="EB34" s="162">
        <v>128278.24530617477</v>
      </c>
      <c r="EC34" s="162">
        <v>128610.30563111944</v>
      </c>
      <c r="ED34" s="162">
        <v>131728.82184859013</v>
      </c>
      <c r="EE34" s="162">
        <v>133491.7750719178</v>
      </c>
      <c r="EF34" s="162">
        <v>134015.91796415037</v>
      </c>
      <c r="EG34" s="162">
        <v>146255.42449745408</v>
      </c>
      <c r="EH34" s="162">
        <v>147978.00621823082</v>
      </c>
      <c r="EI34" s="162">
        <v>141013.75119145281</v>
      </c>
    </row>
    <row r="35" spans="1:139" s="175" customFormat="1" ht="17.100000000000001" customHeight="1" x14ac:dyDescent="0.25">
      <c r="A35" s="166"/>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row>
    <row r="36" spans="1:139" ht="17.100000000000001" customHeight="1" x14ac:dyDescent="0.25">
      <c r="A36" s="166" t="s">
        <v>257</v>
      </c>
      <c r="B36" s="167">
        <v>783.64372534999995</v>
      </c>
      <c r="C36" s="167">
        <v>795.03426162999995</v>
      </c>
      <c r="D36" s="167">
        <v>806.36142286999996</v>
      </c>
      <c r="E36" s="167">
        <v>817.11920386999998</v>
      </c>
      <c r="F36" s="167">
        <v>829.69099342999993</v>
      </c>
      <c r="G36" s="167">
        <v>841.75958768999999</v>
      </c>
      <c r="H36" s="167">
        <v>841.34192214999996</v>
      </c>
      <c r="I36" s="167">
        <v>1154.4623700399998</v>
      </c>
      <c r="J36" s="167">
        <v>1363.0654015</v>
      </c>
      <c r="K36" s="167">
        <v>1373.6286405800001</v>
      </c>
      <c r="L36" s="167">
        <v>1384.20574319</v>
      </c>
      <c r="M36" s="167">
        <v>1369.3863073</v>
      </c>
      <c r="N36" s="167">
        <v>1426.2743159300001</v>
      </c>
      <c r="O36" s="167">
        <v>1476.03948885</v>
      </c>
      <c r="P36" s="167">
        <v>1630.0385137999997</v>
      </c>
      <c r="Q36" s="167">
        <v>1689.9994090199998</v>
      </c>
      <c r="R36" s="167">
        <v>1899.85599727</v>
      </c>
      <c r="S36" s="167">
        <v>2063.3104229999999</v>
      </c>
      <c r="T36" s="167">
        <v>2372.3748750300001</v>
      </c>
      <c r="U36" s="167">
        <v>2306.47121625</v>
      </c>
      <c r="V36" s="167">
        <v>2056.6709448299998</v>
      </c>
      <c r="W36" s="167">
        <v>2116.2009389599998</v>
      </c>
      <c r="X36" s="167">
        <v>2051.2235128499997</v>
      </c>
      <c r="Y36" s="167">
        <v>1961.8478761899999</v>
      </c>
      <c r="Z36" s="167">
        <v>1984.6860037900001</v>
      </c>
      <c r="AA36" s="167">
        <v>1995.9486257499998</v>
      </c>
      <c r="AB36" s="167">
        <v>2005.9441404300003</v>
      </c>
      <c r="AC36" s="167">
        <v>1992.1532479099997</v>
      </c>
      <c r="AD36" s="167">
        <v>1849.5591248699998</v>
      </c>
      <c r="AE36" s="167">
        <v>1875.3351060299997</v>
      </c>
      <c r="AF36" s="167">
        <v>1936.5029719600002</v>
      </c>
      <c r="AG36" s="167">
        <v>1851.673110803793</v>
      </c>
      <c r="AH36" s="167">
        <v>1814.6462352099998</v>
      </c>
      <c r="AI36" s="167">
        <v>1721.5765366799997</v>
      </c>
      <c r="AJ36" s="167">
        <v>1805.74863611</v>
      </c>
      <c r="AK36" s="167">
        <v>1974.3166444399999</v>
      </c>
      <c r="AL36" s="167">
        <v>2262.4435178399999</v>
      </c>
      <c r="AM36" s="167">
        <v>2351.3082030999999</v>
      </c>
      <c r="AN36" s="167">
        <v>3448.7304686399993</v>
      </c>
      <c r="AO36" s="167">
        <v>3743.5864957599997</v>
      </c>
      <c r="AP36" s="167">
        <v>3999.3408676136651</v>
      </c>
      <c r="AQ36" s="167">
        <v>3965.7390630241857</v>
      </c>
      <c r="AR36" s="167">
        <v>3805.2291209016812</v>
      </c>
      <c r="AS36" s="167">
        <v>4196.5119901589333</v>
      </c>
      <c r="AT36" s="167">
        <v>3873.9655759735083</v>
      </c>
      <c r="AU36" s="167">
        <v>3834.4420223342331</v>
      </c>
      <c r="AV36" s="167">
        <v>3807.9246632170971</v>
      </c>
      <c r="AW36" s="167">
        <v>3068.9962040941982</v>
      </c>
      <c r="AX36" s="167">
        <v>2829.7994003941976</v>
      </c>
      <c r="AY36" s="167">
        <v>2794.3926927264838</v>
      </c>
      <c r="AZ36" s="167">
        <v>2913.4585715098992</v>
      </c>
      <c r="BA36" s="167">
        <v>2839.1386935717792</v>
      </c>
      <c r="BB36" s="167">
        <v>3255.5148564524297</v>
      </c>
      <c r="BC36" s="167">
        <v>3227.4135863002011</v>
      </c>
      <c r="BD36" s="167">
        <v>3261.284114974846</v>
      </c>
      <c r="BE36" s="167">
        <v>3183.1414728874179</v>
      </c>
      <c r="BF36" s="167">
        <v>3162.2660737335982</v>
      </c>
      <c r="BG36" s="167">
        <v>3168.5560858585532</v>
      </c>
      <c r="BH36" s="167">
        <v>3301.3535812006594</v>
      </c>
      <c r="BI36" s="167">
        <v>3357.9791846648477</v>
      </c>
      <c r="BJ36" s="167">
        <v>4496.627362015477</v>
      </c>
      <c r="BK36" s="167">
        <v>4535.0995045407535</v>
      </c>
      <c r="BL36" s="167">
        <v>4442.2773463772428</v>
      </c>
      <c r="BM36" s="167">
        <v>3612.6871511249556</v>
      </c>
      <c r="BN36" s="167">
        <v>3482.7200483611373</v>
      </c>
      <c r="BO36" s="167">
        <v>3433.9104956339547</v>
      </c>
      <c r="BP36" s="167">
        <v>3740.5348717135103</v>
      </c>
      <c r="BQ36" s="167">
        <v>4282.2870050452148</v>
      </c>
      <c r="BR36" s="167">
        <v>4240.0883480011971</v>
      </c>
      <c r="BS36" s="167">
        <v>4097.1532527337404</v>
      </c>
      <c r="BT36" s="167">
        <v>4311.319879260267</v>
      </c>
      <c r="BU36" s="167">
        <v>4528</v>
      </c>
      <c r="BV36" s="167">
        <v>4461.3404523252648</v>
      </c>
      <c r="BW36" s="167">
        <v>5017.5877982776055</v>
      </c>
      <c r="BX36" s="167">
        <v>5262.5803928261712</v>
      </c>
      <c r="BY36" s="167">
        <v>5353.4526379026456</v>
      </c>
      <c r="BZ36" s="167">
        <v>5256.0764080971458</v>
      </c>
      <c r="CA36" s="167">
        <v>5408.7092345139299</v>
      </c>
      <c r="CB36" s="167">
        <v>5491.2462259029944</v>
      </c>
      <c r="CC36" s="167">
        <v>5436.6706351267985</v>
      </c>
      <c r="CD36" s="167">
        <v>5544.8631686256003</v>
      </c>
      <c r="CE36" s="167">
        <v>5553.879623126265</v>
      </c>
      <c r="CF36" s="167">
        <v>5564.8910241680105</v>
      </c>
      <c r="CG36" s="167">
        <v>5693.2150896204776</v>
      </c>
      <c r="CH36" s="167">
        <v>5527.0617560315086</v>
      </c>
      <c r="CI36" s="167">
        <v>5732.7160480058883</v>
      </c>
      <c r="CJ36" s="167">
        <v>5853.7965146864262</v>
      </c>
      <c r="CK36" s="167">
        <v>5815.0072680430085</v>
      </c>
      <c r="CL36" s="167">
        <v>5734.4835843124411</v>
      </c>
      <c r="CM36" s="167">
        <v>6609.3673211767855</v>
      </c>
      <c r="CN36" s="167">
        <v>7072.2057372340641</v>
      </c>
      <c r="CO36" s="167">
        <v>6686.930092383277</v>
      </c>
      <c r="CP36" s="167">
        <v>6665.215872617171</v>
      </c>
      <c r="CQ36" s="167">
        <v>7408.4961447948253</v>
      </c>
      <c r="CR36" s="167">
        <v>7407.8599867863122</v>
      </c>
      <c r="CS36" s="167">
        <v>7196.7073722327259</v>
      </c>
      <c r="CT36" s="167">
        <v>7230.9232202344692</v>
      </c>
      <c r="CU36" s="167">
        <v>9137.6931534317901</v>
      </c>
      <c r="CV36" s="167">
        <v>14330.722787116316</v>
      </c>
      <c r="CW36" s="167">
        <v>17249.681833727274</v>
      </c>
      <c r="CX36" s="167">
        <v>19118.262837352169</v>
      </c>
      <c r="CY36" s="167">
        <v>19903.838705227441</v>
      </c>
      <c r="CZ36" s="167">
        <v>21538.073019094274</v>
      </c>
      <c r="DA36" s="167">
        <v>20669.349258329887</v>
      </c>
      <c r="DB36" s="167">
        <v>22012.365536176865</v>
      </c>
      <c r="DC36" s="167">
        <v>20875.81786602833</v>
      </c>
      <c r="DD36" s="167">
        <v>20263.142446436872</v>
      </c>
      <c r="DE36" s="167">
        <v>21899.842264582279</v>
      </c>
      <c r="DF36" s="167">
        <v>21850.370016168483</v>
      </c>
      <c r="DG36" s="167">
        <v>23248.572223132323</v>
      </c>
      <c r="DH36" s="167">
        <v>24828.777496793307</v>
      </c>
      <c r="DI36" s="167">
        <v>25147.064418188154</v>
      </c>
      <c r="DJ36" s="167">
        <v>24904.207664737729</v>
      </c>
      <c r="DK36" s="167">
        <v>26982.781655601542</v>
      </c>
      <c r="DL36" s="167">
        <v>27150.945244588518</v>
      </c>
      <c r="DM36" s="167">
        <v>27059.47992788527</v>
      </c>
      <c r="DN36" s="167">
        <v>26345.787149204461</v>
      </c>
      <c r="DO36" s="167">
        <v>26795.295921734403</v>
      </c>
      <c r="DP36" s="167">
        <v>26450.778124003409</v>
      </c>
      <c r="DQ36" s="167">
        <v>26822.853961766399</v>
      </c>
      <c r="DR36" s="167">
        <v>26859.219633909466</v>
      </c>
      <c r="DS36" s="167">
        <v>24636.230833551264</v>
      </c>
      <c r="DT36" s="167">
        <v>23424.709441082585</v>
      </c>
      <c r="DU36" s="167">
        <v>22177.866305366384</v>
      </c>
      <c r="DV36" s="167">
        <v>19227.589534369341</v>
      </c>
      <c r="DW36" s="167">
        <v>18843.372285949888</v>
      </c>
      <c r="DX36" s="167">
        <v>19201.188432612289</v>
      </c>
      <c r="DY36" s="167">
        <v>18736.923989354444</v>
      </c>
      <c r="DZ36" s="167">
        <v>19016.635811612556</v>
      </c>
      <c r="EA36" s="167">
        <v>21450.662145877915</v>
      </c>
      <c r="EB36" s="167">
        <v>21751.216181135442</v>
      </c>
      <c r="EC36" s="167">
        <v>20031.561868459889</v>
      </c>
      <c r="ED36" s="167">
        <v>20614.299203660394</v>
      </c>
      <c r="EE36" s="167">
        <v>19879.918539375511</v>
      </c>
      <c r="EF36" s="167">
        <v>15883.987602071098</v>
      </c>
      <c r="EG36" s="167">
        <v>13557.896337997494</v>
      </c>
      <c r="EH36" s="167">
        <v>12828.920650047221</v>
      </c>
      <c r="EI36" s="167">
        <v>12653.919407783218</v>
      </c>
    </row>
    <row r="37" spans="1:139" ht="17.100000000000001" customHeight="1" x14ac:dyDescent="0.25">
      <c r="A37" s="160"/>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c r="BZ37" s="162"/>
      <c r="CA37" s="162"/>
      <c r="CB37" s="162"/>
      <c r="CC37" s="162"/>
      <c r="CD37" s="162"/>
      <c r="CE37" s="162"/>
      <c r="CF37" s="162"/>
      <c r="CG37" s="162"/>
      <c r="CH37" s="162"/>
      <c r="CI37" s="162"/>
      <c r="CJ37" s="162"/>
      <c r="CK37" s="162"/>
      <c r="CL37" s="162"/>
      <c r="CM37" s="162"/>
      <c r="CN37" s="162"/>
      <c r="CO37" s="162"/>
      <c r="CP37" s="162"/>
      <c r="CQ37" s="162"/>
      <c r="CR37" s="162"/>
      <c r="CS37" s="162"/>
      <c r="CT37" s="162"/>
      <c r="CU37" s="162"/>
      <c r="CV37" s="162"/>
      <c r="CW37" s="162"/>
      <c r="CX37" s="162"/>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row>
    <row r="38" spans="1:139" ht="17.100000000000001" customHeight="1" x14ac:dyDescent="0.25">
      <c r="A38" s="166" t="s">
        <v>258</v>
      </c>
      <c r="B38" s="167">
        <v>279735.10531540611</v>
      </c>
      <c r="C38" s="167">
        <v>280832.71616430732</v>
      </c>
      <c r="D38" s="167">
        <v>281427.58380275639</v>
      </c>
      <c r="E38" s="167">
        <v>282053.88717788778</v>
      </c>
      <c r="F38" s="167">
        <v>286161.75081736076</v>
      </c>
      <c r="G38" s="167">
        <v>286852.74157677882</v>
      </c>
      <c r="H38" s="167">
        <v>281980.74913940526</v>
      </c>
      <c r="I38" s="167">
        <v>282105.32767522556</v>
      </c>
      <c r="J38" s="167">
        <v>283581.44315563812</v>
      </c>
      <c r="K38" s="167">
        <v>287418.95498439169</v>
      </c>
      <c r="L38" s="167">
        <v>288135.77511421102</v>
      </c>
      <c r="M38" s="167">
        <v>300231.38741758832</v>
      </c>
      <c r="N38" s="167">
        <v>298556.62578708364</v>
      </c>
      <c r="O38" s="167">
        <v>298369.33004481444</v>
      </c>
      <c r="P38" s="167">
        <v>298155.49753263156</v>
      </c>
      <c r="Q38" s="167">
        <v>299059.78403224458</v>
      </c>
      <c r="R38" s="167">
        <v>299494.6394816144</v>
      </c>
      <c r="S38" s="167">
        <v>306227.71741607366</v>
      </c>
      <c r="T38" s="167">
        <v>305393.34314475307</v>
      </c>
      <c r="U38" s="167">
        <v>308770.06989294151</v>
      </c>
      <c r="V38" s="167">
        <v>309120.82380339794</v>
      </c>
      <c r="W38" s="167">
        <v>309586.03971583769</v>
      </c>
      <c r="X38" s="167">
        <v>312758.67268372775</v>
      </c>
      <c r="Y38" s="167">
        <v>319536.66994800227</v>
      </c>
      <c r="Z38" s="167">
        <v>318174.79569418327</v>
      </c>
      <c r="AA38" s="167">
        <v>318311.5135005904</v>
      </c>
      <c r="AB38" s="167">
        <v>321028.13302254636</v>
      </c>
      <c r="AC38" s="167">
        <v>321243.46464984748</v>
      </c>
      <c r="AD38" s="167">
        <v>323994.44183544995</v>
      </c>
      <c r="AE38" s="167">
        <v>327851.02421752224</v>
      </c>
      <c r="AF38" s="167">
        <v>328873.35024287179</v>
      </c>
      <c r="AG38" s="167">
        <v>329210.58830269566</v>
      </c>
      <c r="AH38" s="167">
        <v>331263.67529123969</v>
      </c>
      <c r="AI38" s="167">
        <v>334358.44301515532</v>
      </c>
      <c r="AJ38" s="167">
        <v>336572.52553336316</v>
      </c>
      <c r="AK38" s="167">
        <v>345617.19551340822</v>
      </c>
      <c r="AL38" s="167">
        <v>340908.92052914313</v>
      </c>
      <c r="AM38" s="167">
        <v>344826.53440251609</v>
      </c>
      <c r="AN38" s="167">
        <v>348245.69090443774</v>
      </c>
      <c r="AO38" s="167">
        <v>346565.10847846704</v>
      </c>
      <c r="AP38" s="167">
        <v>346712.14590246271</v>
      </c>
      <c r="AQ38" s="167">
        <v>351375.81885802944</v>
      </c>
      <c r="AR38" s="167">
        <v>352944.69968920405</v>
      </c>
      <c r="AS38" s="167">
        <v>351417.83862996532</v>
      </c>
      <c r="AT38" s="167">
        <v>350499.23615290475</v>
      </c>
      <c r="AU38" s="167">
        <v>349810.86009880248</v>
      </c>
      <c r="AV38" s="167">
        <v>354693.08322884841</v>
      </c>
      <c r="AW38" s="167">
        <v>365608.73772902408</v>
      </c>
      <c r="AX38" s="167">
        <v>364980.69233736565</v>
      </c>
      <c r="AY38" s="167">
        <v>369066.6968826761</v>
      </c>
      <c r="AZ38" s="167">
        <v>371778.39312112686</v>
      </c>
      <c r="BA38" s="167">
        <v>372675.47367760964</v>
      </c>
      <c r="BB38" s="167">
        <v>374448.43718937907</v>
      </c>
      <c r="BC38" s="167">
        <v>378456.25837457663</v>
      </c>
      <c r="BD38" s="167">
        <v>377725.22592014022</v>
      </c>
      <c r="BE38" s="167">
        <v>379201.60618379345</v>
      </c>
      <c r="BF38" s="167"/>
      <c r="BG38" s="167">
        <v>386009.67288569763</v>
      </c>
      <c r="BH38" s="167">
        <v>389293.57228882506</v>
      </c>
      <c r="BI38" s="167">
        <v>397556.54743014229</v>
      </c>
      <c r="BJ38" s="167">
        <v>399865.77736164053</v>
      </c>
      <c r="BK38" s="167">
        <v>404452.45097584795</v>
      </c>
      <c r="BL38" s="167">
        <v>410915.24788448896</v>
      </c>
      <c r="BM38" s="167">
        <v>410066.84698475094</v>
      </c>
      <c r="BN38" s="167">
        <v>411917.76295781799</v>
      </c>
      <c r="BO38" s="167">
        <v>418402.10404157941</v>
      </c>
      <c r="BP38" s="167">
        <v>420266.19606512645</v>
      </c>
      <c r="BQ38" s="167">
        <v>425740.73306717834</v>
      </c>
      <c r="BR38" s="167">
        <v>423801.82017970318</v>
      </c>
      <c r="BS38" s="167">
        <v>428368.77910129965</v>
      </c>
      <c r="BT38" s="167">
        <v>431628.14552528458</v>
      </c>
      <c r="BU38" s="167">
        <v>437999.20807412814</v>
      </c>
      <c r="BV38" s="167">
        <v>441887.17765523668</v>
      </c>
      <c r="BW38" s="167">
        <v>442606.92125446937</v>
      </c>
      <c r="BX38" s="167">
        <v>442449.85457323806</v>
      </c>
      <c r="BY38" s="167">
        <v>446911.8578143706</v>
      </c>
      <c r="BZ38" s="167">
        <v>449648.89126058266</v>
      </c>
      <c r="CA38" s="167">
        <v>454966.19312587625</v>
      </c>
      <c r="CB38" s="167">
        <v>461117.73776384653</v>
      </c>
      <c r="CC38" s="167">
        <v>461430.80908152502</v>
      </c>
      <c r="CD38" s="167">
        <v>461720.45506848267</v>
      </c>
      <c r="CE38" s="167">
        <v>467628.51267994742</v>
      </c>
      <c r="CF38" s="167">
        <v>466181.98963053385</v>
      </c>
      <c r="CG38" s="167">
        <v>477788.91236580064</v>
      </c>
      <c r="CH38" s="167">
        <v>482530.18293943547</v>
      </c>
      <c r="CI38" s="167">
        <v>484802.94406992162</v>
      </c>
      <c r="CJ38" s="167">
        <v>485070.61657241191</v>
      </c>
      <c r="CK38" s="167">
        <v>486422.52761427267</v>
      </c>
      <c r="CL38" s="167">
        <v>493022.68238882167</v>
      </c>
      <c r="CM38" s="167">
        <v>491497.02935467474</v>
      </c>
      <c r="CN38" s="167">
        <v>494871.72102887114</v>
      </c>
      <c r="CO38" s="167">
        <v>496265.33256421407</v>
      </c>
      <c r="CP38" s="167">
        <v>514343.58042900887</v>
      </c>
      <c r="CQ38" s="167">
        <v>508989.03301648167</v>
      </c>
      <c r="CR38" s="167">
        <v>508936.52725764259</v>
      </c>
      <c r="CS38" s="167">
        <v>522082.88855707523</v>
      </c>
      <c r="CT38" s="167">
        <v>517698.19551605923</v>
      </c>
      <c r="CU38" s="167">
        <v>525005.68763654598</v>
      </c>
      <c r="CV38" s="167">
        <v>529215.21339422092</v>
      </c>
      <c r="CW38" s="167">
        <v>533321.65716028947</v>
      </c>
      <c r="CX38" s="167">
        <v>532406.12408800714</v>
      </c>
      <c r="CY38" s="167">
        <v>537637.90350697201</v>
      </c>
      <c r="CZ38" s="167">
        <v>533730.18510533066</v>
      </c>
      <c r="DA38" s="167">
        <v>536045.54619934526</v>
      </c>
      <c r="DB38" s="167">
        <v>537076.40459591278</v>
      </c>
      <c r="DC38" s="167">
        <v>544713.22111905226</v>
      </c>
      <c r="DD38" s="167">
        <v>547078.01010348136</v>
      </c>
      <c r="DE38" s="167">
        <v>554892.69632883603</v>
      </c>
      <c r="DF38" s="167">
        <v>554908.23577923037</v>
      </c>
      <c r="DG38" s="167">
        <v>559637.26738361549</v>
      </c>
      <c r="DH38" s="167">
        <v>562978.93241245963</v>
      </c>
      <c r="DI38" s="167">
        <v>565338.49062105233</v>
      </c>
      <c r="DJ38" s="167">
        <v>564329.58136491163</v>
      </c>
      <c r="DK38" s="167">
        <v>571821.25441540615</v>
      </c>
      <c r="DL38" s="167">
        <v>574711.70473376976</v>
      </c>
      <c r="DM38" s="167">
        <v>573609.46124614414</v>
      </c>
      <c r="DN38" s="167">
        <v>576579.80937112018</v>
      </c>
      <c r="DO38" s="167">
        <v>586220.9455710582</v>
      </c>
      <c r="DP38" s="167">
        <v>592579.06939322886</v>
      </c>
      <c r="DQ38" s="167">
        <v>601973.23458341032</v>
      </c>
      <c r="DR38" s="167">
        <v>604264.38169844472</v>
      </c>
      <c r="DS38" s="167">
        <v>612966.7983084236</v>
      </c>
      <c r="DT38" s="167">
        <v>623487.74252911506</v>
      </c>
      <c r="DU38" s="167">
        <v>634874.85028223682</v>
      </c>
      <c r="DV38" s="167">
        <v>640638.5183000121</v>
      </c>
      <c r="DW38" s="167">
        <v>644329.59710239817</v>
      </c>
      <c r="DX38" s="167">
        <v>645173.52177810215</v>
      </c>
      <c r="DY38" s="167">
        <v>646149.29340344633</v>
      </c>
      <c r="DZ38" s="167">
        <v>655899.11789156613</v>
      </c>
      <c r="EA38" s="167">
        <v>693565.16370723839</v>
      </c>
      <c r="EB38" s="167">
        <v>694772.90107514313</v>
      </c>
      <c r="EC38" s="167">
        <v>703592.72573349939</v>
      </c>
      <c r="ED38" s="167">
        <v>708184.36570888816</v>
      </c>
      <c r="EE38" s="167">
        <v>710613.30748368683</v>
      </c>
      <c r="EF38" s="167">
        <v>710709.83976267208</v>
      </c>
      <c r="EG38" s="167">
        <v>763284.38256650825</v>
      </c>
      <c r="EH38" s="167">
        <v>765919.0235516103</v>
      </c>
      <c r="EI38" s="167">
        <v>765365.56867240334</v>
      </c>
    </row>
    <row r="39" spans="1:139" ht="17.100000000000001" customHeight="1" thickBot="1" x14ac:dyDescent="0.3">
      <c r="A39" s="160"/>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row>
    <row r="40" spans="1:139" ht="17.100000000000001" customHeight="1" thickTop="1" thickBot="1" x14ac:dyDescent="0.3">
      <c r="A40" s="169" t="s">
        <v>259</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77"/>
      <c r="DN40" s="177"/>
      <c r="DO40" s="177"/>
      <c r="DP40" s="177"/>
      <c r="DQ40" s="177"/>
      <c r="DR40" s="177"/>
      <c r="DS40" s="177"/>
      <c r="DT40" s="177"/>
      <c r="DU40" s="177"/>
      <c r="DV40" s="177"/>
      <c r="DW40" s="177"/>
      <c r="DX40" s="177"/>
      <c r="DY40" s="177"/>
      <c r="DZ40" s="177"/>
      <c r="EA40" s="177"/>
      <c r="EB40" s="177"/>
      <c r="EC40" s="177"/>
      <c r="ED40" s="177"/>
      <c r="EE40" s="177"/>
      <c r="EF40" s="177"/>
      <c r="EG40" s="177"/>
      <c r="EH40" s="177"/>
      <c r="EI40" s="177"/>
    </row>
    <row r="41" spans="1:139" ht="17.100000000000001" customHeight="1" thickTop="1" x14ac:dyDescent="0.25">
      <c r="A41" s="160"/>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row>
    <row r="42" spans="1:139" s="168" customFormat="1" ht="17.100000000000001" customHeight="1" x14ac:dyDescent="0.25">
      <c r="A42" s="166" t="s">
        <v>260</v>
      </c>
      <c r="B42" s="167">
        <v>355837.03116140142</v>
      </c>
      <c r="C42" s="167">
        <v>360605.04953497002</v>
      </c>
      <c r="D42" s="167">
        <v>364782.59790840576</v>
      </c>
      <c r="E42" s="167">
        <v>347836.52930073522</v>
      </c>
      <c r="F42" s="167">
        <v>398474.36596555047</v>
      </c>
      <c r="G42" s="167">
        <v>389200.51288481901</v>
      </c>
      <c r="H42" s="167">
        <v>349996.3624868911</v>
      </c>
      <c r="I42" s="167">
        <v>374559.74357372645</v>
      </c>
      <c r="J42" s="167">
        <v>374311.56619276927</v>
      </c>
      <c r="K42" s="167">
        <v>375558.95299317496</v>
      </c>
      <c r="L42" s="167">
        <v>387400.46029459569</v>
      </c>
      <c r="M42" s="167">
        <v>396025.74941314518</v>
      </c>
      <c r="N42" s="167">
        <v>397868.12297975575</v>
      </c>
      <c r="O42" s="167">
        <v>391740.02392533398</v>
      </c>
      <c r="P42" s="167">
        <v>362731.64003700012</v>
      </c>
      <c r="Q42" s="167">
        <v>376961.4054074281</v>
      </c>
      <c r="R42" s="167">
        <v>368985.7930979958</v>
      </c>
      <c r="S42" s="167">
        <v>398640.04925210675</v>
      </c>
      <c r="T42" s="167">
        <v>384262.82808588771</v>
      </c>
      <c r="U42" s="167">
        <v>367127.2188200822</v>
      </c>
      <c r="V42" s="167">
        <v>372146.50669052522</v>
      </c>
      <c r="W42" s="167">
        <v>373804.4944400455</v>
      </c>
      <c r="X42" s="167">
        <v>424939.29194978258</v>
      </c>
      <c r="Y42" s="167">
        <v>370755.11539752875</v>
      </c>
      <c r="Z42" s="167">
        <v>348029.36244730791</v>
      </c>
      <c r="AA42" s="167">
        <v>354708.02445732517</v>
      </c>
      <c r="AB42" s="167">
        <v>400460.72834256146</v>
      </c>
      <c r="AC42" s="167">
        <v>400880.36506270594</v>
      </c>
      <c r="AD42" s="167">
        <v>418934.88927327795</v>
      </c>
      <c r="AE42" s="167">
        <v>358615.76786022121</v>
      </c>
      <c r="AF42" s="167">
        <v>391317.48373264499</v>
      </c>
      <c r="AG42" s="167">
        <v>349407.08494980849</v>
      </c>
      <c r="AH42" s="167">
        <v>374495.66562962084</v>
      </c>
      <c r="AI42" s="167">
        <v>394291.12349107303</v>
      </c>
      <c r="AJ42" s="167">
        <v>396660.75575007964</v>
      </c>
      <c r="AK42" s="167">
        <v>401320.90685726883</v>
      </c>
      <c r="AL42" s="167">
        <v>425209.26168858795</v>
      </c>
      <c r="AM42" s="167">
        <v>371958.7623117551</v>
      </c>
      <c r="AN42" s="167">
        <v>396287.8725248843</v>
      </c>
      <c r="AO42" s="167">
        <v>406538.14793432248</v>
      </c>
      <c r="AP42" s="167">
        <v>439271.34989535093</v>
      </c>
      <c r="AQ42" s="167">
        <v>394121.83621676941</v>
      </c>
      <c r="AR42" s="167">
        <v>408187.61987977172</v>
      </c>
      <c r="AS42" s="167">
        <v>388409.77044791594</v>
      </c>
      <c r="AT42" s="167">
        <v>381997.94592616044</v>
      </c>
      <c r="AU42" s="167">
        <v>372526.31475613813</v>
      </c>
      <c r="AV42" s="167">
        <v>375922.76888081006</v>
      </c>
      <c r="AW42" s="167">
        <v>396299.89658375003</v>
      </c>
      <c r="AX42" s="167">
        <v>371419.29907392239</v>
      </c>
      <c r="AY42" s="167">
        <v>374464.47402240866</v>
      </c>
      <c r="AZ42" s="167">
        <v>371676.94106507872</v>
      </c>
      <c r="BA42" s="167">
        <v>396120.44744818617</v>
      </c>
      <c r="BB42" s="167">
        <v>383220.66580576624</v>
      </c>
      <c r="BC42" s="167">
        <v>382241.50857958256</v>
      </c>
      <c r="BD42" s="167">
        <v>392334.94110129168</v>
      </c>
      <c r="BE42" s="167">
        <v>409256.21862257959</v>
      </c>
      <c r="BF42" s="167">
        <v>440686.40925503476</v>
      </c>
      <c r="BG42" s="167">
        <v>478691.88928722718</v>
      </c>
      <c r="BH42" s="167">
        <v>440194.91016732709</v>
      </c>
      <c r="BI42" s="167">
        <v>457823.19600778719</v>
      </c>
      <c r="BJ42" s="167">
        <v>476038.28698620782</v>
      </c>
      <c r="BK42" s="167">
        <v>485169.87018662738</v>
      </c>
      <c r="BL42" s="167">
        <v>557980.5835344377</v>
      </c>
      <c r="BM42" s="167">
        <v>567281.29490467894</v>
      </c>
      <c r="BN42" s="167">
        <v>533346.63558336219</v>
      </c>
      <c r="BO42" s="167">
        <v>519851.26260418026</v>
      </c>
      <c r="BP42" s="167">
        <v>529873.89145630517</v>
      </c>
      <c r="BQ42" s="167">
        <v>510245.61552506249</v>
      </c>
      <c r="BR42" s="167">
        <v>505829.92519510188</v>
      </c>
      <c r="BS42" s="167">
        <v>531278.38441134978</v>
      </c>
      <c r="BT42" s="167">
        <v>512635.67167410499</v>
      </c>
      <c r="BU42" s="167">
        <v>529026</v>
      </c>
      <c r="BV42" s="167">
        <v>537501.79617460479</v>
      </c>
      <c r="BW42" s="167">
        <v>535959.01879941381</v>
      </c>
      <c r="BX42" s="167">
        <v>507495.62778716208</v>
      </c>
      <c r="BY42" s="167">
        <v>525294.95739611925</v>
      </c>
      <c r="BZ42" s="167">
        <v>518021.95943167125</v>
      </c>
      <c r="CA42" s="167">
        <v>529764.93604130822</v>
      </c>
      <c r="CB42" s="167">
        <v>536626.51856016926</v>
      </c>
      <c r="CC42" s="167">
        <v>547521.43514884717</v>
      </c>
      <c r="CD42" s="167">
        <v>541173.83052793902</v>
      </c>
      <c r="CE42" s="167">
        <v>541487.57271531678</v>
      </c>
      <c r="CF42" s="167">
        <v>576673.06690380152</v>
      </c>
      <c r="CG42" s="167">
        <v>549150.67852010694</v>
      </c>
      <c r="CH42" s="167">
        <v>552006.36508890952</v>
      </c>
      <c r="CI42" s="167">
        <v>550124.7344342561</v>
      </c>
      <c r="CJ42" s="167">
        <v>565446.81070961035</v>
      </c>
      <c r="CK42" s="167">
        <v>551541.81471568416</v>
      </c>
      <c r="CL42" s="167">
        <v>561428.59090975497</v>
      </c>
      <c r="CM42" s="167">
        <v>577136.64347912977</v>
      </c>
      <c r="CN42" s="167">
        <v>580170.7653518169</v>
      </c>
      <c r="CO42" s="167">
        <v>540911.94800799026</v>
      </c>
      <c r="CP42" s="167">
        <v>563666.52959597646</v>
      </c>
      <c r="CQ42" s="167">
        <v>535212.04018846143</v>
      </c>
      <c r="CR42" s="167">
        <v>569639.94483249891</v>
      </c>
      <c r="CS42" s="167">
        <v>566912.84179853182</v>
      </c>
      <c r="CT42" s="167">
        <v>549881.65774852363</v>
      </c>
      <c r="CU42" s="167">
        <v>556282.08886925748</v>
      </c>
      <c r="CV42" s="167">
        <v>582960.01031995635</v>
      </c>
      <c r="CW42" s="167">
        <v>572820.86763924407</v>
      </c>
      <c r="CX42" s="167">
        <v>601678.34298669721</v>
      </c>
      <c r="CY42" s="167">
        <v>607621.19459096855</v>
      </c>
      <c r="CZ42" s="167">
        <v>596736.62845357263</v>
      </c>
      <c r="DA42" s="167">
        <v>598948.66485129017</v>
      </c>
      <c r="DB42" s="167">
        <v>571629.67140376905</v>
      </c>
      <c r="DC42" s="167">
        <v>603245.70985475881</v>
      </c>
      <c r="DD42" s="167">
        <v>578095.53196456493</v>
      </c>
      <c r="DE42" s="167">
        <v>570676.64685810125</v>
      </c>
      <c r="DF42" s="167">
        <v>555738.52165962593</v>
      </c>
      <c r="DG42" s="167">
        <v>612169.0742515329</v>
      </c>
      <c r="DH42" s="167">
        <v>580722.23639972229</v>
      </c>
      <c r="DI42" s="167">
        <v>601793.38316057378</v>
      </c>
      <c r="DJ42" s="167">
        <v>587297.7611889313</v>
      </c>
      <c r="DK42" s="167">
        <v>592037.74036985345</v>
      </c>
      <c r="DL42" s="167">
        <v>631511.75170988834</v>
      </c>
      <c r="DM42" s="167">
        <v>604448.16456935881</v>
      </c>
      <c r="DN42" s="167">
        <v>614788.03581099678</v>
      </c>
      <c r="DO42" s="167">
        <v>636312.00008742756</v>
      </c>
      <c r="DP42" s="167">
        <v>694122.06739733263</v>
      </c>
      <c r="DQ42" s="167">
        <v>647472.06335563748</v>
      </c>
      <c r="DR42" s="167">
        <v>656936.82186131144</v>
      </c>
      <c r="DS42" s="167">
        <v>663250.26434066286</v>
      </c>
      <c r="DT42" s="167">
        <v>669451.75571228098</v>
      </c>
      <c r="DU42" s="167">
        <v>674018.17257455923</v>
      </c>
      <c r="DV42" s="167">
        <v>674698.84540283564</v>
      </c>
      <c r="DW42" s="167">
        <v>710010.22029280965</v>
      </c>
      <c r="DX42" s="167">
        <v>693282.2088749262</v>
      </c>
      <c r="DY42" s="167">
        <v>770270.23610633216</v>
      </c>
      <c r="DZ42" s="167">
        <v>783278.32101354224</v>
      </c>
      <c r="EA42" s="167">
        <v>730816.51683918666</v>
      </c>
      <c r="EB42" s="167">
        <v>745880.10079184012</v>
      </c>
      <c r="EC42" s="167">
        <v>753659.20792943332</v>
      </c>
      <c r="ED42" s="167">
        <v>758357.98090497125</v>
      </c>
      <c r="EE42" s="167">
        <v>811243.01065622596</v>
      </c>
      <c r="EF42" s="167">
        <v>844502.63762076222</v>
      </c>
      <c r="EG42" s="167">
        <v>777736.63392093568</v>
      </c>
      <c r="EH42" s="167">
        <v>828016.68544027302</v>
      </c>
      <c r="EI42" s="167">
        <v>821955.15877083782</v>
      </c>
    </row>
    <row r="43" spans="1:139" ht="17.100000000000001" customHeight="1" x14ac:dyDescent="0.25">
      <c r="A43" s="160" t="s">
        <v>261</v>
      </c>
      <c r="B43" s="162">
        <v>66426.303235972882</v>
      </c>
      <c r="C43" s="162">
        <v>67813.347178623269</v>
      </c>
      <c r="D43" s="162">
        <v>67350.55298928589</v>
      </c>
      <c r="E43" s="162">
        <v>67898.424276395206</v>
      </c>
      <c r="F43" s="162">
        <v>70563.533940011592</v>
      </c>
      <c r="G43" s="162">
        <v>69029.206086238628</v>
      </c>
      <c r="H43" s="162">
        <v>69173.827566074178</v>
      </c>
      <c r="I43" s="162">
        <v>70109.753901685341</v>
      </c>
      <c r="J43" s="162">
        <v>73222.669057128718</v>
      </c>
      <c r="K43" s="162">
        <v>72628.910586909114</v>
      </c>
      <c r="L43" s="162">
        <v>74948.541309052278</v>
      </c>
      <c r="M43" s="162">
        <v>77907.26620021234</v>
      </c>
      <c r="N43" s="162">
        <v>74640.649942564065</v>
      </c>
      <c r="O43" s="162">
        <v>74618.615312754191</v>
      </c>
      <c r="P43" s="162">
        <v>76376.735414886105</v>
      </c>
      <c r="Q43" s="162">
        <v>75700.789623743025</v>
      </c>
      <c r="R43" s="162">
        <v>77269.692369705648</v>
      </c>
      <c r="S43" s="162">
        <v>79953.017943437662</v>
      </c>
      <c r="T43" s="162">
        <v>79074.75525046949</v>
      </c>
      <c r="U43" s="162">
        <v>79520.667822633579</v>
      </c>
      <c r="V43" s="162">
        <v>78671.260029511788</v>
      </c>
      <c r="W43" s="162">
        <v>81199.667306703283</v>
      </c>
      <c r="X43" s="162">
        <v>77556.049942866448</v>
      </c>
      <c r="Y43" s="162">
        <v>80100.875885288551</v>
      </c>
      <c r="Z43" s="162">
        <v>80040.746933815622</v>
      </c>
      <c r="AA43" s="162">
        <v>79939.581236785903</v>
      </c>
      <c r="AB43" s="162">
        <v>79411.668224062698</v>
      </c>
      <c r="AC43" s="162">
        <v>79032.748513622151</v>
      </c>
      <c r="AD43" s="162">
        <v>78098.527743300889</v>
      </c>
      <c r="AE43" s="162">
        <v>85159.248901662751</v>
      </c>
      <c r="AF43" s="162">
        <v>86394.874568552084</v>
      </c>
      <c r="AG43" s="162">
        <v>86880.112743733043</v>
      </c>
      <c r="AH43" s="162">
        <v>87928.224802783152</v>
      </c>
      <c r="AI43" s="162">
        <v>88106.871545446251</v>
      </c>
      <c r="AJ43" s="162">
        <v>90488.3945909303</v>
      </c>
      <c r="AK43" s="162">
        <v>91559.825805914632</v>
      </c>
      <c r="AL43" s="162">
        <v>94098.106945505308</v>
      </c>
      <c r="AM43" s="162">
        <v>93549.31388682939</v>
      </c>
      <c r="AN43" s="162">
        <v>96754.802980609718</v>
      </c>
      <c r="AO43" s="162">
        <v>95870.007278678371</v>
      </c>
      <c r="AP43" s="162">
        <v>104072.51915873688</v>
      </c>
      <c r="AQ43" s="162">
        <v>103579.9323233067</v>
      </c>
      <c r="AR43" s="162">
        <v>100694.20800170788</v>
      </c>
      <c r="AS43" s="162">
        <v>99291.769986535714</v>
      </c>
      <c r="AT43" s="162">
        <v>100933.44968334469</v>
      </c>
      <c r="AU43" s="162">
        <v>100229.18125081969</v>
      </c>
      <c r="AV43" s="162">
        <v>99261.274187500021</v>
      </c>
      <c r="AW43" s="162">
        <v>103497.94482550361</v>
      </c>
      <c r="AX43" s="162">
        <v>102921.43799632388</v>
      </c>
      <c r="AY43" s="162">
        <v>108544.33997084292</v>
      </c>
      <c r="AZ43" s="162">
        <v>110343.08859754098</v>
      </c>
      <c r="BA43" s="162">
        <v>114721.20755311572</v>
      </c>
      <c r="BB43" s="162">
        <v>117055.21513527753</v>
      </c>
      <c r="BC43" s="162">
        <v>119619.60702976644</v>
      </c>
      <c r="BD43" s="162">
        <v>121075.74227892855</v>
      </c>
      <c r="BE43" s="162">
        <v>123260.36938210644</v>
      </c>
      <c r="BF43" s="162">
        <v>120752.98616916555</v>
      </c>
      <c r="BG43" s="162">
        <v>119694.92564294937</v>
      </c>
      <c r="BH43" s="162">
        <v>117838.97237219621</v>
      </c>
      <c r="BI43" s="162">
        <v>122735.45625949455</v>
      </c>
      <c r="BJ43" s="162">
        <v>120049.19112513392</v>
      </c>
      <c r="BK43" s="162">
        <v>126047.57279302411</v>
      </c>
      <c r="BL43" s="162">
        <v>139062.48919025276</v>
      </c>
      <c r="BM43" s="162">
        <v>137586.09214340354</v>
      </c>
      <c r="BN43" s="162">
        <v>138175.21268258648</v>
      </c>
      <c r="BO43" s="162">
        <v>138628.47666558527</v>
      </c>
      <c r="BP43" s="162">
        <v>142104.72795610214</v>
      </c>
      <c r="BQ43" s="162">
        <v>142278.28919419972</v>
      </c>
      <c r="BR43" s="162">
        <v>144450.61180768846</v>
      </c>
      <c r="BS43" s="162">
        <v>148534.72719634642</v>
      </c>
      <c r="BT43" s="162">
        <v>150438.85095480151</v>
      </c>
      <c r="BU43" s="162">
        <v>151519</v>
      </c>
      <c r="BV43" s="162">
        <v>153595.05761268668</v>
      </c>
      <c r="BW43" s="162">
        <v>156324.69065769573</v>
      </c>
      <c r="BX43" s="162">
        <v>157406.6914241621</v>
      </c>
      <c r="BY43" s="162">
        <v>156600.80811839449</v>
      </c>
      <c r="BZ43" s="162">
        <v>159897.71195550862</v>
      </c>
      <c r="CA43" s="162">
        <v>166725.92581236121</v>
      </c>
      <c r="CB43" s="162">
        <v>166910.92624923383</v>
      </c>
      <c r="CC43" s="162">
        <v>166395.73053723547</v>
      </c>
      <c r="CD43" s="162">
        <v>169580.80563689113</v>
      </c>
      <c r="CE43" s="162">
        <v>171298.85641524161</v>
      </c>
      <c r="CF43" s="162">
        <v>173801.30735711419</v>
      </c>
      <c r="CG43" s="162">
        <v>177668.55562032614</v>
      </c>
      <c r="CH43" s="162">
        <v>174394.86292201749</v>
      </c>
      <c r="CI43" s="162">
        <v>174924.25180757011</v>
      </c>
      <c r="CJ43" s="162">
        <v>175637.22381427392</v>
      </c>
      <c r="CK43" s="162">
        <v>179152.63008492597</v>
      </c>
      <c r="CL43" s="162">
        <v>178461.27118693173</v>
      </c>
      <c r="CM43" s="162">
        <v>180437.56616006474</v>
      </c>
      <c r="CN43" s="162">
        <v>176191.51600309185</v>
      </c>
      <c r="CO43" s="162">
        <v>175785.32195359335</v>
      </c>
      <c r="CP43" s="162">
        <v>185058.20583007197</v>
      </c>
      <c r="CQ43" s="162">
        <v>188375.48139406703</v>
      </c>
      <c r="CR43" s="162">
        <v>191339.81988459302</v>
      </c>
      <c r="CS43" s="162">
        <v>200039.4517179582</v>
      </c>
      <c r="CT43" s="162">
        <v>196835.78700488887</v>
      </c>
      <c r="CU43" s="162">
        <v>202954.33186410007</v>
      </c>
      <c r="CV43" s="162">
        <v>207215.69517574867</v>
      </c>
      <c r="CW43" s="162">
        <v>214373.48147916992</v>
      </c>
      <c r="CX43" s="162">
        <v>221942.12390585776</v>
      </c>
      <c r="CY43" s="162">
        <v>230238.77583979841</v>
      </c>
      <c r="CZ43" s="162">
        <v>221922.20800793669</v>
      </c>
      <c r="DA43" s="162">
        <v>225940.38191798772</v>
      </c>
      <c r="DB43" s="162">
        <v>218871.25093894106</v>
      </c>
      <c r="DC43" s="162">
        <v>217596.3036255289</v>
      </c>
      <c r="DD43" s="162">
        <v>214815.73631158541</v>
      </c>
      <c r="DE43" s="162">
        <v>217004.41993496372</v>
      </c>
      <c r="DF43" s="162">
        <v>218846.8952504606</v>
      </c>
      <c r="DG43" s="162">
        <v>219966.96050391931</v>
      </c>
      <c r="DH43" s="162">
        <v>226576.71631358506</v>
      </c>
      <c r="DI43" s="162">
        <v>229226.42152050519</v>
      </c>
      <c r="DJ43" s="162">
        <v>240408.08847555952</v>
      </c>
      <c r="DK43" s="162">
        <v>252957.68400993009</v>
      </c>
      <c r="DL43" s="162">
        <v>258964.54538824756</v>
      </c>
      <c r="DM43" s="162">
        <v>259427.82324653002</v>
      </c>
      <c r="DN43" s="162">
        <v>262761.86596508219</v>
      </c>
      <c r="DO43" s="162">
        <v>263442.84530936059</v>
      </c>
      <c r="DP43" s="162">
        <v>268691.24890248722</v>
      </c>
      <c r="DQ43" s="162">
        <v>269147.02911251434</v>
      </c>
      <c r="DR43" s="162">
        <v>278812.67778411362</v>
      </c>
      <c r="DS43" s="162">
        <v>273904.52688807907</v>
      </c>
      <c r="DT43" s="162">
        <v>276298.97259022022</v>
      </c>
      <c r="DU43" s="162">
        <v>280218.67607955547</v>
      </c>
      <c r="DV43" s="162">
        <v>275540.36607464025</v>
      </c>
      <c r="DW43" s="162">
        <v>278884.25604416308</v>
      </c>
      <c r="DX43" s="162">
        <v>295596.05314703286</v>
      </c>
      <c r="DY43" s="162">
        <v>278825.85957494081</v>
      </c>
      <c r="DZ43" s="162">
        <v>277995.11736622191</v>
      </c>
      <c r="EA43" s="162">
        <v>269143.13557219441</v>
      </c>
      <c r="EB43" s="162">
        <v>268344.11662117584</v>
      </c>
      <c r="EC43" s="162">
        <v>284981.4928212621</v>
      </c>
      <c r="ED43" s="162">
        <v>305406.72245056508</v>
      </c>
      <c r="EE43" s="162">
        <v>286606.10411991918</v>
      </c>
      <c r="EF43" s="162">
        <v>292769.16974273225</v>
      </c>
      <c r="EG43" s="162">
        <v>296822.91944970074</v>
      </c>
      <c r="EH43" s="162">
        <v>304286.70241272327</v>
      </c>
      <c r="EI43" s="162">
        <v>304753.51439039694</v>
      </c>
    </row>
    <row r="44" spans="1:139" ht="17.100000000000001" customHeight="1" x14ac:dyDescent="0.25">
      <c r="A44" s="160" t="s">
        <v>262</v>
      </c>
      <c r="B44" s="162">
        <v>289410.72792542854</v>
      </c>
      <c r="C44" s="162">
        <v>292791.70235634677</v>
      </c>
      <c r="D44" s="162">
        <v>297432.04491911986</v>
      </c>
      <c r="E44" s="162">
        <v>279938.10502433998</v>
      </c>
      <c r="F44" s="162">
        <v>327910.8320255389</v>
      </c>
      <c r="G44" s="162">
        <v>320171.30679858039</v>
      </c>
      <c r="H44" s="162">
        <v>280822.53492081689</v>
      </c>
      <c r="I44" s="162">
        <v>304449.98967204109</v>
      </c>
      <c r="J44" s="162">
        <v>301088.89713564055</v>
      </c>
      <c r="K44" s="162">
        <v>302930.04240626586</v>
      </c>
      <c r="L44" s="162">
        <v>312451.91898554342</v>
      </c>
      <c r="M44" s="162">
        <v>318118.48321293283</v>
      </c>
      <c r="N44" s="162">
        <v>323227.47303719167</v>
      </c>
      <c r="O44" s="162">
        <v>317121.40861257981</v>
      </c>
      <c r="P44" s="162">
        <v>286354.90462211403</v>
      </c>
      <c r="Q44" s="162">
        <v>301260.61578368506</v>
      </c>
      <c r="R44" s="162">
        <v>291716.10072829016</v>
      </c>
      <c r="S44" s="162">
        <v>318687.03130866907</v>
      </c>
      <c r="T44" s="162">
        <v>305188.07283541822</v>
      </c>
      <c r="U44" s="162">
        <v>287606.55099744862</v>
      </c>
      <c r="V44" s="162">
        <v>293475.2466610134</v>
      </c>
      <c r="W44" s="162">
        <v>292604.82713334222</v>
      </c>
      <c r="X44" s="162">
        <v>347383.24200691615</v>
      </c>
      <c r="Y44" s="162">
        <v>290654.23951224022</v>
      </c>
      <c r="Z44" s="162">
        <v>267988.61551349226</v>
      </c>
      <c r="AA44" s="162">
        <v>274768.44322053925</v>
      </c>
      <c r="AB44" s="162">
        <v>321049.06011849875</v>
      </c>
      <c r="AC44" s="162">
        <v>321847.61654908379</v>
      </c>
      <c r="AD44" s="162">
        <v>340836.36152997706</v>
      </c>
      <c r="AE44" s="162">
        <v>273456.51895855844</v>
      </c>
      <c r="AF44" s="162">
        <v>304922.60916409292</v>
      </c>
      <c r="AG44" s="162">
        <v>262526.97220607544</v>
      </c>
      <c r="AH44" s="162">
        <v>286567.44082683767</v>
      </c>
      <c r="AI44" s="162">
        <v>306184.25194562681</v>
      </c>
      <c r="AJ44" s="162">
        <v>306172.36115914932</v>
      </c>
      <c r="AK44" s="162">
        <v>309761.08105135418</v>
      </c>
      <c r="AL44" s="162">
        <v>331111.15474308265</v>
      </c>
      <c r="AM44" s="162">
        <v>278409.44842492574</v>
      </c>
      <c r="AN44" s="162">
        <v>299533.06954427459</v>
      </c>
      <c r="AO44" s="162">
        <v>310668.14065564412</v>
      </c>
      <c r="AP44" s="162">
        <v>335198.83073661407</v>
      </c>
      <c r="AQ44" s="162">
        <v>290541.90389346273</v>
      </c>
      <c r="AR44" s="162">
        <v>307493.41187806381</v>
      </c>
      <c r="AS44" s="162">
        <v>289118.00046138023</v>
      </c>
      <c r="AT44" s="162">
        <v>281064.49624281575</v>
      </c>
      <c r="AU44" s="162">
        <v>272297.13350531843</v>
      </c>
      <c r="AV44" s="162">
        <v>276661.49469331006</v>
      </c>
      <c r="AW44" s="162">
        <v>292801.9517582464</v>
      </c>
      <c r="AX44" s="162">
        <v>268497.86107759853</v>
      </c>
      <c r="AY44" s="162">
        <v>265920.13405156572</v>
      </c>
      <c r="AZ44" s="162">
        <v>261333.85246753774</v>
      </c>
      <c r="BA44" s="162">
        <v>281399.23989507044</v>
      </c>
      <c r="BB44" s="162">
        <v>266165.4506704887</v>
      </c>
      <c r="BC44" s="162">
        <v>262621.90154981613</v>
      </c>
      <c r="BD44" s="162">
        <v>271259.19882236311</v>
      </c>
      <c r="BE44" s="162">
        <v>285995.84924047318</v>
      </c>
      <c r="BF44" s="162">
        <v>319933.42308586923</v>
      </c>
      <c r="BG44" s="162">
        <v>358996.96364427783</v>
      </c>
      <c r="BH44" s="162">
        <v>322355.93779513089</v>
      </c>
      <c r="BI44" s="162">
        <v>335087.73974829266</v>
      </c>
      <c r="BJ44" s="162">
        <v>355989.09586107393</v>
      </c>
      <c r="BK44" s="162">
        <v>359122.29739360325</v>
      </c>
      <c r="BL44" s="162">
        <v>418918.09434418491</v>
      </c>
      <c r="BM44" s="162">
        <v>429695.2027612754</v>
      </c>
      <c r="BN44" s="162">
        <v>395171.42290077568</v>
      </c>
      <c r="BO44" s="162">
        <v>381222.78593859496</v>
      </c>
      <c r="BP44" s="162">
        <v>387769.16350020299</v>
      </c>
      <c r="BQ44" s="162">
        <v>367967.32633086276</v>
      </c>
      <c r="BR44" s="162">
        <v>361379.31338741345</v>
      </c>
      <c r="BS44" s="162">
        <v>382743.65721500339</v>
      </c>
      <c r="BT44" s="162">
        <v>362196.82071930351</v>
      </c>
      <c r="BU44" s="162">
        <v>377506</v>
      </c>
      <c r="BV44" s="162">
        <v>383906.73856191809</v>
      </c>
      <c r="BW44" s="162">
        <v>379634.32814171806</v>
      </c>
      <c r="BX44" s="162">
        <v>350088.93636299996</v>
      </c>
      <c r="BY44" s="162">
        <v>368694.14927772473</v>
      </c>
      <c r="BZ44" s="162">
        <v>358124.24747616262</v>
      </c>
      <c r="CA44" s="162">
        <v>363039.01022894704</v>
      </c>
      <c r="CB44" s="162">
        <v>369715.59231093543</v>
      </c>
      <c r="CC44" s="162">
        <v>381125.70461161173</v>
      </c>
      <c r="CD44" s="162">
        <v>371593.02489104785</v>
      </c>
      <c r="CE44" s="162">
        <v>370188.71630007518</v>
      </c>
      <c r="CF44" s="162">
        <v>402871.7595466873</v>
      </c>
      <c r="CG44" s="162">
        <v>371482.12289978075</v>
      </c>
      <c r="CH44" s="162">
        <v>377611.50216689205</v>
      </c>
      <c r="CI44" s="162">
        <v>375200.48262668593</v>
      </c>
      <c r="CJ44" s="162">
        <v>389809.58689533646</v>
      </c>
      <c r="CK44" s="162">
        <v>372389.18463075813</v>
      </c>
      <c r="CL44" s="162">
        <v>382967.31972282327</v>
      </c>
      <c r="CM44" s="162">
        <v>396699.07731906505</v>
      </c>
      <c r="CN44" s="162">
        <v>403979.24934872502</v>
      </c>
      <c r="CO44" s="162">
        <v>365126.62605439691</v>
      </c>
      <c r="CP44" s="162">
        <v>378608.32376590453</v>
      </c>
      <c r="CQ44" s="162">
        <v>346836.55879439437</v>
      </c>
      <c r="CR44" s="162">
        <v>378300.12494790595</v>
      </c>
      <c r="CS44" s="162">
        <v>366873.39008057356</v>
      </c>
      <c r="CT44" s="162">
        <v>353045.87074363476</v>
      </c>
      <c r="CU44" s="162">
        <v>353327.75700515741</v>
      </c>
      <c r="CV44" s="162">
        <v>375744.31514420774</v>
      </c>
      <c r="CW44" s="162">
        <v>358447.38616007409</v>
      </c>
      <c r="CX44" s="162">
        <v>379736.21908083942</v>
      </c>
      <c r="CY44" s="162">
        <v>377382.4187511701</v>
      </c>
      <c r="CZ44" s="162">
        <v>374814.42044563591</v>
      </c>
      <c r="DA44" s="162">
        <v>373008.28293330251</v>
      </c>
      <c r="DB44" s="162">
        <v>352758.42046482803</v>
      </c>
      <c r="DC44" s="162">
        <v>385649.40622922993</v>
      </c>
      <c r="DD44" s="162">
        <v>363279.79565297958</v>
      </c>
      <c r="DE44" s="162">
        <v>353672.22692313755</v>
      </c>
      <c r="DF44" s="162">
        <v>336891.62640916527</v>
      </c>
      <c r="DG44" s="162">
        <v>392202.11374761362</v>
      </c>
      <c r="DH44" s="162">
        <v>354145.52008613723</v>
      </c>
      <c r="DI44" s="162">
        <v>372566.96164006862</v>
      </c>
      <c r="DJ44" s="162">
        <v>346889.67271337175</v>
      </c>
      <c r="DK44" s="162">
        <v>339080.05635992333</v>
      </c>
      <c r="DL44" s="162">
        <v>372547.20632164081</v>
      </c>
      <c r="DM44" s="162">
        <v>345020.34132282884</v>
      </c>
      <c r="DN44" s="162">
        <v>352026.16984591458</v>
      </c>
      <c r="DO44" s="162">
        <v>372869.15477806696</v>
      </c>
      <c r="DP44" s="162">
        <v>425430.81849484541</v>
      </c>
      <c r="DQ44" s="162">
        <v>378325.0342431232</v>
      </c>
      <c r="DR44" s="162">
        <v>378124.14407719782</v>
      </c>
      <c r="DS44" s="162">
        <v>389345.73745258374</v>
      </c>
      <c r="DT44" s="162">
        <v>393152.78312206076</v>
      </c>
      <c r="DU44" s="162">
        <v>393799.49649500381</v>
      </c>
      <c r="DV44" s="162">
        <v>399158.47932819545</v>
      </c>
      <c r="DW44" s="162">
        <v>431125.96424864652</v>
      </c>
      <c r="DX44" s="162">
        <v>397686.15572789341</v>
      </c>
      <c r="DY44" s="162">
        <v>491444.3765313914</v>
      </c>
      <c r="DZ44" s="162">
        <v>505283.20364732033</v>
      </c>
      <c r="EA44" s="162">
        <v>461673.38126699225</v>
      </c>
      <c r="EB44" s="162">
        <v>477535.98417066422</v>
      </c>
      <c r="EC44" s="162">
        <v>468677.71510817122</v>
      </c>
      <c r="ED44" s="162">
        <v>452951.25845440623</v>
      </c>
      <c r="EE44" s="162">
        <v>524636.90653630672</v>
      </c>
      <c r="EF44" s="162">
        <v>551733.46787802991</v>
      </c>
      <c r="EG44" s="162">
        <v>480913.714471235</v>
      </c>
      <c r="EH44" s="162">
        <v>523729.98302754969</v>
      </c>
      <c r="EI44" s="162">
        <v>517201.64438044082</v>
      </c>
    </row>
    <row r="45" spans="1:139" s="175" customFormat="1" ht="17.100000000000001" customHeight="1" x14ac:dyDescent="0.25">
      <c r="A45" s="178" t="s">
        <v>263</v>
      </c>
      <c r="B45" s="174">
        <v>30107.789499937426</v>
      </c>
      <c r="C45" s="174">
        <v>31094.415139565433</v>
      </c>
      <c r="D45" s="174">
        <v>30962.734737710922</v>
      </c>
      <c r="E45" s="174">
        <v>31722.669563358049</v>
      </c>
      <c r="F45" s="174">
        <v>32291.245409282688</v>
      </c>
      <c r="G45" s="174">
        <v>32190.982644318014</v>
      </c>
      <c r="H45" s="174">
        <v>30094.231303218694</v>
      </c>
      <c r="I45" s="174">
        <v>28685.302738552557</v>
      </c>
      <c r="J45" s="174">
        <v>27202.292881792404</v>
      </c>
      <c r="K45" s="174">
        <v>28366.741870910635</v>
      </c>
      <c r="L45" s="174">
        <v>26731.42360877612</v>
      </c>
      <c r="M45" s="174">
        <v>29842.888080704441</v>
      </c>
      <c r="N45" s="174">
        <v>29586.633266821053</v>
      </c>
      <c r="O45" s="174">
        <v>29891.802077865294</v>
      </c>
      <c r="P45" s="174">
        <v>25947.623236333402</v>
      </c>
      <c r="Q45" s="174">
        <v>27891.315556650738</v>
      </c>
      <c r="R45" s="174">
        <v>27836.31586989648</v>
      </c>
      <c r="S45" s="174">
        <v>29550.652640857741</v>
      </c>
      <c r="T45" s="174">
        <v>28814.146909541629</v>
      </c>
      <c r="U45" s="174">
        <v>29743.461993769037</v>
      </c>
      <c r="V45" s="174">
        <v>28007.929026793463</v>
      </c>
      <c r="W45" s="174">
        <v>27848.917471561232</v>
      </c>
      <c r="X45" s="174">
        <v>30798.47857303136</v>
      </c>
      <c r="Y45" s="174">
        <v>30173.425683765054</v>
      </c>
      <c r="Z45" s="174">
        <v>27635.564013278305</v>
      </c>
      <c r="AA45" s="174">
        <v>28505.675546840474</v>
      </c>
      <c r="AB45" s="174">
        <v>30015.249470331852</v>
      </c>
      <c r="AC45" s="174">
        <v>28849.601820639546</v>
      </c>
      <c r="AD45" s="174">
        <v>29685.935308031254</v>
      </c>
      <c r="AE45" s="174">
        <v>27434.626315896196</v>
      </c>
      <c r="AF45" s="174">
        <v>24564.372512824601</v>
      </c>
      <c r="AG45" s="174">
        <v>24843.929419416803</v>
      </c>
      <c r="AH45" s="174">
        <v>26903.079659206087</v>
      </c>
      <c r="AI45" s="174">
        <v>26692.130185590468</v>
      </c>
      <c r="AJ45" s="174">
        <v>23489.867346898696</v>
      </c>
      <c r="AK45" s="174">
        <v>26748.267328989143</v>
      </c>
      <c r="AL45" s="174">
        <v>24970.557388426176</v>
      </c>
      <c r="AM45" s="174">
        <v>27360.034197333964</v>
      </c>
      <c r="AN45" s="174">
        <v>28048.947249844314</v>
      </c>
      <c r="AO45" s="174">
        <v>27103.250200486156</v>
      </c>
      <c r="AP45" s="174">
        <v>23704.250976455434</v>
      </c>
      <c r="AQ45" s="174">
        <v>24490.234397729695</v>
      </c>
      <c r="AR45" s="174">
        <v>29194.044954404722</v>
      </c>
      <c r="AS45" s="174">
        <v>31589.148616054383</v>
      </c>
      <c r="AT45" s="174">
        <v>28878.627380932823</v>
      </c>
      <c r="AU45" s="174">
        <v>29438.984456836901</v>
      </c>
      <c r="AV45" s="174">
        <v>32222.328507304621</v>
      </c>
      <c r="AW45" s="174">
        <v>34759.046630821162</v>
      </c>
      <c r="AX45" s="174">
        <v>34060.323408110286</v>
      </c>
      <c r="AY45" s="174">
        <v>34817.59427536845</v>
      </c>
      <c r="AZ45" s="174">
        <v>35853.595180281867</v>
      </c>
      <c r="BA45" s="174">
        <v>32821.366597128304</v>
      </c>
      <c r="BB45" s="174">
        <v>35817.305316602025</v>
      </c>
      <c r="BC45" s="174">
        <v>34503.982019541341</v>
      </c>
      <c r="BD45" s="174">
        <v>34366.650950250732</v>
      </c>
      <c r="BE45" s="174">
        <v>33649.017850934637</v>
      </c>
      <c r="BF45" s="174">
        <v>34106.491150883034</v>
      </c>
      <c r="BG45" s="174">
        <v>38799.4385675999</v>
      </c>
      <c r="BH45" s="174">
        <v>42147.93707209549</v>
      </c>
      <c r="BI45" s="174">
        <v>44771.48306422789</v>
      </c>
      <c r="BJ45" s="174">
        <v>45036.202349362306</v>
      </c>
      <c r="BK45" s="174">
        <v>46331.067374710321</v>
      </c>
      <c r="BL45" s="174">
        <v>41183.321744285538</v>
      </c>
      <c r="BM45" s="174">
        <v>43101.216780224531</v>
      </c>
      <c r="BN45" s="174">
        <v>45620.751845429142</v>
      </c>
      <c r="BO45" s="174">
        <v>46467.822872853139</v>
      </c>
      <c r="BP45" s="174">
        <v>41800.329991954648</v>
      </c>
      <c r="BQ45" s="174">
        <v>43686.775365199937</v>
      </c>
      <c r="BR45" s="174">
        <v>43681.973409324011</v>
      </c>
      <c r="BS45" s="174">
        <v>44899.085888896501</v>
      </c>
      <c r="BT45" s="174">
        <v>43210.837423796293</v>
      </c>
      <c r="BU45" s="174">
        <v>41980</v>
      </c>
      <c r="BV45" s="174">
        <v>45398.624617775524</v>
      </c>
      <c r="BW45" s="174">
        <v>45850.184701248843</v>
      </c>
      <c r="BX45" s="174">
        <v>47471.770916704685</v>
      </c>
      <c r="BY45" s="174">
        <v>48841.163122945531</v>
      </c>
      <c r="BZ45" s="174">
        <v>48939.061043156864</v>
      </c>
      <c r="CA45" s="174">
        <v>48559.106785962656</v>
      </c>
      <c r="CB45" s="174">
        <v>50347.187260151761</v>
      </c>
      <c r="CC45" s="174">
        <v>51497.330629808996</v>
      </c>
      <c r="CD45" s="174">
        <v>52695.083670413922</v>
      </c>
      <c r="CE45" s="174">
        <v>51355.875816715743</v>
      </c>
      <c r="CF45" s="174">
        <v>50543.252148329782</v>
      </c>
      <c r="CG45" s="174">
        <v>54205.256048266332</v>
      </c>
      <c r="CH45" s="174">
        <v>57786.276979130576</v>
      </c>
      <c r="CI45" s="174">
        <v>60550.247691456199</v>
      </c>
      <c r="CJ45" s="174">
        <v>58360.116763411352</v>
      </c>
      <c r="CK45" s="174">
        <v>59555.127514303174</v>
      </c>
      <c r="CL45" s="174">
        <v>60020.524952242806</v>
      </c>
      <c r="CM45" s="174">
        <v>58184.085388191401</v>
      </c>
      <c r="CN45" s="174">
        <v>60388.294788046122</v>
      </c>
      <c r="CO45" s="174">
        <v>61673.068176989822</v>
      </c>
      <c r="CP45" s="174">
        <v>68216.477835393627</v>
      </c>
      <c r="CQ45" s="174">
        <v>65446.342275645453</v>
      </c>
      <c r="CR45" s="174">
        <v>66975.754472175235</v>
      </c>
      <c r="CS45" s="174">
        <v>69678.438954631318</v>
      </c>
      <c r="CT45" s="174">
        <v>70026.805459254945</v>
      </c>
      <c r="CU45" s="174">
        <v>74964.16579981595</v>
      </c>
      <c r="CV45" s="174">
        <v>75603.222067292911</v>
      </c>
      <c r="CW45" s="174">
        <v>74864.738460086723</v>
      </c>
      <c r="CX45" s="174">
        <v>72846.78961780922</v>
      </c>
      <c r="CY45" s="174">
        <v>70859.639008618862</v>
      </c>
      <c r="CZ45" s="174">
        <v>68061.108631799856</v>
      </c>
      <c r="DA45" s="174">
        <v>70572.590508300942</v>
      </c>
      <c r="DB45" s="174">
        <v>71569.497963110611</v>
      </c>
      <c r="DC45" s="174">
        <v>73521.73544106973</v>
      </c>
      <c r="DD45" s="174">
        <v>76710.534558027837</v>
      </c>
      <c r="DE45" s="174">
        <v>75333.36498810933</v>
      </c>
      <c r="DF45" s="174">
        <v>77577.830289399615</v>
      </c>
      <c r="DG45" s="174">
        <v>79130.052553158428</v>
      </c>
      <c r="DH45" s="174">
        <v>81328.105320117786</v>
      </c>
      <c r="DI45" s="174">
        <v>81462.347226139711</v>
      </c>
      <c r="DJ45" s="174">
        <v>83756.258916353021</v>
      </c>
      <c r="DK45" s="174">
        <v>81157.434213993198</v>
      </c>
      <c r="DL45" s="174">
        <v>80769.930632950767</v>
      </c>
      <c r="DM45" s="174">
        <v>83083.676186016295</v>
      </c>
      <c r="DN45" s="174">
        <v>81688.577415032501</v>
      </c>
      <c r="DO45" s="174">
        <v>84532.691022840867</v>
      </c>
      <c r="DP45" s="174">
        <v>90520.634915157571</v>
      </c>
      <c r="DQ45" s="174">
        <v>72506.872336634973</v>
      </c>
      <c r="DR45" s="174">
        <v>80581.332171483809</v>
      </c>
      <c r="DS45" s="174">
        <v>86551.353297311303</v>
      </c>
      <c r="DT45" s="174">
        <v>93766.651300882455</v>
      </c>
      <c r="DU45" s="174">
        <v>102389.82691172506</v>
      </c>
      <c r="DV45" s="174">
        <v>114689.53232434727</v>
      </c>
      <c r="DW45" s="174">
        <v>108858.03239432072</v>
      </c>
      <c r="DX45" s="174">
        <v>102781.82188343776</v>
      </c>
      <c r="DY45" s="174">
        <v>68553.847912105644</v>
      </c>
      <c r="DZ45" s="174">
        <v>63587.99425914805</v>
      </c>
      <c r="EA45" s="174">
        <v>67640.188858857407</v>
      </c>
      <c r="EB45" s="174">
        <v>73793.763753036474</v>
      </c>
      <c r="EC45" s="174">
        <v>78891.757295663585</v>
      </c>
      <c r="ED45" s="174">
        <v>83951.434636307589</v>
      </c>
      <c r="EE45" s="174">
        <v>88117.980086452633</v>
      </c>
      <c r="EF45" s="174">
        <v>84218.039875542745</v>
      </c>
      <c r="EG45" s="174">
        <v>91392.850719704264</v>
      </c>
      <c r="EH45" s="174">
        <v>97199.326574077015</v>
      </c>
      <c r="EI45" s="174">
        <v>104148.84429318219</v>
      </c>
    </row>
    <row r="46" spans="1:139" ht="17.100000000000001" customHeight="1" x14ac:dyDescent="0.25">
      <c r="A46" s="160" t="s">
        <v>261</v>
      </c>
      <c r="B46" s="162">
        <v>-16094.591653099998</v>
      </c>
      <c r="C46" s="162">
        <v>-15133.990915980001</v>
      </c>
      <c r="D46" s="162">
        <v>-10574.257390679999</v>
      </c>
      <c r="E46" s="162">
        <v>-13160.13132181</v>
      </c>
      <c r="F46" s="162">
        <v>-13184.197336680001</v>
      </c>
      <c r="G46" s="162">
        <v>-12603.214470860001</v>
      </c>
      <c r="H46" s="162">
        <v>-12649.402737140001</v>
      </c>
      <c r="I46" s="162">
        <v>-13999.36386032</v>
      </c>
      <c r="J46" s="162">
        <v>-12309.791425859999</v>
      </c>
      <c r="K46" s="162">
        <v>-9506.4930552200003</v>
      </c>
      <c r="L46" s="162">
        <v>-11316.247423609999</v>
      </c>
      <c r="M46" s="162">
        <v>-9687.6799926800013</v>
      </c>
      <c r="N46" s="162">
        <v>-8384.2803368000004</v>
      </c>
      <c r="O46" s="162">
        <v>-7735.6408573600002</v>
      </c>
      <c r="P46" s="162">
        <v>-11176.693028849997</v>
      </c>
      <c r="Q46" s="162">
        <v>-9606.6951597400002</v>
      </c>
      <c r="R46" s="162">
        <v>-11320.184787369999</v>
      </c>
      <c r="S46" s="162">
        <v>-10168.74607549</v>
      </c>
      <c r="T46" s="162">
        <v>-11201.799995440004</v>
      </c>
      <c r="U46" s="162">
        <v>-8361.1217992800011</v>
      </c>
      <c r="V46" s="162">
        <v>-10561.849022570001</v>
      </c>
      <c r="W46" s="162">
        <v>-11253.339342660001</v>
      </c>
      <c r="X46" s="162">
        <v>-9436.6171233200002</v>
      </c>
      <c r="Y46" s="162">
        <v>-7837.3001372700001</v>
      </c>
      <c r="Z46" s="162">
        <v>-10079.960773000003</v>
      </c>
      <c r="AA46" s="162">
        <v>-8692.3302772299994</v>
      </c>
      <c r="AB46" s="162">
        <v>-9372.881900270002</v>
      </c>
      <c r="AC46" s="162">
        <v>-8880.1699302400029</v>
      </c>
      <c r="AD46" s="162">
        <v>-8780.1530179400033</v>
      </c>
      <c r="AE46" s="162">
        <v>-11179.910112040001</v>
      </c>
      <c r="AF46" s="162">
        <v>-11456.030725809998</v>
      </c>
      <c r="AG46" s="162">
        <v>-13179.341982179998</v>
      </c>
      <c r="AH46" s="162">
        <v>-11879.09227354</v>
      </c>
      <c r="AI46" s="162">
        <v>-13350.546611650003</v>
      </c>
      <c r="AJ46" s="162">
        <v>-16898.939951499997</v>
      </c>
      <c r="AK46" s="162">
        <v>-11466.967172649998</v>
      </c>
      <c r="AL46" s="162">
        <v>-13650.276193949998</v>
      </c>
      <c r="AM46" s="162">
        <v>-12018.874950829999</v>
      </c>
      <c r="AN46" s="162">
        <v>-12476.195903029999</v>
      </c>
      <c r="AO46" s="162">
        <v>-14313.36957282</v>
      </c>
      <c r="AP46" s="162">
        <v>-17374.062681929754</v>
      </c>
      <c r="AQ46" s="162">
        <v>-18112.053482993684</v>
      </c>
      <c r="AR46" s="162">
        <v>-14044.60487612374</v>
      </c>
      <c r="AS46" s="162">
        <v>-13816.06028582856</v>
      </c>
      <c r="AT46" s="162">
        <v>-17341.511666418828</v>
      </c>
      <c r="AU46" s="162">
        <v>-15217.901120033093</v>
      </c>
      <c r="AV46" s="162">
        <v>-13552.266238281474</v>
      </c>
      <c r="AW46" s="162">
        <v>-10932.694839660657</v>
      </c>
      <c r="AX46" s="162">
        <v>-13197.887711877294</v>
      </c>
      <c r="AY46" s="162">
        <v>-12463.583303451964</v>
      </c>
      <c r="AZ46" s="162">
        <v>-13387.690245879574</v>
      </c>
      <c r="BA46" s="162">
        <v>-17897.114501728862</v>
      </c>
      <c r="BB46" s="162">
        <v>-16472.475734490621</v>
      </c>
      <c r="BC46" s="162">
        <v>-18912.303265928196</v>
      </c>
      <c r="BD46" s="162">
        <v>-19181.228839505362</v>
      </c>
      <c r="BE46" s="162">
        <v>-20865.026249724659</v>
      </c>
      <c r="BF46" s="162">
        <v>-24581.233548614022</v>
      </c>
      <c r="BG46" s="162">
        <v>-22626.159615587952</v>
      </c>
      <c r="BH46" s="162">
        <v>-19870.683686191223</v>
      </c>
      <c r="BI46" s="162">
        <v>-20743.429970004472</v>
      </c>
      <c r="BJ46" s="162">
        <v>-19352.681883520723</v>
      </c>
      <c r="BK46" s="162">
        <v>-22349.474304150681</v>
      </c>
      <c r="BL46" s="162">
        <v>-23502.995871067244</v>
      </c>
      <c r="BM46" s="162">
        <v>-22661.474497705807</v>
      </c>
      <c r="BN46" s="162">
        <v>-22878.465939326445</v>
      </c>
      <c r="BO46" s="162">
        <v>-21714.827886328236</v>
      </c>
      <c r="BP46" s="162">
        <v>-26328.382232080454</v>
      </c>
      <c r="BQ46" s="162">
        <v>-25956.873075779848</v>
      </c>
      <c r="BR46" s="162">
        <v>-26828.959248950447</v>
      </c>
      <c r="BS46" s="162">
        <v>-25650.317494534476</v>
      </c>
      <c r="BT46" s="162">
        <v>-29430.173450514856</v>
      </c>
      <c r="BU46" s="162">
        <v>-28635</v>
      </c>
      <c r="BV46" s="162">
        <v>-26971.136303966399</v>
      </c>
      <c r="BW46" s="162">
        <v>-29312.760556908066</v>
      </c>
      <c r="BX46" s="162">
        <v>-31958.729724419147</v>
      </c>
      <c r="BY46" s="162">
        <v>-34518.630189887648</v>
      </c>
      <c r="BZ46" s="162">
        <v>-29765.040157252177</v>
      </c>
      <c r="CA46" s="162">
        <v>-35913.45428410665</v>
      </c>
      <c r="CB46" s="162">
        <v>-35783.323356305329</v>
      </c>
      <c r="CC46" s="162">
        <v>-37224.626337385162</v>
      </c>
      <c r="CD46" s="162">
        <v>-37942.026526596077</v>
      </c>
      <c r="CE46" s="162">
        <v>-41152.21912881577</v>
      </c>
      <c r="CF46" s="162">
        <v>-41550.868337346699</v>
      </c>
      <c r="CG46" s="162">
        <v>-38386.59096716639</v>
      </c>
      <c r="CH46" s="162">
        <v>-32405.033911957518</v>
      </c>
      <c r="CI46" s="162">
        <v>-35191.526846515859</v>
      </c>
      <c r="CJ46" s="162">
        <v>-40506.141151634103</v>
      </c>
      <c r="CK46" s="162">
        <v>-39546.197622725238</v>
      </c>
      <c r="CL46" s="162">
        <v>-35351.569054948355</v>
      </c>
      <c r="CM46" s="162">
        <v>-34907.183384128431</v>
      </c>
      <c r="CN46" s="162">
        <v>-27481.992926843894</v>
      </c>
      <c r="CO46" s="162">
        <v>-28939.114406344157</v>
      </c>
      <c r="CP46" s="162">
        <v>-26135.339736256545</v>
      </c>
      <c r="CQ46" s="162">
        <v>-29274.277120821997</v>
      </c>
      <c r="CR46" s="162">
        <v>-29484.768431556058</v>
      </c>
      <c r="CS46" s="162">
        <v>-24932.121414385856</v>
      </c>
      <c r="CT46" s="162">
        <v>-23701.260518967501</v>
      </c>
      <c r="CU46" s="162">
        <v>-19829.780191346192</v>
      </c>
      <c r="CV46" s="162">
        <v>-18394.546459666919</v>
      </c>
      <c r="CW46" s="162">
        <v>-17571.779205522427</v>
      </c>
      <c r="CX46" s="162">
        <v>-18573.606077410073</v>
      </c>
      <c r="CY46" s="162">
        <v>-22246.375063844021</v>
      </c>
      <c r="CZ46" s="162">
        <v>-25283.029247717244</v>
      </c>
      <c r="DA46" s="162">
        <v>-21010.18099120606</v>
      </c>
      <c r="DB46" s="162">
        <v>-22958.469095949196</v>
      </c>
      <c r="DC46" s="162">
        <v>-22390.423569186998</v>
      </c>
      <c r="DD46" s="162">
        <v>-19647.914046480033</v>
      </c>
      <c r="DE46" s="162">
        <v>-19273.09610646783</v>
      </c>
      <c r="DF46" s="162">
        <v>-20935.306592958881</v>
      </c>
      <c r="DG46" s="162">
        <v>-19289.037028424798</v>
      </c>
      <c r="DH46" s="162">
        <v>-20772.733527978315</v>
      </c>
      <c r="DI46" s="162">
        <v>-18967.234455908358</v>
      </c>
      <c r="DJ46" s="162">
        <v>-21200.26106011423</v>
      </c>
      <c r="DK46" s="162">
        <v>-18445.956216161783</v>
      </c>
      <c r="DL46" s="162">
        <v>-18377.2636097016</v>
      </c>
      <c r="DM46" s="162">
        <v>-21627.090344343022</v>
      </c>
      <c r="DN46" s="162">
        <v>-19402.232828217911</v>
      </c>
      <c r="DO46" s="162">
        <v>-18081.413977269593</v>
      </c>
      <c r="DP46" s="162">
        <v>-19279.206900320001</v>
      </c>
      <c r="DQ46" s="162">
        <v>-23863.349618259625</v>
      </c>
      <c r="DR46" s="162">
        <v>-24211.561883350314</v>
      </c>
      <c r="DS46" s="162">
        <v>-13684.554506002109</v>
      </c>
      <c r="DT46" s="162">
        <v>-13755.411136558921</v>
      </c>
      <c r="DU46" s="162">
        <v>-12727.236643302333</v>
      </c>
      <c r="DV46" s="162">
        <v>1025.7089805331761</v>
      </c>
      <c r="DW46" s="162">
        <v>-22127.335113032943</v>
      </c>
      <c r="DX46" s="162">
        <v>-21088.749873838813</v>
      </c>
      <c r="DY46" s="162">
        <v>-49104.374233031187</v>
      </c>
      <c r="DZ46" s="162">
        <v>-51513.327108830243</v>
      </c>
      <c r="EA46" s="162">
        <v>-42431.598791852331</v>
      </c>
      <c r="EB46" s="162">
        <v>-34259.903045684754</v>
      </c>
      <c r="EC46" s="162">
        <v>-27032.858213989537</v>
      </c>
      <c r="ED46" s="162">
        <v>-29267.717830482128</v>
      </c>
      <c r="EE46" s="162">
        <v>-30965.464448109906</v>
      </c>
      <c r="EF46" s="162">
        <v>-40247.084593347718</v>
      </c>
      <c r="EG46" s="162">
        <v>-36882.971087025631</v>
      </c>
      <c r="EH46" s="162">
        <v>-34161.745417146652</v>
      </c>
      <c r="EI46" s="162">
        <v>-39984.162914329703</v>
      </c>
    </row>
    <row r="47" spans="1:139" ht="17.100000000000001" customHeight="1" x14ac:dyDescent="0.25">
      <c r="A47" s="160" t="s">
        <v>262</v>
      </c>
      <c r="B47" s="162">
        <v>46202.381153037422</v>
      </c>
      <c r="C47" s="162">
        <v>46228.406055545434</v>
      </c>
      <c r="D47" s="162">
        <v>41536.992128390921</v>
      </c>
      <c r="E47" s="162">
        <v>44882.80088516805</v>
      </c>
      <c r="F47" s="162">
        <v>45475.44274596269</v>
      </c>
      <c r="G47" s="162">
        <v>44794.197115178016</v>
      </c>
      <c r="H47" s="162">
        <v>42743.634040358695</v>
      </c>
      <c r="I47" s="162">
        <v>42684.666598872558</v>
      </c>
      <c r="J47" s="162">
        <v>39512.084307652403</v>
      </c>
      <c r="K47" s="162">
        <v>37873.234926130637</v>
      </c>
      <c r="L47" s="162">
        <v>38047.671032386119</v>
      </c>
      <c r="M47" s="162">
        <v>39530.568073384442</v>
      </c>
      <c r="N47" s="162">
        <v>37970.913603621055</v>
      </c>
      <c r="O47" s="162">
        <v>37627.442935225292</v>
      </c>
      <c r="P47" s="162">
        <v>37124.316265183399</v>
      </c>
      <c r="Q47" s="162">
        <v>37498.010716390738</v>
      </c>
      <c r="R47" s="162">
        <v>39156.500657266479</v>
      </c>
      <c r="S47" s="162">
        <v>39719.398716347743</v>
      </c>
      <c r="T47" s="162">
        <v>40015.946904981633</v>
      </c>
      <c r="U47" s="162">
        <v>38104.583793049038</v>
      </c>
      <c r="V47" s="162">
        <v>38569.778049363464</v>
      </c>
      <c r="W47" s="162">
        <v>39102.256814221233</v>
      </c>
      <c r="X47" s="162">
        <v>40235.09569635136</v>
      </c>
      <c r="Y47" s="162">
        <v>38010.725821035056</v>
      </c>
      <c r="Z47" s="162">
        <v>37715.524786278307</v>
      </c>
      <c r="AA47" s="162">
        <v>37198.005824070475</v>
      </c>
      <c r="AB47" s="162">
        <v>39388.131370601855</v>
      </c>
      <c r="AC47" s="162">
        <v>37729.771750879547</v>
      </c>
      <c r="AD47" s="162">
        <v>38466.088325971257</v>
      </c>
      <c r="AE47" s="162">
        <v>38614.536427936197</v>
      </c>
      <c r="AF47" s="162">
        <v>36020.403238634601</v>
      </c>
      <c r="AG47" s="162">
        <v>38023.271401596801</v>
      </c>
      <c r="AH47" s="162">
        <v>38782.171932746089</v>
      </c>
      <c r="AI47" s="162">
        <v>40042.67679724047</v>
      </c>
      <c r="AJ47" s="162">
        <v>40388.807298398693</v>
      </c>
      <c r="AK47" s="162">
        <v>38215.234501639141</v>
      </c>
      <c r="AL47" s="162">
        <v>38620.833582376174</v>
      </c>
      <c r="AM47" s="162">
        <v>39378.909148163963</v>
      </c>
      <c r="AN47" s="162">
        <v>40525.143152874312</v>
      </c>
      <c r="AO47" s="162">
        <v>41416.619773306156</v>
      </c>
      <c r="AP47" s="162">
        <v>41078.313658385188</v>
      </c>
      <c r="AQ47" s="162">
        <v>42602.287880723379</v>
      </c>
      <c r="AR47" s="162">
        <v>43238.649830528462</v>
      </c>
      <c r="AS47" s="162">
        <v>45405.208901882943</v>
      </c>
      <c r="AT47" s="162">
        <v>46220.139047351651</v>
      </c>
      <c r="AU47" s="162">
        <v>44656.885576869994</v>
      </c>
      <c r="AV47" s="162">
        <v>45774.594745586095</v>
      </c>
      <c r="AW47" s="162">
        <v>45691.741470481815</v>
      </c>
      <c r="AX47" s="162">
        <v>47258.21111998758</v>
      </c>
      <c r="AY47" s="162">
        <v>47281.17757882041</v>
      </c>
      <c r="AZ47" s="162">
        <v>49241.285426161441</v>
      </c>
      <c r="BA47" s="162">
        <v>50718.48109885717</v>
      </c>
      <c r="BB47" s="162">
        <v>52289.78105109265</v>
      </c>
      <c r="BC47" s="162">
        <v>53416.285285469537</v>
      </c>
      <c r="BD47" s="162">
        <v>53547.879789756094</v>
      </c>
      <c r="BE47" s="162">
        <v>54514.044100659296</v>
      </c>
      <c r="BF47" s="162">
        <v>58687.724699497056</v>
      </c>
      <c r="BG47" s="162">
        <v>61425.598183187853</v>
      </c>
      <c r="BH47" s="162">
        <v>62018.620758286714</v>
      </c>
      <c r="BI47" s="162">
        <v>65514.913034232362</v>
      </c>
      <c r="BJ47" s="162">
        <v>64388.884232883029</v>
      </c>
      <c r="BK47" s="162">
        <v>68680.541678861002</v>
      </c>
      <c r="BL47" s="162">
        <v>64686.317615352782</v>
      </c>
      <c r="BM47" s="162">
        <v>65762.691277930338</v>
      </c>
      <c r="BN47" s="162">
        <v>68499.217784755587</v>
      </c>
      <c r="BO47" s="162">
        <v>68182.650759181372</v>
      </c>
      <c r="BP47" s="162">
        <v>68128.712224035102</v>
      </c>
      <c r="BQ47" s="162">
        <v>69643.648440979785</v>
      </c>
      <c r="BR47" s="162">
        <v>70510.932658274454</v>
      </c>
      <c r="BS47" s="162">
        <v>70549.403383430981</v>
      </c>
      <c r="BT47" s="162">
        <v>72641.010874311149</v>
      </c>
      <c r="BU47" s="162">
        <v>70615</v>
      </c>
      <c r="BV47" s="162">
        <v>72369.760921741923</v>
      </c>
      <c r="BW47" s="162">
        <v>75162.945258156906</v>
      </c>
      <c r="BX47" s="162">
        <v>79430.500641123828</v>
      </c>
      <c r="BY47" s="162">
        <v>83359.793312833179</v>
      </c>
      <c r="BZ47" s="162">
        <v>78704.101200409044</v>
      </c>
      <c r="CA47" s="162">
        <v>84472.561070069307</v>
      </c>
      <c r="CB47" s="162">
        <v>86130.51061645709</v>
      </c>
      <c r="CC47" s="162">
        <v>88721.956967194157</v>
      </c>
      <c r="CD47" s="162">
        <v>90637.110197009999</v>
      </c>
      <c r="CE47" s="162">
        <v>92508.094945531513</v>
      </c>
      <c r="CF47" s="162">
        <v>92094.120485676482</v>
      </c>
      <c r="CG47" s="162">
        <v>92591.847015432722</v>
      </c>
      <c r="CH47" s="162">
        <v>90191.310891088098</v>
      </c>
      <c r="CI47" s="162">
        <v>95741.774537972058</v>
      </c>
      <c r="CJ47" s="162">
        <v>98866.257915045455</v>
      </c>
      <c r="CK47" s="162">
        <v>99101.325137028412</v>
      </c>
      <c r="CL47" s="162">
        <v>95372.094007191161</v>
      </c>
      <c r="CM47" s="162">
        <v>93091.268772319832</v>
      </c>
      <c r="CN47" s="162">
        <v>87870.287714890015</v>
      </c>
      <c r="CO47" s="162">
        <v>90612.182583333983</v>
      </c>
      <c r="CP47" s="162">
        <v>94351.817571650172</v>
      </c>
      <c r="CQ47" s="162">
        <v>94720.619396467446</v>
      </c>
      <c r="CR47" s="162">
        <v>96460.522903731297</v>
      </c>
      <c r="CS47" s="162">
        <v>94610.56036901717</v>
      </c>
      <c r="CT47" s="162">
        <v>93728.065978222439</v>
      </c>
      <c r="CU47" s="162">
        <v>94793.945991162138</v>
      </c>
      <c r="CV47" s="162">
        <v>93997.76852695983</v>
      </c>
      <c r="CW47" s="162">
        <v>92436.51766560915</v>
      </c>
      <c r="CX47" s="162">
        <v>91420.395695219297</v>
      </c>
      <c r="CY47" s="162">
        <v>93106.014072462887</v>
      </c>
      <c r="CZ47" s="162">
        <v>93344.137879517104</v>
      </c>
      <c r="DA47" s="162">
        <v>91582.771499506998</v>
      </c>
      <c r="DB47" s="162">
        <v>94527.967059059811</v>
      </c>
      <c r="DC47" s="162">
        <v>95912.159010256728</v>
      </c>
      <c r="DD47" s="162">
        <v>96358.448604507867</v>
      </c>
      <c r="DE47" s="162">
        <v>94606.461094577156</v>
      </c>
      <c r="DF47" s="162">
        <v>98513.136882358493</v>
      </c>
      <c r="DG47" s="162">
        <v>98419.089581583234</v>
      </c>
      <c r="DH47" s="162">
        <v>102100.8388480961</v>
      </c>
      <c r="DI47" s="162">
        <v>100429.58168204807</v>
      </c>
      <c r="DJ47" s="162">
        <v>104956.51997646724</v>
      </c>
      <c r="DK47" s="162">
        <v>99603.390430154977</v>
      </c>
      <c r="DL47" s="162">
        <v>99147.19424265236</v>
      </c>
      <c r="DM47" s="162">
        <v>104710.76653035931</v>
      </c>
      <c r="DN47" s="162">
        <v>101090.81024325041</v>
      </c>
      <c r="DO47" s="162">
        <v>102614.10500011046</v>
      </c>
      <c r="DP47" s="162">
        <v>109799.84181547757</v>
      </c>
      <c r="DQ47" s="162">
        <v>96370.221954894601</v>
      </c>
      <c r="DR47" s="162">
        <v>104792.89405483412</v>
      </c>
      <c r="DS47" s="162">
        <v>100235.90780331341</v>
      </c>
      <c r="DT47" s="162">
        <v>107522.06243744137</v>
      </c>
      <c r="DU47" s="162">
        <v>115117.06355502739</v>
      </c>
      <c r="DV47" s="162">
        <v>113663.82334381409</v>
      </c>
      <c r="DW47" s="162">
        <v>130985.36750735366</v>
      </c>
      <c r="DX47" s="162">
        <v>123870.57175727657</v>
      </c>
      <c r="DY47" s="162">
        <v>117658.22214513682</v>
      </c>
      <c r="DZ47" s="162">
        <v>115101.32136797829</v>
      </c>
      <c r="EA47" s="162">
        <v>110071.78765070974</v>
      </c>
      <c r="EB47" s="162">
        <v>108053.66679872123</v>
      </c>
      <c r="EC47" s="162">
        <v>105924.61550965313</v>
      </c>
      <c r="ED47" s="162">
        <v>113219.15246678972</v>
      </c>
      <c r="EE47" s="162">
        <v>119083.44453456254</v>
      </c>
      <c r="EF47" s="162">
        <v>124465.12446889046</v>
      </c>
      <c r="EG47" s="162">
        <v>128275.82180672989</v>
      </c>
      <c r="EH47" s="162">
        <v>131361.07199122367</v>
      </c>
      <c r="EI47" s="162">
        <v>144133.0072075119</v>
      </c>
    </row>
    <row r="48" spans="1:139" s="175" customFormat="1" ht="17.100000000000001" customHeight="1" x14ac:dyDescent="0.25">
      <c r="A48" s="178" t="s">
        <v>264</v>
      </c>
      <c r="B48" s="174">
        <v>249049.6457634767</v>
      </c>
      <c r="C48" s="174">
        <v>248807.77216519354</v>
      </c>
      <c r="D48" s="174">
        <v>251216.34014935835</v>
      </c>
      <c r="E48" s="174">
        <v>252571.14770766051</v>
      </c>
      <c r="F48" s="174">
        <v>263772.26442897564</v>
      </c>
      <c r="G48" s="174">
        <v>267573.77706727927</v>
      </c>
      <c r="H48" s="174">
        <v>266546.19427709124</v>
      </c>
      <c r="I48" s="174">
        <v>271927.19652940845</v>
      </c>
      <c r="J48" s="174">
        <v>272605.20555799588</v>
      </c>
      <c r="K48" s="174">
        <v>274950.37682160974</v>
      </c>
      <c r="L48" s="174">
        <v>276946.48094082711</v>
      </c>
      <c r="M48" s="174">
        <v>279011.9005774298</v>
      </c>
      <c r="N48" s="174">
        <v>278925.50306887995</v>
      </c>
      <c r="O48" s="174">
        <v>281794.30187684559</v>
      </c>
      <c r="P48" s="174">
        <v>282552.45791129809</v>
      </c>
      <c r="Q48" s="174">
        <v>286531.20071991388</v>
      </c>
      <c r="R48" s="174">
        <v>288418.86245035374</v>
      </c>
      <c r="S48" s="174">
        <v>292124.32001176995</v>
      </c>
      <c r="T48" s="174">
        <v>295910.29042288021</v>
      </c>
      <c r="U48" s="174">
        <v>298869.28538751893</v>
      </c>
      <c r="V48" s="174">
        <v>304317.74497532001</v>
      </c>
      <c r="W48" s="174">
        <v>313019.72673447238</v>
      </c>
      <c r="X48" s="174">
        <v>311448.56077553553</v>
      </c>
      <c r="Y48" s="174">
        <v>311128.60589472816</v>
      </c>
      <c r="Z48" s="174">
        <v>311614.96213569335</v>
      </c>
      <c r="AA48" s="174">
        <v>312053.74452528806</v>
      </c>
      <c r="AB48" s="174">
        <v>316252.63222865068</v>
      </c>
      <c r="AC48" s="174">
        <v>322237.36142590013</v>
      </c>
      <c r="AD48" s="174">
        <v>328425.03858686506</v>
      </c>
      <c r="AE48" s="174">
        <v>339992.21987458708</v>
      </c>
      <c r="AF48" s="174">
        <v>344302.14351216564</v>
      </c>
      <c r="AG48" s="174">
        <v>346757.92890193785</v>
      </c>
      <c r="AH48" s="174">
        <v>349337.30424399534</v>
      </c>
      <c r="AI48" s="174">
        <v>353848.92335604446</v>
      </c>
      <c r="AJ48" s="174">
        <v>357405.85055804724</v>
      </c>
      <c r="AK48" s="174">
        <v>364273.63872408587</v>
      </c>
      <c r="AL48" s="174">
        <v>365700.0106858334</v>
      </c>
      <c r="AM48" s="174">
        <v>372023.55270095076</v>
      </c>
      <c r="AN48" s="174">
        <v>369763.25433820783</v>
      </c>
      <c r="AO48" s="174">
        <v>373549.03799787484</v>
      </c>
      <c r="AP48" s="174">
        <v>371865.91460924764</v>
      </c>
      <c r="AQ48" s="174">
        <v>371452.23091788462</v>
      </c>
      <c r="AR48" s="174">
        <v>381516.64452129649</v>
      </c>
      <c r="AS48" s="174">
        <v>403214.62648758269</v>
      </c>
      <c r="AT48" s="174">
        <v>409852.99746432231</v>
      </c>
      <c r="AU48" s="174">
        <v>403332.10506721033</v>
      </c>
      <c r="AV48" s="174">
        <v>406428.21979282878</v>
      </c>
      <c r="AW48" s="174">
        <v>413415.51091962057</v>
      </c>
      <c r="AX48" s="174">
        <v>398598.84518461517</v>
      </c>
      <c r="AY48" s="174">
        <v>401054.46897641121</v>
      </c>
      <c r="AZ48" s="174">
        <v>402940.77149325603</v>
      </c>
      <c r="BA48" s="174">
        <v>403970.49852973624</v>
      </c>
      <c r="BB48" s="174">
        <v>398087.2159975979</v>
      </c>
      <c r="BC48" s="174">
        <v>391977.25670871098</v>
      </c>
      <c r="BD48" s="174">
        <v>390386.78573823883</v>
      </c>
      <c r="BE48" s="174">
        <v>389133.07236688567</v>
      </c>
      <c r="BF48" s="174">
        <v>390326.26670956856</v>
      </c>
      <c r="BG48" s="174">
        <v>394713.68888715311</v>
      </c>
      <c r="BH48" s="174">
        <v>403626.6251230645</v>
      </c>
      <c r="BI48" s="174">
        <v>402034.57576756674</v>
      </c>
      <c r="BJ48" s="174">
        <v>403049.78413234965</v>
      </c>
      <c r="BK48" s="174">
        <v>406708.58711020421</v>
      </c>
      <c r="BL48" s="174">
        <v>420833.52840106795</v>
      </c>
      <c r="BM48" s="174">
        <v>409999.09764211474</v>
      </c>
      <c r="BN48" s="174">
        <v>410049.14788507775</v>
      </c>
      <c r="BO48" s="174">
        <v>414496.77065093926</v>
      </c>
      <c r="BP48" s="174">
        <v>415860.11372209055</v>
      </c>
      <c r="BQ48" s="174">
        <v>424519.53156377701</v>
      </c>
      <c r="BR48" s="174">
        <v>426617.64876020927</v>
      </c>
      <c r="BS48" s="174">
        <v>427637.71890229994</v>
      </c>
      <c r="BT48" s="174">
        <v>430810.36150097579</v>
      </c>
      <c r="BU48" s="174">
        <v>434672</v>
      </c>
      <c r="BV48" s="174">
        <v>439203.52930083545</v>
      </c>
      <c r="BW48" s="174">
        <v>439359.98284018214</v>
      </c>
      <c r="BX48" s="174">
        <v>435001.29686293373</v>
      </c>
      <c r="BY48" s="174">
        <v>431098.67933808913</v>
      </c>
      <c r="BZ48" s="174">
        <v>435339.36788126238</v>
      </c>
      <c r="CA48" s="174">
        <v>437123.20882603136</v>
      </c>
      <c r="CB48" s="174">
        <v>444612.80199413287</v>
      </c>
      <c r="CC48" s="174">
        <v>439060.37191924034</v>
      </c>
      <c r="CD48" s="174">
        <v>440061.58054031956</v>
      </c>
      <c r="CE48" s="174">
        <v>447458.7780713992</v>
      </c>
      <c r="CF48" s="174">
        <v>441429.38226082473</v>
      </c>
      <c r="CG48" s="174">
        <v>439052.39421066613</v>
      </c>
      <c r="CH48" s="174">
        <v>438225.26982365304</v>
      </c>
      <c r="CI48" s="174">
        <v>453757.59330395272</v>
      </c>
      <c r="CJ48" s="174">
        <v>466565.74806269351</v>
      </c>
      <c r="CK48" s="174">
        <v>466979.72767845431</v>
      </c>
      <c r="CL48" s="174">
        <v>471439.24873741303</v>
      </c>
      <c r="CM48" s="174">
        <v>469475.22165179282</v>
      </c>
      <c r="CN48" s="174">
        <v>477606.15503394004</v>
      </c>
      <c r="CO48" s="174">
        <v>484031.97308948234</v>
      </c>
      <c r="CP48" s="174">
        <v>499347.11667182925</v>
      </c>
      <c r="CQ48" s="174">
        <v>508743.01371824613</v>
      </c>
      <c r="CR48" s="174">
        <v>506885.11758552428</v>
      </c>
      <c r="CS48" s="174">
        <v>504899.96303005406</v>
      </c>
      <c r="CT48" s="174">
        <v>513653.74925429007</v>
      </c>
      <c r="CU48" s="174">
        <v>508134.20288955612</v>
      </c>
      <c r="CV48" s="174">
        <v>501638.0525921855</v>
      </c>
      <c r="CW48" s="174">
        <v>503874.2544021557</v>
      </c>
      <c r="CX48" s="174">
        <v>442037.41343123297</v>
      </c>
      <c r="CY48" s="174">
        <v>449910.84770792403</v>
      </c>
      <c r="CZ48" s="174">
        <v>457172.64846335299</v>
      </c>
      <c r="DA48" s="174">
        <v>450663.51815579436</v>
      </c>
      <c r="DB48" s="174">
        <v>454880.58753516397</v>
      </c>
      <c r="DC48" s="174">
        <v>454985.41505590512</v>
      </c>
      <c r="DD48" s="174">
        <v>455794.1838765167</v>
      </c>
      <c r="DE48" s="174">
        <v>460261.97833692952</v>
      </c>
      <c r="DF48" s="174">
        <v>459857.20631190663</v>
      </c>
      <c r="DG48" s="174">
        <v>465278.00353156874</v>
      </c>
      <c r="DH48" s="174">
        <v>465124.05002107681</v>
      </c>
      <c r="DI48" s="174">
        <v>469942.82805349235</v>
      </c>
      <c r="DJ48" s="174">
        <v>472757.9814048956</v>
      </c>
      <c r="DK48" s="174">
        <v>478157.73158403148</v>
      </c>
      <c r="DL48" s="174">
        <v>479546.68564041925</v>
      </c>
      <c r="DM48" s="174">
        <v>483231.32369662204</v>
      </c>
      <c r="DN48" s="174">
        <v>487897.26553679502</v>
      </c>
      <c r="DO48" s="174">
        <v>488414.92341110448</v>
      </c>
      <c r="DP48" s="174">
        <v>490426.1352571763</v>
      </c>
      <c r="DQ48" s="174">
        <v>495724.33515545481</v>
      </c>
      <c r="DR48" s="174">
        <v>496889.25746136258</v>
      </c>
      <c r="DS48" s="174">
        <v>492897.71237293351</v>
      </c>
      <c r="DT48" s="174">
        <v>497126.63932293892</v>
      </c>
      <c r="DU48" s="174">
        <v>504228.00212259655</v>
      </c>
      <c r="DV48" s="174">
        <v>503789.14151354413</v>
      </c>
      <c r="DW48" s="174">
        <v>506761.14286677964</v>
      </c>
      <c r="DX48" s="174">
        <v>509260.21698601503</v>
      </c>
      <c r="DY48" s="174">
        <v>507091.15402811993</v>
      </c>
      <c r="DZ48" s="174">
        <v>501754.60837453994</v>
      </c>
      <c r="EA48" s="174">
        <v>533500.42043595039</v>
      </c>
      <c r="EB48" s="174">
        <v>532843.24002519622</v>
      </c>
      <c r="EC48" s="174">
        <v>534011.13313720538</v>
      </c>
      <c r="ED48" s="174">
        <v>545639.06768007705</v>
      </c>
      <c r="EE48" s="174">
        <v>536496.19769296783</v>
      </c>
      <c r="EF48" s="174">
        <v>529883.79861313675</v>
      </c>
      <c r="EG48" s="174">
        <v>586763.41810640378</v>
      </c>
      <c r="EH48" s="174">
        <v>591831.17295544583</v>
      </c>
      <c r="EI48" s="174">
        <v>593373.73864856444</v>
      </c>
    </row>
    <row r="49" spans="1:139" ht="17.100000000000001" customHeight="1" x14ac:dyDescent="0.25">
      <c r="A49" s="160" t="s">
        <v>261</v>
      </c>
      <c r="B49" s="162">
        <v>153.19780331999999</v>
      </c>
      <c r="C49" s="162">
        <v>154.31596911</v>
      </c>
      <c r="D49" s="162">
        <v>138.70587049999997</v>
      </c>
      <c r="E49" s="162">
        <v>145.20146566999998</v>
      </c>
      <c r="F49" s="162">
        <v>139.64907062999998</v>
      </c>
      <c r="G49" s="162">
        <v>144.54348844999998</v>
      </c>
      <c r="H49" s="162">
        <v>136.46690247999999</v>
      </c>
      <c r="I49" s="162">
        <v>137.70103456999999</v>
      </c>
      <c r="J49" s="162">
        <v>166.28222216</v>
      </c>
      <c r="K49" s="162">
        <v>164.10271523999998</v>
      </c>
      <c r="L49" s="162">
        <v>188.36966712999998</v>
      </c>
      <c r="M49" s="162">
        <v>289.10614802999993</v>
      </c>
      <c r="N49" s="162">
        <v>325.25928297999997</v>
      </c>
      <c r="O49" s="162">
        <v>266.26099159999995</v>
      </c>
      <c r="P49" s="162">
        <v>282.16233682000001</v>
      </c>
      <c r="Q49" s="162">
        <v>326.19289162000001</v>
      </c>
      <c r="R49" s="162">
        <v>355.96613649</v>
      </c>
      <c r="S49" s="162">
        <v>144.95301177000002</v>
      </c>
      <c r="T49" s="162">
        <v>145.04960496999999</v>
      </c>
      <c r="U49" s="162">
        <v>146.18456738</v>
      </c>
      <c r="V49" s="162">
        <v>147.98835771</v>
      </c>
      <c r="W49" s="162">
        <v>189.87692557</v>
      </c>
      <c r="X49" s="162">
        <v>188.68572480999998</v>
      </c>
      <c r="Y49" s="162">
        <v>187.66180904000001</v>
      </c>
      <c r="Z49" s="162">
        <v>184.76241243000001</v>
      </c>
      <c r="AA49" s="162">
        <v>235.96431477000002</v>
      </c>
      <c r="AB49" s="162">
        <v>228.80128807000003</v>
      </c>
      <c r="AC49" s="162">
        <v>202.30284356000001</v>
      </c>
      <c r="AD49" s="162">
        <v>207.31680611000002</v>
      </c>
      <c r="AE49" s="162">
        <v>142.31707372000002</v>
      </c>
      <c r="AF49" s="162">
        <v>246.29880878</v>
      </c>
      <c r="AG49" s="162">
        <v>157.61338316000001</v>
      </c>
      <c r="AH49" s="162">
        <v>186.53756657</v>
      </c>
      <c r="AI49" s="162">
        <v>186.00266166</v>
      </c>
      <c r="AJ49" s="162">
        <v>148.20166657000001</v>
      </c>
      <c r="AK49" s="162">
        <v>184.47326498999999</v>
      </c>
      <c r="AL49" s="162">
        <v>158.50110899000001</v>
      </c>
      <c r="AM49" s="162">
        <v>151.81138362999999</v>
      </c>
      <c r="AN49" s="162">
        <v>144.74117856000001</v>
      </c>
      <c r="AO49" s="162">
        <v>154.39851223000002</v>
      </c>
      <c r="AP49" s="162">
        <v>135.40763834000001</v>
      </c>
      <c r="AQ49" s="162">
        <v>198.07188681</v>
      </c>
      <c r="AR49" s="162">
        <v>126.59522910000001</v>
      </c>
      <c r="AS49" s="162">
        <v>150.84449430999999</v>
      </c>
      <c r="AT49" s="162">
        <v>162.74188365000003</v>
      </c>
      <c r="AU49" s="162">
        <v>164.49673319999999</v>
      </c>
      <c r="AV49" s="162">
        <v>163.62766462999997</v>
      </c>
      <c r="AW49" s="162">
        <v>172.66457023999999</v>
      </c>
      <c r="AX49" s="162">
        <v>134.78201322999996</v>
      </c>
      <c r="AY49" s="162">
        <v>146.16603488000001</v>
      </c>
      <c r="AZ49" s="162">
        <v>154.80724961999994</v>
      </c>
      <c r="BA49" s="162">
        <v>158.50427366000002</v>
      </c>
      <c r="BB49" s="162">
        <v>161.91662781999997</v>
      </c>
      <c r="BC49" s="162">
        <v>159.59387422</v>
      </c>
      <c r="BD49" s="162">
        <v>117.25199542000001</v>
      </c>
      <c r="BE49" s="162">
        <v>129.45984655000001</v>
      </c>
      <c r="BF49" s="162">
        <v>134.73078520999996</v>
      </c>
      <c r="BG49" s="162">
        <v>140.02408560999999</v>
      </c>
      <c r="BH49" s="162">
        <v>139.35857369000001</v>
      </c>
      <c r="BI49" s="162">
        <v>152.22108252999999</v>
      </c>
      <c r="BJ49" s="162">
        <v>115.15130846999999</v>
      </c>
      <c r="BK49" s="162">
        <v>126.01319054</v>
      </c>
      <c r="BL49" s="162">
        <v>127.1554088</v>
      </c>
      <c r="BM49" s="162">
        <v>371.52363643000001</v>
      </c>
      <c r="BN49" s="162">
        <v>379.96656151999991</v>
      </c>
      <c r="BO49" s="162">
        <v>3704.0103747000003</v>
      </c>
      <c r="BP49" s="162">
        <v>3664.27348949</v>
      </c>
      <c r="BQ49" s="162">
        <v>3670.1731644900001</v>
      </c>
      <c r="BR49" s="162">
        <v>3675.21057273</v>
      </c>
      <c r="BS49" s="162">
        <v>3683.2173269999998</v>
      </c>
      <c r="BT49" s="162">
        <v>3657.3844738899998</v>
      </c>
      <c r="BU49" s="162">
        <v>3669</v>
      </c>
      <c r="BV49" s="162">
        <v>3617.0592188099999</v>
      </c>
      <c r="BW49" s="162">
        <v>3626.6453938499999</v>
      </c>
      <c r="BX49" s="162">
        <v>3623.0380289999998</v>
      </c>
      <c r="BY49" s="162">
        <v>3622.9704508099999</v>
      </c>
      <c r="BZ49" s="162">
        <v>3621.55255085</v>
      </c>
      <c r="CA49" s="162">
        <v>3760.6580941399998</v>
      </c>
      <c r="CB49" s="162">
        <v>3749.1737147999997</v>
      </c>
      <c r="CC49" s="162">
        <v>3761.8094959199998</v>
      </c>
      <c r="CD49" s="162">
        <v>3762.2770625399999</v>
      </c>
      <c r="CE49" s="162">
        <v>3758.5232117199998</v>
      </c>
      <c r="CF49" s="162">
        <v>3767.8315939099998</v>
      </c>
      <c r="CG49" s="162">
        <v>3786.0611617799996</v>
      </c>
      <c r="CH49" s="162">
        <v>3776.0857908899998</v>
      </c>
      <c r="CI49" s="162">
        <v>3765.93455279</v>
      </c>
      <c r="CJ49" s="162">
        <v>3765.1976652000003</v>
      </c>
      <c r="CK49" s="162">
        <v>3761.3297814900002</v>
      </c>
      <c r="CL49" s="162">
        <v>3766.3030819800001</v>
      </c>
      <c r="CM49" s="162">
        <v>3851.56925434</v>
      </c>
      <c r="CN49" s="162">
        <v>3838.2095615300004</v>
      </c>
      <c r="CO49" s="162">
        <v>3841.6459451600003</v>
      </c>
      <c r="CP49" s="162">
        <v>3854.8684223200003</v>
      </c>
      <c r="CQ49" s="162">
        <v>3851.2765629800001</v>
      </c>
      <c r="CR49" s="162">
        <v>3841.4149903800003</v>
      </c>
      <c r="CS49" s="162">
        <v>3843.0021967400003</v>
      </c>
      <c r="CT49" s="162">
        <v>3829.80791262</v>
      </c>
      <c r="CU49" s="162">
        <v>3850.1254325200002</v>
      </c>
      <c r="CV49" s="162">
        <v>3837.4422250600001</v>
      </c>
      <c r="CW49" s="162">
        <v>3832.0039649100004</v>
      </c>
      <c r="CX49" s="162">
        <v>3838.5214351200002</v>
      </c>
      <c r="CY49" s="162">
        <v>3939.3595319200003</v>
      </c>
      <c r="CZ49" s="162">
        <v>3924.4904188699998</v>
      </c>
      <c r="DA49" s="162">
        <v>3928.2821452100002</v>
      </c>
      <c r="DB49" s="162">
        <v>3940.63574281</v>
      </c>
      <c r="DC49" s="162">
        <v>3911.6779075099998</v>
      </c>
      <c r="DD49" s="162">
        <v>3916.1275332999999</v>
      </c>
      <c r="DE49" s="162">
        <v>3927.1168639899997</v>
      </c>
      <c r="DF49" s="162">
        <v>3915.7525036699999</v>
      </c>
      <c r="DG49" s="162">
        <v>3920.3112408100001</v>
      </c>
      <c r="DH49" s="162">
        <v>3923.40452461</v>
      </c>
      <c r="DI49" s="162">
        <v>3926.9384735599997</v>
      </c>
      <c r="DJ49" s="162">
        <v>3935.6997193899997</v>
      </c>
      <c r="DK49" s="162">
        <v>4040.11773928</v>
      </c>
      <c r="DL49" s="162">
        <v>4022.36362465</v>
      </c>
      <c r="DM49" s="162">
        <v>4023.9363366299999</v>
      </c>
      <c r="DN49" s="162">
        <v>4030.76345545</v>
      </c>
      <c r="DO49" s="162">
        <v>4034.9671928500002</v>
      </c>
      <c r="DP49" s="162">
        <v>4030.7474261400002</v>
      </c>
      <c r="DQ49" s="162">
        <v>4032.3685415700002</v>
      </c>
      <c r="DR49" s="162">
        <v>4021.3580319799999</v>
      </c>
      <c r="DS49" s="162">
        <v>4031.9189057100002</v>
      </c>
      <c r="DT49" s="162">
        <v>4036.5619587200003</v>
      </c>
      <c r="DU49" s="162">
        <v>4021.3721522400001</v>
      </c>
      <c r="DV49" s="162">
        <v>4021.8372684700003</v>
      </c>
      <c r="DW49" s="162">
        <v>4119.7111005500001</v>
      </c>
      <c r="DX49" s="162">
        <v>5379.726790910001</v>
      </c>
      <c r="DY49" s="162">
        <v>5489.9843629499983</v>
      </c>
      <c r="DZ49" s="162">
        <v>5645.9314230800037</v>
      </c>
      <c r="EA49" s="162">
        <v>38584.592081740004</v>
      </c>
      <c r="EB49" s="162">
        <v>38698.5757381</v>
      </c>
      <c r="EC49" s="162">
        <v>40100.677529779998</v>
      </c>
      <c r="ED49" s="162">
        <v>40111.402101599997</v>
      </c>
      <c r="EE49" s="162">
        <v>40256.463010569998</v>
      </c>
      <c r="EF49" s="162">
        <v>40239.019081019993</v>
      </c>
      <c r="EG49" s="162">
        <v>87597.159286900001</v>
      </c>
      <c r="EH49" s="162">
        <v>87788.728449970004</v>
      </c>
      <c r="EI49" s="162">
        <v>88054.309445469989</v>
      </c>
    </row>
    <row r="50" spans="1:139" ht="17.100000000000001" customHeight="1" x14ac:dyDescent="0.25">
      <c r="A50" s="160" t="s">
        <v>265</v>
      </c>
      <c r="B50" s="162">
        <v>248896.44796015669</v>
      </c>
      <c r="C50" s="162">
        <v>248653.45619608354</v>
      </c>
      <c r="D50" s="162">
        <v>251077.63427885834</v>
      </c>
      <c r="E50" s="162">
        <v>252425.94624199052</v>
      </c>
      <c r="F50" s="162">
        <v>263632.61535834562</v>
      </c>
      <c r="G50" s="162">
        <v>267429.23357882927</v>
      </c>
      <c r="H50" s="162">
        <v>266409.72737461125</v>
      </c>
      <c r="I50" s="162">
        <v>271789.49549483845</v>
      </c>
      <c r="J50" s="162">
        <v>272438.92333583586</v>
      </c>
      <c r="K50" s="162">
        <v>274786.27410636976</v>
      </c>
      <c r="L50" s="162">
        <v>276758.11127369711</v>
      </c>
      <c r="M50" s="162">
        <v>278722.79442939977</v>
      </c>
      <c r="N50" s="162">
        <v>278600.24378589995</v>
      </c>
      <c r="O50" s="162">
        <v>281528.0408852456</v>
      </c>
      <c r="P50" s="162">
        <v>282270.29557447811</v>
      </c>
      <c r="Q50" s="162">
        <v>286205.00782829389</v>
      </c>
      <c r="R50" s="162">
        <v>288062.89631386375</v>
      </c>
      <c r="S50" s="162">
        <v>291979.36699999997</v>
      </c>
      <c r="T50" s="162">
        <v>295765.24081791023</v>
      </c>
      <c r="U50" s="162">
        <v>298723.10082013893</v>
      </c>
      <c r="V50" s="162">
        <v>304169.75661760999</v>
      </c>
      <c r="W50" s="162">
        <v>312829.84980890236</v>
      </c>
      <c r="X50" s="162">
        <v>311259.87505072553</v>
      </c>
      <c r="Y50" s="162">
        <v>310940.94408568816</v>
      </c>
      <c r="Z50" s="162">
        <v>311430.19972326333</v>
      </c>
      <c r="AA50" s="162">
        <v>311817.78021051805</v>
      </c>
      <c r="AB50" s="162">
        <v>316023.83094058069</v>
      </c>
      <c r="AC50" s="162">
        <v>322035.05858234013</v>
      </c>
      <c r="AD50" s="162">
        <v>328217.72178075509</v>
      </c>
      <c r="AE50" s="162">
        <v>339849.9028008671</v>
      </c>
      <c r="AF50" s="162">
        <v>344055.84470338566</v>
      </c>
      <c r="AG50" s="162">
        <v>346600.31551877788</v>
      </c>
      <c r="AH50" s="162">
        <v>349150.76667742536</v>
      </c>
      <c r="AI50" s="162">
        <v>353662.92069438443</v>
      </c>
      <c r="AJ50" s="162">
        <v>357257.64889147726</v>
      </c>
      <c r="AK50" s="162">
        <v>364089.16545909585</v>
      </c>
      <c r="AL50" s="162">
        <v>365541.50957684341</v>
      </c>
      <c r="AM50" s="162">
        <v>371871.74131732079</v>
      </c>
      <c r="AN50" s="162">
        <v>369618.51315964782</v>
      </c>
      <c r="AO50" s="162">
        <v>373394.63948564482</v>
      </c>
      <c r="AP50" s="162">
        <v>371730.50697090762</v>
      </c>
      <c r="AQ50" s="162">
        <v>371254.15903107461</v>
      </c>
      <c r="AR50" s="162">
        <v>381390.04929219646</v>
      </c>
      <c r="AS50" s="162">
        <v>403063.78199327271</v>
      </c>
      <c r="AT50" s="162">
        <v>409690.2555806723</v>
      </c>
      <c r="AU50" s="162">
        <v>403167.60833401035</v>
      </c>
      <c r="AV50" s="162">
        <v>406264.59212819877</v>
      </c>
      <c r="AW50" s="162">
        <v>413242.84634938056</v>
      </c>
      <c r="AX50" s="162">
        <v>398464.06317138515</v>
      </c>
      <c r="AY50" s="162">
        <v>400908.30294153123</v>
      </c>
      <c r="AZ50" s="162">
        <v>402785.96424363606</v>
      </c>
      <c r="BA50" s="162">
        <v>403811.99425607623</v>
      </c>
      <c r="BB50" s="162">
        <v>397925.2993697779</v>
      </c>
      <c r="BC50" s="162">
        <v>391817.662834491</v>
      </c>
      <c r="BD50" s="162">
        <v>390269.53374281881</v>
      </c>
      <c r="BE50" s="162">
        <v>389003.61252033565</v>
      </c>
      <c r="BF50" s="162">
        <v>390191.53592435858</v>
      </c>
      <c r="BG50" s="162">
        <v>394573.66480154311</v>
      </c>
      <c r="BH50" s="162">
        <v>403487.2665493745</v>
      </c>
      <c r="BI50" s="162">
        <v>401882.35468503676</v>
      </c>
      <c r="BJ50" s="162">
        <v>402934.63282387966</v>
      </c>
      <c r="BK50" s="162">
        <v>406582.5739196642</v>
      </c>
      <c r="BL50" s="162">
        <v>420706.37299226795</v>
      </c>
      <c r="BM50" s="162">
        <v>409627.57400568476</v>
      </c>
      <c r="BN50" s="162">
        <v>409669.18132355774</v>
      </c>
      <c r="BO50" s="162">
        <v>410792.76027623925</v>
      </c>
      <c r="BP50" s="162">
        <v>412195.84023260057</v>
      </c>
      <c r="BQ50" s="162">
        <v>420849.35839928698</v>
      </c>
      <c r="BR50" s="162">
        <v>422942.43818747927</v>
      </c>
      <c r="BS50" s="162">
        <v>423954.50157529995</v>
      </c>
      <c r="BT50" s="162">
        <v>427152.97702708578</v>
      </c>
      <c r="BU50" s="162">
        <v>431004</v>
      </c>
      <c r="BV50" s="162">
        <v>435586.47008202545</v>
      </c>
      <c r="BW50" s="162">
        <v>435733.33744633215</v>
      </c>
      <c r="BX50" s="162">
        <v>431378.25883393374</v>
      </c>
      <c r="BY50" s="162">
        <v>427475.70888727915</v>
      </c>
      <c r="BZ50" s="162">
        <v>431717.81533041236</v>
      </c>
      <c r="CA50" s="162">
        <v>433362.55073189136</v>
      </c>
      <c r="CB50" s="162">
        <v>440863.62827933289</v>
      </c>
      <c r="CC50" s="162">
        <v>435298.56242332031</v>
      </c>
      <c r="CD50" s="162">
        <v>436299.30347777955</v>
      </c>
      <c r="CE50" s="162">
        <v>443700.2548596792</v>
      </c>
      <c r="CF50" s="162">
        <v>437661.55066691473</v>
      </c>
      <c r="CG50" s="162">
        <v>435266.33304888615</v>
      </c>
      <c r="CH50" s="162">
        <v>434449.18403276306</v>
      </c>
      <c r="CI50" s="162">
        <v>449991.6587511627</v>
      </c>
      <c r="CJ50" s="162">
        <v>462800.55039749353</v>
      </c>
      <c r="CK50" s="162">
        <v>463218.39789696428</v>
      </c>
      <c r="CL50" s="162">
        <v>467672.94565543305</v>
      </c>
      <c r="CM50" s="162">
        <v>465623.6523974528</v>
      </c>
      <c r="CN50" s="162">
        <v>473767.94547241007</v>
      </c>
      <c r="CO50" s="162">
        <v>480190.32714432233</v>
      </c>
      <c r="CP50" s="162">
        <v>495492.24824950926</v>
      </c>
      <c r="CQ50" s="162">
        <v>504891.73715526611</v>
      </c>
      <c r="CR50" s="162">
        <v>503043.70259514428</v>
      </c>
      <c r="CS50" s="162">
        <v>501056.96083331405</v>
      </c>
      <c r="CT50" s="162">
        <v>509823.94134167006</v>
      </c>
      <c r="CU50" s="162">
        <v>504284.07745703612</v>
      </c>
      <c r="CV50" s="162">
        <v>497800.61036712548</v>
      </c>
      <c r="CW50" s="162">
        <v>500042.2504372457</v>
      </c>
      <c r="CX50" s="162">
        <v>438198.89199611294</v>
      </c>
      <c r="CY50" s="162">
        <v>445971.48817600403</v>
      </c>
      <c r="CZ50" s="162">
        <v>453248.15804448299</v>
      </c>
      <c r="DA50" s="162">
        <v>446735.23601058434</v>
      </c>
      <c r="DB50" s="162">
        <v>450939.951792354</v>
      </c>
      <c r="DC50" s="162">
        <v>451073.7371483951</v>
      </c>
      <c r="DD50" s="162">
        <v>451878.05634321668</v>
      </c>
      <c r="DE50" s="162">
        <v>456334.86147293949</v>
      </c>
      <c r="DF50" s="162">
        <v>455941.45380823663</v>
      </c>
      <c r="DG50" s="162">
        <v>461357.69229075871</v>
      </c>
      <c r="DH50" s="162">
        <v>461200.64549646678</v>
      </c>
      <c r="DI50" s="162">
        <v>466015.88957993238</v>
      </c>
      <c r="DJ50" s="162">
        <v>468822.28168550559</v>
      </c>
      <c r="DK50" s="162">
        <v>474117.6138447515</v>
      </c>
      <c r="DL50" s="162">
        <v>475524.32201576926</v>
      </c>
      <c r="DM50" s="162">
        <v>479207.38735999202</v>
      </c>
      <c r="DN50" s="162">
        <v>483866.50208134501</v>
      </c>
      <c r="DO50" s="162">
        <v>484379.95621825446</v>
      </c>
      <c r="DP50" s="162">
        <v>486395.38783103629</v>
      </c>
      <c r="DQ50" s="162">
        <v>491691.96661388484</v>
      </c>
      <c r="DR50" s="162">
        <v>492867.89942938258</v>
      </c>
      <c r="DS50" s="162">
        <v>488865.79346722353</v>
      </c>
      <c r="DT50" s="162">
        <v>493090.07736421895</v>
      </c>
      <c r="DU50" s="162">
        <v>500206.62997035653</v>
      </c>
      <c r="DV50" s="162">
        <v>499767.30424507416</v>
      </c>
      <c r="DW50" s="162">
        <v>502641.43176622962</v>
      </c>
      <c r="DX50" s="162">
        <v>503880.49019510503</v>
      </c>
      <c r="DY50" s="162">
        <v>501601.1696651699</v>
      </c>
      <c r="DZ50" s="162">
        <v>496108.67695145996</v>
      </c>
      <c r="EA50" s="162">
        <v>494915.82835421042</v>
      </c>
      <c r="EB50" s="162">
        <v>494144.66428709624</v>
      </c>
      <c r="EC50" s="162">
        <v>493910.45560742536</v>
      </c>
      <c r="ED50" s="162">
        <v>505527.66557847703</v>
      </c>
      <c r="EE50" s="162">
        <v>496239.7346823978</v>
      </c>
      <c r="EF50" s="162">
        <v>489644.77953211672</v>
      </c>
      <c r="EG50" s="162">
        <v>499166.25881950383</v>
      </c>
      <c r="EH50" s="162">
        <v>504042.44450547587</v>
      </c>
      <c r="EI50" s="162">
        <v>505319.42920309445</v>
      </c>
    </row>
    <row r="51" spans="1:139" ht="6" customHeight="1" x14ac:dyDescent="0.25">
      <c r="A51" s="160"/>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row>
    <row r="52" spans="1:139" ht="18.75" customHeight="1" x14ac:dyDescent="0.25">
      <c r="A52" s="179" t="s">
        <v>266</v>
      </c>
      <c r="B52" s="164">
        <v>242562.11196942668</v>
      </c>
      <c r="C52" s="164">
        <v>243311.51183294356</v>
      </c>
      <c r="D52" s="164">
        <v>245033.22232351839</v>
      </c>
      <c r="E52" s="164">
        <v>244018.02989344046</v>
      </c>
      <c r="F52" s="164">
        <v>250580.00481199563</v>
      </c>
      <c r="G52" s="164">
        <v>254522.90055574928</v>
      </c>
      <c r="H52" s="164">
        <v>253012.12550947376</v>
      </c>
      <c r="I52" s="164">
        <v>257454.08719937806</v>
      </c>
      <c r="J52" s="164">
        <v>259335.49789052695</v>
      </c>
      <c r="K52" s="164">
        <v>261678.9711234938</v>
      </c>
      <c r="L52" s="164">
        <v>263432.48575053358</v>
      </c>
      <c r="M52" s="164">
        <v>269479.06372029684</v>
      </c>
      <c r="N52" s="164">
        <v>268545.90110465075</v>
      </c>
      <c r="O52" s="164">
        <v>270706.00045230635</v>
      </c>
      <c r="P52" s="164">
        <v>271381.57843502238</v>
      </c>
      <c r="Q52" s="164">
        <v>273618.81903622823</v>
      </c>
      <c r="R52" s="164">
        <v>276101.33253532433</v>
      </c>
      <c r="S52" s="164">
        <v>279636.03401176998</v>
      </c>
      <c r="T52" s="164">
        <v>281649.19143097132</v>
      </c>
      <c r="U52" s="164">
        <v>284773.79267272697</v>
      </c>
      <c r="V52" s="164">
        <v>287793.6374971855</v>
      </c>
      <c r="W52" s="164">
        <v>292660.7243567055</v>
      </c>
      <c r="X52" s="164">
        <v>293820.32975756953</v>
      </c>
      <c r="Y52" s="164">
        <v>293809.05868648255</v>
      </c>
      <c r="Z52" s="164">
        <v>293787.48378060694</v>
      </c>
      <c r="AA52" s="164">
        <v>293916.31173214311</v>
      </c>
      <c r="AB52" s="164">
        <v>298362.30671179813</v>
      </c>
      <c r="AC52" s="164">
        <v>301613.59854571871</v>
      </c>
      <c r="AD52" s="164">
        <v>303907.25735931937</v>
      </c>
      <c r="AE52" s="164">
        <v>312520.51665193163</v>
      </c>
      <c r="AF52" s="164">
        <v>313073.27916318265</v>
      </c>
      <c r="AG52" s="164">
        <v>316802.83527758741</v>
      </c>
      <c r="AH52" s="164">
        <v>318570.33801969216</v>
      </c>
      <c r="AI52" s="164">
        <v>321861.70005690499</v>
      </c>
      <c r="AJ52" s="164">
        <v>325813.98861694545</v>
      </c>
      <c r="AK52" s="164">
        <v>330304.64909046493</v>
      </c>
      <c r="AL52" s="164">
        <v>328508.86187479884</v>
      </c>
      <c r="AM52" s="164">
        <v>331788.19470645627</v>
      </c>
      <c r="AN52" s="164">
        <v>333574.84401124058</v>
      </c>
      <c r="AO52" s="164">
        <v>334073.21014901489</v>
      </c>
      <c r="AP52" s="164">
        <v>334073.18083811045</v>
      </c>
      <c r="AQ52" s="164">
        <v>339787.95809160796</v>
      </c>
      <c r="AR52" s="164">
        <v>344071.85512530396</v>
      </c>
      <c r="AS52" s="164">
        <v>348781.90767205984</v>
      </c>
      <c r="AT52" s="164">
        <v>353373.48349503544</v>
      </c>
      <c r="AU52" s="164">
        <v>352846.1219285758</v>
      </c>
      <c r="AV52" s="164">
        <v>357507.50147930754</v>
      </c>
      <c r="AW52" s="164">
        <v>364510.65586951422</v>
      </c>
      <c r="AX52" s="164">
        <v>362518.7063858778</v>
      </c>
      <c r="AY52" s="164">
        <v>362416.71640368144</v>
      </c>
      <c r="AZ52" s="164">
        <v>362301.75205255731</v>
      </c>
      <c r="BA52" s="164">
        <v>362647.74075911712</v>
      </c>
      <c r="BB52" s="164">
        <v>364146.25827612425</v>
      </c>
      <c r="BC52" s="164">
        <v>362461.78854091698</v>
      </c>
      <c r="BD52" s="164">
        <v>363119.32068775996</v>
      </c>
      <c r="BE52" s="164">
        <v>366256.70194460597</v>
      </c>
      <c r="BF52" s="164">
        <v>366262.44414170802</v>
      </c>
      <c r="BG52" s="164">
        <v>369036.43841667695</v>
      </c>
      <c r="BH52" s="164">
        <v>376770.02295745182</v>
      </c>
      <c r="BI52" s="164">
        <v>377115.52007397683</v>
      </c>
      <c r="BJ52" s="164">
        <v>377415.83557693823</v>
      </c>
      <c r="BK52" s="164">
        <v>379375.14075688412</v>
      </c>
      <c r="BL52" s="164">
        <v>390489.03554982535</v>
      </c>
      <c r="BM52" s="164">
        <v>383511.898432152</v>
      </c>
      <c r="BN52" s="164">
        <v>382943.08865305979</v>
      </c>
      <c r="BO52" s="164">
        <v>390091.30184545578</v>
      </c>
      <c r="BP52" s="164">
        <v>392484.16284335993</v>
      </c>
      <c r="BQ52" s="164">
        <v>399578.67107999191</v>
      </c>
      <c r="BR52" s="164">
        <v>399596.71795572154</v>
      </c>
      <c r="BS52" s="164">
        <v>399304.60391711706</v>
      </c>
      <c r="BT52" s="164">
        <v>405934.2108810615</v>
      </c>
      <c r="BU52" s="164">
        <v>408360.47241010662</v>
      </c>
      <c r="BV52" s="164">
        <v>409901.54682423087</v>
      </c>
      <c r="BW52" s="164">
        <v>411760.46212674555</v>
      </c>
      <c r="BX52" s="164">
        <v>403618.5301601871</v>
      </c>
      <c r="BY52" s="164">
        <v>404170.42852843145</v>
      </c>
      <c r="BZ52" s="164">
        <v>406392.28219512198</v>
      </c>
      <c r="CA52" s="164">
        <v>412858.33403765433</v>
      </c>
      <c r="CB52" s="164">
        <v>418312.32298509002</v>
      </c>
      <c r="CC52" s="164">
        <v>409810.2337848742</v>
      </c>
      <c r="CD52" s="164">
        <v>411334.84280373016</v>
      </c>
      <c r="CE52" s="164">
        <v>413118.726759037</v>
      </c>
      <c r="CF52" s="164">
        <v>408284.7854693706</v>
      </c>
      <c r="CG52" s="164">
        <v>408210.29552648833</v>
      </c>
      <c r="CH52" s="164">
        <v>411355.22411205643</v>
      </c>
      <c r="CI52" s="164">
        <v>414998.95588853676</v>
      </c>
      <c r="CJ52" s="164">
        <v>420162.91707200051</v>
      </c>
      <c r="CK52" s="164">
        <v>417861.6664119091</v>
      </c>
      <c r="CL52" s="164">
        <v>417538.24736722454</v>
      </c>
      <c r="CM52" s="164">
        <v>419501.26862938714</v>
      </c>
      <c r="CN52" s="164">
        <v>422242.57889364951</v>
      </c>
      <c r="CO52" s="164">
        <v>420659.44246949913</v>
      </c>
      <c r="CP52" s="164">
        <v>431854.14441803261</v>
      </c>
      <c r="CQ52" s="164">
        <v>437745.82835771621</v>
      </c>
      <c r="CR52" s="164">
        <v>438085.45339373196</v>
      </c>
      <c r="CS52" s="164">
        <v>435641.13726076647</v>
      </c>
      <c r="CT52" s="164">
        <v>437543.56693863496</v>
      </c>
      <c r="CU52" s="164">
        <v>434896.66525239084</v>
      </c>
      <c r="CV52" s="164">
        <v>438645.79286807741</v>
      </c>
      <c r="CW52" s="164">
        <v>445127.61354573042</v>
      </c>
      <c r="CX52" s="164">
        <v>439151.8278160647</v>
      </c>
      <c r="CY52" s="164">
        <v>447696.41991047864</v>
      </c>
      <c r="CZ52" s="164">
        <v>455083.13499532134</v>
      </c>
      <c r="DA52" s="164">
        <v>449977.45894831209</v>
      </c>
      <c r="DB52" s="164">
        <v>454015.84530202148</v>
      </c>
      <c r="DC52" s="164">
        <v>454190.78123609524</v>
      </c>
      <c r="DD52" s="164">
        <v>454882.68842526473</v>
      </c>
      <c r="DE52" s="164">
        <v>459351.36548958201</v>
      </c>
      <c r="DF52" s="164">
        <v>458939.01248369756</v>
      </c>
      <c r="DG52" s="164">
        <v>464527.96994986956</v>
      </c>
      <c r="DH52" s="164">
        <v>464144.84813985118</v>
      </c>
      <c r="DI52" s="164">
        <v>468965.47283334041</v>
      </c>
      <c r="DJ52" s="164">
        <v>471681.55436881317</v>
      </c>
      <c r="DK52" s="164">
        <v>477204.31823043991</v>
      </c>
      <c r="DL52" s="164">
        <v>478400.86147888104</v>
      </c>
      <c r="DM52" s="164">
        <v>481904.16058688215</v>
      </c>
      <c r="DN52" s="164">
        <v>486149.80898323591</v>
      </c>
      <c r="DO52" s="164">
        <v>486960.89213428122</v>
      </c>
      <c r="DP52" s="164">
        <v>489426.76461272768</v>
      </c>
      <c r="DQ52" s="164">
        <v>495280.55354361341</v>
      </c>
      <c r="DR52" s="164">
        <v>496425.66980248305</v>
      </c>
      <c r="DS52" s="164">
        <v>492212.07592749252</v>
      </c>
      <c r="DT52" s="164">
        <v>495645.72407105454</v>
      </c>
      <c r="DU52" s="164">
        <v>502644.42678486818</v>
      </c>
      <c r="DV52" s="164">
        <v>502582.17119695008</v>
      </c>
      <c r="DW52" s="164">
        <v>505830.46994406736</v>
      </c>
      <c r="DX52" s="164">
        <v>507984.31835709297</v>
      </c>
      <c r="DY52" s="164">
        <v>505871.6088069235</v>
      </c>
      <c r="DZ52" s="164">
        <v>500395.58546714834</v>
      </c>
      <c r="EA52" s="164">
        <v>532072.54937940149</v>
      </c>
      <c r="EB52" s="164">
        <v>531744.1441203549</v>
      </c>
      <c r="EC52" s="164">
        <v>533239.04807505291</v>
      </c>
      <c r="ED52" s="164">
        <v>545224.34204658028</v>
      </c>
      <c r="EE52" s="164">
        <v>535927.36758797616</v>
      </c>
      <c r="EF52" s="164">
        <v>529364.44027006987</v>
      </c>
      <c r="EG52" s="164">
        <v>573214.57786224014</v>
      </c>
      <c r="EH52" s="164">
        <v>578157.13351260382</v>
      </c>
      <c r="EI52" s="164">
        <v>592710.82865853282</v>
      </c>
    </row>
    <row r="53" spans="1:139" s="168" customFormat="1" ht="17.100000000000001" customHeight="1" x14ac:dyDescent="0.25">
      <c r="A53" s="166" t="s">
        <v>267</v>
      </c>
      <c r="B53" s="167">
        <v>279157.43526341411</v>
      </c>
      <c r="C53" s="167">
        <v>279902.18730475899</v>
      </c>
      <c r="D53" s="167">
        <v>282179.07488706929</v>
      </c>
      <c r="E53" s="167">
        <v>284293.81727101858</v>
      </c>
      <c r="F53" s="167">
        <v>296063.50983825832</v>
      </c>
      <c r="G53" s="167">
        <v>299764.75971159729</v>
      </c>
      <c r="H53" s="167">
        <v>296640.42558030994</v>
      </c>
      <c r="I53" s="167">
        <v>300612.49926796101</v>
      </c>
      <c r="J53" s="167">
        <v>299807.49843978829</v>
      </c>
      <c r="K53" s="167">
        <v>303317.11869252037</v>
      </c>
      <c r="L53" s="167">
        <v>303677.90454960323</v>
      </c>
      <c r="M53" s="167">
        <v>308854.78865813423</v>
      </c>
      <c r="N53" s="167">
        <v>308512.13633570098</v>
      </c>
      <c r="O53" s="167">
        <v>311686.10395471088</v>
      </c>
      <c r="P53" s="167">
        <v>308500.08114763151</v>
      </c>
      <c r="Q53" s="167">
        <v>314422.51627656462</v>
      </c>
      <c r="R53" s="167">
        <v>316255.17832025024</v>
      </c>
      <c r="S53" s="167">
        <v>321674.97265262768</v>
      </c>
      <c r="T53" s="167">
        <v>324724.43733242183</v>
      </c>
      <c r="U53" s="167">
        <v>328612.74738128798</v>
      </c>
      <c r="V53" s="167">
        <v>332325.67400211346</v>
      </c>
      <c r="W53" s="167">
        <v>340868.64420603361</v>
      </c>
      <c r="X53" s="167">
        <v>342247.0393485669</v>
      </c>
      <c r="Y53" s="167">
        <v>341302.03157849319</v>
      </c>
      <c r="Z53" s="167">
        <v>339250.52614897164</v>
      </c>
      <c r="AA53" s="167">
        <v>340559.42007212853</v>
      </c>
      <c r="AB53" s="167">
        <v>346267.88169898256</v>
      </c>
      <c r="AC53" s="167">
        <v>351086.9632465397</v>
      </c>
      <c r="AD53" s="167">
        <v>358110.97389489633</v>
      </c>
      <c r="AE53" s="167">
        <v>367426.84619048331</v>
      </c>
      <c r="AF53" s="167">
        <v>368866.51602499024</v>
      </c>
      <c r="AG53" s="167">
        <v>371601.85832135467</v>
      </c>
      <c r="AH53" s="167">
        <v>376240.38390320144</v>
      </c>
      <c r="AI53" s="167">
        <v>380541.05354163493</v>
      </c>
      <c r="AJ53" s="167">
        <v>380895.71790494595</v>
      </c>
      <c r="AK53" s="167">
        <v>391021.90605307504</v>
      </c>
      <c r="AL53" s="167">
        <v>390670.56807425956</v>
      </c>
      <c r="AM53" s="167">
        <v>399383.58689828473</v>
      </c>
      <c r="AN53" s="167">
        <v>397812.20158805215</v>
      </c>
      <c r="AO53" s="167">
        <v>400652.288198361</v>
      </c>
      <c r="AP53" s="167">
        <v>395570.1655857031</v>
      </c>
      <c r="AQ53" s="167">
        <v>395942.4653156143</v>
      </c>
      <c r="AR53" s="167">
        <v>410710.68947570119</v>
      </c>
      <c r="AS53" s="167">
        <v>434803.77510363708</v>
      </c>
      <c r="AT53" s="167">
        <v>438731.62484525511</v>
      </c>
      <c r="AU53" s="167">
        <v>432771.08952404722</v>
      </c>
      <c r="AV53" s="167">
        <v>438650.54830013338</v>
      </c>
      <c r="AW53" s="167">
        <v>448174.55755044171</v>
      </c>
      <c r="AX53" s="167">
        <v>432659.16859272547</v>
      </c>
      <c r="AY53" s="167">
        <v>435872.06325177965</v>
      </c>
      <c r="AZ53" s="167">
        <v>438794.36667353788</v>
      </c>
      <c r="BA53" s="167">
        <v>436791.86512686452</v>
      </c>
      <c r="BB53" s="167">
        <v>433904.5213141999</v>
      </c>
      <c r="BC53" s="167">
        <v>426481.2387282523</v>
      </c>
      <c r="BD53" s="167">
        <v>424753.43668848957</v>
      </c>
      <c r="BE53" s="167">
        <v>422782.09021782031</v>
      </c>
      <c r="BF53" s="167">
        <v>424432.75786045159</v>
      </c>
      <c r="BG53" s="167">
        <v>433513.12745475303</v>
      </c>
      <c r="BH53" s="167">
        <v>445774.56219515996</v>
      </c>
      <c r="BI53" s="167">
        <v>446806.05883179465</v>
      </c>
      <c r="BJ53" s="167">
        <v>448085.98648171197</v>
      </c>
      <c r="BK53" s="167">
        <v>453039.65448491456</v>
      </c>
      <c r="BL53" s="167">
        <v>462016.85014535347</v>
      </c>
      <c r="BM53" s="167">
        <v>453100.31442233926</v>
      </c>
      <c r="BN53" s="167">
        <v>455669.89973050688</v>
      </c>
      <c r="BO53" s="167">
        <v>460964.5935237924</v>
      </c>
      <c r="BP53" s="167">
        <v>457660.44371404522</v>
      </c>
      <c r="BQ53" s="167">
        <v>468206.30692897696</v>
      </c>
      <c r="BR53" s="167">
        <v>470299.62216953328</v>
      </c>
      <c r="BS53" s="167">
        <v>472536.80479119642</v>
      </c>
      <c r="BT53" s="167">
        <v>474021.19892477209</v>
      </c>
      <c r="BU53" s="167">
        <v>476653</v>
      </c>
      <c r="BV53" s="167">
        <v>484602.153918611</v>
      </c>
      <c r="BW53" s="167">
        <v>485210.16754143097</v>
      </c>
      <c r="BX53" s="167">
        <v>482473.0677796384</v>
      </c>
      <c r="BY53" s="167">
        <v>479939.84246103466</v>
      </c>
      <c r="BZ53" s="167">
        <v>484278.42892441922</v>
      </c>
      <c r="CA53" s="167">
        <v>485682.31561199401</v>
      </c>
      <c r="CB53" s="167">
        <v>494959.98925428465</v>
      </c>
      <c r="CC53" s="167">
        <v>490557.70254904934</v>
      </c>
      <c r="CD53" s="167">
        <v>492756.66421073349</v>
      </c>
      <c r="CE53" s="167">
        <v>498814.65388811496</v>
      </c>
      <c r="CF53" s="167">
        <v>491972.63440915453</v>
      </c>
      <c r="CG53" s="167">
        <v>493257.65025893244</v>
      </c>
      <c r="CH53" s="167">
        <v>496011.54680278362</v>
      </c>
      <c r="CI53" s="167">
        <v>514307.84099540894</v>
      </c>
      <c r="CJ53" s="167">
        <v>524925.86482610484</v>
      </c>
      <c r="CK53" s="167">
        <v>526534.85519275744</v>
      </c>
      <c r="CL53" s="167">
        <v>531459.77368965582</v>
      </c>
      <c r="CM53" s="167">
        <v>527659.30703998427</v>
      </c>
      <c r="CN53" s="167">
        <v>537994.44982198614</v>
      </c>
      <c r="CO53" s="167">
        <v>545705.0412664722</v>
      </c>
      <c r="CP53" s="167">
        <v>567563.59450722288</v>
      </c>
      <c r="CQ53" s="167">
        <v>574189.3559938916</v>
      </c>
      <c r="CR53" s="167">
        <v>573860.87205769948</v>
      </c>
      <c r="CS53" s="167">
        <v>574578.40198468533</v>
      </c>
      <c r="CT53" s="167">
        <v>583680.55471354502</v>
      </c>
      <c r="CU53" s="167">
        <v>583098.36868937209</v>
      </c>
      <c r="CV53" s="167">
        <v>577241.27465947845</v>
      </c>
      <c r="CW53" s="167">
        <v>578738.99286224239</v>
      </c>
      <c r="CX53" s="167">
        <v>514884.2030490422</v>
      </c>
      <c r="CY53" s="167">
        <v>520770.48671654286</v>
      </c>
      <c r="CZ53" s="167">
        <v>525233.75709515286</v>
      </c>
      <c r="DA53" s="167">
        <v>521236.10866409529</v>
      </c>
      <c r="DB53" s="167">
        <v>526450.08549827454</v>
      </c>
      <c r="DC53" s="167">
        <v>528507.15049697482</v>
      </c>
      <c r="DD53" s="167">
        <v>532504.71843454451</v>
      </c>
      <c r="DE53" s="167">
        <v>535595.34332503891</v>
      </c>
      <c r="DF53" s="167">
        <v>537435.03660130629</v>
      </c>
      <c r="DG53" s="167">
        <v>544408.05608472717</v>
      </c>
      <c r="DH53" s="167">
        <v>546452.15534119459</v>
      </c>
      <c r="DI53" s="167">
        <v>551405.17527963209</v>
      </c>
      <c r="DJ53" s="167">
        <v>556514.24032124865</v>
      </c>
      <c r="DK53" s="167">
        <v>559315.16579802474</v>
      </c>
      <c r="DL53" s="167">
        <v>560316.61627336999</v>
      </c>
      <c r="DM53" s="167">
        <v>566314.99988263834</v>
      </c>
      <c r="DN53" s="167">
        <v>569585.84295182757</v>
      </c>
      <c r="DO53" s="167">
        <v>572947.61443394539</v>
      </c>
      <c r="DP53" s="167">
        <v>580946.77017233381</v>
      </c>
      <c r="DQ53" s="167">
        <v>568231.20749208983</v>
      </c>
      <c r="DR53" s="167">
        <v>577470.58963284642</v>
      </c>
      <c r="DS53" s="167">
        <v>579449.06567024486</v>
      </c>
      <c r="DT53" s="167">
        <v>590893.29062382132</v>
      </c>
      <c r="DU53" s="167">
        <v>606617.82903432159</v>
      </c>
      <c r="DV53" s="167">
        <v>618478.67383789143</v>
      </c>
      <c r="DW53" s="167">
        <v>615619.1752611004</v>
      </c>
      <c r="DX53" s="167">
        <v>612042.03886945278</v>
      </c>
      <c r="DY53" s="167">
        <v>575645.0019402256</v>
      </c>
      <c r="DZ53" s="167">
        <v>565342.60263368802</v>
      </c>
      <c r="EA53" s="167">
        <v>601140.60929480777</v>
      </c>
      <c r="EB53" s="167">
        <v>606637.00377823273</v>
      </c>
      <c r="EC53" s="167">
        <v>612902.89043286897</v>
      </c>
      <c r="ED53" s="167">
        <v>629590.50231638458</v>
      </c>
      <c r="EE53" s="167">
        <v>624614.17777942051</v>
      </c>
      <c r="EF53" s="167">
        <v>614101.8384886795</v>
      </c>
      <c r="EG53" s="167">
        <v>678156.26882610808</v>
      </c>
      <c r="EH53" s="167">
        <v>689030.49952952284</v>
      </c>
      <c r="EI53" s="167">
        <v>697522.58294174657</v>
      </c>
    </row>
    <row r="54" spans="1:139" s="168" customFormat="1" ht="17.100000000000001" customHeight="1" x14ac:dyDescent="0.25">
      <c r="A54" s="166" t="s">
        <v>268</v>
      </c>
      <c r="B54" s="167">
        <v>355259.36110940948</v>
      </c>
      <c r="C54" s="167">
        <v>359674.52067542169</v>
      </c>
      <c r="D54" s="167">
        <v>365534.08899271872</v>
      </c>
      <c r="E54" s="167">
        <v>350076.45939386607</v>
      </c>
      <c r="F54" s="167">
        <v>408376.12498644798</v>
      </c>
      <c r="G54" s="167">
        <v>402112.53101963754</v>
      </c>
      <c r="H54" s="167">
        <v>364656.03892779577</v>
      </c>
      <c r="I54" s="167">
        <v>393066.9151664619</v>
      </c>
      <c r="J54" s="167">
        <v>390537.62147691939</v>
      </c>
      <c r="K54" s="167">
        <v>391457.11670130375</v>
      </c>
      <c r="L54" s="167">
        <v>402942.5897299879</v>
      </c>
      <c r="M54" s="167">
        <v>404649.15065369115</v>
      </c>
      <c r="N54" s="167">
        <v>407823.63352837315</v>
      </c>
      <c r="O54" s="167">
        <v>405056.79783523042</v>
      </c>
      <c r="P54" s="167">
        <v>373076.22365200013</v>
      </c>
      <c r="Q54" s="167">
        <v>392324.13765174814</v>
      </c>
      <c r="R54" s="167">
        <v>385746.33193663164</v>
      </c>
      <c r="S54" s="167">
        <v>414087.30448866077</v>
      </c>
      <c r="T54" s="167">
        <v>403593.92227355641</v>
      </c>
      <c r="U54" s="167">
        <v>386969.89630842878</v>
      </c>
      <c r="V54" s="167">
        <v>395351.35688924079</v>
      </c>
      <c r="W54" s="167">
        <v>405087.09893024142</v>
      </c>
      <c r="X54" s="167">
        <v>454427.65861462167</v>
      </c>
      <c r="Y54" s="167">
        <v>392520.47702801961</v>
      </c>
      <c r="Z54" s="167">
        <v>369105.09290209634</v>
      </c>
      <c r="AA54" s="167">
        <v>376955.9310288633</v>
      </c>
      <c r="AB54" s="167">
        <v>425700.47701899771</v>
      </c>
      <c r="AC54" s="167">
        <v>430723.86365939816</v>
      </c>
      <c r="AD54" s="167">
        <v>453051.42133272428</v>
      </c>
      <c r="AE54" s="167">
        <v>398191.58983318222</v>
      </c>
      <c r="AF54" s="167">
        <v>431310.64951476338</v>
      </c>
      <c r="AG54" s="167">
        <v>391798.35496846749</v>
      </c>
      <c r="AH54" s="167">
        <v>419472.37424158253</v>
      </c>
      <c r="AI54" s="167">
        <v>440473.73401755263</v>
      </c>
      <c r="AJ54" s="167">
        <v>440983.94812166237</v>
      </c>
      <c r="AK54" s="167">
        <v>446725.61739693565</v>
      </c>
      <c r="AL54" s="167">
        <v>474970.90923370438</v>
      </c>
      <c r="AM54" s="167">
        <v>426515.81480752374</v>
      </c>
      <c r="AN54" s="167">
        <v>445854.38320849871</v>
      </c>
      <c r="AO54" s="167">
        <v>460625.32765421644</v>
      </c>
      <c r="AP54" s="167">
        <v>488129.86957859132</v>
      </c>
      <c r="AQ54" s="167">
        <v>438688.48267435428</v>
      </c>
      <c r="AR54" s="167">
        <v>465953.60966626892</v>
      </c>
      <c r="AS54" s="167">
        <v>471795.70692158758</v>
      </c>
      <c r="AT54" s="167">
        <v>470230.33461851074</v>
      </c>
      <c r="AU54" s="167">
        <v>455486.54418138292</v>
      </c>
      <c r="AV54" s="167">
        <v>459880.23395209498</v>
      </c>
      <c r="AW54" s="167">
        <v>478865.71640516765</v>
      </c>
      <c r="AX54" s="167">
        <v>439097.77532928227</v>
      </c>
      <c r="AY54" s="167">
        <v>441269.8403915122</v>
      </c>
      <c r="AZ54" s="167">
        <v>438692.91461748979</v>
      </c>
      <c r="BA54" s="167">
        <v>460236.83889744111</v>
      </c>
      <c r="BB54" s="167">
        <v>442676.74993058713</v>
      </c>
      <c r="BC54" s="167">
        <v>430266.48893325822</v>
      </c>
      <c r="BD54" s="167">
        <v>439363.15186964103</v>
      </c>
      <c r="BE54" s="167">
        <v>452836.70265660645</v>
      </c>
      <c r="BF54" s="167">
        <v>485583.09844426496</v>
      </c>
      <c r="BG54" s="167">
        <v>526195.34385628253</v>
      </c>
      <c r="BH54" s="167">
        <v>496675.90007366199</v>
      </c>
      <c r="BI54" s="167">
        <v>507072.70740943949</v>
      </c>
      <c r="BJ54" s="167">
        <v>524258.49610627926</v>
      </c>
      <c r="BK54" s="167">
        <v>533757.07369569398</v>
      </c>
      <c r="BL54" s="167">
        <v>609082.18579530215</v>
      </c>
      <c r="BM54" s="167">
        <v>610314.7623422672</v>
      </c>
      <c r="BN54" s="167">
        <v>577098.77235605102</v>
      </c>
      <c r="BO54" s="167">
        <v>562413.7520863933</v>
      </c>
      <c r="BP54" s="167">
        <v>567268.13910522393</v>
      </c>
      <c r="BQ54" s="167">
        <v>552711.18938686117</v>
      </c>
      <c r="BR54" s="167">
        <v>552327.72718493198</v>
      </c>
      <c r="BS54" s="167">
        <v>575446.41010124655</v>
      </c>
      <c r="BT54" s="167">
        <v>555028.7250735925</v>
      </c>
      <c r="BU54" s="167">
        <v>567680</v>
      </c>
      <c r="BV54" s="167">
        <v>580216.77243797912</v>
      </c>
      <c r="BW54" s="167">
        <v>578562.26508637541</v>
      </c>
      <c r="BX54" s="167">
        <v>547518.84099356248</v>
      </c>
      <c r="BY54" s="167">
        <v>558322.94204278337</v>
      </c>
      <c r="BZ54" s="167">
        <v>552651.4970955078</v>
      </c>
      <c r="CA54" s="167">
        <v>560481.05852742586</v>
      </c>
      <c r="CB54" s="167">
        <v>570468.77005060739</v>
      </c>
      <c r="CC54" s="167">
        <v>576648.32861637149</v>
      </c>
      <c r="CD54" s="167">
        <v>572210.03967018984</v>
      </c>
      <c r="CE54" s="167">
        <v>572673.71392348432</v>
      </c>
      <c r="CF54" s="167">
        <v>602463.71168242232</v>
      </c>
      <c r="CG54" s="167">
        <v>564619.41641323874</v>
      </c>
      <c r="CH54" s="167">
        <v>565487.72895225766</v>
      </c>
      <c r="CI54" s="167">
        <v>579629.63135974342</v>
      </c>
      <c r="CJ54" s="167">
        <v>605302.05896330334</v>
      </c>
      <c r="CK54" s="167">
        <v>591654.14229416894</v>
      </c>
      <c r="CL54" s="167">
        <v>599865.68221058906</v>
      </c>
      <c r="CM54" s="167">
        <v>613298.92116443929</v>
      </c>
      <c r="CN54" s="167">
        <v>623293.49414493178</v>
      </c>
      <c r="CO54" s="167">
        <v>590351.65671024844</v>
      </c>
      <c r="CP54" s="167">
        <v>616886.54367419053</v>
      </c>
      <c r="CQ54" s="167">
        <v>600412.36316587124</v>
      </c>
      <c r="CR54" s="167">
        <v>634564.2896325558</v>
      </c>
      <c r="CS54" s="167">
        <v>619408.35522614198</v>
      </c>
      <c r="CT54" s="167">
        <v>615864.01694600936</v>
      </c>
      <c r="CU54" s="167">
        <v>614374.76992208359</v>
      </c>
      <c r="CV54" s="167">
        <v>630986.07158521377</v>
      </c>
      <c r="CW54" s="167">
        <v>618238.20334119699</v>
      </c>
      <c r="CX54" s="167">
        <v>584156.42194773233</v>
      </c>
      <c r="CY54" s="167">
        <v>590753.77780053939</v>
      </c>
      <c r="CZ54" s="167">
        <v>588240.20044339471</v>
      </c>
      <c r="DA54" s="167">
        <v>584139.2273160402</v>
      </c>
      <c r="DB54" s="167">
        <v>561003.35230613092</v>
      </c>
      <c r="DC54" s="167">
        <v>587039.63923268137</v>
      </c>
      <c r="DD54" s="167">
        <v>563522.24029562809</v>
      </c>
      <c r="DE54" s="167">
        <v>551379.29385430424</v>
      </c>
      <c r="DF54" s="167">
        <v>538265.32248170185</v>
      </c>
      <c r="DG54" s="167">
        <v>596939.8629526447</v>
      </c>
      <c r="DH54" s="167">
        <v>564195.45932845725</v>
      </c>
      <c r="DI54" s="167">
        <v>587860.06781915366</v>
      </c>
      <c r="DJ54" s="167">
        <v>579482.4201452682</v>
      </c>
      <c r="DK54" s="167">
        <v>579531.65175247216</v>
      </c>
      <c r="DL54" s="167">
        <v>617116.66324948857</v>
      </c>
      <c r="DM54" s="167">
        <v>597153.703205853</v>
      </c>
      <c r="DN54" s="167">
        <v>607794.06939170428</v>
      </c>
      <c r="DO54" s="167">
        <v>623038.66895031475</v>
      </c>
      <c r="DP54" s="167">
        <v>682489.76817643747</v>
      </c>
      <c r="DQ54" s="167">
        <v>613730.03626431699</v>
      </c>
      <c r="DR54" s="167">
        <v>630143.02979571314</v>
      </c>
      <c r="DS54" s="167">
        <v>629732.53170248412</v>
      </c>
      <c r="DT54" s="167">
        <v>636857.30380698736</v>
      </c>
      <c r="DU54" s="167">
        <v>645761.15132664389</v>
      </c>
      <c r="DV54" s="167">
        <v>652539.00094071496</v>
      </c>
      <c r="DW54" s="167">
        <v>681299.79845151189</v>
      </c>
      <c r="DX54" s="167">
        <v>660150.72596627683</v>
      </c>
      <c r="DY54" s="167">
        <v>699765.94464311143</v>
      </c>
      <c r="DZ54" s="167">
        <v>692721.80575566413</v>
      </c>
      <c r="EA54" s="167">
        <v>638391.96242675604</v>
      </c>
      <c r="EB54" s="167">
        <v>657744.20349492971</v>
      </c>
      <c r="EC54" s="167">
        <v>662969.3726288029</v>
      </c>
      <c r="ED54" s="167">
        <v>679764.11751246767</v>
      </c>
      <c r="EE54" s="167">
        <v>725243.88095195964</v>
      </c>
      <c r="EF54" s="167">
        <v>747894.63634676964</v>
      </c>
      <c r="EG54" s="167">
        <v>692608.52018053562</v>
      </c>
      <c r="EH54" s="167">
        <v>751128.16141818557</v>
      </c>
      <c r="EI54" s="167">
        <v>754112.17304018105</v>
      </c>
    </row>
    <row r="55" spans="1:139" ht="17.100000000000001" customHeight="1" x14ac:dyDescent="0.25">
      <c r="A55" s="160"/>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row>
    <row r="56" spans="1:139" ht="17.100000000000001" customHeight="1" x14ac:dyDescent="0.25">
      <c r="A56" s="166" t="s">
        <v>269</v>
      </c>
      <c r="B56" s="167">
        <v>279735.10531540611</v>
      </c>
      <c r="C56" s="167">
        <v>280832.71616430732</v>
      </c>
      <c r="D56" s="167">
        <v>281427.58380275627</v>
      </c>
      <c r="E56" s="167">
        <v>282053.88717788766</v>
      </c>
      <c r="F56" s="167">
        <v>286161.75081736082</v>
      </c>
      <c r="G56" s="167">
        <v>286852.74157677876</v>
      </c>
      <c r="H56" s="167">
        <v>281980.74913940526</v>
      </c>
      <c r="I56" s="167">
        <v>282105.32767522562</v>
      </c>
      <c r="J56" s="167">
        <v>283581.44315563818</v>
      </c>
      <c r="K56" s="167">
        <v>287418.95498439157</v>
      </c>
      <c r="L56" s="167">
        <v>288135.77511421102</v>
      </c>
      <c r="M56" s="167">
        <v>300231.38741758827</v>
      </c>
      <c r="N56" s="167">
        <v>298556.62578708358</v>
      </c>
      <c r="O56" s="167">
        <v>298369.33004481444</v>
      </c>
      <c r="P56" s="167">
        <v>298155.49753263145</v>
      </c>
      <c r="Q56" s="167">
        <v>299059.78403224458</v>
      </c>
      <c r="R56" s="167">
        <v>299494.6394816144</v>
      </c>
      <c r="S56" s="167">
        <v>306227.71741607366</v>
      </c>
      <c r="T56" s="167">
        <v>305393.34314475307</v>
      </c>
      <c r="U56" s="167">
        <v>308770.06989294133</v>
      </c>
      <c r="V56" s="167">
        <v>309120.82380339794</v>
      </c>
      <c r="W56" s="167">
        <v>309586.03971583769</v>
      </c>
      <c r="X56" s="167">
        <v>312758.67268372775</v>
      </c>
      <c r="Y56" s="167">
        <v>319536.66994800232</v>
      </c>
      <c r="Z56" s="167">
        <v>318174.79569418321</v>
      </c>
      <c r="AA56" s="167">
        <v>318311.51350059046</v>
      </c>
      <c r="AB56" s="167">
        <v>321028.13302254636</v>
      </c>
      <c r="AC56" s="167">
        <v>321243.46464984748</v>
      </c>
      <c r="AD56" s="167">
        <v>323994.44183545001</v>
      </c>
      <c r="AE56" s="167">
        <v>327851.0242175223</v>
      </c>
      <c r="AF56" s="167">
        <v>328873.35024287179</v>
      </c>
      <c r="AG56" s="167">
        <v>329210.58830269566</v>
      </c>
      <c r="AH56" s="167">
        <v>331263.67529123981</v>
      </c>
      <c r="AI56" s="167">
        <v>334358.44301515532</v>
      </c>
      <c r="AJ56" s="167">
        <v>336572.52553336322</v>
      </c>
      <c r="AK56" s="167">
        <v>345617.19551340822</v>
      </c>
      <c r="AL56" s="167">
        <v>340908.92052914313</v>
      </c>
      <c r="AM56" s="167">
        <v>344826.53440251609</v>
      </c>
      <c r="AN56" s="167">
        <v>348245.69090443768</v>
      </c>
      <c r="AO56" s="167">
        <v>346565.10847846698</v>
      </c>
      <c r="AP56" s="167">
        <v>346711.64590246277</v>
      </c>
      <c r="AQ56" s="167">
        <v>351375.8188580295</v>
      </c>
      <c r="AR56" s="167">
        <v>352944.69968920399</v>
      </c>
      <c r="AS56" s="167">
        <v>351417.83862996544</v>
      </c>
      <c r="AT56" s="167">
        <v>350499.23615290475</v>
      </c>
      <c r="AU56" s="167">
        <v>349810.86009880243</v>
      </c>
      <c r="AV56" s="167">
        <v>354693.08322884847</v>
      </c>
      <c r="AW56" s="167">
        <v>365608.73772902408</v>
      </c>
      <c r="AX56" s="167">
        <v>364980.69233736559</v>
      </c>
      <c r="AY56" s="167">
        <v>369066.69688267616</v>
      </c>
      <c r="AZ56" s="167">
        <v>371778.39312112681</v>
      </c>
      <c r="BA56" s="167">
        <v>372675.47367760952</v>
      </c>
      <c r="BB56" s="167">
        <v>374448.43718937901</v>
      </c>
      <c r="BC56" s="167">
        <v>378456.25837457669</v>
      </c>
      <c r="BD56" s="167">
        <v>377725.22592014016</v>
      </c>
      <c r="BE56" s="167">
        <v>379201.6061837934</v>
      </c>
      <c r="BF56" s="167">
        <v>379536.06867122138</v>
      </c>
      <c r="BG56" s="167">
        <v>386009.67288569768</v>
      </c>
      <c r="BH56" s="167">
        <v>389293.57228882512</v>
      </c>
      <c r="BI56" s="167">
        <v>397556.54743014241</v>
      </c>
      <c r="BJ56" s="167">
        <v>399865.77736164053</v>
      </c>
      <c r="BK56" s="167">
        <v>404452.45097584801</v>
      </c>
      <c r="BL56" s="167">
        <v>410915.24788448901</v>
      </c>
      <c r="BM56" s="167">
        <v>410066.84698475106</v>
      </c>
      <c r="BN56" s="167">
        <v>411917.76295781811</v>
      </c>
      <c r="BO56" s="167">
        <v>418402.10404157941</v>
      </c>
      <c r="BP56" s="167">
        <v>420266.19606512645</v>
      </c>
      <c r="BQ56" s="167">
        <v>425740.73306717828</v>
      </c>
      <c r="BR56" s="167">
        <v>423801.82017970318</v>
      </c>
      <c r="BS56" s="167">
        <v>428368.77910129959</v>
      </c>
      <c r="BT56" s="167">
        <v>431628.14552528458</v>
      </c>
      <c r="BU56" s="167">
        <v>437999</v>
      </c>
      <c r="BV56" s="167">
        <v>441887.17765523668</v>
      </c>
      <c r="BW56" s="167">
        <v>442606.92125446931</v>
      </c>
      <c r="BX56" s="167">
        <v>442449.85457323794</v>
      </c>
      <c r="BY56" s="167">
        <v>446911.85781437054</v>
      </c>
      <c r="BZ56" s="167">
        <v>449648.89126058272</v>
      </c>
      <c r="CA56" s="167">
        <v>454966.19312587637</v>
      </c>
      <c r="CB56" s="167">
        <v>461117.73776384653</v>
      </c>
      <c r="CC56" s="167">
        <v>461430.80908152496</v>
      </c>
      <c r="CD56" s="167">
        <v>461720.45506848267</v>
      </c>
      <c r="CE56" s="167">
        <v>467628.51267994742</v>
      </c>
      <c r="CF56" s="167">
        <v>466181.98963053362</v>
      </c>
      <c r="CG56" s="167">
        <v>477788.9123658007</v>
      </c>
      <c r="CH56" s="167">
        <v>482530.18293943547</v>
      </c>
      <c r="CI56" s="167">
        <v>484802.9440699215</v>
      </c>
      <c r="CJ56" s="167">
        <v>485070.61657241185</v>
      </c>
      <c r="CK56" s="167">
        <v>486422.52761427267</v>
      </c>
      <c r="CL56" s="167">
        <v>493022.68238882185</v>
      </c>
      <c r="CM56" s="167">
        <v>491497.02935467474</v>
      </c>
      <c r="CN56" s="167">
        <v>494871.72102887125</v>
      </c>
      <c r="CO56" s="167">
        <v>496265.33256421401</v>
      </c>
      <c r="CP56" s="167">
        <v>514343.5804290087</v>
      </c>
      <c r="CQ56" s="167">
        <v>508989.0330164819</v>
      </c>
      <c r="CR56" s="167">
        <v>508936.52725764248</v>
      </c>
      <c r="CS56" s="167">
        <v>522082.88855707517</v>
      </c>
      <c r="CT56" s="167">
        <v>517698.19551605918</v>
      </c>
      <c r="CU56" s="167">
        <v>525005.68763654598</v>
      </c>
      <c r="CV56" s="167">
        <v>529215.21339422092</v>
      </c>
      <c r="CW56" s="167">
        <v>533321.65716028935</v>
      </c>
      <c r="CX56" s="167">
        <v>532406.12408800703</v>
      </c>
      <c r="CY56" s="167">
        <v>537637.90350697201</v>
      </c>
      <c r="CZ56" s="167">
        <v>533730.18510533078</v>
      </c>
      <c r="DA56" s="167">
        <v>536045.54619934538</v>
      </c>
      <c r="DB56" s="167">
        <v>537076.40459591278</v>
      </c>
      <c r="DC56" s="167">
        <v>544713.22111905226</v>
      </c>
      <c r="DD56" s="167">
        <v>547078.01010348136</v>
      </c>
      <c r="DE56" s="167">
        <v>554892.69632883591</v>
      </c>
      <c r="DF56" s="167">
        <v>554908.23577923025</v>
      </c>
      <c r="DG56" s="167">
        <v>559637.26738361525</v>
      </c>
      <c r="DH56" s="167">
        <v>562978.93241245952</v>
      </c>
      <c r="DI56" s="167">
        <v>565338.49062105222</v>
      </c>
      <c r="DJ56" s="167">
        <v>564329.58136491186</v>
      </c>
      <c r="DK56" s="167">
        <v>571821.25441540615</v>
      </c>
      <c r="DL56" s="167">
        <v>574711.70473376976</v>
      </c>
      <c r="DM56" s="167">
        <v>573609.46124614426</v>
      </c>
      <c r="DN56" s="167">
        <v>576579.80937112018</v>
      </c>
      <c r="DO56" s="167">
        <v>586220.94557105831</v>
      </c>
      <c r="DP56" s="167">
        <v>592579.06939322909</v>
      </c>
      <c r="DQ56" s="167">
        <v>601973.23458341032</v>
      </c>
      <c r="DR56" s="167">
        <v>604264.3816984446</v>
      </c>
      <c r="DS56" s="167">
        <v>612966.7983084236</v>
      </c>
      <c r="DT56" s="167">
        <v>623487.74252911494</v>
      </c>
      <c r="DU56" s="167">
        <v>634874.85028223682</v>
      </c>
      <c r="DV56" s="167">
        <v>640638.51830001222</v>
      </c>
      <c r="DW56" s="167">
        <v>644329.59710239829</v>
      </c>
      <c r="DX56" s="167">
        <v>645173.52177810227</v>
      </c>
      <c r="DY56" s="167">
        <v>646149.29340344621</v>
      </c>
      <c r="DZ56" s="167">
        <v>655899.11789156613</v>
      </c>
      <c r="EA56" s="167">
        <v>693565.16370723839</v>
      </c>
      <c r="EB56" s="167">
        <v>694772.90107514313</v>
      </c>
      <c r="EC56" s="167">
        <v>703592.72573349951</v>
      </c>
      <c r="ED56" s="167">
        <v>708184.36570888816</v>
      </c>
      <c r="EE56" s="167">
        <v>710613.30748368683</v>
      </c>
      <c r="EF56" s="167">
        <v>710709.8397626722</v>
      </c>
      <c r="EG56" s="167">
        <v>763284.38256650825</v>
      </c>
      <c r="EH56" s="167">
        <v>765919.0235516103</v>
      </c>
      <c r="EI56" s="167">
        <v>765365.56867240334</v>
      </c>
    </row>
    <row r="57" spans="1:139" ht="17.100000000000001" customHeight="1" thickBot="1" x14ac:dyDescent="0.3">
      <c r="A57" s="171"/>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72"/>
      <c r="CY57" s="172"/>
      <c r="CZ57" s="172"/>
      <c r="DA57" s="172"/>
      <c r="DB57" s="172"/>
      <c r="DC57" s="172"/>
      <c r="DD57" s="172"/>
      <c r="DE57" s="172"/>
      <c r="DF57" s="172"/>
      <c r="DG57" s="172"/>
      <c r="DH57" s="172"/>
      <c r="DI57" s="172"/>
      <c r="DJ57" s="172"/>
      <c r="DK57" s="172"/>
      <c r="DL57" s="172"/>
      <c r="DM57" s="172"/>
      <c r="DN57" s="172"/>
      <c r="DO57" s="172"/>
      <c r="DP57" s="172"/>
      <c r="DQ57" s="172"/>
      <c r="DR57" s="172"/>
      <c r="DS57" s="172"/>
      <c r="DT57" s="172"/>
      <c r="DU57" s="172"/>
      <c r="DV57" s="172"/>
      <c r="DW57" s="172"/>
      <c r="DX57" s="172"/>
      <c r="DY57" s="172"/>
      <c r="DZ57" s="172"/>
      <c r="EA57" s="172"/>
      <c r="EB57" s="172"/>
      <c r="EC57" s="172"/>
      <c r="ED57" s="172"/>
      <c r="EE57" s="172"/>
      <c r="EF57" s="172"/>
      <c r="EG57" s="172"/>
      <c r="EH57" s="172"/>
      <c r="EI57" s="172"/>
    </row>
    <row r="58" spans="1:139" s="165" customFormat="1" ht="15.75" customHeight="1" thickTop="1" x14ac:dyDescent="0.25">
      <c r="A58" s="165" t="s">
        <v>172</v>
      </c>
    </row>
    <row r="59" spans="1:139" s="165" customFormat="1" ht="15.75" customHeight="1" x14ac:dyDescent="0.25">
      <c r="A59" s="165" t="s">
        <v>270</v>
      </c>
    </row>
    <row r="60" spans="1:139" s="165" customFormat="1" ht="31.5" customHeight="1" x14ac:dyDescent="0.25">
      <c r="A60" s="3696" t="s">
        <v>924</v>
      </c>
      <c r="B60" s="3696"/>
      <c r="C60" s="3696"/>
      <c r="D60" s="3696"/>
      <c r="E60" s="3696"/>
      <c r="F60" s="3696"/>
      <c r="G60" s="3696"/>
      <c r="H60" s="3696"/>
      <c r="I60" s="3696"/>
      <c r="J60" s="3696"/>
      <c r="K60" s="3696"/>
      <c r="L60" s="3696"/>
      <c r="M60" s="3696"/>
      <c r="N60" s="3696"/>
      <c r="O60" s="3696"/>
      <c r="P60" s="3696"/>
      <c r="Q60" s="3696"/>
      <c r="R60" s="3696"/>
      <c r="S60" s="3696"/>
      <c r="T60" s="3696"/>
      <c r="U60" s="3696"/>
      <c r="V60" s="3696"/>
      <c r="W60" s="3696"/>
      <c r="X60" s="3696"/>
      <c r="Y60" s="3696"/>
      <c r="Z60" s="3696"/>
      <c r="AA60" s="3696"/>
      <c r="AB60" s="3696"/>
      <c r="AC60" s="3696"/>
      <c r="AD60" s="3696"/>
      <c r="AE60" s="3696"/>
      <c r="AF60" s="3696"/>
      <c r="AG60" s="3696"/>
      <c r="AH60" s="3696"/>
      <c r="AI60" s="3696"/>
      <c r="AJ60" s="3696"/>
      <c r="AK60" s="3696"/>
      <c r="AL60" s="3696"/>
      <c r="AM60" s="3696"/>
      <c r="AN60" s="3696"/>
      <c r="AO60" s="3696"/>
      <c r="AP60" s="3696"/>
      <c r="AQ60" s="3696"/>
      <c r="AR60" s="3696"/>
      <c r="AS60" s="3696"/>
      <c r="AT60" s="3696"/>
      <c r="AU60" s="3696"/>
      <c r="AV60" s="3696"/>
      <c r="AW60" s="3696"/>
      <c r="AX60" s="3696"/>
      <c r="AY60" s="3696"/>
      <c r="AZ60" s="3696"/>
      <c r="BA60" s="3696"/>
      <c r="BB60" s="3696"/>
      <c r="BC60" s="3696"/>
      <c r="BD60" s="3696"/>
      <c r="BE60" s="3696"/>
      <c r="BF60" s="3696"/>
      <c r="BG60" s="3696"/>
      <c r="BH60" s="3696"/>
      <c r="BI60" s="3696"/>
      <c r="BJ60" s="3696"/>
      <c r="BK60" s="3696"/>
      <c r="BL60" s="3696"/>
      <c r="BM60" s="3696"/>
      <c r="BN60" s="3696"/>
      <c r="BO60" s="3696"/>
      <c r="BP60" s="3696"/>
      <c r="BQ60" s="3696"/>
      <c r="BR60" s="3696"/>
      <c r="BS60" s="3696"/>
      <c r="BT60" s="3696"/>
      <c r="BU60" s="3696"/>
      <c r="BV60" s="3696"/>
      <c r="BW60" s="3696"/>
      <c r="BX60" s="3696"/>
      <c r="BY60" s="3696"/>
      <c r="BZ60" s="3696"/>
      <c r="CA60" s="3696"/>
      <c r="CB60" s="3696"/>
      <c r="CC60" s="3696"/>
      <c r="CD60" s="3696"/>
      <c r="CE60" s="3696"/>
      <c r="CF60" s="3696"/>
      <c r="CG60" s="3696"/>
      <c r="CH60" s="3696"/>
      <c r="CI60" s="3696"/>
      <c r="CJ60" s="3696"/>
      <c r="CK60" s="3696"/>
      <c r="CL60" s="3696"/>
      <c r="CM60" s="3696"/>
      <c r="CN60" s="3696"/>
      <c r="CO60" s="3696"/>
      <c r="CP60" s="3696"/>
      <c r="CQ60" s="3696"/>
      <c r="CR60" s="3696"/>
      <c r="CS60" s="3696"/>
      <c r="CT60" s="3696"/>
      <c r="CU60" s="3696"/>
      <c r="CV60" s="3696"/>
      <c r="CW60" s="3696"/>
      <c r="CX60" s="3696"/>
      <c r="CY60" s="3696"/>
      <c r="CZ60" s="3696"/>
      <c r="DA60" s="3696"/>
      <c r="DB60" s="3696"/>
      <c r="DC60" s="3696"/>
      <c r="DD60" s="3696"/>
      <c r="DE60" s="3696"/>
      <c r="DF60" s="3696"/>
      <c r="DG60" s="3696"/>
      <c r="DH60" s="3696"/>
      <c r="DI60" s="3696"/>
      <c r="DJ60" s="3696"/>
      <c r="DK60" s="3696"/>
      <c r="DL60" s="3696"/>
      <c r="DM60" s="3696"/>
      <c r="DN60" s="3696"/>
      <c r="DO60" s="3696"/>
      <c r="DP60" s="3696"/>
      <c r="DQ60" s="3696"/>
      <c r="DR60" s="3696"/>
      <c r="DS60" s="3696"/>
      <c r="DT60" s="3696"/>
      <c r="DU60" s="3696"/>
      <c r="DV60" s="3696"/>
      <c r="DW60" s="3696"/>
      <c r="DX60" s="3696"/>
      <c r="DY60" s="3696"/>
      <c r="DZ60" s="3696"/>
      <c r="EA60" s="3696"/>
      <c r="EB60" s="3696"/>
      <c r="EC60" s="3696"/>
      <c r="ED60" s="3696"/>
      <c r="EE60" s="3696"/>
      <c r="EF60" s="3696"/>
      <c r="EG60" s="403"/>
      <c r="EH60" s="505"/>
      <c r="EI60" s="507"/>
    </row>
    <row r="61" spans="1:139" s="165" customFormat="1" ht="15.75" customHeight="1" x14ac:dyDescent="0.25">
      <c r="A61" s="165" t="s">
        <v>271</v>
      </c>
    </row>
    <row r="62" spans="1:139" s="165" customFormat="1" ht="15.75" customHeight="1" x14ac:dyDescent="0.25">
      <c r="A62" s="121"/>
    </row>
    <row r="63" spans="1:139" s="165" customFormat="1" ht="15.75" customHeight="1" x14ac:dyDescent="0.25">
      <c r="A63" s="180" t="s">
        <v>134</v>
      </c>
    </row>
    <row r="64" spans="1:139" ht="16.5" x14ac:dyDescent="0.25">
      <c r="A64" s="173"/>
    </row>
    <row r="65" spans="1:1" x14ac:dyDescent="0.2">
      <c r="A65" s="181"/>
    </row>
  </sheetData>
  <mergeCells count="1">
    <mergeCell ref="A60:EF60"/>
  </mergeCells>
  <pageMargins left="0.75" right="0.75" top="0.75" bottom="0.75" header="0.3" footer="0"/>
  <pageSetup paperSize="9" scale="43" orientation="landscape" r:id="rId1"/>
  <headerFooter alignWithMargins="0"/>
  <rowBreaks count="1" manualBreakCount="1">
    <brk id="12" max="16383" man="1"/>
  </rowBreaks>
  <colBreaks count="1" manualBreakCount="1">
    <brk id="10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BWD129"/>
  <sheetViews>
    <sheetView showGridLines="0" zoomScale="90" zoomScaleNormal="90" zoomScaleSheetLayoutView="90" workbookViewId="0">
      <selection activeCell="A119" sqref="A119:D119"/>
    </sheetView>
  </sheetViews>
  <sheetFormatPr defaultColWidth="74.28515625" defaultRowHeight="15" x14ac:dyDescent="0.25"/>
  <cols>
    <col min="1" max="1" width="104.5703125" style="104" customWidth="1"/>
    <col min="2" max="2" width="11.85546875" style="104" customWidth="1"/>
    <col min="3" max="3" width="11.42578125" style="104" customWidth="1"/>
    <col min="4" max="4" width="12.28515625" style="104" bestFit="1" customWidth="1"/>
    <col min="5" max="5" width="6.28515625" style="104" customWidth="1"/>
    <col min="6" max="6" width="10.140625" style="104" customWidth="1"/>
    <col min="7" max="7" width="11.28515625" style="104" customWidth="1"/>
    <col min="8" max="8" width="12" style="104" customWidth="1"/>
    <col min="9" max="9" width="10.28515625" style="104" customWidth="1"/>
    <col min="10" max="12" width="18.7109375" style="104" bestFit="1" customWidth="1"/>
    <col min="13" max="1954" width="74.28515625" style="104"/>
  </cols>
  <sheetData>
    <row r="1" spans="1:1954" ht="21.75" customHeight="1" x14ac:dyDescent="0.3">
      <c r="A1" s="3697" t="s">
        <v>1031</v>
      </c>
      <c r="B1" s="3697"/>
      <c r="C1" s="3697"/>
      <c r="D1" s="3697"/>
    </row>
    <row r="2" spans="1:1954" ht="12.75" customHeight="1" thickBot="1" x14ac:dyDescent="0.3">
      <c r="D2" s="87" t="s">
        <v>198</v>
      </c>
    </row>
    <row r="3" spans="1:1954" ht="18.75" thickTop="1" thickBot="1" x14ac:dyDescent="0.35">
      <c r="A3" s="182"/>
      <c r="B3" s="91" t="s">
        <v>272</v>
      </c>
      <c r="C3" s="91" t="s">
        <v>273</v>
      </c>
      <c r="D3" s="91" t="s">
        <v>274</v>
      </c>
    </row>
    <row r="4" spans="1:1954" ht="17.25" thickTop="1" x14ac:dyDescent="0.3">
      <c r="A4" s="183" t="s">
        <v>275</v>
      </c>
      <c r="B4" s="184">
        <v>114224.93811375654</v>
      </c>
      <c r="C4" s="184">
        <v>57207.89844097459</v>
      </c>
      <c r="D4" s="184">
        <v>171432.8365547311</v>
      </c>
      <c r="F4" s="185"/>
      <c r="G4" s="185"/>
      <c r="H4" s="185"/>
      <c r="J4" s="186"/>
      <c r="K4" s="186"/>
      <c r="L4" s="186"/>
    </row>
    <row r="5" spans="1:1954" ht="16.5" x14ac:dyDescent="0.3">
      <c r="A5" s="187" t="s">
        <v>276</v>
      </c>
      <c r="B5" s="188">
        <v>10728.025642247976</v>
      </c>
      <c r="C5" s="188">
        <v>1483.5496106300002</v>
      </c>
      <c r="D5" s="188">
        <v>12211.575252877976</v>
      </c>
      <c r="F5" s="185"/>
      <c r="G5" s="185"/>
      <c r="H5" s="185"/>
      <c r="J5" s="186"/>
      <c r="K5" s="186"/>
      <c r="L5" s="186"/>
    </row>
    <row r="6" spans="1:1954" ht="16.5" x14ac:dyDescent="0.3">
      <c r="A6" s="189" t="s">
        <v>277</v>
      </c>
      <c r="B6" s="190">
        <v>10620.497341747974</v>
      </c>
      <c r="C6" s="190">
        <v>1325.3536614199998</v>
      </c>
      <c r="D6" s="190">
        <v>11945.851003167976</v>
      </c>
      <c r="F6" s="185"/>
      <c r="G6" s="185"/>
      <c r="H6" s="185"/>
      <c r="J6" s="186"/>
      <c r="K6" s="186"/>
      <c r="L6" s="186"/>
    </row>
    <row r="7" spans="1:1954" ht="16.5" x14ac:dyDescent="0.3">
      <c r="A7" s="191" t="s">
        <v>278</v>
      </c>
      <c r="B7" s="192">
        <v>7641.7288960502756</v>
      </c>
      <c r="C7" s="192">
        <v>368.96109932999997</v>
      </c>
      <c r="D7" s="192">
        <v>8010.6899953802758</v>
      </c>
      <c r="F7" s="185"/>
      <c r="G7" s="185"/>
      <c r="H7" s="185"/>
      <c r="J7" s="186"/>
      <c r="K7" s="186"/>
      <c r="L7" s="186"/>
    </row>
    <row r="8" spans="1:1954" ht="16.5" x14ac:dyDescent="0.3">
      <c r="A8" s="191" t="s">
        <v>279</v>
      </c>
      <c r="B8" s="192">
        <v>2978.7684456977008</v>
      </c>
      <c r="C8" s="192">
        <v>956.39256209000007</v>
      </c>
      <c r="D8" s="192">
        <v>3935.1610077877012</v>
      </c>
      <c r="F8" s="185"/>
      <c r="G8" s="185"/>
      <c r="H8" s="185"/>
      <c r="J8" s="186"/>
      <c r="K8" s="186"/>
      <c r="L8" s="186"/>
    </row>
    <row r="9" spans="1:1954" ht="16.5" x14ac:dyDescent="0.3">
      <c r="A9" s="189" t="s">
        <v>280</v>
      </c>
      <c r="B9" s="190">
        <v>39.115376629999993</v>
      </c>
      <c r="C9" s="190">
        <v>3.5965599999999999E-3</v>
      </c>
      <c r="D9" s="190">
        <v>39.118973189999998</v>
      </c>
      <c r="F9" s="185"/>
      <c r="G9" s="185"/>
      <c r="H9" s="185"/>
      <c r="J9" s="186"/>
      <c r="K9" s="186"/>
      <c r="L9" s="186"/>
    </row>
    <row r="10" spans="1:1954" ht="16.5" x14ac:dyDescent="0.3">
      <c r="A10" s="189" t="s">
        <v>281</v>
      </c>
      <c r="B10" s="190">
        <v>68.41292387</v>
      </c>
      <c r="C10" s="190">
        <v>158.19235265</v>
      </c>
      <c r="D10" s="190">
        <v>226.60527652000002</v>
      </c>
      <c r="F10" s="185"/>
      <c r="G10" s="185"/>
      <c r="H10" s="185"/>
      <c r="J10" s="186"/>
      <c r="K10" s="186"/>
      <c r="L10" s="186"/>
    </row>
    <row r="11" spans="1:1954" ht="16.5" x14ac:dyDescent="0.3">
      <c r="A11" s="187" t="s">
        <v>282</v>
      </c>
      <c r="B11" s="188">
        <v>1.86551811</v>
      </c>
      <c r="C11" s="188">
        <v>6.4000000000000006E-6</v>
      </c>
      <c r="D11" s="188">
        <v>1.86552451</v>
      </c>
      <c r="E11" s="106"/>
      <c r="F11" s="193"/>
      <c r="G11" s="185"/>
      <c r="H11" s="193"/>
      <c r="I11" s="106"/>
      <c r="J11" s="186"/>
      <c r="K11" s="186"/>
      <c r="L11" s="18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6"/>
      <c r="JN11" s="106"/>
      <c r="JO11" s="106"/>
      <c r="JP11" s="106"/>
      <c r="JQ11" s="106"/>
      <c r="JR11" s="106"/>
      <c r="JS11" s="106"/>
      <c r="JT11" s="106"/>
      <c r="JU11" s="106"/>
      <c r="JV11" s="106"/>
      <c r="JW11" s="106"/>
      <c r="JX11" s="106"/>
      <c r="JY11" s="106"/>
      <c r="JZ11" s="106"/>
      <c r="KA11" s="106"/>
      <c r="KB11" s="106"/>
      <c r="KC11" s="106"/>
      <c r="KD11" s="106"/>
      <c r="KE11" s="106"/>
      <c r="KF11" s="106"/>
      <c r="KG11" s="106"/>
      <c r="KH11" s="106"/>
      <c r="KI11" s="106"/>
      <c r="KJ11" s="106"/>
      <c r="KK11" s="106"/>
      <c r="KL11" s="106"/>
      <c r="KM11" s="106"/>
      <c r="KN11" s="106"/>
      <c r="KO11" s="106"/>
      <c r="KP11" s="106"/>
      <c r="KQ11" s="106"/>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6"/>
      <c r="LX11" s="106"/>
      <c r="LY11" s="106"/>
      <c r="LZ11" s="106"/>
      <c r="MA11" s="106"/>
      <c r="MB11" s="106"/>
      <c r="MC11" s="106"/>
      <c r="MD11" s="106"/>
      <c r="ME11" s="106"/>
      <c r="MF11" s="106"/>
      <c r="MG11" s="106"/>
      <c r="MH11" s="106"/>
      <c r="MI11" s="106"/>
      <c r="MJ11" s="106"/>
      <c r="MK11" s="106"/>
      <c r="ML11" s="106"/>
      <c r="MM11" s="106"/>
      <c r="MN11" s="106"/>
      <c r="MO11" s="106"/>
      <c r="MP11" s="106"/>
      <c r="MQ11" s="106"/>
      <c r="MR11" s="106"/>
      <c r="MS11" s="106"/>
      <c r="MT11" s="106"/>
      <c r="MU11" s="106"/>
      <c r="MV11" s="106"/>
      <c r="MW11" s="106"/>
      <c r="MX11" s="106"/>
      <c r="MY11" s="106"/>
      <c r="MZ11" s="106"/>
      <c r="NA11" s="106"/>
      <c r="NB11" s="106"/>
      <c r="NC11" s="106"/>
      <c r="ND11" s="106"/>
      <c r="NE11" s="106"/>
      <c r="NF11" s="106"/>
      <c r="NG11" s="106"/>
      <c r="NH11" s="106"/>
      <c r="NI11" s="106"/>
      <c r="NJ11" s="106"/>
      <c r="NK11" s="106"/>
      <c r="NL11" s="106"/>
      <c r="NM11" s="106"/>
      <c r="NN11" s="106"/>
      <c r="NO11" s="106"/>
      <c r="NP11" s="106"/>
      <c r="NQ11" s="106"/>
      <c r="NR11" s="106"/>
      <c r="NS11" s="106"/>
      <c r="NT11" s="106"/>
      <c r="NU11" s="106"/>
      <c r="NV11" s="106"/>
      <c r="NW11" s="106"/>
      <c r="NX11" s="106"/>
      <c r="NY11" s="106"/>
      <c r="NZ11" s="106"/>
      <c r="OA11" s="106"/>
      <c r="OB11" s="106"/>
      <c r="OC11" s="106"/>
      <c r="OD11" s="106"/>
      <c r="OE11" s="106"/>
      <c r="OF11" s="106"/>
      <c r="OG11" s="106"/>
      <c r="OH11" s="106"/>
      <c r="OI11" s="106"/>
      <c r="OJ11" s="106"/>
      <c r="OK11" s="106"/>
      <c r="OL11" s="106"/>
      <c r="OM11" s="106"/>
      <c r="ON11" s="106"/>
      <c r="OO11" s="106"/>
      <c r="OP11" s="106"/>
      <c r="OQ11" s="106"/>
      <c r="OR11" s="106"/>
      <c r="OS11" s="106"/>
      <c r="OT11" s="106"/>
      <c r="OU11" s="106"/>
      <c r="OV11" s="106"/>
      <c r="OW11" s="106"/>
      <c r="OX11" s="106"/>
      <c r="OY11" s="106"/>
      <c r="OZ11" s="106"/>
      <c r="PA11" s="106"/>
      <c r="PB11" s="106"/>
      <c r="PC11" s="106"/>
      <c r="PD11" s="106"/>
      <c r="PE11" s="106"/>
      <c r="PF11" s="106"/>
      <c r="PG11" s="106"/>
      <c r="PH11" s="106"/>
      <c r="PI11" s="106"/>
      <c r="PJ11" s="106"/>
      <c r="PK11" s="106"/>
      <c r="PL11" s="106"/>
      <c r="PM11" s="106"/>
      <c r="PN11" s="106"/>
      <c r="PO11" s="106"/>
      <c r="PP11" s="106"/>
      <c r="PQ11" s="106"/>
      <c r="PR11" s="106"/>
      <c r="PS11" s="106"/>
      <c r="PT11" s="106"/>
      <c r="PU11" s="106"/>
      <c r="PV11" s="106"/>
      <c r="PW11" s="106"/>
      <c r="PX11" s="106"/>
      <c r="PY11" s="106"/>
      <c r="PZ11" s="106"/>
      <c r="QA11" s="106"/>
      <c r="QB11" s="106"/>
      <c r="QC11" s="106"/>
      <c r="QD11" s="106"/>
      <c r="QE11" s="106"/>
      <c r="QF11" s="106"/>
      <c r="QG11" s="106"/>
      <c r="QH11" s="106"/>
      <c r="QI11" s="106"/>
      <c r="QJ11" s="106"/>
      <c r="QK11" s="106"/>
      <c r="QL11" s="106"/>
      <c r="QM11" s="106"/>
      <c r="QN11" s="106"/>
      <c r="QO11" s="106"/>
      <c r="QP11" s="106"/>
      <c r="QQ11" s="106"/>
      <c r="QR11" s="106"/>
      <c r="QS11" s="106"/>
      <c r="QT11" s="106"/>
      <c r="QU11" s="106"/>
      <c r="QV11" s="106"/>
      <c r="QW11" s="106"/>
      <c r="QX11" s="106"/>
      <c r="QY11" s="106"/>
      <c r="QZ11" s="106"/>
      <c r="RA11" s="106"/>
      <c r="RB11" s="106"/>
      <c r="RC11" s="106"/>
      <c r="RD11" s="106"/>
      <c r="RE11" s="106"/>
      <c r="RF11" s="106"/>
      <c r="RG11" s="106"/>
      <c r="RH11" s="106"/>
      <c r="RI11" s="106"/>
      <c r="RJ11" s="106"/>
      <c r="RK11" s="106"/>
      <c r="RL11" s="106"/>
      <c r="RM11" s="106"/>
      <c r="RN11" s="106"/>
      <c r="RO11" s="106"/>
      <c r="RP11" s="106"/>
      <c r="RQ11" s="106"/>
      <c r="RR11" s="106"/>
      <c r="RS11" s="106"/>
      <c r="RT11" s="106"/>
      <c r="RU11" s="106"/>
      <c r="RV11" s="106"/>
      <c r="RW11" s="106"/>
      <c r="RX11" s="106"/>
      <c r="RY11" s="106"/>
      <c r="RZ11" s="106"/>
      <c r="SA11" s="106"/>
      <c r="SB11" s="106"/>
      <c r="SC11" s="106"/>
      <c r="SD11" s="106"/>
      <c r="SE11" s="106"/>
      <c r="SF11" s="106"/>
      <c r="SG11" s="106"/>
      <c r="SH11" s="106"/>
      <c r="SI11" s="106"/>
      <c r="SJ11" s="106"/>
      <c r="SK11" s="106"/>
      <c r="SL11" s="106"/>
      <c r="SM11" s="106"/>
      <c r="SN11" s="106"/>
      <c r="SO11" s="106"/>
      <c r="SP11" s="106"/>
      <c r="SQ11" s="106"/>
      <c r="SR11" s="106"/>
      <c r="SS11" s="106"/>
      <c r="ST11" s="106"/>
      <c r="SU11" s="106"/>
      <c r="SV11" s="106"/>
      <c r="SW11" s="106"/>
      <c r="SX11" s="106"/>
      <c r="SY11" s="106"/>
      <c r="SZ11" s="106"/>
      <c r="TA11" s="106"/>
      <c r="TB11" s="106"/>
      <c r="TC11" s="106"/>
      <c r="TD11" s="106"/>
      <c r="TE11" s="106"/>
      <c r="TF11" s="106"/>
      <c r="TG11" s="106"/>
      <c r="TH11" s="106"/>
      <c r="TI11" s="106"/>
      <c r="TJ11" s="106"/>
      <c r="TK11" s="106"/>
      <c r="TL11" s="106"/>
      <c r="TM11" s="106"/>
      <c r="TN11" s="106"/>
      <c r="TO11" s="106"/>
      <c r="TP11" s="106"/>
      <c r="TQ11" s="106"/>
      <c r="TR11" s="106"/>
      <c r="TS11" s="106"/>
      <c r="TT11" s="106"/>
      <c r="TU11" s="106"/>
      <c r="TV11" s="106"/>
      <c r="TW11" s="106"/>
      <c r="TX11" s="106"/>
      <c r="TY11" s="106"/>
      <c r="TZ11" s="106"/>
      <c r="UA11" s="106"/>
      <c r="UB11" s="106"/>
      <c r="UC11" s="106"/>
      <c r="UD11" s="106"/>
      <c r="UE11" s="106"/>
      <c r="UF11" s="106"/>
      <c r="UG11" s="106"/>
      <c r="UH11" s="106"/>
      <c r="UI11" s="106"/>
      <c r="UJ11" s="106"/>
      <c r="UK11" s="106"/>
      <c r="UL11" s="106"/>
      <c r="UM11" s="106"/>
      <c r="UN11" s="106"/>
      <c r="UO11" s="106"/>
      <c r="UP11" s="106"/>
      <c r="UQ11" s="106"/>
      <c r="UR11" s="106"/>
      <c r="US11" s="106"/>
      <c r="UT11" s="106"/>
      <c r="UU11" s="106"/>
      <c r="UV11" s="106"/>
      <c r="UW11" s="106"/>
      <c r="UX11" s="106"/>
      <c r="UY11" s="106"/>
      <c r="UZ11" s="106"/>
      <c r="VA11" s="106"/>
      <c r="VB11" s="106"/>
      <c r="VC11" s="106"/>
      <c r="VD11" s="106"/>
      <c r="VE11" s="106"/>
      <c r="VF11" s="106"/>
      <c r="VG11" s="106"/>
      <c r="VH11" s="106"/>
      <c r="VI11" s="106"/>
      <c r="VJ11" s="106"/>
      <c r="VK11" s="106"/>
      <c r="VL11" s="106"/>
      <c r="VM11" s="106"/>
      <c r="VN11" s="106"/>
      <c r="VO11" s="106"/>
      <c r="VP11" s="106"/>
      <c r="VQ11" s="106"/>
      <c r="VR11" s="106"/>
      <c r="VS11" s="106"/>
      <c r="VT11" s="106"/>
      <c r="VU11" s="106"/>
      <c r="VV11" s="106"/>
      <c r="VW11" s="106"/>
      <c r="VX11" s="106"/>
      <c r="VY11" s="106"/>
      <c r="VZ11" s="106"/>
      <c r="WA11" s="106"/>
      <c r="WB11" s="106"/>
      <c r="WC11" s="106"/>
      <c r="WD11" s="106"/>
      <c r="WE11" s="106"/>
      <c r="WF11" s="106"/>
      <c r="WG11" s="106"/>
      <c r="WH11" s="106"/>
      <c r="WI11" s="106"/>
      <c r="WJ11" s="106"/>
      <c r="WK11" s="106"/>
      <c r="WL11" s="106"/>
      <c r="WM11" s="106"/>
      <c r="WN11" s="106"/>
      <c r="WO11" s="106"/>
      <c r="WP11" s="106"/>
      <c r="WQ11" s="106"/>
      <c r="WR11" s="106"/>
      <c r="WS11" s="106"/>
      <c r="WT11" s="106"/>
      <c r="WU11" s="106"/>
      <c r="WV11" s="106"/>
      <c r="WW11" s="106"/>
      <c r="WX11" s="106"/>
      <c r="WY11" s="106"/>
      <c r="WZ11" s="106"/>
      <c r="XA11" s="106"/>
      <c r="XB11" s="106"/>
      <c r="XC11" s="106"/>
      <c r="XD11" s="106"/>
      <c r="XE11" s="106"/>
      <c r="XF11" s="106"/>
      <c r="XG11" s="106"/>
      <c r="XH11" s="106"/>
      <c r="XI11" s="106"/>
      <c r="XJ11" s="106"/>
      <c r="XK11" s="106"/>
      <c r="XL11" s="106"/>
      <c r="XM11" s="106"/>
      <c r="XN11" s="106"/>
      <c r="XO11" s="106"/>
      <c r="XP11" s="106"/>
      <c r="XQ11" s="106"/>
      <c r="XR11" s="106"/>
      <c r="XS11" s="106"/>
      <c r="XT11" s="106"/>
      <c r="XU11" s="106"/>
      <c r="XV11" s="106"/>
      <c r="XW11" s="106"/>
      <c r="XX11" s="106"/>
      <c r="XY11" s="106"/>
      <c r="XZ11" s="106"/>
      <c r="YA11" s="106"/>
      <c r="YB11" s="106"/>
      <c r="YC11" s="106"/>
      <c r="YD11" s="106"/>
      <c r="YE11" s="106"/>
      <c r="YF11" s="106"/>
      <c r="YG11" s="106"/>
      <c r="YH11" s="106"/>
      <c r="YI11" s="106"/>
      <c r="YJ11" s="106"/>
      <c r="YK11" s="106"/>
      <c r="YL11" s="106"/>
      <c r="YM11" s="106"/>
      <c r="YN11" s="106"/>
      <c r="YO11" s="106"/>
      <c r="YP11" s="106"/>
      <c r="YQ11" s="106"/>
      <c r="YR11" s="106"/>
      <c r="YS11" s="106"/>
      <c r="YT11" s="106"/>
      <c r="YU11" s="106"/>
      <c r="YV11" s="106"/>
      <c r="YW11" s="106"/>
      <c r="YX11" s="106"/>
      <c r="YY11" s="106"/>
      <c r="YZ11" s="106"/>
      <c r="ZA11" s="106"/>
      <c r="ZB11" s="106"/>
      <c r="ZC11" s="106"/>
      <c r="ZD11" s="106"/>
      <c r="ZE11" s="106"/>
      <c r="ZF11" s="106"/>
      <c r="ZG11" s="106"/>
      <c r="ZH11" s="106"/>
      <c r="ZI11" s="106"/>
      <c r="ZJ11" s="106"/>
      <c r="ZK11" s="106"/>
      <c r="ZL11" s="106"/>
      <c r="ZM11" s="106"/>
      <c r="ZN11" s="106"/>
      <c r="ZO11" s="106"/>
      <c r="ZP11" s="106"/>
      <c r="ZQ11" s="106"/>
      <c r="ZR11" s="106"/>
      <c r="ZS11" s="106"/>
      <c r="ZT11" s="106"/>
      <c r="ZU11" s="106"/>
      <c r="ZV11" s="106"/>
      <c r="ZW11" s="106"/>
      <c r="ZX11" s="106"/>
      <c r="ZY11" s="106"/>
      <c r="ZZ11" s="106"/>
      <c r="AAA11" s="106"/>
      <c r="AAB11" s="106"/>
      <c r="AAC11" s="106"/>
      <c r="AAD11" s="106"/>
      <c r="AAE11" s="106"/>
      <c r="AAF11" s="106"/>
      <c r="AAG11" s="106"/>
      <c r="AAH11" s="106"/>
      <c r="AAI11" s="106"/>
      <c r="AAJ11" s="106"/>
      <c r="AAK11" s="106"/>
      <c r="AAL11" s="106"/>
      <c r="AAM11" s="106"/>
      <c r="AAN11" s="106"/>
      <c r="AAO11" s="106"/>
      <c r="AAP11" s="106"/>
      <c r="AAQ11" s="106"/>
      <c r="AAR11" s="106"/>
      <c r="AAS11" s="106"/>
      <c r="AAT11" s="106"/>
      <c r="AAU11" s="106"/>
      <c r="AAV11" s="106"/>
      <c r="AAW11" s="106"/>
      <c r="AAX11" s="106"/>
      <c r="AAY11" s="106"/>
      <c r="AAZ11" s="106"/>
      <c r="ABA11" s="106"/>
      <c r="ABB11" s="106"/>
      <c r="ABC11" s="106"/>
      <c r="ABD11" s="106"/>
      <c r="ABE11" s="106"/>
      <c r="ABF11" s="106"/>
      <c r="ABG11" s="106"/>
      <c r="ABH11" s="106"/>
      <c r="ABI11" s="106"/>
      <c r="ABJ11" s="106"/>
      <c r="ABK11" s="106"/>
      <c r="ABL11" s="106"/>
      <c r="ABM11" s="106"/>
      <c r="ABN11" s="106"/>
      <c r="ABO11" s="106"/>
      <c r="ABP11" s="106"/>
      <c r="ABQ11" s="106"/>
      <c r="ABR11" s="106"/>
      <c r="ABS11" s="106"/>
      <c r="ABT11" s="106"/>
      <c r="ABU11" s="106"/>
      <c r="ABV11" s="106"/>
      <c r="ABW11" s="106"/>
      <c r="ABX11" s="106"/>
      <c r="ABY11" s="106"/>
      <c r="ABZ11" s="106"/>
      <c r="ACA11" s="106"/>
      <c r="ACB11" s="106"/>
      <c r="ACC11" s="106"/>
      <c r="ACD11" s="106"/>
      <c r="ACE11" s="106"/>
      <c r="ACF11" s="106"/>
      <c r="ACG11" s="106"/>
      <c r="ACH11" s="106"/>
      <c r="ACI11" s="106"/>
      <c r="ACJ11" s="106"/>
      <c r="ACK11" s="106"/>
      <c r="ACL11" s="106"/>
      <c r="ACM11" s="106"/>
      <c r="ACN11" s="106"/>
      <c r="ACO11" s="106"/>
      <c r="ACP11" s="106"/>
      <c r="ACQ11" s="106"/>
      <c r="ACR11" s="106"/>
      <c r="ACS11" s="106"/>
      <c r="ACT11" s="106"/>
      <c r="ACU11" s="106"/>
      <c r="ACV11" s="106"/>
      <c r="ACW11" s="106"/>
      <c r="ACX11" s="106"/>
      <c r="ACY11" s="106"/>
      <c r="ACZ11" s="106"/>
      <c r="ADA11" s="106"/>
      <c r="ADB11" s="106"/>
      <c r="ADC11" s="106"/>
      <c r="ADD11" s="106"/>
      <c r="ADE11" s="106"/>
      <c r="ADF11" s="106"/>
      <c r="ADG11" s="106"/>
      <c r="ADH11" s="106"/>
      <c r="ADI11" s="106"/>
      <c r="ADJ11" s="106"/>
      <c r="ADK11" s="106"/>
      <c r="ADL11" s="106"/>
      <c r="ADM11" s="106"/>
      <c r="ADN11" s="106"/>
      <c r="ADO11" s="106"/>
      <c r="ADP11" s="106"/>
      <c r="ADQ11" s="106"/>
      <c r="ADR11" s="106"/>
      <c r="ADS11" s="106"/>
      <c r="ADT11" s="106"/>
      <c r="ADU11" s="106"/>
      <c r="ADV11" s="106"/>
      <c r="ADW11" s="106"/>
      <c r="ADX11" s="106"/>
      <c r="ADY11" s="106"/>
      <c r="ADZ11" s="106"/>
      <c r="AEA11" s="106"/>
      <c r="AEB11" s="106"/>
      <c r="AEC11" s="106"/>
      <c r="AED11" s="106"/>
      <c r="AEE11" s="106"/>
      <c r="AEF11" s="106"/>
      <c r="AEG11" s="106"/>
      <c r="AEH11" s="106"/>
      <c r="AEI11" s="106"/>
      <c r="AEJ11" s="106"/>
      <c r="AEK11" s="106"/>
      <c r="AEL11" s="106"/>
      <c r="AEM11" s="106"/>
      <c r="AEN11" s="106"/>
      <c r="AEO11" s="106"/>
      <c r="AEP11" s="106"/>
      <c r="AEQ11" s="106"/>
      <c r="AER11" s="106"/>
      <c r="AES11" s="106"/>
      <c r="AET11" s="106"/>
      <c r="AEU11" s="106"/>
      <c r="AEV11" s="106"/>
      <c r="AEW11" s="106"/>
      <c r="AEX11" s="106"/>
      <c r="AEY11" s="106"/>
      <c r="AEZ11" s="106"/>
      <c r="AFA11" s="106"/>
      <c r="AFB11" s="106"/>
      <c r="AFC11" s="106"/>
      <c r="AFD11" s="106"/>
      <c r="AFE11" s="106"/>
      <c r="AFF11" s="106"/>
      <c r="AFG11" s="106"/>
      <c r="AFH11" s="106"/>
      <c r="AFI11" s="106"/>
      <c r="AFJ11" s="106"/>
      <c r="AFK11" s="106"/>
      <c r="AFL11" s="106"/>
      <c r="AFM11" s="106"/>
      <c r="AFN11" s="106"/>
      <c r="AFO11" s="106"/>
      <c r="AFP11" s="106"/>
      <c r="AFQ11" s="106"/>
      <c r="AFR11" s="106"/>
      <c r="AFS11" s="106"/>
      <c r="AFT11" s="106"/>
      <c r="AFU11" s="106"/>
      <c r="AFV11" s="106"/>
      <c r="AFW11" s="106"/>
      <c r="AFX11" s="106"/>
      <c r="AFY11" s="106"/>
      <c r="AFZ11" s="106"/>
      <c r="AGA11" s="106"/>
      <c r="AGB11" s="106"/>
      <c r="AGC11" s="106"/>
      <c r="AGD11" s="106"/>
      <c r="AGE11" s="106"/>
      <c r="AGF11" s="106"/>
      <c r="AGG11" s="106"/>
      <c r="AGH11" s="106"/>
      <c r="AGI11" s="106"/>
      <c r="AGJ11" s="106"/>
      <c r="AGK11" s="106"/>
      <c r="AGL11" s="106"/>
      <c r="AGM11" s="106"/>
      <c r="AGN11" s="106"/>
      <c r="AGO11" s="106"/>
      <c r="AGP11" s="106"/>
      <c r="AGQ11" s="106"/>
      <c r="AGR11" s="106"/>
      <c r="AGS11" s="106"/>
      <c r="AGT11" s="106"/>
      <c r="AGU11" s="106"/>
      <c r="AGV11" s="106"/>
      <c r="AGW11" s="106"/>
      <c r="AGX11" s="106"/>
      <c r="AGY11" s="106"/>
      <c r="AGZ11" s="106"/>
      <c r="AHA11" s="106"/>
      <c r="AHB11" s="106"/>
      <c r="AHC11" s="106"/>
      <c r="AHD11" s="106"/>
      <c r="AHE11" s="106"/>
      <c r="AHF11" s="106"/>
      <c r="AHG11" s="106"/>
      <c r="AHH11" s="106"/>
      <c r="AHI11" s="106"/>
      <c r="AHJ11" s="106"/>
      <c r="AHK11" s="106"/>
      <c r="AHL11" s="106"/>
      <c r="AHM11" s="106"/>
      <c r="AHN11" s="106"/>
      <c r="AHO11" s="106"/>
      <c r="AHP11" s="106"/>
      <c r="AHQ11" s="106"/>
      <c r="AHR11" s="106"/>
      <c r="AHS11" s="106"/>
      <c r="AHT11" s="106"/>
      <c r="AHU11" s="106"/>
      <c r="AHV11" s="106"/>
      <c r="AHW11" s="106"/>
      <c r="AHX11" s="106"/>
      <c r="AHY11" s="106"/>
      <c r="AHZ11" s="106"/>
      <c r="AIA11" s="106"/>
      <c r="AIB11" s="106"/>
      <c r="AIC11" s="106"/>
      <c r="AID11" s="106"/>
      <c r="AIE11" s="106"/>
      <c r="AIF11" s="106"/>
      <c r="AIG11" s="106"/>
      <c r="AIH11" s="106"/>
      <c r="AII11" s="106"/>
      <c r="AIJ11" s="106"/>
      <c r="AIK11" s="106"/>
      <c r="AIL11" s="106"/>
      <c r="AIM11" s="106"/>
      <c r="AIN11" s="106"/>
      <c r="AIO11" s="106"/>
      <c r="AIP11" s="106"/>
      <c r="AIQ11" s="106"/>
      <c r="AIR11" s="106"/>
      <c r="AIS11" s="106"/>
      <c r="AIT11" s="106"/>
      <c r="AIU11" s="106"/>
      <c r="AIV11" s="106"/>
      <c r="AIW11" s="106"/>
      <c r="AIX11" s="106"/>
      <c r="AIY11" s="106"/>
      <c r="AIZ11" s="106"/>
      <c r="AJA11" s="106"/>
      <c r="AJB11" s="106"/>
      <c r="AJC11" s="106"/>
      <c r="AJD11" s="106"/>
      <c r="AJE11" s="106"/>
      <c r="AJF11" s="106"/>
      <c r="AJG11" s="106"/>
      <c r="AJH11" s="106"/>
      <c r="AJI11" s="106"/>
      <c r="AJJ11" s="106"/>
      <c r="AJK11" s="106"/>
      <c r="AJL11" s="106"/>
      <c r="AJM11" s="106"/>
      <c r="AJN11" s="106"/>
      <c r="AJO11" s="106"/>
      <c r="AJP11" s="106"/>
      <c r="AJQ11" s="106"/>
      <c r="AJR11" s="106"/>
      <c r="AJS11" s="106"/>
      <c r="AJT11" s="106"/>
      <c r="AJU11" s="106"/>
      <c r="AJV11" s="106"/>
      <c r="AJW11" s="106"/>
      <c r="AJX11" s="106"/>
      <c r="AJY11" s="106"/>
      <c r="AJZ11" s="106"/>
      <c r="AKA11" s="106"/>
      <c r="AKB11" s="106"/>
      <c r="AKC11" s="106"/>
      <c r="AKD11" s="106"/>
      <c r="AKE11" s="106"/>
      <c r="AKF11" s="106"/>
      <c r="AKG11" s="106"/>
      <c r="AKH11" s="106"/>
      <c r="AKI11" s="106"/>
      <c r="AKJ11" s="106"/>
      <c r="AKK11" s="106"/>
      <c r="AKL11" s="106"/>
      <c r="AKM11" s="106"/>
      <c r="AKN11" s="106"/>
      <c r="AKO11" s="106"/>
      <c r="AKP11" s="106"/>
      <c r="AKQ11" s="106"/>
      <c r="AKR11" s="106"/>
      <c r="AKS11" s="106"/>
      <c r="AKT11" s="106"/>
      <c r="AKU11" s="106"/>
      <c r="AKV11" s="106"/>
      <c r="AKW11" s="106"/>
      <c r="AKX11" s="106"/>
      <c r="AKY11" s="106"/>
      <c r="AKZ11" s="106"/>
      <c r="ALA11" s="106"/>
      <c r="ALB11" s="106"/>
      <c r="ALC11" s="106"/>
      <c r="ALD11" s="106"/>
      <c r="ALE11" s="106"/>
      <c r="ALF11" s="106"/>
      <c r="ALG11" s="106"/>
      <c r="ALH11" s="106"/>
      <c r="ALI11" s="106"/>
      <c r="ALJ11" s="106"/>
      <c r="ALK11" s="106"/>
      <c r="ALL11" s="106"/>
      <c r="ALM11" s="106"/>
      <c r="ALN11" s="106"/>
      <c r="ALO11" s="106"/>
      <c r="ALP11" s="106"/>
      <c r="ALQ11" s="106"/>
      <c r="ALR11" s="106"/>
      <c r="ALS11" s="106"/>
      <c r="ALT11" s="106"/>
      <c r="ALU11" s="106"/>
      <c r="ALV11" s="106"/>
      <c r="ALW11" s="106"/>
      <c r="ALX11" s="106"/>
      <c r="ALY11" s="106"/>
      <c r="ALZ11" s="106"/>
      <c r="AMA11" s="106"/>
      <c r="AMB11" s="106"/>
      <c r="AMC11" s="106"/>
      <c r="AMD11" s="106"/>
      <c r="AME11" s="106"/>
      <c r="AMF11" s="106"/>
      <c r="AMG11" s="106"/>
      <c r="AMH11" s="106"/>
      <c r="AMI11" s="106"/>
      <c r="AMJ11" s="106"/>
      <c r="AMK11" s="106"/>
      <c r="AML11" s="106"/>
      <c r="AMM11" s="106"/>
      <c r="AMN11" s="106"/>
      <c r="AMO11" s="106"/>
      <c r="AMP11" s="106"/>
      <c r="AMQ11" s="106"/>
      <c r="AMR11" s="106"/>
      <c r="AMS11" s="106"/>
      <c r="AMT11" s="106"/>
      <c r="AMU11" s="106"/>
      <c r="AMV11" s="106"/>
      <c r="AMW11" s="106"/>
      <c r="AMX11" s="106"/>
      <c r="AMY11" s="106"/>
      <c r="AMZ11" s="106"/>
      <c r="ANA11" s="106"/>
      <c r="ANB11" s="106"/>
      <c r="ANC11" s="106"/>
      <c r="AND11" s="106"/>
      <c r="ANE11" s="106"/>
      <c r="ANF11" s="106"/>
      <c r="ANG11" s="106"/>
      <c r="ANH11" s="106"/>
      <c r="ANI11" s="106"/>
      <c r="ANJ11" s="106"/>
      <c r="ANK11" s="106"/>
      <c r="ANL11" s="106"/>
      <c r="ANM11" s="106"/>
      <c r="ANN11" s="106"/>
      <c r="ANO11" s="106"/>
      <c r="ANP11" s="106"/>
      <c r="ANQ11" s="106"/>
      <c r="ANR11" s="106"/>
      <c r="ANS11" s="106"/>
      <c r="ANT11" s="106"/>
      <c r="ANU11" s="106"/>
      <c r="ANV11" s="106"/>
      <c r="ANW11" s="106"/>
      <c r="ANX11" s="106"/>
      <c r="ANY11" s="106"/>
      <c r="ANZ11" s="106"/>
      <c r="AOA11" s="106"/>
      <c r="AOB11" s="106"/>
      <c r="AOC11" s="106"/>
      <c r="AOD11" s="106"/>
      <c r="AOE11" s="106"/>
      <c r="AOF11" s="106"/>
      <c r="AOG11" s="106"/>
      <c r="AOH11" s="106"/>
      <c r="AOI11" s="106"/>
      <c r="AOJ11" s="106"/>
      <c r="AOK11" s="106"/>
      <c r="AOL11" s="106"/>
      <c r="AOM11" s="106"/>
      <c r="AON11" s="106"/>
      <c r="AOO11" s="106"/>
      <c r="AOP11" s="106"/>
      <c r="AOQ11" s="106"/>
      <c r="AOR11" s="106"/>
      <c r="AOS11" s="106"/>
      <c r="AOT11" s="106"/>
      <c r="AOU11" s="106"/>
      <c r="AOV11" s="106"/>
      <c r="AOW11" s="106"/>
      <c r="AOX11" s="106"/>
      <c r="AOY11" s="106"/>
      <c r="AOZ11" s="106"/>
      <c r="APA11" s="106"/>
      <c r="APB11" s="106"/>
      <c r="APC11" s="106"/>
      <c r="APD11" s="106"/>
      <c r="APE11" s="106"/>
      <c r="APF11" s="106"/>
      <c r="APG11" s="106"/>
      <c r="APH11" s="106"/>
      <c r="API11" s="106"/>
      <c r="APJ11" s="106"/>
      <c r="APK11" s="106"/>
      <c r="APL11" s="106"/>
      <c r="APM11" s="106"/>
      <c r="APN11" s="106"/>
      <c r="APO11" s="106"/>
      <c r="APP11" s="106"/>
      <c r="APQ11" s="106"/>
      <c r="APR11" s="106"/>
      <c r="APS11" s="106"/>
      <c r="APT11" s="106"/>
      <c r="APU11" s="106"/>
      <c r="APV11" s="106"/>
      <c r="APW11" s="106"/>
      <c r="APX11" s="106"/>
      <c r="APY11" s="106"/>
      <c r="APZ11" s="106"/>
      <c r="AQA11" s="106"/>
      <c r="AQB11" s="106"/>
      <c r="AQC11" s="106"/>
      <c r="AQD11" s="106"/>
      <c r="AQE11" s="106"/>
      <c r="AQF11" s="106"/>
      <c r="AQG11" s="106"/>
      <c r="AQH11" s="106"/>
      <c r="AQI11" s="106"/>
      <c r="AQJ11" s="106"/>
      <c r="AQK11" s="106"/>
      <c r="AQL11" s="106"/>
      <c r="AQM11" s="106"/>
      <c r="AQN11" s="106"/>
      <c r="AQO11" s="106"/>
      <c r="AQP11" s="106"/>
      <c r="AQQ11" s="106"/>
      <c r="AQR11" s="106"/>
      <c r="AQS11" s="106"/>
      <c r="AQT11" s="106"/>
      <c r="AQU11" s="106"/>
      <c r="AQV11" s="106"/>
      <c r="AQW11" s="106"/>
      <c r="AQX11" s="106"/>
      <c r="AQY11" s="106"/>
      <c r="AQZ11" s="106"/>
      <c r="ARA11" s="106"/>
      <c r="ARB11" s="106"/>
      <c r="ARC11" s="106"/>
      <c r="ARD11" s="106"/>
      <c r="ARE11" s="106"/>
      <c r="ARF11" s="106"/>
      <c r="ARG11" s="106"/>
      <c r="ARH11" s="106"/>
      <c r="ARI11" s="106"/>
      <c r="ARJ11" s="106"/>
      <c r="ARK11" s="106"/>
      <c r="ARL11" s="106"/>
      <c r="ARM11" s="106"/>
      <c r="ARN11" s="106"/>
      <c r="ARO11" s="106"/>
      <c r="ARP11" s="106"/>
      <c r="ARQ11" s="106"/>
      <c r="ARR11" s="106"/>
      <c r="ARS11" s="106"/>
      <c r="ART11" s="106"/>
      <c r="ARU11" s="106"/>
      <c r="ARV11" s="106"/>
      <c r="ARW11" s="106"/>
      <c r="ARX11" s="106"/>
      <c r="ARY11" s="106"/>
      <c r="ARZ11" s="106"/>
      <c r="ASA11" s="106"/>
      <c r="ASB11" s="106"/>
      <c r="ASC11" s="106"/>
      <c r="ASD11" s="106"/>
      <c r="ASE11" s="106"/>
      <c r="ASF11" s="106"/>
      <c r="ASG11" s="106"/>
      <c r="ASH11" s="106"/>
      <c r="ASI11" s="106"/>
      <c r="ASJ11" s="106"/>
      <c r="ASK11" s="106"/>
      <c r="ASL11" s="106"/>
      <c r="ASM11" s="106"/>
      <c r="ASN11" s="106"/>
      <c r="ASO11" s="106"/>
      <c r="ASP11" s="106"/>
      <c r="ASQ11" s="106"/>
      <c r="ASR11" s="106"/>
      <c r="ASS11" s="106"/>
      <c r="AST11" s="106"/>
      <c r="ASU11" s="106"/>
      <c r="ASV11" s="106"/>
      <c r="ASW11" s="106"/>
      <c r="ASX11" s="106"/>
      <c r="ASY11" s="106"/>
      <c r="ASZ11" s="106"/>
      <c r="ATA11" s="106"/>
      <c r="ATB11" s="106"/>
      <c r="ATC11" s="106"/>
      <c r="ATD11" s="106"/>
      <c r="ATE11" s="106"/>
      <c r="ATF11" s="106"/>
      <c r="ATG11" s="106"/>
      <c r="ATH11" s="106"/>
      <c r="ATI11" s="106"/>
      <c r="ATJ11" s="106"/>
      <c r="ATK11" s="106"/>
      <c r="ATL11" s="106"/>
      <c r="ATM11" s="106"/>
      <c r="ATN11" s="106"/>
      <c r="ATO11" s="106"/>
      <c r="ATP11" s="106"/>
      <c r="ATQ11" s="106"/>
      <c r="ATR11" s="106"/>
      <c r="ATS11" s="106"/>
      <c r="ATT11" s="106"/>
      <c r="ATU11" s="106"/>
      <c r="ATV11" s="106"/>
      <c r="ATW11" s="106"/>
      <c r="ATX11" s="106"/>
      <c r="ATY11" s="106"/>
      <c r="ATZ11" s="106"/>
      <c r="AUA11" s="106"/>
      <c r="AUB11" s="106"/>
      <c r="AUC11" s="106"/>
      <c r="AUD11" s="106"/>
      <c r="AUE11" s="106"/>
      <c r="AUF11" s="106"/>
      <c r="AUG11" s="106"/>
      <c r="AUH11" s="106"/>
      <c r="AUI11" s="106"/>
      <c r="AUJ11" s="106"/>
      <c r="AUK11" s="106"/>
      <c r="AUL11" s="106"/>
      <c r="AUM11" s="106"/>
      <c r="AUN11" s="106"/>
      <c r="AUO11" s="106"/>
      <c r="AUP11" s="106"/>
      <c r="AUQ11" s="106"/>
      <c r="AUR11" s="106"/>
      <c r="AUS11" s="106"/>
      <c r="AUT11" s="106"/>
      <c r="AUU11" s="106"/>
      <c r="AUV11" s="106"/>
      <c r="AUW11" s="106"/>
      <c r="AUX11" s="106"/>
      <c r="AUY11" s="106"/>
      <c r="AUZ11" s="106"/>
      <c r="AVA11" s="106"/>
      <c r="AVB11" s="106"/>
      <c r="AVC11" s="106"/>
      <c r="AVD11" s="106"/>
      <c r="AVE11" s="106"/>
      <c r="AVF11" s="106"/>
      <c r="AVG11" s="106"/>
      <c r="AVH11" s="106"/>
      <c r="AVI11" s="106"/>
      <c r="AVJ11" s="106"/>
      <c r="AVK11" s="106"/>
      <c r="AVL11" s="106"/>
      <c r="AVM11" s="106"/>
      <c r="AVN11" s="106"/>
      <c r="AVO11" s="106"/>
      <c r="AVP11" s="106"/>
      <c r="AVQ11" s="106"/>
      <c r="AVR11" s="106"/>
      <c r="AVS11" s="106"/>
      <c r="AVT11" s="106"/>
      <c r="AVU11" s="106"/>
      <c r="AVV11" s="106"/>
      <c r="AVW11" s="106"/>
      <c r="AVX11" s="106"/>
      <c r="AVY11" s="106"/>
      <c r="AVZ11" s="106"/>
      <c r="AWA11" s="106"/>
      <c r="AWB11" s="106"/>
      <c r="AWC11" s="106"/>
      <c r="AWD11" s="106"/>
      <c r="AWE11" s="106"/>
      <c r="AWF11" s="106"/>
      <c r="AWG11" s="106"/>
      <c r="AWH11" s="106"/>
      <c r="AWI11" s="106"/>
      <c r="AWJ11" s="106"/>
      <c r="AWK11" s="106"/>
      <c r="AWL11" s="106"/>
      <c r="AWM11" s="106"/>
      <c r="AWN11" s="106"/>
      <c r="AWO11" s="106"/>
      <c r="AWP11" s="106"/>
      <c r="AWQ11" s="106"/>
      <c r="AWR11" s="106"/>
      <c r="AWS11" s="106"/>
      <c r="AWT11" s="106"/>
      <c r="AWU11" s="106"/>
      <c r="AWV11" s="106"/>
      <c r="AWW11" s="106"/>
      <c r="AWX11" s="106"/>
      <c r="AWY11" s="106"/>
      <c r="AWZ11" s="106"/>
      <c r="AXA11" s="106"/>
      <c r="AXB11" s="106"/>
      <c r="AXC11" s="106"/>
      <c r="AXD11" s="106"/>
      <c r="AXE11" s="106"/>
      <c r="AXF11" s="106"/>
      <c r="AXG11" s="106"/>
      <c r="AXH11" s="106"/>
      <c r="AXI11" s="106"/>
      <c r="AXJ11" s="106"/>
      <c r="AXK11" s="106"/>
      <c r="AXL11" s="106"/>
      <c r="AXM11" s="106"/>
      <c r="AXN11" s="106"/>
      <c r="AXO11" s="106"/>
      <c r="AXP11" s="106"/>
      <c r="AXQ11" s="106"/>
      <c r="AXR11" s="106"/>
      <c r="AXS11" s="106"/>
      <c r="AXT11" s="106"/>
      <c r="AXU11" s="106"/>
      <c r="AXV11" s="106"/>
      <c r="AXW11" s="106"/>
      <c r="AXX11" s="106"/>
      <c r="AXY11" s="106"/>
      <c r="AXZ11" s="106"/>
      <c r="AYA11" s="106"/>
      <c r="AYB11" s="106"/>
      <c r="AYC11" s="106"/>
      <c r="AYD11" s="106"/>
      <c r="AYE11" s="106"/>
      <c r="AYF11" s="106"/>
      <c r="AYG11" s="106"/>
      <c r="AYH11" s="106"/>
      <c r="AYI11" s="106"/>
      <c r="AYJ11" s="106"/>
      <c r="AYK11" s="106"/>
      <c r="AYL11" s="106"/>
      <c r="AYM11" s="106"/>
      <c r="AYN11" s="106"/>
      <c r="AYO11" s="106"/>
      <c r="AYP11" s="106"/>
      <c r="AYQ11" s="106"/>
      <c r="AYR11" s="106"/>
      <c r="AYS11" s="106"/>
      <c r="AYT11" s="106"/>
      <c r="AYU11" s="106"/>
      <c r="AYV11" s="106"/>
      <c r="AYW11" s="106"/>
      <c r="AYX11" s="106"/>
      <c r="AYY11" s="106"/>
      <c r="AYZ11" s="106"/>
      <c r="AZA11" s="106"/>
      <c r="AZB11" s="106"/>
      <c r="AZC11" s="106"/>
      <c r="AZD11" s="106"/>
      <c r="AZE11" s="106"/>
      <c r="AZF11" s="106"/>
      <c r="AZG11" s="106"/>
      <c r="AZH11" s="106"/>
      <c r="AZI11" s="106"/>
      <c r="AZJ11" s="106"/>
      <c r="AZK11" s="106"/>
      <c r="AZL11" s="106"/>
      <c r="AZM11" s="106"/>
      <c r="AZN11" s="106"/>
      <c r="AZO11" s="106"/>
      <c r="AZP11" s="106"/>
      <c r="AZQ11" s="106"/>
      <c r="AZR11" s="106"/>
      <c r="AZS11" s="106"/>
      <c r="AZT11" s="106"/>
      <c r="AZU11" s="106"/>
      <c r="AZV11" s="106"/>
      <c r="AZW11" s="106"/>
      <c r="AZX11" s="106"/>
      <c r="AZY11" s="106"/>
      <c r="AZZ11" s="106"/>
      <c r="BAA11" s="106"/>
      <c r="BAB11" s="106"/>
      <c r="BAC11" s="106"/>
      <c r="BAD11" s="106"/>
      <c r="BAE11" s="106"/>
      <c r="BAF11" s="106"/>
      <c r="BAG11" s="106"/>
      <c r="BAH11" s="106"/>
      <c r="BAI11" s="106"/>
      <c r="BAJ11" s="106"/>
      <c r="BAK11" s="106"/>
      <c r="BAL11" s="106"/>
      <c r="BAM11" s="106"/>
      <c r="BAN11" s="106"/>
      <c r="BAO11" s="106"/>
      <c r="BAP11" s="106"/>
      <c r="BAQ11" s="106"/>
      <c r="BAR11" s="106"/>
      <c r="BAS11" s="106"/>
      <c r="BAT11" s="106"/>
      <c r="BAU11" s="106"/>
      <c r="BAV11" s="106"/>
      <c r="BAW11" s="106"/>
      <c r="BAX11" s="106"/>
      <c r="BAY11" s="106"/>
      <c r="BAZ11" s="106"/>
      <c r="BBA11" s="106"/>
      <c r="BBB11" s="106"/>
      <c r="BBC11" s="106"/>
      <c r="BBD11" s="106"/>
      <c r="BBE11" s="106"/>
      <c r="BBF11" s="106"/>
      <c r="BBG11" s="106"/>
      <c r="BBH11" s="106"/>
      <c r="BBI11" s="106"/>
      <c r="BBJ11" s="106"/>
      <c r="BBK11" s="106"/>
      <c r="BBL11" s="106"/>
      <c r="BBM11" s="106"/>
      <c r="BBN11" s="106"/>
      <c r="BBO11" s="106"/>
      <c r="BBP11" s="106"/>
      <c r="BBQ11" s="106"/>
      <c r="BBR11" s="106"/>
      <c r="BBS11" s="106"/>
      <c r="BBT11" s="106"/>
      <c r="BBU11" s="106"/>
      <c r="BBV11" s="106"/>
      <c r="BBW11" s="106"/>
      <c r="BBX11" s="106"/>
      <c r="BBY11" s="106"/>
      <c r="BBZ11" s="106"/>
      <c r="BCA11" s="106"/>
      <c r="BCB11" s="106"/>
      <c r="BCC11" s="106"/>
      <c r="BCD11" s="106"/>
      <c r="BCE11" s="106"/>
      <c r="BCF11" s="106"/>
      <c r="BCG11" s="106"/>
      <c r="BCH11" s="106"/>
      <c r="BCI11" s="106"/>
      <c r="BCJ11" s="106"/>
      <c r="BCK11" s="106"/>
      <c r="BCL11" s="106"/>
      <c r="BCM11" s="106"/>
      <c r="BCN11" s="106"/>
      <c r="BCO11" s="106"/>
      <c r="BCP11" s="106"/>
      <c r="BCQ11" s="106"/>
      <c r="BCR11" s="106"/>
      <c r="BCS11" s="106"/>
      <c r="BCT11" s="106"/>
      <c r="BCU11" s="106"/>
      <c r="BCV11" s="106"/>
      <c r="BCW11" s="106"/>
      <c r="BCX11" s="106"/>
      <c r="BCY11" s="106"/>
      <c r="BCZ11" s="106"/>
      <c r="BDA11" s="106"/>
      <c r="BDB11" s="106"/>
      <c r="BDC11" s="106"/>
      <c r="BDD11" s="106"/>
      <c r="BDE11" s="106"/>
      <c r="BDF11" s="106"/>
      <c r="BDG11" s="106"/>
      <c r="BDH11" s="106"/>
      <c r="BDI11" s="106"/>
      <c r="BDJ11" s="106"/>
      <c r="BDK11" s="106"/>
      <c r="BDL11" s="106"/>
      <c r="BDM11" s="106"/>
      <c r="BDN11" s="106"/>
      <c r="BDO11" s="106"/>
      <c r="BDP11" s="106"/>
      <c r="BDQ11" s="106"/>
      <c r="BDR11" s="106"/>
      <c r="BDS11" s="106"/>
      <c r="BDT11" s="106"/>
      <c r="BDU11" s="106"/>
      <c r="BDV11" s="106"/>
      <c r="BDW11" s="106"/>
      <c r="BDX11" s="106"/>
      <c r="BDY11" s="106"/>
      <c r="BDZ11" s="106"/>
      <c r="BEA11" s="106"/>
      <c r="BEB11" s="106"/>
      <c r="BEC11" s="106"/>
      <c r="BED11" s="106"/>
      <c r="BEE11" s="106"/>
      <c r="BEF11" s="106"/>
      <c r="BEG11" s="106"/>
      <c r="BEH11" s="106"/>
      <c r="BEI11" s="106"/>
      <c r="BEJ11" s="106"/>
      <c r="BEK11" s="106"/>
      <c r="BEL11" s="106"/>
      <c r="BEM11" s="106"/>
      <c r="BEN11" s="106"/>
      <c r="BEO11" s="106"/>
      <c r="BEP11" s="106"/>
      <c r="BEQ11" s="106"/>
      <c r="BER11" s="106"/>
      <c r="BES11" s="106"/>
      <c r="BET11" s="106"/>
      <c r="BEU11" s="106"/>
      <c r="BEV11" s="106"/>
      <c r="BEW11" s="106"/>
      <c r="BEX11" s="106"/>
      <c r="BEY11" s="106"/>
      <c r="BEZ11" s="106"/>
      <c r="BFA11" s="106"/>
      <c r="BFB11" s="106"/>
      <c r="BFC11" s="106"/>
      <c r="BFD11" s="106"/>
      <c r="BFE11" s="106"/>
      <c r="BFF11" s="106"/>
      <c r="BFG11" s="106"/>
      <c r="BFH11" s="106"/>
      <c r="BFI11" s="106"/>
      <c r="BFJ11" s="106"/>
      <c r="BFK11" s="106"/>
      <c r="BFL11" s="106"/>
      <c r="BFM11" s="106"/>
      <c r="BFN11" s="106"/>
      <c r="BFO11" s="106"/>
      <c r="BFP11" s="106"/>
      <c r="BFQ11" s="106"/>
      <c r="BFR11" s="106"/>
      <c r="BFS11" s="106"/>
      <c r="BFT11" s="106"/>
      <c r="BFU11" s="106"/>
      <c r="BFV11" s="106"/>
      <c r="BFW11" s="106"/>
      <c r="BFX11" s="106"/>
      <c r="BFY11" s="106"/>
      <c r="BFZ11" s="106"/>
      <c r="BGA11" s="106"/>
      <c r="BGB11" s="106"/>
      <c r="BGC11" s="106"/>
      <c r="BGD11" s="106"/>
      <c r="BGE11" s="106"/>
      <c r="BGF11" s="106"/>
      <c r="BGG11" s="106"/>
      <c r="BGH11" s="106"/>
      <c r="BGI11" s="106"/>
      <c r="BGJ11" s="106"/>
      <c r="BGK11" s="106"/>
      <c r="BGL11" s="106"/>
      <c r="BGM11" s="106"/>
      <c r="BGN11" s="106"/>
      <c r="BGO11" s="106"/>
      <c r="BGP11" s="106"/>
      <c r="BGQ11" s="106"/>
      <c r="BGR11" s="106"/>
      <c r="BGS11" s="106"/>
      <c r="BGT11" s="106"/>
      <c r="BGU11" s="106"/>
      <c r="BGV11" s="106"/>
      <c r="BGW11" s="106"/>
      <c r="BGX11" s="106"/>
      <c r="BGY11" s="106"/>
      <c r="BGZ11" s="106"/>
      <c r="BHA11" s="106"/>
      <c r="BHB11" s="106"/>
      <c r="BHC11" s="106"/>
      <c r="BHD11" s="106"/>
      <c r="BHE11" s="106"/>
      <c r="BHF11" s="106"/>
      <c r="BHG11" s="106"/>
      <c r="BHH11" s="106"/>
      <c r="BHI11" s="106"/>
      <c r="BHJ11" s="106"/>
      <c r="BHK11" s="106"/>
      <c r="BHL11" s="106"/>
      <c r="BHM11" s="106"/>
      <c r="BHN11" s="106"/>
      <c r="BHO11" s="106"/>
      <c r="BHP11" s="106"/>
      <c r="BHQ11" s="106"/>
      <c r="BHR11" s="106"/>
      <c r="BHS11" s="106"/>
      <c r="BHT11" s="106"/>
      <c r="BHU11" s="106"/>
      <c r="BHV11" s="106"/>
      <c r="BHW11" s="106"/>
      <c r="BHX11" s="106"/>
      <c r="BHY11" s="106"/>
      <c r="BHZ11" s="106"/>
      <c r="BIA11" s="106"/>
      <c r="BIB11" s="106"/>
      <c r="BIC11" s="106"/>
      <c r="BID11" s="106"/>
      <c r="BIE11" s="106"/>
      <c r="BIF11" s="106"/>
      <c r="BIG11" s="106"/>
      <c r="BIH11" s="106"/>
      <c r="BII11" s="106"/>
      <c r="BIJ11" s="106"/>
      <c r="BIK11" s="106"/>
      <c r="BIL11" s="106"/>
      <c r="BIM11" s="106"/>
      <c r="BIN11" s="106"/>
      <c r="BIO11" s="106"/>
      <c r="BIP11" s="106"/>
      <c r="BIQ11" s="106"/>
      <c r="BIR11" s="106"/>
      <c r="BIS11" s="106"/>
      <c r="BIT11" s="106"/>
      <c r="BIU11" s="106"/>
      <c r="BIV11" s="106"/>
      <c r="BIW11" s="106"/>
      <c r="BIX11" s="106"/>
      <c r="BIY11" s="106"/>
      <c r="BIZ11" s="106"/>
      <c r="BJA11" s="106"/>
      <c r="BJB11" s="106"/>
      <c r="BJC11" s="106"/>
      <c r="BJD11" s="106"/>
      <c r="BJE11" s="106"/>
      <c r="BJF11" s="106"/>
      <c r="BJG11" s="106"/>
      <c r="BJH11" s="106"/>
      <c r="BJI11" s="106"/>
      <c r="BJJ11" s="106"/>
      <c r="BJK11" s="106"/>
      <c r="BJL11" s="106"/>
      <c r="BJM11" s="106"/>
      <c r="BJN11" s="106"/>
      <c r="BJO11" s="106"/>
      <c r="BJP11" s="106"/>
      <c r="BJQ11" s="106"/>
      <c r="BJR11" s="106"/>
      <c r="BJS11" s="106"/>
      <c r="BJT11" s="106"/>
      <c r="BJU11" s="106"/>
      <c r="BJV11" s="106"/>
      <c r="BJW11" s="106"/>
      <c r="BJX11" s="106"/>
      <c r="BJY11" s="106"/>
      <c r="BJZ11" s="106"/>
      <c r="BKA11" s="106"/>
      <c r="BKB11" s="106"/>
      <c r="BKC11" s="106"/>
      <c r="BKD11" s="106"/>
      <c r="BKE11" s="106"/>
      <c r="BKF11" s="106"/>
      <c r="BKG11" s="106"/>
      <c r="BKH11" s="106"/>
      <c r="BKI11" s="106"/>
      <c r="BKJ11" s="106"/>
      <c r="BKK11" s="106"/>
      <c r="BKL11" s="106"/>
      <c r="BKM11" s="106"/>
      <c r="BKN11" s="106"/>
      <c r="BKO11" s="106"/>
      <c r="BKP11" s="106"/>
      <c r="BKQ11" s="106"/>
      <c r="BKR11" s="106"/>
      <c r="BKS11" s="106"/>
      <c r="BKT11" s="106"/>
      <c r="BKU11" s="106"/>
      <c r="BKV11" s="106"/>
      <c r="BKW11" s="106"/>
      <c r="BKX11" s="106"/>
      <c r="BKY11" s="106"/>
      <c r="BKZ11" s="106"/>
      <c r="BLA11" s="106"/>
      <c r="BLB11" s="106"/>
      <c r="BLC11" s="106"/>
      <c r="BLD11" s="106"/>
      <c r="BLE11" s="106"/>
      <c r="BLF11" s="106"/>
      <c r="BLG11" s="106"/>
      <c r="BLH11" s="106"/>
      <c r="BLI11" s="106"/>
      <c r="BLJ11" s="106"/>
      <c r="BLK11" s="106"/>
      <c r="BLL11" s="106"/>
      <c r="BLM11" s="106"/>
      <c r="BLN11" s="106"/>
      <c r="BLO11" s="106"/>
      <c r="BLP11" s="106"/>
      <c r="BLQ11" s="106"/>
      <c r="BLR11" s="106"/>
      <c r="BLS11" s="106"/>
      <c r="BLT11" s="106"/>
      <c r="BLU11" s="106"/>
      <c r="BLV11" s="106"/>
      <c r="BLW11" s="106"/>
      <c r="BLX11" s="106"/>
      <c r="BLY11" s="106"/>
      <c r="BLZ11" s="106"/>
      <c r="BMA11" s="106"/>
      <c r="BMB11" s="106"/>
      <c r="BMC11" s="106"/>
      <c r="BMD11" s="106"/>
      <c r="BME11" s="106"/>
      <c r="BMF11" s="106"/>
      <c r="BMG11" s="106"/>
      <c r="BMH11" s="106"/>
      <c r="BMI11" s="106"/>
      <c r="BMJ11" s="106"/>
      <c r="BMK11" s="106"/>
      <c r="BML11" s="106"/>
      <c r="BMM11" s="106"/>
      <c r="BMN11" s="106"/>
      <c r="BMO11" s="106"/>
      <c r="BMP11" s="106"/>
      <c r="BMQ11" s="106"/>
      <c r="BMR11" s="106"/>
      <c r="BMS11" s="106"/>
      <c r="BMT11" s="106"/>
      <c r="BMU11" s="106"/>
      <c r="BMV11" s="106"/>
      <c r="BMW11" s="106"/>
      <c r="BMX11" s="106"/>
      <c r="BMY11" s="106"/>
      <c r="BMZ11" s="106"/>
      <c r="BNA11" s="106"/>
      <c r="BNB11" s="106"/>
      <c r="BNC11" s="106"/>
      <c r="BND11" s="106"/>
      <c r="BNE11" s="106"/>
      <c r="BNF11" s="106"/>
      <c r="BNG11" s="106"/>
      <c r="BNH11" s="106"/>
      <c r="BNI11" s="106"/>
      <c r="BNJ11" s="106"/>
      <c r="BNK11" s="106"/>
      <c r="BNL11" s="106"/>
      <c r="BNM11" s="106"/>
      <c r="BNN11" s="106"/>
      <c r="BNO11" s="106"/>
      <c r="BNP11" s="106"/>
      <c r="BNQ11" s="106"/>
      <c r="BNR11" s="106"/>
      <c r="BNS11" s="106"/>
      <c r="BNT11" s="106"/>
      <c r="BNU11" s="106"/>
      <c r="BNV11" s="106"/>
      <c r="BNW11" s="106"/>
      <c r="BNX11" s="106"/>
      <c r="BNY11" s="106"/>
      <c r="BNZ11" s="106"/>
      <c r="BOA11" s="106"/>
      <c r="BOB11" s="106"/>
      <c r="BOC11" s="106"/>
      <c r="BOD11" s="106"/>
      <c r="BOE11" s="106"/>
      <c r="BOF11" s="106"/>
      <c r="BOG11" s="106"/>
      <c r="BOH11" s="106"/>
      <c r="BOI11" s="106"/>
      <c r="BOJ11" s="106"/>
      <c r="BOK11" s="106"/>
      <c r="BOL11" s="106"/>
      <c r="BOM11" s="106"/>
      <c r="BON11" s="106"/>
      <c r="BOO11" s="106"/>
      <c r="BOP11" s="106"/>
      <c r="BOQ11" s="106"/>
      <c r="BOR11" s="106"/>
      <c r="BOS11" s="106"/>
      <c r="BOT11" s="106"/>
      <c r="BOU11" s="106"/>
      <c r="BOV11" s="106"/>
      <c r="BOW11" s="106"/>
      <c r="BOX11" s="106"/>
      <c r="BOY11" s="106"/>
      <c r="BOZ11" s="106"/>
      <c r="BPA11" s="106"/>
      <c r="BPB11" s="106"/>
      <c r="BPC11" s="106"/>
      <c r="BPD11" s="106"/>
      <c r="BPE11" s="106"/>
      <c r="BPF11" s="106"/>
      <c r="BPG11" s="106"/>
      <c r="BPH11" s="106"/>
      <c r="BPI11" s="106"/>
      <c r="BPJ11" s="106"/>
      <c r="BPK11" s="106"/>
      <c r="BPL11" s="106"/>
      <c r="BPM11" s="106"/>
      <c r="BPN11" s="106"/>
      <c r="BPO11" s="106"/>
      <c r="BPP11" s="106"/>
      <c r="BPQ11" s="106"/>
      <c r="BPR11" s="106"/>
      <c r="BPS11" s="106"/>
      <c r="BPT11" s="106"/>
      <c r="BPU11" s="106"/>
      <c r="BPV11" s="106"/>
      <c r="BPW11" s="106"/>
      <c r="BPX11" s="106"/>
      <c r="BPY11" s="106"/>
      <c r="BPZ11" s="106"/>
      <c r="BQA11" s="106"/>
      <c r="BQB11" s="106"/>
      <c r="BQC11" s="106"/>
      <c r="BQD11" s="106"/>
      <c r="BQE11" s="106"/>
      <c r="BQF11" s="106"/>
      <c r="BQG11" s="106"/>
      <c r="BQH11" s="106"/>
      <c r="BQI11" s="106"/>
      <c r="BQJ11" s="106"/>
      <c r="BQK11" s="106"/>
      <c r="BQL11" s="106"/>
      <c r="BQM11" s="106"/>
      <c r="BQN11" s="106"/>
      <c r="BQO11" s="106"/>
      <c r="BQP11" s="106"/>
      <c r="BQQ11" s="106"/>
      <c r="BQR11" s="106"/>
      <c r="BQS11" s="106"/>
      <c r="BQT11" s="106"/>
      <c r="BQU11" s="106"/>
      <c r="BQV11" s="106"/>
      <c r="BQW11" s="106"/>
      <c r="BQX11" s="106"/>
      <c r="BQY11" s="106"/>
      <c r="BQZ11" s="106"/>
      <c r="BRA11" s="106"/>
      <c r="BRB11" s="106"/>
      <c r="BRC11" s="106"/>
      <c r="BRD11" s="106"/>
      <c r="BRE11" s="106"/>
      <c r="BRF11" s="106"/>
      <c r="BRG11" s="106"/>
      <c r="BRH11" s="106"/>
      <c r="BRI11" s="106"/>
      <c r="BRJ11" s="106"/>
      <c r="BRK11" s="106"/>
      <c r="BRL11" s="106"/>
      <c r="BRM11" s="106"/>
      <c r="BRN11" s="106"/>
      <c r="BRO11" s="106"/>
      <c r="BRP11" s="106"/>
      <c r="BRQ11" s="106"/>
      <c r="BRR11" s="106"/>
      <c r="BRS11" s="106"/>
      <c r="BRT11" s="106"/>
      <c r="BRU11" s="106"/>
      <c r="BRV11" s="106"/>
      <c r="BRW11" s="106"/>
      <c r="BRX11" s="106"/>
      <c r="BRY11" s="106"/>
      <c r="BRZ11" s="106"/>
      <c r="BSA11" s="106"/>
      <c r="BSB11" s="106"/>
      <c r="BSC11" s="106"/>
      <c r="BSD11" s="106"/>
      <c r="BSE11" s="106"/>
      <c r="BSF11" s="106"/>
      <c r="BSG11" s="106"/>
      <c r="BSH11" s="106"/>
      <c r="BSI11" s="106"/>
      <c r="BSJ11" s="106"/>
      <c r="BSK11" s="106"/>
      <c r="BSL11" s="106"/>
      <c r="BSM11" s="106"/>
      <c r="BSN11" s="106"/>
      <c r="BSO11" s="106"/>
      <c r="BSP11" s="106"/>
      <c r="BSQ11" s="106"/>
      <c r="BSR11" s="106"/>
      <c r="BSS11" s="106"/>
      <c r="BST11" s="106"/>
      <c r="BSU11" s="106"/>
      <c r="BSV11" s="106"/>
      <c r="BSW11" s="106"/>
      <c r="BSX11" s="106"/>
      <c r="BSY11" s="106"/>
      <c r="BSZ11" s="106"/>
      <c r="BTA11" s="106"/>
      <c r="BTB11" s="106"/>
      <c r="BTC11" s="106"/>
      <c r="BTD11" s="106"/>
      <c r="BTE11" s="106"/>
      <c r="BTF11" s="106"/>
      <c r="BTG11" s="106"/>
      <c r="BTH11" s="106"/>
      <c r="BTI11" s="106"/>
      <c r="BTJ11" s="106"/>
      <c r="BTK11" s="106"/>
      <c r="BTL11" s="106"/>
      <c r="BTM11" s="106"/>
      <c r="BTN11" s="106"/>
      <c r="BTO11" s="106"/>
      <c r="BTP11" s="106"/>
      <c r="BTQ11" s="106"/>
      <c r="BTR11" s="106"/>
      <c r="BTS11" s="106"/>
      <c r="BTT11" s="106"/>
      <c r="BTU11" s="106"/>
      <c r="BTV11" s="106"/>
      <c r="BTW11" s="106"/>
      <c r="BTX11" s="106"/>
      <c r="BTY11" s="106"/>
      <c r="BTZ11" s="106"/>
      <c r="BUA11" s="106"/>
      <c r="BUB11" s="106"/>
      <c r="BUC11" s="106"/>
      <c r="BUD11" s="106"/>
      <c r="BUE11" s="106"/>
      <c r="BUF11" s="106"/>
      <c r="BUG11" s="106"/>
      <c r="BUH11" s="106"/>
      <c r="BUI11" s="106"/>
      <c r="BUJ11" s="106"/>
      <c r="BUK11" s="106"/>
      <c r="BUL11" s="106"/>
      <c r="BUM11" s="106"/>
      <c r="BUN11" s="106"/>
      <c r="BUO11" s="106"/>
      <c r="BUP11" s="106"/>
      <c r="BUQ11" s="106"/>
      <c r="BUR11" s="106"/>
      <c r="BUS11" s="106"/>
      <c r="BUT11" s="106"/>
      <c r="BUU11" s="106"/>
      <c r="BUV11" s="106"/>
      <c r="BUW11" s="106"/>
      <c r="BUX11" s="106"/>
      <c r="BUY11" s="106"/>
      <c r="BUZ11" s="106"/>
      <c r="BVA11" s="106"/>
      <c r="BVB11" s="106"/>
      <c r="BVC11" s="106"/>
      <c r="BVD11" s="106"/>
      <c r="BVE11" s="106"/>
      <c r="BVF11" s="106"/>
      <c r="BVG11" s="106"/>
      <c r="BVH11" s="106"/>
      <c r="BVI11" s="106"/>
      <c r="BVJ11" s="106"/>
      <c r="BVK11" s="106"/>
      <c r="BVL11" s="106"/>
      <c r="BVM11" s="106"/>
      <c r="BVN11" s="106"/>
      <c r="BVO11" s="106"/>
      <c r="BVP11" s="106"/>
      <c r="BVQ11" s="106"/>
      <c r="BVR11" s="106"/>
      <c r="BVS11" s="106"/>
      <c r="BVT11" s="106"/>
      <c r="BVU11" s="106"/>
      <c r="BVV11" s="106"/>
      <c r="BVW11" s="106"/>
      <c r="BVX11" s="106"/>
      <c r="BVY11" s="106"/>
      <c r="BVZ11" s="106"/>
      <c r="BWA11" s="106"/>
      <c r="BWB11" s="106"/>
      <c r="BWC11" s="106"/>
      <c r="BWD11" s="106"/>
    </row>
    <row r="12" spans="1:1954" ht="16.5" x14ac:dyDescent="0.3">
      <c r="A12" s="187" t="s">
        <v>283</v>
      </c>
      <c r="B12" s="188">
        <v>13799.027559208746</v>
      </c>
      <c r="C12" s="188">
        <v>6131.8663392802027</v>
      </c>
      <c r="D12" s="188">
        <v>19930.893898488954</v>
      </c>
      <c r="E12" s="106"/>
      <c r="F12" s="193"/>
      <c r="G12" s="185"/>
      <c r="H12" s="193"/>
      <c r="I12" s="106"/>
      <c r="J12" s="186"/>
      <c r="K12" s="186"/>
      <c r="L12" s="18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row>
    <row r="13" spans="1:1954" ht="16.5" x14ac:dyDescent="0.3">
      <c r="A13" s="189" t="s">
        <v>284</v>
      </c>
      <c r="B13" s="190">
        <v>2490.3844738274315</v>
      </c>
      <c r="C13" s="190">
        <v>1470.2453022499999</v>
      </c>
      <c r="D13" s="190">
        <v>3960.6297760774323</v>
      </c>
      <c r="F13" s="185"/>
      <c r="G13" s="185"/>
      <c r="H13" s="185"/>
      <c r="J13" s="186"/>
      <c r="K13" s="186"/>
      <c r="L13" s="186"/>
      <c r="O13" s="104">
        <v>2.5</v>
      </c>
    </row>
    <row r="14" spans="1:1954" ht="16.5" x14ac:dyDescent="0.3">
      <c r="A14" s="191" t="s">
        <v>285</v>
      </c>
      <c r="B14" s="192">
        <v>98.309139282928953</v>
      </c>
      <c r="C14" s="192">
        <v>1177.2135785</v>
      </c>
      <c r="D14" s="192">
        <v>1275.522717782929</v>
      </c>
      <c r="F14" s="185"/>
      <c r="G14" s="185"/>
      <c r="H14" s="185"/>
      <c r="J14" s="186"/>
      <c r="K14" s="186"/>
      <c r="L14" s="186"/>
    </row>
    <row r="15" spans="1:1954" ht="16.5" x14ac:dyDescent="0.3">
      <c r="A15" s="191" t="s">
        <v>286</v>
      </c>
      <c r="B15" s="192">
        <v>600.16686857000002</v>
      </c>
      <c r="C15" s="192">
        <v>263.05929343999998</v>
      </c>
      <c r="D15" s="192">
        <v>863.22616200999983</v>
      </c>
      <c r="F15" s="185"/>
      <c r="G15" s="185"/>
      <c r="H15" s="185"/>
      <c r="J15" s="186"/>
      <c r="K15" s="186"/>
      <c r="L15" s="186"/>
    </row>
    <row r="16" spans="1:1954" ht="16.5" x14ac:dyDescent="0.3">
      <c r="A16" s="191" t="s">
        <v>287</v>
      </c>
      <c r="B16" s="192">
        <v>1791.9084659745031</v>
      </c>
      <c r="C16" s="192">
        <v>29.97243031</v>
      </c>
      <c r="D16" s="192">
        <v>1821.880896284503</v>
      </c>
      <c r="F16" s="185"/>
      <c r="G16" s="185"/>
      <c r="H16" s="185"/>
      <c r="J16" s="186"/>
      <c r="K16" s="186"/>
      <c r="L16" s="186"/>
    </row>
    <row r="17" spans="1:1954" ht="16.5" x14ac:dyDescent="0.3">
      <c r="A17" s="189" t="s">
        <v>288</v>
      </c>
      <c r="B17" s="190">
        <v>763.33910787000002</v>
      </c>
      <c r="C17" s="190">
        <v>268.08294318000003</v>
      </c>
      <c r="D17" s="190">
        <v>1031.4220510499999</v>
      </c>
      <c r="F17" s="185"/>
      <c r="G17" s="185"/>
      <c r="H17" s="185"/>
      <c r="J17" s="186"/>
      <c r="K17" s="186"/>
      <c r="L17" s="186"/>
    </row>
    <row r="18" spans="1:1954" ht="16.5" x14ac:dyDescent="0.3">
      <c r="A18" s="189" t="s">
        <v>289</v>
      </c>
      <c r="B18" s="190">
        <v>2193.0808015792891</v>
      </c>
      <c r="C18" s="190">
        <v>2692.4187947495761</v>
      </c>
      <c r="D18" s="190">
        <v>4885.4995963288648</v>
      </c>
      <c r="F18" s="185"/>
      <c r="G18" s="185"/>
      <c r="H18" s="185"/>
      <c r="J18" s="186"/>
      <c r="K18" s="186"/>
      <c r="L18" s="186"/>
    </row>
    <row r="19" spans="1:1954" ht="16.5" x14ac:dyDescent="0.3">
      <c r="A19" s="189" t="s">
        <v>290</v>
      </c>
      <c r="B19" s="190">
        <v>2181.2444257279485</v>
      </c>
      <c r="C19" s="190">
        <v>654.14715214923524</v>
      </c>
      <c r="D19" s="190">
        <v>2835.3915778771839</v>
      </c>
      <c r="F19" s="185"/>
      <c r="G19" s="185"/>
      <c r="H19" s="185"/>
      <c r="J19" s="186"/>
      <c r="K19" s="186"/>
      <c r="L19" s="186"/>
    </row>
    <row r="20" spans="1:1954" ht="16.5" x14ac:dyDescent="0.3">
      <c r="A20" s="189" t="s">
        <v>291</v>
      </c>
      <c r="B20" s="190">
        <v>70.783147948852957</v>
      </c>
      <c r="C20" s="190">
        <v>27.110391021391681</v>
      </c>
      <c r="D20" s="190">
        <v>97.893538970244649</v>
      </c>
      <c r="F20" s="185"/>
      <c r="G20" s="185"/>
      <c r="H20" s="185"/>
      <c r="J20" s="186"/>
      <c r="K20" s="186"/>
      <c r="L20" s="186"/>
    </row>
    <row r="21" spans="1:1954" ht="16.5" x14ac:dyDescent="0.3">
      <c r="A21" s="189" t="s">
        <v>292</v>
      </c>
      <c r="B21" s="190">
        <v>494.74619222135453</v>
      </c>
      <c r="C21" s="190">
        <v>166.67466311999999</v>
      </c>
      <c r="D21" s="190">
        <v>661.42085534135447</v>
      </c>
      <c r="F21" s="185"/>
      <c r="G21" s="185"/>
      <c r="H21" s="185"/>
      <c r="J21" s="186"/>
      <c r="K21" s="186"/>
      <c r="L21" s="186"/>
    </row>
    <row r="22" spans="1:1954" ht="16.5" x14ac:dyDescent="0.3">
      <c r="A22" s="189" t="s">
        <v>293</v>
      </c>
      <c r="B22" s="190">
        <v>337.75866046000004</v>
      </c>
      <c r="C22" s="190">
        <v>8.0416283600000007</v>
      </c>
      <c r="D22" s="190">
        <v>345.80028882000005</v>
      </c>
      <c r="F22" s="185"/>
      <c r="G22" s="185"/>
      <c r="H22" s="185"/>
      <c r="J22" s="186"/>
      <c r="K22" s="186"/>
      <c r="L22" s="186"/>
    </row>
    <row r="23" spans="1:1954" ht="16.5" x14ac:dyDescent="0.3">
      <c r="A23" s="189" t="s">
        <v>294</v>
      </c>
      <c r="B23" s="190">
        <v>820.31986607999988</v>
      </c>
      <c r="C23" s="190">
        <v>179.5463676</v>
      </c>
      <c r="D23" s="190">
        <v>999.86623367999994</v>
      </c>
      <c r="F23" s="185"/>
      <c r="G23" s="185"/>
      <c r="H23" s="185"/>
      <c r="J23" s="186"/>
      <c r="K23" s="186"/>
      <c r="L23" s="186"/>
    </row>
    <row r="24" spans="1:1954" ht="16.5" x14ac:dyDescent="0.3">
      <c r="A24" s="189" t="s">
        <v>295</v>
      </c>
      <c r="B24" s="190">
        <v>216.87366377999996</v>
      </c>
      <c r="C24" s="190">
        <v>7.4396039999999997E-2</v>
      </c>
      <c r="D24" s="190">
        <v>216.94805981999997</v>
      </c>
      <c r="F24" s="185"/>
      <c r="G24" s="185"/>
      <c r="H24" s="185"/>
      <c r="J24" s="186"/>
      <c r="K24" s="186"/>
      <c r="L24" s="186"/>
    </row>
    <row r="25" spans="1:1954" ht="16.5" x14ac:dyDescent="0.3">
      <c r="A25" s="189" t="s">
        <v>296</v>
      </c>
      <c r="B25" s="190">
        <v>280.91690121391332</v>
      </c>
      <c r="C25" s="190">
        <v>94.225532910000013</v>
      </c>
      <c r="D25" s="190">
        <v>375.14243412391329</v>
      </c>
      <c r="F25" s="185"/>
      <c r="G25" s="185"/>
      <c r="H25" s="185"/>
      <c r="J25" s="186"/>
      <c r="K25" s="186"/>
      <c r="L25" s="186"/>
    </row>
    <row r="26" spans="1:1954" ht="16.5" x14ac:dyDescent="0.3">
      <c r="A26" s="189" t="s">
        <v>297</v>
      </c>
      <c r="B26" s="190">
        <v>343.24321685000001</v>
      </c>
      <c r="C26" s="190">
        <v>2.574713E-2</v>
      </c>
      <c r="D26" s="190">
        <v>343.26896398000002</v>
      </c>
      <c r="F26" s="185"/>
      <c r="G26" s="185"/>
      <c r="H26" s="185"/>
      <c r="J26" s="186"/>
      <c r="K26" s="186"/>
      <c r="L26" s="186"/>
    </row>
    <row r="27" spans="1:1954" ht="16.5" x14ac:dyDescent="0.3">
      <c r="A27" s="189" t="s">
        <v>298</v>
      </c>
      <c r="B27" s="190">
        <v>779.38067976457728</v>
      </c>
      <c r="C27" s="190">
        <v>141.06663558</v>
      </c>
      <c r="D27" s="190">
        <v>920.44731534457731</v>
      </c>
      <c r="F27" s="185"/>
      <c r="G27" s="185"/>
      <c r="H27" s="185"/>
      <c r="J27" s="186"/>
      <c r="K27" s="186"/>
      <c r="L27" s="186"/>
    </row>
    <row r="28" spans="1:1954" ht="16.5" x14ac:dyDescent="0.3">
      <c r="A28" s="189" t="s">
        <v>299</v>
      </c>
      <c r="B28" s="190">
        <v>46.113215590321438</v>
      </c>
      <c r="C28" s="190">
        <v>135.76050537999998</v>
      </c>
      <c r="D28" s="190">
        <v>181.87372097032141</v>
      </c>
      <c r="F28" s="185"/>
      <c r="G28" s="185"/>
      <c r="H28" s="185"/>
      <c r="J28" s="186"/>
      <c r="K28" s="186"/>
      <c r="L28" s="186"/>
    </row>
    <row r="29" spans="1:1954" ht="16.5" x14ac:dyDescent="0.3">
      <c r="A29" s="189" t="s">
        <v>300</v>
      </c>
      <c r="B29" s="190">
        <v>307.52240615999995</v>
      </c>
      <c r="C29" s="190">
        <v>7.0093999999999998E-3</v>
      </c>
      <c r="D29" s="190">
        <v>307.52941555999996</v>
      </c>
      <c r="F29" s="185"/>
      <c r="G29" s="185"/>
      <c r="H29" s="185"/>
      <c r="J29" s="186"/>
      <c r="K29" s="186"/>
      <c r="L29" s="186"/>
    </row>
    <row r="30" spans="1:1954" ht="16.5" x14ac:dyDescent="0.3">
      <c r="A30" s="189" t="s">
        <v>301</v>
      </c>
      <c r="B30" s="190">
        <v>211.39263011034416</v>
      </c>
      <c r="C30" s="190">
        <v>4.0533399999999999E-3</v>
      </c>
      <c r="D30" s="190">
        <v>211.39668345034417</v>
      </c>
      <c r="F30" s="185"/>
      <c r="G30" s="185"/>
      <c r="H30" s="185"/>
      <c r="J30" s="186"/>
      <c r="K30" s="186"/>
      <c r="L30" s="186"/>
    </row>
    <row r="31" spans="1:1954" ht="16.5" x14ac:dyDescent="0.3">
      <c r="A31" s="189" t="s">
        <v>302</v>
      </c>
      <c r="B31" s="190">
        <v>2096.4726405347137</v>
      </c>
      <c r="C31" s="190">
        <v>287.62653489999997</v>
      </c>
      <c r="D31" s="190">
        <v>2384.0991754347133</v>
      </c>
      <c r="F31" s="185"/>
      <c r="G31" s="185"/>
      <c r="H31" s="185"/>
      <c r="J31" s="186"/>
      <c r="K31" s="186"/>
      <c r="L31" s="186"/>
    </row>
    <row r="32" spans="1:1954" ht="16.5" x14ac:dyDescent="0.3">
      <c r="A32" s="191" t="s">
        <v>303</v>
      </c>
      <c r="B32" s="192">
        <v>122.65806955697471</v>
      </c>
      <c r="C32" s="192">
        <v>8.3686615900000003</v>
      </c>
      <c r="D32" s="192">
        <v>131.02673114697473</v>
      </c>
      <c r="E32" s="102"/>
      <c r="F32" s="194"/>
      <c r="G32" s="185"/>
      <c r="H32" s="194"/>
      <c r="I32" s="102"/>
      <c r="J32" s="186"/>
      <c r="K32" s="186"/>
      <c r="L32" s="186"/>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c r="JN32" s="102"/>
      <c r="JO32" s="102"/>
      <c r="JP32" s="102"/>
      <c r="JQ32" s="102"/>
      <c r="JR32" s="102"/>
      <c r="JS32" s="102"/>
      <c r="JT32" s="102"/>
      <c r="JU32" s="102"/>
      <c r="JV32" s="102"/>
      <c r="JW32" s="102"/>
      <c r="JX32" s="102"/>
      <c r="JY32" s="102"/>
      <c r="JZ32" s="102"/>
      <c r="KA32" s="102"/>
      <c r="KB32" s="102"/>
      <c r="KC32" s="102"/>
      <c r="KD32" s="102"/>
      <c r="KE32" s="102"/>
      <c r="KF32" s="102"/>
      <c r="KG32" s="102"/>
      <c r="KH32" s="102"/>
      <c r="KI32" s="102"/>
      <c r="KJ32" s="102"/>
      <c r="KK32" s="102"/>
      <c r="KL32" s="102"/>
      <c r="KM32" s="102"/>
      <c r="KN32" s="102"/>
      <c r="KO32" s="102"/>
      <c r="KP32" s="102"/>
      <c r="KQ32" s="102"/>
      <c r="KR32" s="102"/>
      <c r="KS32" s="102"/>
      <c r="KT32" s="102"/>
      <c r="KU32" s="102"/>
      <c r="KV32" s="102"/>
      <c r="KW32" s="102"/>
      <c r="KX32" s="102"/>
      <c r="KY32" s="102"/>
      <c r="KZ32" s="102"/>
      <c r="LA32" s="102"/>
      <c r="LB32" s="102"/>
      <c r="LC32" s="102"/>
      <c r="LD32" s="102"/>
      <c r="LE32" s="102"/>
      <c r="LF32" s="102"/>
      <c r="LG32" s="102"/>
      <c r="LH32" s="102"/>
      <c r="LI32" s="102"/>
      <c r="LJ32" s="102"/>
      <c r="LK32" s="102"/>
      <c r="LL32" s="102"/>
      <c r="LM32" s="102"/>
      <c r="LN32" s="102"/>
      <c r="LO32" s="102"/>
      <c r="LP32" s="102"/>
      <c r="LQ32" s="102"/>
      <c r="LR32" s="102"/>
      <c r="LS32" s="102"/>
      <c r="LT32" s="102"/>
      <c r="LU32" s="102"/>
      <c r="LV32" s="102"/>
      <c r="LW32" s="102"/>
      <c r="LX32" s="102"/>
      <c r="LY32" s="102"/>
      <c r="LZ32" s="102"/>
      <c r="MA32" s="102"/>
      <c r="MB32" s="102"/>
      <c r="MC32" s="102"/>
      <c r="MD32" s="102"/>
      <c r="ME32" s="102"/>
      <c r="MF32" s="102"/>
      <c r="MG32" s="102"/>
      <c r="MH32" s="102"/>
      <c r="MI32" s="102"/>
      <c r="MJ32" s="102"/>
      <c r="MK32" s="102"/>
      <c r="ML32" s="102"/>
      <c r="MM32" s="102"/>
      <c r="MN32" s="102"/>
      <c r="MO32" s="102"/>
      <c r="MP32" s="102"/>
      <c r="MQ32" s="102"/>
      <c r="MR32" s="102"/>
      <c r="MS32" s="102"/>
      <c r="MT32" s="102"/>
      <c r="MU32" s="102"/>
      <c r="MV32" s="102"/>
      <c r="MW32" s="102"/>
      <c r="MX32" s="102"/>
      <c r="MY32" s="102"/>
      <c r="MZ32" s="102"/>
      <c r="NA32" s="102"/>
      <c r="NB32" s="102"/>
      <c r="NC32" s="102"/>
      <c r="ND32" s="102"/>
      <c r="NE32" s="102"/>
      <c r="NF32" s="102"/>
      <c r="NG32" s="102"/>
      <c r="NH32" s="102"/>
      <c r="NI32" s="102"/>
      <c r="NJ32" s="102"/>
      <c r="NK32" s="102"/>
      <c r="NL32" s="102"/>
      <c r="NM32" s="102"/>
      <c r="NN32" s="102"/>
      <c r="NO32" s="102"/>
      <c r="NP32" s="102"/>
      <c r="NQ32" s="102"/>
      <c r="NR32" s="102"/>
      <c r="NS32" s="102"/>
      <c r="NT32" s="102"/>
      <c r="NU32" s="102"/>
      <c r="NV32" s="102"/>
      <c r="NW32" s="102"/>
      <c r="NX32" s="102"/>
      <c r="NY32" s="102"/>
      <c r="NZ32" s="102"/>
      <c r="OA32" s="102"/>
      <c r="OB32" s="102"/>
      <c r="OC32" s="102"/>
      <c r="OD32" s="102"/>
      <c r="OE32" s="102"/>
      <c r="OF32" s="102"/>
      <c r="OG32" s="102"/>
      <c r="OH32" s="102"/>
      <c r="OI32" s="102"/>
      <c r="OJ32" s="102"/>
      <c r="OK32" s="102"/>
      <c r="OL32" s="102"/>
      <c r="OM32" s="102"/>
      <c r="ON32" s="102"/>
      <c r="OO32" s="102"/>
      <c r="OP32" s="102"/>
      <c r="OQ32" s="102"/>
      <c r="OR32" s="102"/>
      <c r="OS32" s="102"/>
      <c r="OT32" s="102"/>
      <c r="OU32" s="102"/>
      <c r="OV32" s="102"/>
      <c r="OW32" s="102"/>
      <c r="OX32" s="102"/>
      <c r="OY32" s="102"/>
      <c r="OZ32" s="102"/>
      <c r="PA32" s="102"/>
      <c r="PB32" s="102"/>
      <c r="PC32" s="102"/>
      <c r="PD32" s="102"/>
      <c r="PE32" s="102"/>
      <c r="PF32" s="102"/>
      <c r="PG32" s="102"/>
      <c r="PH32" s="102"/>
      <c r="PI32" s="102"/>
      <c r="PJ32" s="102"/>
      <c r="PK32" s="102"/>
      <c r="PL32" s="102"/>
      <c r="PM32" s="102"/>
      <c r="PN32" s="102"/>
      <c r="PO32" s="102"/>
      <c r="PP32" s="102"/>
      <c r="PQ32" s="102"/>
      <c r="PR32" s="102"/>
      <c r="PS32" s="102"/>
      <c r="PT32" s="102"/>
      <c r="PU32" s="102"/>
      <c r="PV32" s="102"/>
      <c r="PW32" s="102"/>
      <c r="PX32" s="102"/>
      <c r="PY32" s="102"/>
      <c r="PZ32" s="102"/>
      <c r="QA32" s="102"/>
      <c r="QB32" s="102"/>
      <c r="QC32" s="102"/>
      <c r="QD32" s="102"/>
      <c r="QE32" s="102"/>
      <c r="QF32" s="102"/>
      <c r="QG32" s="102"/>
      <c r="QH32" s="102"/>
      <c r="QI32" s="102"/>
      <c r="QJ32" s="102"/>
      <c r="QK32" s="102"/>
      <c r="QL32" s="102"/>
      <c r="QM32" s="102"/>
      <c r="QN32" s="102"/>
      <c r="QO32" s="102"/>
      <c r="QP32" s="102"/>
      <c r="QQ32" s="102"/>
      <c r="QR32" s="102"/>
      <c r="QS32" s="102"/>
      <c r="QT32" s="102"/>
      <c r="QU32" s="102"/>
      <c r="QV32" s="102"/>
      <c r="QW32" s="102"/>
      <c r="QX32" s="102"/>
      <c r="QY32" s="102"/>
      <c r="QZ32" s="102"/>
      <c r="RA32" s="102"/>
      <c r="RB32" s="102"/>
      <c r="RC32" s="102"/>
      <c r="RD32" s="102"/>
      <c r="RE32" s="102"/>
      <c r="RF32" s="102"/>
      <c r="RG32" s="102"/>
      <c r="RH32" s="102"/>
      <c r="RI32" s="102"/>
      <c r="RJ32" s="102"/>
      <c r="RK32" s="102"/>
      <c r="RL32" s="102"/>
      <c r="RM32" s="102"/>
      <c r="RN32" s="102"/>
      <c r="RO32" s="102"/>
      <c r="RP32" s="102"/>
      <c r="RQ32" s="102"/>
      <c r="RR32" s="102"/>
      <c r="RS32" s="102"/>
      <c r="RT32" s="102"/>
      <c r="RU32" s="102"/>
      <c r="RV32" s="102"/>
      <c r="RW32" s="102"/>
      <c r="RX32" s="102"/>
      <c r="RY32" s="102"/>
      <c r="RZ32" s="102"/>
      <c r="SA32" s="102"/>
      <c r="SB32" s="102"/>
      <c r="SC32" s="102"/>
      <c r="SD32" s="102"/>
      <c r="SE32" s="102"/>
      <c r="SF32" s="102"/>
      <c r="SG32" s="102"/>
      <c r="SH32" s="102"/>
      <c r="SI32" s="102"/>
      <c r="SJ32" s="102"/>
      <c r="SK32" s="102"/>
      <c r="SL32" s="102"/>
      <c r="SM32" s="102"/>
      <c r="SN32" s="102"/>
      <c r="SO32" s="102"/>
      <c r="SP32" s="102"/>
      <c r="SQ32" s="102"/>
      <c r="SR32" s="102"/>
      <c r="SS32" s="102"/>
      <c r="ST32" s="102"/>
      <c r="SU32" s="102"/>
      <c r="SV32" s="102"/>
      <c r="SW32" s="102"/>
      <c r="SX32" s="102"/>
      <c r="SY32" s="102"/>
      <c r="SZ32" s="102"/>
      <c r="TA32" s="102"/>
      <c r="TB32" s="102"/>
      <c r="TC32" s="102"/>
      <c r="TD32" s="102"/>
      <c r="TE32" s="102"/>
      <c r="TF32" s="102"/>
      <c r="TG32" s="102"/>
      <c r="TH32" s="102"/>
      <c r="TI32" s="102"/>
      <c r="TJ32" s="102"/>
      <c r="TK32" s="102"/>
      <c r="TL32" s="102"/>
      <c r="TM32" s="102"/>
      <c r="TN32" s="102"/>
      <c r="TO32" s="102"/>
      <c r="TP32" s="102"/>
      <c r="TQ32" s="102"/>
      <c r="TR32" s="102"/>
      <c r="TS32" s="102"/>
      <c r="TT32" s="102"/>
      <c r="TU32" s="102"/>
      <c r="TV32" s="102"/>
      <c r="TW32" s="102"/>
      <c r="TX32" s="102"/>
      <c r="TY32" s="102"/>
      <c r="TZ32" s="102"/>
      <c r="UA32" s="102"/>
      <c r="UB32" s="102"/>
      <c r="UC32" s="102"/>
      <c r="UD32" s="102"/>
      <c r="UE32" s="102"/>
      <c r="UF32" s="102"/>
      <c r="UG32" s="102"/>
      <c r="UH32" s="102"/>
      <c r="UI32" s="102"/>
      <c r="UJ32" s="102"/>
      <c r="UK32" s="102"/>
      <c r="UL32" s="102"/>
      <c r="UM32" s="102"/>
      <c r="UN32" s="102"/>
      <c r="UO32" s="102"/>
      <c r="UP32" s="102"/>
      <c r="UQ32" s="102"/>
      <c r="UR32" s="102"/>
      <c r="US32" s="102"/>
      <c r="UT32" s="102"/>
      <c r="UU32" s="102"/>
      <c r="UV32" s="102"/>
      <c r="UW32" s="102"/>
      <c r="UX32" s="102"/>
      <c r="UY32" s="102"/>
      <c r="UZ32" s="102"/>
      <c r="VA32" s="102"/>
      <c r="VB32" s="102"/>
      <c r="VC32" s="102"/>
      <c r="VD32" s="102"/>
      <c r="VE32" s="102"/>
      <c r="VF32" s="102"/>
      <c r="VG32" s="102"/>
      <c r="VH32" s="102"/>
      <c r="VI32" s="102"/>
      <c r="VJ32" s="102"/>
      <c r="VK32" s="102"/>
      <c r="VL32" s="102"/>
      <c r="VM32" s="102"/>
      <c r="VN32" s="102"/>
      <c r="VO32" s="102"/>
      <c r="VP32" s="102"/>
      <c r="VQ32" s="102"/>
      <c r="VR32" s="102"/>
      <c r="VS32" s="102"/>
      <c r="VT32" s="102"/>
      <c r="VU32" s="102"/>
      <c r="VV32" s="102"/>
      <c r="VW32" s="102"/>
      <c r="VX32" s="102"/>
      <c r="VY32" s="102"/>
      <c r="VZ32" s="102"/>
      <c r="WA32" s="102"/>
      <c r="WB32" s="102"/>
      <c r="WC32" s="102"/>
      <c r="WD32" s="102"/>
      <c r="WE32" s="102"/>
      <c r="WF32" s="102"/>
      <c r="WG32" s="102"/>
      <c r="WH32" s="102"/>
      <c r="WI32" s="102"/>
      <c r="WJ32" s="102"/>
      <c r="WK32" s="102"/>
      <c r="WL32" s="102"/>
      <c r="WM32" s="102"/>
      <c r="WN32" s="102"/>
      <c r="WO32" s="102"/>
      <c r="WP32" s="102"/>
      <c r="WQ32" s="102"/>
      <c r="WR32" s="102"/>
      <c r="WS32" s="102"/>
      <c r="WT32" s="102"/>
      <c r="WU32" s="102"/>
      <c r="WV32" s="102"/>
      <c r="WW32" s="102"/>
      <c r="WX32" s="102"/>
      <c r="WY32" s="102"/>
      <c r="WZ32" s="102"/>
      <c r="XA32" s="102"/>
      <c r="XB32" s="102"/>
      <c r="XC32" s="102"/>
      <c r="XD32" s="102"/>
      <c r="XE32" s="102"/>
      <c r="XF32" s="102"/>
      <c r="XG32" s="102"/>
      <c r="XH32" s="102"/>
      <c r="XI32" s="102"/>
      <c r="XJ32" s="102"/>
      <c r="XK32" s="102"/>
      <c r="XL32" s="102"/>
      <c r="XM32" s="102"/>
      <c r="XN32" s="102"/>
      <c r="XO32" s="102"/>
      <c r="XP32" s="102"/>
      <c r="XQ32" s="102"/>
      <c r="XR32" s="102"/>
      <c r="XS32" s="102"/>
      <c r="XT32" s="102"/>
      <c r="XU32" s="102"/>
      <c r="XV32" s="102"/>
      <c r="XW32" s="102"/>
      <c r="XX32" s="102"/>
      <c r="XY32" s="102"/>
      <c r="XZ32" s="102"/>
      <c r="YA32" s="102"/>
      <c r="YB32" s="102"/>
      <c r="YC32" s="102"/>
      <c r="YD32" s="102"/>
      <c r="YE32" s="102"/>
      <c r="YF32" s="102"/>
      <c r="YG32" s="102"/>
      <c r="YH32" s="102"/>
      <c r="YI32" s="102"/>
      <c r="YJ32" s="102"/>
      <c r="YK32" s="102"/>
      <c r="YL32" s="102"/>
      <c r="YM32" s="102"/>
      <c r="YN32" s="102"/>
      <c r="YO32" s="102"/>
      <c r="YP32" s="102"/>
      <c r="YQ32" s="102"/>
      <c r="YR32" s="102"/>
      <c r="YS32" s="102"/>
      <c r="YT32" s="102"/>
      <c r="YU32" s="102"/>
      <c r="YV32" s="102"/>
      <c r="YW32" s="102"/>
      <c r="YX32" s="102"/>
      <c r="YY32" s="102"/>
      <c r="YZ32" s="102"/>
      <c r="ZA32" s="102"/>
      <c r="ZB32" s="102"/>
      <c r="ZC32" s="102"/>
      <c r="ZD32" s="102"/>
      <c r="ZE32" s="102"/>
      <c r="ZF32" s="102"/>
      <c r="ZG32" s="102"/>
      <c r="ZH32" s="102"/>
      <c r="ZI32" s="102"/>
      <c r="ZJ32" s="102"/>
      <c r="ZK32" s="102"/>
      <c r="ZL32" s="102"/>
      <c r="ZM32" s="102"/>
      <c r="ZN32" s="102"/>
      <c r="ZO32" s="102"/>
      <c r="ZP32" s="102"/>
      <c r="ZQ32" s="102"/>
      <c r="ZR32" s="102"/>
      <c r="ZS32" s="102"/>
      <c r="ZT32" s="102"/>
      <c r="ZU32" s="102"/>
      <c r="ZV32" s="102"/>
      <c r="ZW32" s="102"/>
      <c r="ZX32" s="102"/>
      <c r="ZY32" s="102"/>
      <c r="ZZ32" s="102"/>
      <c r="AAA32" s="102"/>
      <c r="AAB32" s="102"/>
      <c r="AAC32" s="102"/>
      <c r="AAD32" s="102"/>
      <c r="AAE32" s="102"/>
      <c r="AAF32" s="102"/>
      <c r="AAG32" s="102"/>
      <c r="AAH32" s="102"/>
      <c r="AAI32" s="102"/>
      <c r="AAJ32" s="102"/>
      <c r="AAK32" s="102"/>
      <c r="AAL32" s="102"/>
      <c r="AAM32" s="102"/>
      <c r="AAN32" s="102"/>
      <c r="AAO32" s="102"/>
      <c r="AAP32" s="102"/>
      <c r="AAQ32" s="102"/>
      <c r="AAR32" s="102"/>
      <c r="AAS32" s="102"/>
      <c r="AAT32" s="102"/>
      <c r="AAU32" s="102"/>
      <c r="AAV32" s="102"/>
      <c r="AAW32" s="102"/>
      <c r="AAX32" s="102"/>
      <c r="AAY32" s="102"/>
      <c r="AAZ32" s="102"/>
      <c r="ABA32" s="102"/>
      <c r="ABB32" s="102"/>
      <c r="ABC32" s="102"/>
      <c r="ABD32" s="102"/>
      <c r="ABE32" s="102"/>
      <c r="ABF32" s="102"/>
      <c r="ABG32" s="102"/>
      <c r="ABH32" s="102"/>
      <c r="ABI32" s="102"/>
      <c r="ABJ32" s="102"/>
      <c r="ABK32" s="102"/>
      <c r="ABL32" s="102"/>
      <c r="ABM32" s="102"/>
      <c r="ABN32" s="102"/>
      <c r="ABO32" s="102"/>
      <c r="ABP32" s="102"/>
      <c r="ABQ32" s="102"/>
      <c r="ABR32" s="102"/>
      <c r="ABS32" s="102"/>
      <c r="ABT32" s="102"/>
      <c r="ABU32" s="102"/>
      <c r="ABV32" s="102"/>
      <c r="ABW32" s="102"/>
      <c r="ABX32" s="102"/>
      <c r="ABY32" s="102"/>
      <c r="ABZ32" s="102"/>
      <c r="ACA32" s="102"/>
      <c r="ACB32" s="102"/>
      <c r="ACC32" s="102"/>
      <c r="ACD32" s="102"/>
      <c r="ACE32" s="102"/>
      <c r="ACF32" s="102"/>
      <c r="ACG32" s="102"/>
      <c r="ACH32" s="102"/>
      <c r="ACI32" s="102"/>
      <c r="ACJ32" s="102"/>
      <c r="ACK32" s="102"/>
      <c r="ACL32" s="102"/>
      <c r="ACM32" s="102"/>
      <c r="ACN32" s="102"/>
      <c r="ACO32" s="102"/>
      <c r="ACP32" s="102"/>
      <c r="ACQ32" s="102"/>
      <c r="ACR32" s="102"/>
      <c r="ACS32" s="102"/>
      <c r="ACT32" s="102"/>
      <c r="ACU32" s="102"/>
      <c r="ACV32" s="102"/>
      <c r="ACW32" s="102"/>
      <c r="ACX32" s="102"/>
      <c r="ACY32" s="102"/>
      <c r="ACZ32" s="102"/>
      <c r="ADA32" s="102"/>
      <c r="ADB32" s="102"/>
      <c r="ADC32" s="102"/>
      <c r="ADD32" s="102"/>
      <c r="ADE32" s="102"/>
      <c r="ADF32" s="102"/>
      <c r="ADG32" s="102"/>
      <c r="ADH32" s="102"/>
      <c r="ADI32" s="102"/>
      <c r="ADJ32" s="102"/>
      <c r="ADK32" s="102"/>
      <c r="ADL32" s="102"/>
      <c r="ADM32" s="102"/>
      <c r="ADN32" s="102"/>
      <c r="ADO32" s="102"/>
      <c r="ADP32" s="102"/>
      <c r="ADQ32" s="102"/>
      <c r="ADR32" s="102"/>
      <c r="ADS32" s="102"/>
      <c r="ADT32" s="102"/>
      <c r="ADU32" s="102"/>
      <c r="ADV32" s="102"/>
      <c r="ADW32" s="102"/>
      <c r="ADX32" s="102"/>
      <c r="ADY32" s="102"/>
      <c r="ADZ32" s="102"/>
      <c r="AEA32" s="102"/>
      <c r="AEB32" s="102"/>
      <c r="AEC32" s="102"/>
      <c r="AED32" s="102"/>
      <c r="AEE32" s="102"/>
      <c r="AEF32" s="102"/>
      <c r="AEG32" s="102"/>
      <c r="AEH32" s="102"/>
      <c r="AEI32" s="102"/>
      <c r="AEJ32" s="102"/>
      <c r="AEK32" s="102"/>
      <c r="AEL32" s="102"/>
      <c r="AEM32" s="102"/>
      <c r="AEN32" s="102"/>
      <c r="AEO32" s="102"/>
      <c r="AEP32" s="102"/>
      <c r="AEQ32" s="102"/>
      <c r="AER32" s="102"/>
      <c r="AES32" s="102"/>
      <c r="AET32" s="102"/>
      <c r="AEU32" s="102"/>
      <c r="AEV32" s="102"/>
      <c r="AEW32" s="102"/>
      <c r="AEX32" s="102"/>
      <c r="AEY32" s="102"/>
      <c r="AEZ32" s="102"/>
      <c r="AFA32" s="102"/>
      <c r="AFB32" s="102"/>
      <c r="AFC32" s="102"/>
      <c r="AFD32" s="102"/>
      <c r="AFE32" s="102"/>
      <c r="AFF32" s="102"/>
      <c r="AFG32" s="102"/>
      <c r="AFH32" s="102"/>
      <c r="AFI32" s="102"/>
      <c r="AFJ32" s="102"/>
      <c r="AFK32" s="102"/>
      <c r="AFL32" s="102"/>
      <c r="AFM32" s="102"/>
      <c r="AFN32" s="102"/>
      <c r="AFO32" s="102"/>
      <c r="AFP32" s="102"/>
      <c r="AFQ32" s="102"/>
      <c r="AFR32" s="102"/>
      <c r="AFS32" s="102"/>
      <c r="AFT32" s="102"/>
      <c r="AFU32" s="102"/>
      <c r="AFV32" s="102"/>
      <c r="AFW32" s="102"/>
      <c r="AFX32" s="102"/>
      <c r="AFY32" s="102"/>
      <c r="AFZ32" s="102"/>
      <c r="AGA32" s="102"/>
      <c r="AGB32" s="102"/>
      <c r="AGC32" s="102"/>
      <c r="AGD32" s="102"/>
      <c r="AGE32" s="102"/>
      <c r="AGF32" s="102"/>
      <c r="AGG32" s="102"/>
      <c r="AGH32" s="102"/>
      <c r="AGI32" s="102"/>
      <c r="AGJ32" s="102"/>
      <c r="AGK32" s="102"/>
      <c r="AGL32" s="102"/>
      <c r="AGM32" s="102"/>
      <c r="AGN32" s="102"/>
      <c r="AGO32" s="102"/>
      <c r="AGP32" s="102"/>
      <c r="AGQ32" s="102"/>
      <c r="AGR32" s="102"/>
      <c r="AGS32" s="102"/>
      <c r="AGT32" s="102"/>
      <c r="AGU32" s="102"/>
      <c r="AGV32" s="102"/>
      <c r="AGW32" s="102"/>
      <c r="AGX32" s="102"/>
      <c r="AGY32" s="102"/>
      <c r="AGZ32" s="102"/>
      <c r="AHA32" s="102"/>
      <c r="AHB32" s="102"/>
      <c r="AHC32" s="102"/>
      <c r="AHD32" s="102"/>
      <c r="AHE32" s="102"/>
      <c r="AHF32" s="102"/>
      <c r="AHG32" s="102"/>
      <c r="AHH32" s="102"/>
      <c r="AHI32" s="102"/>
      <c r="AHJ32" s="102"/>
      <c r="AHK32" s="102"/>
      <c r="AHL32" s="102"/>
      <c r="AHM32" s="102"/>
      <c r="AHN32" s="102"/>
      <c r="AHO32" s="102"/>
      <c r="AHP32" s="102"/>
      <c r="AHQ32" s="102"/>
      <c r="AHR32" s="102"/>
      <c r="AHS32" s="102"/>
      <c r="AHT32" s="102"/>
      <c r="AHU32" s="102"/>
      <c r="AHV32" s="102"/>
      <c r="AHW32" s="102"/>
      <c r="AHX32" s="102"/>
      <c r="AHY32" s="102"/>
      <c r="AHZ32" s="102"/>
      <c r="AIA32" s="102"/>
      <c r="AIB32" s="102"/>
      <c r="AIC32" s="102"/>
      <c r="AID32" s="102"/>
      <c r="AIE32" s="102"/>
      <c r="AIF32" s="102"/>
      <c r="AIG32" s="102"/>
      <c r="AIH32" s="102"/>
      <c r="AII32" s="102"/>
      <c r="AIJ32" s="102"/>
      <c r="AIK32" s="102"/>
      <c r="AIL32" s="102"/>
      <c r="AIM32" s="102"/>
      <c r="AIN32" s="102"/>
      <c r="AIO32" s="102"/>
      <c r="AIP32" s="102"/>
      <c r="AIQ32" s="102"/>
      <c r="AIR32" s="102"/>
      <c r="AIS32" s="102"/>
      <c r="AIT32" s="102"/>
      <c r="AIU32" s="102"/>
      <c r="AIV32" s="102"/>
      <c r="AIW32" s="102"/>
      <c r="AIX32" s="102"/>
      <c r="AIY32" s="102"/>
      <c r="AIZ32" s="102"/>
      <c r="AJA32" s="102"/>
      <c r="AJB32" s="102"/>
      <c r="AJC32" s="102"/>
      <c r="AJD32" s="102"/>
      <c r="AJE32" s="102"/>
      <c r="AJF32" s="102"/>
      <c r="AJG32" s="102"/>
      <c r="AJH32" s="102"/>
      <c r="AJI32" s="102"/>
      <c r="AJJ32" s="102"/>
      <c r="AJK32" s="102"/>
      <c r="AJL32" s="102"/>
      <c r="AJM32" s="102"/>
      <c r="AJN32" s="102"/>
      <c r="AJO32" s="102"/>
      <c r="AJP32" s="102"/>
      <c r="AJQ32" s="102"/>
      <c r="AJR32" s="102"/>
      <c r="AJS32" s="102"/>
      <c r="AJT32" s="102"/>
      <c r="AJU32" s="102"/>
      <c r="AJV32" s="102"/>
      <c r="AJW32" s="102"/>
      <c r="AJX32" s="102"/>
      <c r="AJY32" s="102"/>
      <c r="AJZ32" s="102"/>
      <c r="AKA32" s="102"/>
      <c r="AKB32" s="102"/>
      <c r="AKC32" s="102"/>
      <c r="AKD32" s="102"/>
      <c r="AKE32" s="102"/>
      <c r="AKF32" s="102"/>
      <c r="AKG32" s="102"/>
      <c r="AKH32" s="102"/>
      <c r="AKI32" s="102"/>
      <c r="AKJ32" s="102"/>
      <c r="AKK32" s="102"/>
      <c r="AKL32" s="102"/>
      <c r="AKM32" s="102"/>
      <c r="AKN32" s="102"/>
      <c r="AKO32" s="102"/>
      <c r="AKP32" s="102"/>
      <c r="AKQ32" s="102"/>
      <c r="AKR32" s="102"/>
      <c r="AKS32" s="102"/>
      <c r="AKT32" s="102"/>
      <c r="AKU32" s="102"/>
      <c r="AKV32" s="102"/>
      <c r="AKW32" s="102"/>
      <c r="AKX32" s="102"/>
      <c r="AKY32" s="102"/>
      <c r="AKZ32" s="102"/>
      <c r="ALA32" s="102"/>
      <c r="ALB32" s="102"/>
      <c r="ALC32" s="102"/>
      <c r="ALD32" s="102"/>
      <c r="ALE32" s="102"/>
      <c r="ALF32" s="102"/>
      <c r="ALG32" s="102"/>
      <c r="ALH32" s="102"/>
      <c r="ALI32" s="102"/>
      <c r="ALJ32" s="102"/>
      <c r="ALK32" s="102"/>
      <c r="ALL32" s="102"/>
      <c r="ALM32" s="102"/>
      <c r="ALN32" s="102"/>
      <c r="ALO32" s="102"/>
      <c r="ALP32" s="102"/>
      <c r="ALQ32" s="102"/>
      <c r="ALR32" s="102"/>
      <c r="ALS32" s="102"/>
      <c r="ALT32" s="102"/>
      <c r="ALU32" s="102"/>
      <c r="ALV32" s="102"/>
      <c r="ALW32" s="102"/>
      <c r="ALX32" s="102"/>
      <c r="ALY32" s="102"/>
      <c r="ALZ32" s="102"/>
      <c r="AMA32" s="102"/>
      <c r="AMB32" s="102"/>
      <c r="AMC32" s="102"/>
      <c r="AMD32" s="102"/>
      <c r="AME32" s="102"/>
      <c r="AMF32" s="102"/>
      <c r="AMG32" s="102"/>
      <c r="AMH32" s="102"/>
      <c r="AMI32" s="102"/>
      <c r="AMJ32" s="102"/>
      <c r="AMK32" s="102"/>
      <c r="AML32" s="102"/>
      <c r="AMM32" s="102"/>
      <c r="AMN32" s="102"/>
      <c r="AMO32" s="102"/>
      <c r="AMP32" s="102"/>
      <c r="AMQ32" s="102"/>
      <c r="AMR32" s="102"/>
      <c r="AMS32" s="102"/>
      <c r="AMT32" s="102"/>
      <c r="AMU32" s="102"/>
      <c r="AMV32" s="102"/>
      <c r="AMW32" s="102"/>
      <c r="AMX32" s="102"/>
      <c r="AMY32" s="102"/>
      <c r="AMZ32" s="102"/>
      <c r="ANA32" s="102"/>
      <c r="ANB32" s="102"/>
      <c r="ANC32" s="102"/>
      <c r="AND32" s="102"/>
      <c r="ANE32" s="102"/>
      <c r="ANF32" s="102"/>
      <c r="ANG32" s="102"/>
      <c r="ANH32" s="102"/>
      <c r="ANI32" s="102"/>
      <c r="ANJ32" s="102"/>
      <c r="ANK32" s="102"/>
      <c r="ANL32" s="102"/>
      <c r="ANM32" s="102"/>
      <c r="ANN32" s="102"/>
      <c r="ANO32" s="102"/>
      <c r="ANP32" s="102"/>
      <c r="ANQ32" s="102"/>
      <c r="ANR32" s="102"/>
      <c r="ANS32" s="102"/>
      <c r="ANT32" s="102"/>
      <c r="ANU32" s="102"/>
      <c r="ANV32" s="102"/>
      <c r="ANW32" s="102"/>
      <c r="ANX32" s="102"/>
      <c r="ANY32" s="102"/>
      <c r="ANZ32" s="102"/>
      <c r="AOA32" s="102"/>
      <c r="AOB32" s="102"/>
      <c r="AOC32" s="102"/>
      <c r="AOD32" s="102"/>
      <c r="AOE32" s="102"/>
      <c r="AOF32" s="102"/>
      <c r="AOG32" s="102"/>
      <c r="AOH32" s="102"/>
      <c r="AOI32" s="102"/>
      <c r="AOJ32" s="102"/>
      <c r="AOK32" s="102"/>
      <c r="AOL32" s="102"/>
      <c r="AOM32" s="102"/>
      <c r="AON32" s="102"/>
      <c r="AOO32" s="102"/>
      <c r="AOP32" s="102"/>
      <c r="AOQ32" s="102"/>
      <c r="AOR32" s="102"/>
      <c r="AOS32" s="102"/>
      <c r="AOT32" s="102"/>
      <c r="AOU32" s="102"/>
      <c r="AOV32" s="102"/>
      <c r="AOW32" s="102"/>
      <c r="AOX32" s="102"/>
      <c r="AOY32" s="102"/>
      <c r="AOZ32" s="102"/>
      <c r="APA32" s="102"/>
      <c r="APB32" s="102"/>
      <c r="APC32" s="102"/>
      <c r="APD32" s="102"/>
      <c r="APE32" s="102"/>
      <c r="APF32" s="102"/>
      <c r="APG32" s="102"/>
      <c r="APH32" s="102"/>
      <c r="API32" s="102"/>
      <c r="APJ32" s="102"/>
      <c r="APK32" s="102"/>
      <c r="APL32" s="102"/>
      <c r="APM32" s="102"/>
      <c r="APN32" s="102"/>
      <c r="APO32" s="102"/>
      <c r="APP32" s="102"/>
      <c r="APQ32" s="102"/>
      <c r="APR32" s="102"/>
      <c r="APS32" s="102"/>
      <c r="APT32" s="102"/>
      <c r="APU32" s="102"/>
      <c r="APV32" s="102"/>
      <c r="APW32" s="102"/>
      <c r="APX32" s="102"/>
      <c r="APY32" s="102"/>
      <c r="APZ32" s="102"/>
      <c r="AQA32" s="102"/>
      <c r="AQB32" s="102"/>
      <c r="AQC32" s="102"/>
      <c r="AQD32" s="102"/>
      <c r="AQE32" s="102"/>
      <c r="AQF32" s="102"/>
      <c r="AQG32" s="102"/>
      <c r="AQH32" s="102"/>
      <c r="AQI32" s="102"/>
      <c r="AQJ32" s="102"/>
      <c r="AQK32" s="102"/>
      <c r="AQL32" s="102"/>
      <c r="AQM32" s="102"/>
      <c r="AQN32" s="102"/>
      <c r="AQO32" s="102"/>
      <c r="AQP32" s="102"/>
      <c r="AQQ32" s="102"/>
      <c r="AQR32" s="102"/>
      <c r="AQS32" s="102"/>
      <c r="AQT32" s="102"/>
      <c r="AQU32" s="102"/>
      <c r="AQV32" s="102"/>
      <c r="AQW32" s="102"/>
      <c r="AQX32" s="102"/>
      <c r="AQY32" s="102"/>
      <c r="AQZ32" s="102"/>
      <c r="ARA32" s="102"/>
      <c r="ARB32" s="102"/>
      <c r="ARC32" s="102"/>
      <c r="ARD32" s="102"/>
      <c r="ARE32" s="102"/>
      <c r="ARF32" s="102"/>
      <c r="ARG32" s="102"/>
      <c r="ARH32" s="102"/>
      <c r="ARI32" s="102"/>
      <c r="ARJ32" s="102"/>
      <c r="ARK32" s="102"/>
      <c r="ARL32" s="102"/>
      <c r="ARM32" s="102"/>
      <c r="ARN32" s="102"/>
      <c r="ARO32" s="102"/>
      <c r="ARP32" s="102"/>
      <c r="ARQ32" s="102"/>
      <c r="ARR32" s="102"/>
      <c r="ARS32" s="102"/>
      <c r="ART32" s="102"/>
      <c r="ARU32" s="102"/>
      <c r="ARV32" s="102"/>
      <c r="ARW32" s="102"/>
      <c r="ARX32" s="102"/>
      <c r="ARY32" s="102"/>
      <c r="ARZ32" s="102"/>
      <c r="ASA32" s="102"/>
      <c r="ASB32" s="102"/>
      <c r="ASC32" s="102"/>
      <c r="ASD32" s="102"/>
      <c r="ASE32" s="102"/>
      <c r="ASF32" s="102"/>
      <c r="ASG32" s="102"/>
      <c r="ASH32" s="102"/>
      <c r="ASI32" s="102"/>
      <c r="ASJ32" s="102"/>
      <c r="ASK32" s="102"/>
      <c r="ASL32" s="102"/>
      <c r="ASM32" s="102"/>
      <c r="ASN32" s="102"/>
      <c r="ASO32" s="102"/>
      <c r="ASP32" s="102"/>
      <c r="ASQ32" s="102"/>
      <c r="ASR32" s="102"/>
      <c r="ASS32" s="102"/>
      <c r="AST32" s="102"/>
      <c r="ASU32" s="102"/>
      <c r="ASV32" s="102"/>
      <c r="ASW32" s="102"/>
      <c r="ASX32" s="102"/>
      <c r="ASY32" s="102"/>
      <c r="ASZ32" s="102"/>
      <c r="ATA32" s="102"/>
      <c r="ATB32" s="102"/>
      <c r="ATC32" s="102"/>
      <c r="ATD32" s="102"/>
      <c r="ATE32" s="102"/>
      <c r="ATF32" s="102"/>
      <c r="ATG32" s="102"/>
      <c r="ATH32" s="102"/>
      <c r="ATI32" s="102"/>
      <c r="ATJ32" s="102"/>
      <c r="ATK32" s="102"/>
      <c r="ATL32" s="102"/>
      <c r="ATM32" s="102"/>
      <c r="ATN32" s="102"/>
      <c r="ATO32" s="102"/>
      <c r="ATP32" s="102"/>
      <c r="ATQ32" s="102"/>
      <c r="ATR32" s="102"/>
      <c r="ATS32" s="102"/>
      <c r="ATT32" s="102"/>
      <c r="ATU32" s="102"/>
      <c r="ATV32" s="102"/>
      <c r="ATW32" s="102"/>
      <c r="ATX32" s="102"/>
      <c r="ATY32" s="102"/>
      <c r="ATZ32" s="102"/>
      <c r="AUA32" s="102"/>
      <c r="AUB32" s="102"/>
      <c r="AUC32" s="102"/>
      <c r="AUD32" s="102"/>
      <c r="AUE32" s="102"/>
      <c r="AUF32" s="102"/>
      <c r="AUG32" s="102"/>
      <c r="AUH32" s="102"/>
      <c r="AUI32" s="102"/>
      <c r="AUJ32" s="102"/>
      <c r="AUK32" s="102"/>
      <c r="AUL32" s="102"/>
      <c r="AUM32" s="102"/>
      <c r="AUN32" s="102"/>
      <c r="AUO32" s="102"/>
      <c r="AUP32" s="102"/>
      <c r="AUQ32" s="102"/>
      <c r="AUR32" s="102"/>
      <c r="AUS32" s="102"/>
      <c r="AUT32" s="102"/>
      <c r="AUU32" s="102"/>
      <c r="AUV32" s="102"/>
      <c r="AUW32" s="102"/>
      <c r="AUX32" s="102"/>
      <c r="AUY32" s="102"/>
      <c r="AUZ32" s="102"/>
      <c r="AVA32" s="102"/>
      <c r="AVB32" s="102"/>
      <c r="AVC32" s="102"/>
      <c r="AVD32" s="102"/>
      <c r="AVE32" s="102"/>
      <c r="AVF32" s="102"/>
      <c r="AVG32" s="102"/>
      <c r="AVH32" s="102"/>
      <c r="AVI32" s="102"/>
      <c r="AVJ32" s="102"/>
      <c r="AVK32" s="102"/>
      <c r="AVL32" s="102"/>
      <c r="AVM32" s="102"/>
      <c r="AVN32" s="102"/>
      <c r="AVO32" s="102"/>
      <c r="AVP32" s="102"/>
      <c r="AVQ32" s="102"/>
      <c r="AVR32" s="102"/>
      <c r="AVS32" s="102"/>
      <c r="AVT32" s="102"/>
      <c r="AVU32" s="102"/>
      <c r="AVV32" s="102"/>
      <c r="AVW32" s="102"/>
      <c r="AVX32" s="102"/>
      <c r="AVY32" s="102"/>
      <c r="AVZ32" s="102"/>
      <c r="AWA32" s="102"/>
      <c r="AWB32" s="102"/>
      <c r="AWC32" s="102"/>
      <c r="AWD32" s="102"/>
      <c r="AWE32" s="102"/>
      <c r="AWF32" s="102"/>
      <c r="AWG32" s="102"/>
      <c r="AWH32" s="102"/>
      <c r="AWI32" s="102"/>
      <c r="AWJ32" s="102"/>
      <c r="AWK32" s="102"/>
      <c r="AWL32" s="102"/>
      <c r="AWM32" s="102"/>
      <c r="AWN32" s="102"/>
      <c r="AWO32" s="102"/>
      <c r="AWP32" s="102"/>
      <c r="AWQ32" s="102"/>
      <c r="AWR32" s="102"/>
      <c r="AWS32" s="102"/>
      <c r="AWT32" s="102"/>
      <c r="AWU32" s="102"/>
      <c r="AWV32" s="102"/>
      <c r="AWW32" s="102"/>
      <c r="AWX32" s="102"/>
      <c r="AWY32" s="102"/>
      <c r="AWZ32" s="102"/>
      <c r="AXA32" s="102"/>
      <c r="AXB32" s="102"/>
      <c r="AXC32" s="102"/>
      <c r="AXD32" s="102"/>
      <c r="AXE32" s="102"/>
      <c r="AXF32" s="102"/>
      <c r="AXG32" s="102"/>
      <c r="AXH32" s="102"/>
      <c r="AXI32" s="102"/>
      <c r="AXJ32" s="102"/>
      <c r="AXK32" s="102"/>
      <c r="AXL32" s="102"/>
      <c r="AXM32" s="102"/>
      <c r="AXN32" s="102"/>
      <c r="AXO32" s="102"/>
      <c r="AXP32" s="102"/>
      <c r="AXQ32" s="102"/>
      <c r="AXR32" s="102"/>
      <c r="AXS32" s="102"/>
      <c r="AXT32" s="102"/>
      <c r="AXU32" s="102"/>
      <c r="AXV32" s="102"/>
      <c r="AXW32" s="102"/>
      <c r="AXX32" s="102"/>
      <c r="AXY32" s="102"/>
      <c r="AXZ32" s="102"/>
      <c r="AYA32" s="102"/>
      <c r="AYB32" s="102"/>
      <c r="AYC32" s="102"/>
      <c r="AYD32" s="102"/>
      <c r="AYE32" s="102"/>
      <c r="AYF32" s="102"/>
      <c r="AYG32" s="102"/>
      <c r="AYH32" s="102"/>
      <c r="AYI32" s="102"/>
      <c r="AYJ32" s="102"/>
      <c r="AYK32" s="102"/>
      <c r="AYL32" s="102"/>
      <c r="AYM32" s="102"/>
      <c r="AYN32" s="102"/>
      <c r="AYO32" s="102"/>
      <c r="AYP32" s="102"/>
      <c r="AYQ32" s="102"/>
      <c r="AYR32" s="102"/>
      <c r="AYS32" s="102"/>
      <c r="AYT32" s="102"/>
      <c r="AYU32" s="102"/>
      <c r="AYV32" s="102"/>
      <c r="AYW32" s="102"/>
      <c r="AYX32" s="102"/>
      <c r="AYY32" s="102"/>
      <c r="AYZ32" s="102"/>
      <c r="AZA32" s="102"/>
      <c r="AZB32" s="102"/>
      <c r="AZC32" s="102"/>
      <c r="AZD32" s="102"/>
      <c r="AZE32" s="102"/>
      <c r="AZF32" s="102"/>
      <c r="AZG32" s="102"/>
      <c r="AZH32" s="102"/>
      <c r="AZI32" s="102"/>
      <c r="AZJ32" s="102"/>
      <c r="AZK32" s="102"/>
      <c r="AZL32" s="102"/>
      <c r="AZM32" s="102"/>
      <c r="AZN32" s="102"/>
      <c r="AZO32" s="102"/>
      <c r="AZP32" s="102"/>
      <c r="AZQ32" s="102"/>
      <c r="AZR32" s="102"/>
      <c r="AZS32" s="102"/>
      <c r="AZT32" s="102"/>
      <c r="AZU32" s="102"/>
      <c r="AZV32" s="102"/>
      <c r="AZW32" s="102"/>
      <c r="AZX32" s="102"/>
      <c r="AZY32" s="102"/>
      <c r="AZZ32" s="102"/>
      <c r="BAA32" s="102"/>
      <c r="BAB32" s="102"/>
      <c r="BAC32" s="102"/>
      <c r="BAD32" s="102"/>
      <c r="BAE32" s="102"/>
      <c r="BAF32" s="102"/>
      <c r="BAG32" s="102"/>
      <c r="BAH32" s="102"/>
      <c r="BAI32" s="102"/>
      <c r="BAJ32" s="102"/>
      <c r="BAK32" s="102"/>
      <c r="BAL32" s="102"/>
      <c r="BAM32" s="102"/>
      <c r="BAN32" s="102"/>
      <c r="BAO32" s="102"/>
      <c r="BAP32" s="102"/>
      <c r="BAQ32" s="102"/>
      <c r="BAR32" s="102"/>
      <c r="BAS32" s="102"/>
      <c r="BAT32" s="102"/>
      <c r="BAU32" s="102"/>
      <c r="BAV32" s="102"/>
      <c r="BAW32" s="102"/>
      <c r="BAX32" s="102"/>
      <c r="BAY32" s="102"/>
      <c r="BAZ32" s="102"/>
      <c r="BBA32" s="102"/>
      <c r="BBB32" s="102"/>
      <c r="BBC32" s="102"/>
      <c r="BBD32" s="102"/>
      <c r="BBE32" s="102"/>
      <c r="BBF32" s="102"/>
      <c r="BBG32" s="102"/>
      <c r="BBH32" s="102"/>
      <c r="BBI32" s="102"/>
      <c r="BBJ32" s="102"/>
      <c r="BBK32" s="102"/>
      <c r="BBL32" s="102"/>
      <c r="BBM32" s="102"/>
      <c r="BBN32" s="102"/>
      <c r="BBO32" s="102"/>
      <c r="BBP32" s="102"/>
      <c r="BBQ32" s="102"/>
      <c r="BBR32" s="102"/>
      <c r="BBS32" s="102"/>
      <c r="BBT32" s="102"/>
      <c r="BBU32" s="102"/>
      <c r="BBV32" s="102"/>
      <c r="BBW32" s="102"/>
      <c r="BBX32" s="102"/>
      <c r="BBY32" s="102"/>
      <c r="BBZ32" s="102"/>
      <c r="BCA32" s="102"/>
      <c r="BCB32" s="102"/>
      <c r="BCC32" s="102"/>
      <c r="BCD32" s="102"/>
      <c r="BCE32" s="102"/>
      <c r="BCF32" s="102"/>
      <c r="BCG32" s="102"/>
      <c r="BCH32" s="102"/>
      <c r="BCI32" s="102"/>
      <c r="BCJ32" s="102"/>
      <c r="BCK32" s="102"/>
      <c r="BCL32" s="102"/>
      <c r="BCM32" s="102"/>
      <c r="BCN32" s="102"/>
      <c r="BCO32" s="102"/>
      <c r="BCP32" s="102"/>
      <c r="BCQ32" s="102"/>
      <c r="BCR32" s="102"/>
      <c r="BCS32" s="102"/>
      <c r="BCT32" s="102"/>
      <c r="BCU32" s="102"/>
      <c r="BCV32" s="102"/>
      <c r="BCW32" s="102"/>
      <c r="BCX32" s="102"/>
      <c r="BCY32" s="102"/>
      <c r="BCZ32" s="102"/>
      <c r="BDA32" s="102"/>
      <c r="BDB32" s="102"/>
      <c r="BDC32" s="102"/>
      <c r="BDD32" s="102"/>
      <c r="BDE32" s="102"/>
      <c r="BDF32" s="102"/>
      <c r="BDG32" s="102"/>
      <c r="BDH32" s="102"/>
      <c r="BDI32" s="102"/>
      <c r="BDJ32" s="102"/>
      <c r="BDK32" s="102"/>
      <c r="BDL32" s="102"/>
      <c r="BDM32" s="102"/>
      <c r="BDN32" s="102"/>
      <c r="BDO32" s="102"/>
      <c r="BDP32" s="102"/>
      <c r="BDQ32" s="102"/>
      <c r="BDR32" s="102"/>
      <c r="BDS32" s="102"/>
      <c r="BDT32" s="102"/>
      <c r="BDU32" s="102"/>
      <c r="BDV32" s="102"/>
      <c r="BDW32" s="102"/>
      <c r="BDX32" s="102"/>
      <c r="BDY32" s="102"/>
      <c r="BDZ32" s="102"/>
      <c r="BEA32" s="102"/>
      <c r="BEB32" s="102"/>
      <c r="BEC32" s="102"/>
      <c r="BED32" s="102"/>
      <c r="BEE32" s="102"/>
      <c r="BEF32" s="102"/>
      <c r="BEG32" s="102"/>
      <c r="BEH32" s="102"/>
      <c r="BEI32" s="102"/>
      <c r="BEJ32" s="102"/>
      <c r="BEK32" s="102"/>
      <c r="BEL32" s="102"/>
      <c r="BEM32" s="102"/>
      <c r="BEN32" s="102"/>
      <c r="BEO32" s="102"/>
      <c r="BEP32" s="102"/>
      <c r="BEQ32" s="102"/>
      <c r="BER32" s="102"/>
      <c r="BES32" s="102"/>
      <c r="BET32" s="102"/>
      <c r="BEU32" s="102"/>
      <c r="BEV32" s="102"/>
      <c r="BEW32" s="102"/>
      <c r="BEX32" s="102"/>
      <c r="BEY32" s="102"/>
      <c r="BEZ32" s="102"/>
      <c r="BFA32" s="102"/>
      <c r="BFB32" s="102"/>
      <c r="BFC32" s="102"/>
      <c r="BFD32" s="102"/>
      <c r="BFE32" s="102"/>
      <c r="BFF32" s="102"/>
      <c r="BFG32" s="102"/>
      <c r="BFH32" s="102"/>
      <c r="BFI32" s="102"/>
      <c r="BFJ32" s="102"/>
      <c r="BFK32" s="102"/>
      <c r="BFL32" s="102"/>
      <c r="BFM32" s="102"/>
      <c r="BFN32" s="102"/>
      <c r="BFO32" s="102"/>
      <c r="BFP32" s="102"/>
      <c r="BFQ32" s="102"/>
      <c r="BFR32" s="102"/>
      <c r="BFS32" s="102"/>
      <c r="BFT32" s="102"/>
      <c r="BFU32" s="102"/>
      <c r="BFV32" s="102"/>
      <c r="BFW32" s="102"/>
      <c r="BFX32" s="102"/>
      <c r="BFY32" s="102"/>
      <c r="BFZ32" s="102"/>
      <c r="BGA32" s="102"/>
      <c r="BGB32" s="102"/>
      <c r="BGC32" s="102"/>
      <c r="BGD32" s="102"/>
      <c r="BGE32" s="102"/>
      <c r="BGF32" s="102"/>
      <c r="BGG32" s="102"/>
      <c r="BGH32" s="102"/>
      <c r="BGI32" s="102"/>
      <c r="BGJ32" s="102"/>
      <c r="BGK32" s="102"/>
      <c r="BGL32" s="102"/>
      <c r="BGM32" s="102"/>
      <c r="BGN32" s="102"/>
      <c r="BGO32" s="102"/>
      <c r="BGP32" s="102"/>
      <c r="BGQ32" s="102"/>
      <c r="BGR32" s="102"/>
      <c r="BGS32" s="102"/>
      <c r="BGT32" s="102"/>
      <c r="BGU32" s="102"/>
      <c r="BGV32" s="102"/>
      <c r="BGW32" s="102"/>
      <c r="BGX32" s="102"/>
      <c r="BGY32" s="102"/>
      <c r="BGZ32" s="102"/>
      <c r="BHA32" s="102"/>
      <c r="BHB32" s="102"/>
      <c r="BHC32" s="102"/>
      <c r="BHD32" s="102"/>
      <c r="BHE32" s="102"/>
      <c r="BHF32" s="102"/>
      <c r="BHG32" s="102"/>
      <c r="BHH32" s="102"/>
      <c r="BHI32" s="102"/>
      <c r="BHJ32" s="102"/>
      <c r="BHK32" s="102"/>
      <c r="BHL32" s="102"/>
      <c r="BHM32" s="102"/>
      <c r="BHN32" s="102"/>
      <c r="BHO32" s="102"/>
      <c r="BHP32" s="102"/>
      <c r="BHQ32" s="102"/>
      <c r="BHR32" s="102"/>
      <c r="BHS32" s="102"/>
      <c r="BHT32" s="102"/>
      <c r="BHU32" s="102"/>
      <c r="BHV32" s="102"/>
      <c r="BHW32" s="102"/>
      <c r="BHX32" s="102"/>
      <c r="BHY32" s="102"/>
      <c r="BHZ32" s="102"/>
      <c r="BIA32" s="102"/>
      <c r="BIB32" s="102"/>
      <c r="BIC32" s="102"/>
      <c r="BID32" s="102"/>
      <c r="BIE32" s="102"/>
      <c r="BIF32" s="102"/>
      <c r="BIG32" s="102"/>
      <c r="BIH32" s="102"/>
      <c r="BII32" s="102"/>
      <c r="BIJ32" s="102"/>
      <c r="BIK32" s="102"/>
      <c r="BIL32" s="102"/>
      <c r="BIM32" s="102"/>
      <c r="BIN32" s="102"/>
      <c r="BIO32" s="102"/>
      <c r="BIP32" s="102"/>
      <c r="BIQ32" s="102"/>
      <c r="BIR32" s="102"/>
      <c r="BIS32" s="102"/>
      <c r="BIT32" s="102"/>
      <c r="BIU32" s="102"/>
      <c r="BIV32" s="102"/>
      <c r="BIW32" s="102"/>
      <c r="BIX32" s="102"/>
      <c r="BIY32" s="102"/>
      <c r="BIZ32" s="102"/>
      <c r="BJA32" s="102"/>
      <c r="BJB32" s="102"/>
      <c r="BJC32" s="102"/>
      <c r="BJD32" s="102"/>
      <c r="BJE32" s="102"/>
      <c r="BJF32" s="102"/>
      <c r="BJG32" s="102"/>
      <c r="BJH32" s="102"/>
      <c r="BJI32" s="102"/>
      <c r="BJJ32" s="102"/>
      <c r="BJK32" s="102"/>
      <c r="BJL32" s="102"/>
      <c r="BJM32" s="102"/>
      <c r="BJN32" s="102"/>
      <c r="BJO32" s="102"/>
      <c r="BJP32" s="102"/>
      <c r="BJQ32" s="102"/>
      <c r="BJR32" s="102"/>
      <c r="BJS32" s="102"/>
      <c r="BJT32" s="102"/>
      <c r="BJU32" s="102"/>
      <c r="BJV32" s="102"/>
      <c r="BJW32" s="102"/>
      <c r="BJX32" s="102"/>
      <c r="BJY32" s="102"/>
      <c r="BJZ32" s="102"/>
      <c r="BKA32" s="102"/>
      <c r="BKB32" s="102"/>
      <c r="BKC32" s="102"/>
      <c r="BKD32" s="102"/>
      <c r="BKE32" s="102"/>
      <c r="BKF32" s="102"/>
      <c r="BKG32" s="102"/>
      <c r="BKH32" s="102"/>
      <c r="BKI32" s="102"/>
      <c r="BKJ32" s="102"/>
      <c r="BKK32" s="102"/>
      <c r="BKL32" s="102"/>
      <c r="BKM32" s="102"/>
      <c r="BKN32" s="102"/>
      <c r="BKO32" s="102"/>
      <c r="BKP32" s="102"/>
      <c r="BKQ32" s="102"/>
      <c r="BKR32" s="102"/>
      <c r="BKS32" s="102"/>
      <c r="BKT32" s="102"/>
      <c r="BKU32" s="102"/>
      <c r="BKV32" s="102"/>
      <c r="BKW32" s="102"/>
      <c r="BKX32" s="102"/>
      <c r="BKY32" s="102"/>
      <c r="BKZ32" s="102"/>
      <c r="BLA32" s="102"/>
      <c r="BLB32" s="102"/>
      <c r="BLC32" s="102"/>
      <c r="BLD32" s="102"/>
      <c r="BLE32" s="102"/>
      <c r="BLF32" s="102"/>
      <c r="BLG32" s="102"/>
      <c r="BLH32" s="102"/>
      <c r="BLI32" s="102"/>
      <c r="BLJ32" s="102"/>
      <c r="BLK32" s="102"/>
      <c r="BLL32" s="102"/>
      <c r="BLM32" s="102"/>
      <c r="BLN32" s="102"/>
      <c r="BLO32" s="102"/>
      <c r="BLP32" s="102"/>
      <c r="BLQ32" s="102"/>
      <c r="BLR32" s="102"/>
      <c r="BLS32" s="102"/>
      <c r="BLT32" s="102"/>
      <c r="BLU32" s="102"/>
      <c r="BLV32" s="102"/>
      <c r="BLW32" s="102"/>
      <c r="BLX32" s="102"/>
      <c r="BLY32" s="102"/>
      <c r="BLZ32" s="102"/>
      <c r="BMA32" s="102"/>
      <c r="BMB32" s="102"/>
      <c r="BMC32" s="102"/>
      <c r="BMD32" s="102"/>
      <c r="BME32" s="102"/>
      <c r="BMF32" s="102"/>
      <c r="BMG32" s="102"/>
      <c r="BMH32" s="102"/>
      <c r="BMI32" s="102"/>
      <c r="BMJ32" s="102"/>
      <c r="BMK32" s="102"/>
      <c r="BML32" s="102"/>
      <c r="BMM32" s="102"/>
      <c r="BMN32" s="102"/>
      <c r="BMO32" s="102"/>
      <c r="BMP32" s="102"/>
      <c r="BMQ32" s="102"/>
      <c r="BMR32" s="102"/>
      <c r="BMS32" s="102"/>
      <c r="BMT32" s="102"/>
      <c r="BMU32" s="102"/>
      <c r="BMV32" s="102"/>
      <c r="BMW32" s="102"/>
      <c r="BMX32" s="102"/>
      <c r="BMY32" s="102"/>
      <c r="BMZ32" s="102"/>
      <c r="BNA32" s="102"/>
      <c r="BNB32" s="102"/>
      <c r="BNC32" s="102"/>
      <c r="BND32" s="102"/>
      <c r="BNE32" s="102"/>
      <c r="BNF32" s="102"/>
      <c r="BNG32" s="102"/>
      <c r="BNH32" s="102"/>
      <c r="BNI32" s="102"/>
      <c r="BNJ32" s="102"/>
      <c r="BNK32" s="102"/>
      <c r="BNL32" s="102"/>
      <c r="BNM32" s="102"/>
      <c r="BNN32" s="102"/>
      <c r="BNO32" s="102"/>
      <c r="BNP32" s="102"/>
      <c r="BNQ32" s="102"/>
      <c r="BNR32" s="102"/>
      <c r="BNS32" s="102"/>
      <c r="BNT32" s="102"/>
      <c r="BNU32" s="102"/>
      <c r="BNV32" s="102"/>
      <c r="BNW32" s="102"/>
      <c r="BNX32" s="102"/>
      <c r="BNY32" s="102"/>
      <c r="BNZ32" s="102"/>
      <c r="BOA32" s="102"/>
      <c r="BOB32" s="102"/>
      <c r="BOC32" s="102"/>
      <c r="BOD32" s="102"/>
      <c r="BOE32" s="102"/>
      <c r="BOF32" s="102"/>
      <c r="BOG32" s="102"/>
      <c r="BOH32" s="102"/>
      <c r="BOI32" s="102"/>
      <c r="BOJ32" s="102"/>
      <c r="BOK32" s="102"/>
      <c r="BOL32" s="102"/>
      <c r="BOM32" s="102"/>
      <c r="BON32" s="102"/>
      <c r="BOO32" s="102"/>
      <c r="BOP32" s="102"/>
      <c r="BOQ32" s="102"/>
      <c r="BOR32" s="102"/>
      <c r="BOS32" s="102"/>
      <c r="BOT32" s="102"/>
      <c r="BOU32" s="102"/>
      <c r="BOV32" s="102"/>
      <c r="BOW32" s="102"/>
      <c r="BOX32" s="102"/>
      <c r="BOY32" s="102"/>
      <c r="BOZ32" s="102"/>
      <c r="BPA32" s="102"/>
      <c r="BPB32" s="102"/>
      <c r="BPC32" s="102"/>
      <c r="BPD32" s="102"/>
      <c r="BPE32" s="102"/>
      <c r="BPF32" s="102"/>
      <c r="BPG32" s="102"/>
      <c r="BPH32" s="102"/>
      <c r="BPI32" s="102"/>
      <c r="BPJ32" s="102"/>
      <c r="BPK32" s="102"/>
      <c r="BPL32" s="102"/>
      <c r="BPM32" s="102"/>
      <c r="BPN32" s="102"/>
      <c r="BPO32" s="102"/>
      <c r="BPP32" s="102"/>
      <c r="BPQ32" s="102"/>
      <c r="BPR32" s="102"/>
      <c r="BPS32" s="102"/>
      <c r="BPT32" s="102"/>
      <c r="BPU32" s="102"/>
      <c r="BPV32" s="102"/>
      <c r="BPW32" s="102"/>
      <c r="BPX32" s="102"/>
      <c r="BPY32" s="102"/>
      <c r="BPZ32" s="102"/>
      <c r="BQA32" s="102"/>
      <c r="BQB32" s="102"/>
      <c r="BQC32" s="102"/>
      <c r="BQD32" s="102"/>
      <c r="BQE32" s="102"/>
      <c r="BQF32" s="102"/>
      <c r="BQG32" s="102"/>
      <c r="BQH32" s="102"/>
      <c r="BQI32" s="102"/>
      <c r="BQJ32" s="102"/>
      <c r="BQK32" s="102"/>
      <c r="BQL32" s="102"/>
      <c r="BQM32" s="102"/>
      <c r="BQN32" s="102"/>
      <c r="BQO32" s="102"/>
      <c r="BQP32" s="102"/>
      <c r="BQQ32" s="102"/>
      <c r="BQR32" s="102"/>
      <c r="BQS32" s="102"/>
      <c r="BQT32" s="102"/>
      <c r="BQU32" s="102"/>
      <c r="BQV32" s="102"/>
      <c r="BQW32" s="102"/>
      <c r="BQX32" s="102"/>
      <c r="BQY32" s="102"/>
      <c r="BQZ32" s="102"/>
      <c r="BRA32" s="102"/>
      <c r="BRB32" s="102"/>
      <c r="BRC32" s="102"/>
      <c r="BRD32" s="102"/>
      <c r="BRE32" s="102"/>
      <c r="BRF32" s="102"/>
      <c r="BRG32" s="102"/>
      <c r="BRH32" s="102"/>
      <c r="BRI32" s="102"/>
      <c r="BRJ32" s="102"/>
      <c r="BRK32" s="102"/>
      <c r="BRL32" s="102"/>
      <c r="BRM32" s="102"/>
      <c r="BRN32" s="102"/>
      <c r="BRO32" s="102"/>
      <c r="BRP32" s="102"/>
      <c r="BRQ32" s="102"/>
      <c r="BRR32" s="102"/>
      <c r="BRS32" s="102"/>
      <c r="BRT32" s="102"/>
      <c r="BRU32" s="102"/>
      <c r="BRV32" s="102"/>
      <c r="BRW32" s="102"/>
      <c r="BRX32" s="102"/>
      <c r="BRY32" s="102"/>
      <c r="BRZ32" s="102"/>
      <c r="BSA32" s="102"/>
      <c r="BSB32" s="102"/>
      <c r="BSC32" s="102"/>
      <c r="BSD32" s="102"/>
      <c r="BSE32" s="102"/>
      <c r="BSF32" s="102"/>
      <c r="BSG32" s="102"/>
      <c r="BSH32" s="102"/>
      <c r="BSI32" s="102"/>
      <c r="BSJ32" s="102"/>
      <c r="BSK32" s="102"/>
      <c r="BSL32" s="102"/>
      <c r="BSM32" s="102"/>
      <c r="BSN32" s="102"/>
      <c r="BSO32" s="102"/>
      <c r="BSP32" s="102"/>
      <c r="BSQ32" s="102"/>
      <c r="BSR32" s="102"/>
      <c r="BSS32" s="102"/>
      <c r="BST32" s="102"/>
      <c r="BSU32" s="102"/>
      <c r="BSV32" s="102"/>
      <c r="BSW32" s="102"/>
      <c r="BSX32" s="102"/>
      <c r="BSY32" s="102"/>
      <c r="BSZ32" s="102"/>
      <c r="BTA32" s="102"/>
      <c r="BTB32" s="102"/>
      <c r="BTC32" s="102"/>
      <c r="BTD32" s="102"/>
      <c r="BTE32" s="102"/>
      <c r="BTF32" s="102"/>
      <c r="BTG32" s="102"/>
      <c r="BTH32" s="102"/>
      <c r="BTI32" s="102"/>
      <c r="BTJ32" s="102"/>
      <c r="BTK32" s="102"/>
      <c r="BTL32" s="102"/>
      <c r="BTM32" s="102"/>
      <c r="BTN32" s="102"/>
      <c r="BTO32" s="102"/>
      <c r="BTP32" s="102"/>
      <c r="BTQ32" s="102"/>
      <c r="BTR32" s="102"/>
      <c r="BTS32" s="102"/>
      <c r="BTT32" s="102"/>
      <c r="BTU32" s="102"/>
      <c r="BTV32" s="102"/>
      <c r="BTW32" s="102"/>
      <c r="BTX32" s="102"/>
      <c r="BTY32" s="102"/>
      <c r="BTZ32" s="102"/>
      <c r="BUA32" s="102"/>
      <c r="BUB32" s="102"/>
      <c r="BUC32" s="102"/>
      <c r="BUD32" s="102"/>
      <c r="BUE32" s="102"/>
      <c r="BUF32" s="102"/>
      <c r="BUG32" s="102"/>
      <c r="BUH32" s="102"/>
      <c r="BUI32" s="102"/>
      <c r="BUJ32" s="102"/>
      <c r="BUK32" s="102"/>
      <c r="BUL32" s="102"/>
      <c r="BUM32" s="102"/>
      <c r="BUN32" s="102"/>
      <c r="BUO32" s="102"/>
      <c r="BUP32" s="102"/>
      <c r="BUQ32" s="102"/>
      <c r="BUR32" s="102"/>
      <c r="BUS32" s="102"/>
      <c r="BUT32" s="102"/>
      <c r="BUU32" s="102"/>
      <c r="BUV32" s="102"/>
      <c r="BUW32" s="102"/>
      <c r="BUX32" s="102"/>
      <c r="BUY32" s="102"/>
      <c r="BUZ32" s="102"/>
      <c r="BVA32" s="102"/>
      <c r="BVB32" s="102"/>
      <c r="BVC32" s="102"/>
      <c r="BVD32" s="102"/>
      <c r="BVE32" s="102"/>
      <c r="BVF32" s="102"/>
      <c r="BVG32" s="102"/>
      <c r="BVH32" s="102"/>
      <c r="BVI32" s="102"/>
      <c r="BVJ32" s="102"/>
      <c r="BVK32" s="102"/>
      <c r="BVL32" s="102"/>
      <c r="BVM32" s="102"/>
      <c r="BVN32" s="102"/>
      <c r="BVO32" s="102"/>
      <c r="BVP32" s="102"/>
      <c r="BVQ32" s="102"/>
      <c r="BVR32" s="102"/>
      <c r="BVS32" s="102"/>
      <c r="BVT32" s="102"/>
      <c r="BVU32" s="102"/>
      <c r="BVV32" s="102"/>
      <c r="BVW32" s="102"/>
      <c r="BVX32" s="102"/>
      <c r="BVY32" s="102"/>
      <c r="BVZ32" s="102"/>
      <c r="BWA32" s="102"/>
      <c r="BWB32" s="102"/>
      <c r="BWC32" s="102"/>
      <c r="BWD32" s="102"/>
    </row>
    <row r="33" spans="1:1954" ht="16.5" x14ac:dyDescent="0.3">
      <c r="A33" s="191" t="s">
        <v>304</v>
      </c>
      <c r="B33" s="192">
        <v>1973.8145709777389</v>
      </c>
      <c r="C33" s="192">
        <v>279.25787330999998</v>
      </c>
      <c r="D33" s="192">
        <v>2253.072444287739</v>
      </c>
      <c r="E33" s="102"/>
      <c r="F33" s="194"/>
      <c r="G33" s="185"/>
      <c r="H33" s="194"/>
      <c r="I33" s="102"/>
      <c r="J33" s="186"/>
      <c r="K33" s="186"/>
      <c r="L33" s="186"/>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c r="KJ33" s="102"/>
      <c r="KK33" s="102"/>
      <c r="KL33" s="102"/>
      <c r="KM33" s="102"/>
      <c r="KN33" s="102"/>
      <c r="KO33" s="102"/>
      <c r="KP33" s="102"/>
      <c r="KQ33" s="102"/>
      <c r="KR33" s="102"/>
      <c r="KS33" s="102"/>
      <c r="KT33" s="102"/>
      <c r="KU33" s="102"/>
      <c r="KV33" s="102"/>
      <c r="KW33" s="102"/>
      <c r="KX33" s="102"/>
      <c r="KY33" s="102"/>
      <c r="KZ33" s="102"/>
      <c r="LA33" s="102"/>
      <c r="LB33" s="102"/>
      <c r="LC33" s="102"/>
      <c r="LD33" s="102"/>
      <c r="LE33" s="102"/>
      <c r="LF33" s="102"/>
      <c r="LG33" s="102"/>
      <c r="LH33" s="102"/>
      <c r="LI33" s="102"/>
      <c r="LJ33" s="102"/>
      <c r="LK33" s="102"/>
      <c r="LL33" s="102"/>
      <c r="LM33" s="102"/>
      <c r="LN33" s="102"/>
      <c r="LO33" s="102"/>
      <c r="LP33" s="102"/>
      <c r="LQ33" s="102"/>
      <c r="LR33" s="102"/>
      <c r="LS33" s="102"/>
      <c r="LT33" s="102"/>
      <c r="LU33" s="102"/>
      <c r="LV33" s="102"/>
      <c r="LW33" s="102"/>
      <c r="LX33" s="102"/>
      <c r="LY33" s="102"/>
      <c r="LZ33" s="102"/>
      <c r="MA33" s="102"/>
      <c r="MB33" s="102"/>
      <c r="MC33" s="102"/>
      <c r="MD33" s="102"/>
      <c r="ME33" s="102"/>
      <c r="MF33" s="102"/>
      <c r="MG33" s="102"/>
      <c r="MH33" s="102"/>
      <c r="MI33" s="102"/>
      <c r="MJ33" s="102"/>
      <c r="MK33" s="102"/>
      <c r="ML33" s="102"/>
      <c r="MM33" s="102"/>
      <c r="MN33" s="102"/>
      <c r="MO33" s="102"/>
      <c r="MP33" s="102"/>
      <c r="MQ33" s="102"/>
      <c r="MR33" s="102"/>
      <c r="MS33" s="102"/>
      <c r="MT33" s="102"/>
      <c r="MU33" s="102"/>
      <c r="MV33" s="102"/>
      <c r="MW33" s="102"/>
      <c r="MX33" s="102"/>
      <c r="MY33" s="102"/>
      <c r="MZ33" s="102"/>
      <c r="NA33" s="102"/>
      <c r="NB33" s="102"/>
      <c r="NC33" s="102"/>
      <c r="ND33" s="102"/>
      <c r="NE33" s="102"/>
      <c r="NF33" s="102"/>
      <c r="NG33" s="102"/>
      <c r="NH33" s="102"/>
      <c r="NI33" s="102"/>
      <c r="NJ33" s="102"/>
      <c r="NK33" s="102"/>
      <c r="NL33" s="102"/>
      <c r="NM33" s="102"/>
      <c r="NN33" s="102"/>
      <c r="NO33" s="102"/>
      <c r="NP33" s="102"/>
      <c r="NQ33" s="102"/>
      <c r="NR33" s="102"/>
      <c r="NS33" s="102"/>
      <c r="NT33" s="102"/>
      <c r="NU33" s="102"/>
      <c r="NV33" s="102"/>
      <c r="NW33" s="102"/>
      <c r="NX33" s="102"/>
      <c r="NY33" s="102"/>
      <c r="NZ33" s="102"/>
      <c r="OA33" s="102"/>
      <c r="OB33" s="102"/>
      <c r="OC33" s="102"/>
      <c r="OD33" s="102"/>
      <c r="OE33" s="102"/>
      <c r="OF33" s="102"/>
      <c r="OG33" s="102"/>
      <c r="OH33" s="102"/>
      <c r="OI33" s="102"/>
      <c r="OJ33" s="102"/>
      <c r="OK33" s="102"/>
      <c r="OL33" s="102"/>
      <c r="OM33" s="102"/>
      <c r="ON33" s="102"/>
      <c r="OO33" s="102"/>
      <c r="OP33" s="102"/>
      <c r="OQ33" s="102"/>
      <c r="OR33" s="102"/>
      <c r="OS33" s="102"/>
      <c r="OT33" s="102"/>
      <c r="OU33" s="102"/>
      <c r="OV33" s="102"/>
      <c r="OW33" s="102"/>
      <c r="OX33" s="102"/>
      <c r="OY33" s="102"/>
      <c r="OZ33" s="102"/>
      <c r="PA33" s="102"/>
      <c r="PB33" s="102"/>
      <c r="PC33" s="102"/>
      <c r="PD33" s="102"/>
      <c r="PE33" s="102"/>
      <c r="PF33" s="102"/>
      <c r="PG33" s="102"/>
      <c r="PH33" s="102"/>
      <c r="PI33" s="102"/>
      <c r="PJ33" s="102"/>
      <c r="PK33" s="102"/>
      <c r="PL33" s="102"/>
      <c r="PM33" s="102"/>
      <c r="PN33" s="102"/>
      <c r="PO33" s="102"/>
      <c r="PP33" s="102"/>
      <c r="PQ33" s="102"/>
      <c r="PR33" s="102"/>
      <c r="PS33" s="102"/>
      <c r="PT33" s="102"/>
      <c r="PU33" s="102"/>
      <c r="PV33" s="102"/>
      <c r="PW33" s="102"/>
      <c r="PX33" s="102"/>
      <c r="PY33" s="102"/>
      <c r="PZ33" s="102"/>
      <c r="QA33" s="102"/>
      <c r="QB33" s="102"/>
      <c r="QC33" s="102"/>
      <c r="QD33" s="102"/>
      <c r="QE33" s="102"/>
      <c r="QF33" s="102"/>
      <c r="QG33" s="102"/>
      <c r="QH33" s="102"/>
      <c r="QI33" s="102"/>
      <c r="QJ33" s="102"/>
      <c r="QK33" s="102"/>
      <c r="QL33" s="102"/>
      <c r="QM33" s="102"/>
      <c r="QN33" s="102"/>
      <c r="QO33" s="102"/>
      <c r="QP33" s="102"/>
      <c r="QQ33" s="102"/>
      <c r="QR33" s="102"/>
      <c r="QS33" s="102"/>
      <c r="QT33" s="102"/>
      <c r="QU33" s="102"/>
      <c r="QV33" s="102"/>
      <c r="QW33" s="102"/>
      <c r="QX33" s="102"/>
      <c r="QY33" s="102"/>
      <c r="QZ33" s="102"/>
      <c r="RA33" s="102"/>
      <c r="RB33" s="102"/>
      <c r="RC33" s="102"/>
      <c r="RD33" s="102"/>
      <c r="RE33" s="102"/>
      <c r="RF33" s="102"/>
      <c r="RG33" s="102"/>
      <c r="RH33" s="102"/>
      <c r="RI33" s="102"/>
      <c r="RJ33" s="102"/>
      <c r="RK33" s="102"/>
      <c r="RL33" s="102"/>
      <c r="RM33" s="102"/>
      <c r="RN33" s="102"/>
      <c r="RO33" s="102"/>
      <c r="RP33" s="102"/>
      <c r="RQ33" s="102"/>
      <c r="RR33" s="102"/>
      <c r="RS33" s="102"/>
      <c r="RT33" s="102"/>
      <c r="RU33" s="102"/>
      <c r="RV33" s="102"/>
      <c r="RW33" s="102"/>
      <c r="RX33" s="102"/>
      <c r="RY33" s="102"/>
      <c r="RZ33" s="102"/>
      <c r="SA33" s="102"/>
      <c r="SB33" s="102"/>
      <c r="SC33" s="102"/>
      <c r="SD33" s="102"/>
      <c r="SE33" s="102"/>
      <c r="SF33" s="102"/>
      <c r="SG33" s="102"/>
      <c r="SH33" s="102"/>
      <c r="SI33" s="102"/>
      <c r="SJ33" s="102"/>
      <c r="SK33" s="102"/>
      <c r="SL33" s="102"/>
      <c r="SM33" s="102"/>
      <c r="SN33" s="102"/>
      <c r="SO33" s="102"/>
      <c r="SP33" s="102"/>
      <c r="SQ33" s="102"/>
      <c r="SR33" s="102"/>
      <c r="SS33" s="102"/>
      <c r="ST33" s="102"/>
      <c r="SU33" s="102"/>
      <c r="SV33" s="102"/>
      <c r="SW33" s="102"/>
      <c r="SX33" s="102"/>
      <c r="SY33" s="102"/>
      <c r="SZ33" s="102"/>
      <c r="TA33" s="102"/>
      <c r="TB33" s="102"/>
      <c r="TC33" s="102"/>
      <c r="TD33" s="102"/>
      <c r="TE33" s="102"/>
      <c r="TF33" s="102"/>
      <c r="TG33" s="102"/>
      <c r="TH33" s="102"/>
      <c r="TI33" s="102"/>
      <c r="TJ33" s="102"/>
      <c r="TK33" s="102"/>
      <c r="TL33" s="102"/>
      <c r="TM33" s="102"/>
      <c r="TN33" s="102"/>
      <c r="TO33" s="102"/>
      <c r="TP33" s="102"/>
      <c r="TQ33" s="102"/>
      <c r="TR33" s="102"/>
      <c r="TS33" s="102"/>
      <c r="TT33" s="102"/>
      <c r="TU33" s="102"/>
      <c r="TV33" s="102"/>
      <c r="TW33" s="102"/>
      <c r="TX33" s="102"/>
      <c r="TY33" s="102"/>
      <c r="TZ33" s="102"/>
      <c r="UA33" s="102"/>
      <c r="UB33" s="102"/>
      <c r="UC33" s="102"/>
      <c r="UD33" s="102"/>
      <c r="UE33" s="102"/>
      <c r="UF33" s="102"/>
      <c r="UG33" s="102"/>
      <c r="UH33" s="102"/>
      <c r="UI33" s="102"/>
      <c r="UJ33" s="102"/>
      <c r="UK33" s="102"/>
      <c r="UL33" s="102"/>
      <c r="UM33" s="102"/>
      <c r="UN33" s="102"/>
      <c r="UO33" s="102"/>
      <c r="UP33" s="102"/>
      <c r="UQ33" s="102"/>
      <c r="UR33" s="102"/>
      <c r="US33" s="102"/>
      <c r="UT33" s="102"/>
      <c r="UU33" s="102"/>
      <c r="UV33" s="102"/>
      <c r="UW33" s="102"/>
      <c r="UX33" s="102"/>
      <c r="UY33" s="102"/>
      <c r="UZ33" s="102"/>
      <c r="VA33" s="102"/>
      <c r="VB33" s="102"/>
      <c r="VC33" s="102"/>
      <c r="VD33" s="102"/>
      <c r="VE33" s="102"/>
      <c r="VF33" s="102"/>
      <c r="VG33" s="102"/>
      <c r="VH33" s="102"/>
      <c r="VI33" s="102"/>
      <c r="VJ33" s="102"/>
      <c r="VK33" s="102"/>
      <c r="VL33" s="102"/>
      <c r="VM33" s="102"/>
      <c r="VN33" s="102"/>
      <c r="VO33" s="102"/>
      <c r="VP33" s="102"/>
      <c r="VQ33" s="102"/>
      <c r="VR33" s="102"/>
      <c r="VS33" s="102"/>
      <c r="VT33" s="102"/>
      <c r="VU33" s="102"/>
      <c r="VV33" s="102"/>
      <c r="VW33" s="102"/>
      <c r="VX33" s="102"/>
      <c r="VY33" s="102"/>
      <c r="VZ33" s="102"/>
      <c r="WA33" s="102"/>
      <c r="WB33" s="102"/>
      <c r="WC33" s="102"/>
      <c r="WD33" s="102"/>
      <c r="WE33" s="102"/>
      <c r="WF33" s="102"/>
      <c r="WG33" s="102"/>
      <c r="WH33" s="102"/>
      <c r="WI33" s="102"/>
      <c r="WJ33" s="102"/>
      <c r="WK33" s="102"/>
      <c r="WL33" s="102"/>
      <c r="WM33" s="102"/>
      <c r="WN33" s="102"/>
      <c r="WO33" s="102"/>
      <c r="WP33" s="102"/>
      <c r="WQ33" s="102"/>
      <c r="WR33" s="102"/>
      <c r="WS33" s="102"/>
      <c r="WT33" s="102"/>
      <c r="WU33" s="102"/>
      <c r="WV33" s="102"/>
      <c r="WW33" s="102"/>
      <c r="WX33" s="102"/>
      <c r="WY33" s="102"/>
      <c r="WZ33" s="102"/>
      <c r="XA33" s="102"/>
      <c r="XB33" s="102"/>
      <c r="XC33" s="102"/>
      <c r="XD33" s="102"/>
      <c r="XE33" s="102"/>
      <c r="XF33" s="102"/>
      <c r="XG33" s="102"/>
      <c r="XH33" s="102"/>
      <c r="XI33" s="102"/>
      <c r="XJ33" s="102"/>
      <c r="XK33" s="102"/>
      <c r="XL33" s="102"/>
      <c r="XM33" s="102"/>
      <c r="XN33" s="102"/>
      <c r="XO33" s="102"/>
      <c r="XP33" s="102"/>
      <c r="XQ33" s="102"/>
      <c r="XR33" s="102"/>
      <c r="XS33" s="102"/>
      <c r="XT33" s="102"/>
      <c r="XU33" s="102"/>
      <c r="XV33" s="102"/>
      <c r="XW33" s="102"/>
      <c r="XX33" s="102"/>
      <c r="XY33" s="102"/>
      <c r="XZ33" s="102"/>
      <c r="YA33" s="102"/>
      <c r="YB33" s="102"/>
      <c r="YC33" s="102"/>
      <c r="YD33" s="102"/>
      <c r="YE33" s="102"/>
      <c r="YF33" s="102"/>
      <c r="YG33" s="102"/>
      <c r="YH33" s="102"/>
      <c r="YI33" s="102"/>
      <c r="YJ33" s="102"/>
      <c r="YK33" s="102"/>
      <c r="YL33" s="102"/>
      <c r="YM33" s="102"/>
      <c r="YN33" s="102"/>
      <c r="YO33" s="102"/>
      <c r="YP33" s="102"/>
      <c r="YQ33" s="102"/>
      <c r="YR33" s="102"/>
      <c r="YS33" s="102"/>
      <c r="YT33" s="102"/>
      <c r="YU33" s="102"/>
      <c r="YV33" s="102"/>
      <c r="YW33" s="102"/>
      <c r="YX33" s="102"/>
      <c r="YY33" s="102"/>
      <c r="YZ33" s="102"/>
      <c r="ZA33" s="102"/>
      <c r="ZB33" s="102"/>
      <c r="ZC33" s="102"/>
      <c r="ZD33" s="102"/>
      <c r="ZE33" s="102"/>
      <c r="ZF33" s="102"/>
      <c r="ZG33" s="102"/>
      <c r="ZH33" s="102"/>
      <c r="ZI33" s="102"/>
      <c r="ZJ33" s="102"/>
      <c r="ZK33" s="102"/>
      <c r="ZL33" s="102"/>
      <c r="ZM33" s="102"/>
      <c r="ZN33" s="102"/>
      <c r="ZO33" s="102"/>
      <c r="ZP33" s="102"/>
      <c r="ZQ33" s="102"/>
      <c r="ZR33" s="102"/>
      <c r="ZS33" s="102"/>
      <c r="ZT33" s="102"/>
      <c r="ZU33" s="102"/>
      <c r="ZV33" s="102"/>
      <c r="ZW33" s="102"/>
      <c r="ZX33" s="102"/>
      <c r="ZY33" s="102"/>
      <c r="ZZ33" s="102"/>
      <c r="AAA33" s="102"/>
      <c r="AAB33" s="102"/>
      <c r="AAC33" s="102"/>
      <c r="AAD33" s="102"/>
      <c r="AAE33" s="102"/>
      <c r="AAF33" s="102"/>
      <c r="AAG33" s="102"/>
      <c r="AAH33" s="102"/>
      <c r="AAI33" s="102"/>
      <c r="AAJ33" s="102"/>
      <c r="AAK33" s="102"/>
      <c r="AAL33" s="102"/>
      <c r="AAM33" s="102"/>
      <c r="AAN33" s="102"/>
      <c r="AAO33" s="102"/>
      <c r="AAP33" s="102"/>
      <c r="AAQ33" s="102"/>
      <c r="AAR33" s="102"/>
      <c r="AAS33" s="102"/>
      <c r="AAT33" s="102"/>
      <c r="AAU33" s="102"/>
      <c r="AAV33" s="102"/>
      <c r="AAW33" s="102"/>
      <c r="AAX33" s="102"/>
      <c r="AAY33" s="102"/>
      <c r="AAZ33" s="102"/>
      <c r="ABA33" s="102"/>
      <c r="ABB33" s="102"/>
      <c r="ABC33" s="102"/>
      <c r="ABD33" s="102"/>
      <c r="ABE33" s="102"/>
      <c r="ABF33" s="102"/>
      <c r="ABG33" s="102"/>
      <c r="ABH33" s="102"/>
      <c r="ABI33" s="102"/>
      <c r="ABJ33" s="102"/>
      <c r="ABK33" s="102"/>
      <c r="ABL33" s="102"/>
      <c r="ABM33" s="102"/>
      <c r="ABN33" s="102"/>
      <c r="ABO33" s="102"/>
      <c r="ABP33" s="102"/>
      <c r="ABQ33" s="102"/>
      <c r="ABR33" s="102"/>
      <c r="ABS33" s="102"/>
      <c r="ABT33" s="102"/>
      <c r="ABU33" s="102"/>
      <c r="ABV33" s="102"/>
      <c r="ABW33" s="102"/>
      <c r="ABX33" s="102"/>
      <c r="ABY33" s="102"/>
      <c r="ABZ33" s="102"/>
      <c r="ACA33" s="102"/>
      <c r="ACB33" s="102"/>
      <c r="ACC33" s="102"/>
      <c r="ACD33" s="102"/>
      <c r="ACE33" s="102"/>
      <c r="ACF33" s="102"/>
      <c r="ACG33" s="102"/>
      <c r="ACH33" s="102"/>
      <c r="ACI33" s="102"/>
      <c r="ACJ33" s="102"/>
      <c r="ACK33" s="102"/>
      <c r="ACL33" s="102"/>
      <c r="ACM33" s="102"/>
      <c r="ACN33" s="102"/>
      <c r="ACO33" s="102"/>
      <c r="ACP33" s="102"/>
      <c r="ACQ33" s="102"/>
      <c r="ACR33" s="102"/>
      <c r="ACS33" s="102"/>
      <c r="ACT33" s="102"/>
      <c r="ACU33" s="102"/>
      <c r="ACV33" s="102"/>
      <c r="ACW33" s="102"/>
      <c r="ACX33" s="102"/>
      <c r="ACY33" s="102"/>
      <c r="ACZ33" s="102"/>
      <c r="ADA33" s="102"/>
      <c r="ADB33" s="102"/>
      <c r="ADC33" s="102"/>
      <c r="ADD33" s="102"/>
      <c r="ADE33" s="102"/>
      <c r="ADF33" s="102"/>
      <c r="ADG33" s="102"/>
      <c r="ADH33" s="102"/>
      <c r="ADI33" s="102"/>
      <c r="ADJ33" s="102"/>
      <c r="ADK33" s="102"/>
      <c r="ADL33" s="102"/>
      <c r="ADM33" s="102"/>
      <c r="ADN33" s="102"/>
      <c r="ADO33" s="102"/>
      <c r="ADP33" s="102"/>
      <c r="ADQ33" s="102"/>
      <c r="ADR33" s="102"/>
      <c r="ADS33" s="102"/>
      <c r="ADT33" s="102"/>
      <c r="ADU33" s="102"/>
      <c r="ADV33" s="102"/>
      <c r="ADW33" s="102"/>
      <c r="ADX33" s="102"/>
      <c r="ADY33" s="102"/>
      <c r="ADZ33" s="102"/>
      <c r="AEA33" s="102"/>
      <c r="AEB33" s="102"/>
      <c r="AEC33" s="102"/>
      <c r="AED33" s="102"/>
      <c r="AEE33" s="102"/>
      <c r="AEF33" s="102"/>
      <c r="AEG33" s="102"/>
      <c r="AEH33" s="102"/>
      <c r="AEI33" s="102"/>
      <c r="AEJ33" s="102"/>
      <c r="AEK33" s="102"/>
      <c r="AEL33" s="102"/>
      <c r="AEM33" s="102"/>
      <c r="AEN33" s="102"/>
      <c r="AEO33" s="102"/>
      <c r="AEP33" s="102"/>
      <c r="AEQ33" s="102"/>
      <c r="AER33" s="102"/>
      <c r="AES33" s="102"/>
      <c r="AET33" s="102"/>
      <c r="AEU33" s="102"/>
      <c r="AEV33" s="102"/>
      <c r="AEW33" s="102"/>
      <c r="AEX33" s="102"/>
      <c r="AEY33" s="102"/>
      <c r="AEZ33" s="102"/>
      <c r="AFA33" s="102"/>
      <c r="AFB33" s="102"/>
      <c r="AFC33" s="102"/>
      <c r="AFD33" s="102"/>
      <c r="AFE33" s="102"/>
      <c r="AFF33" s="102"/>
      <c r="AFG33" s="102"/>
      <c r="AFH33" s="102"/>
      <c r="AFI33" s="102"/>
      <c r="AFJ33" s="102"/>
      <c r="AFK33" s="102"/>
      <c r="AFL33" s="102"/>
      <c r="AFM33" s="102"/>
      <c r="AFN33" s="102"/>
      <c r="AFO33" s="102"/>
      <c r="AFP33" s="102"/>
      <c r="AFQ33" s="102"/>
      <c r="AFR33" s="102"/>
      <c r="AFS33" s="102"/>
      <c r="AFT33" s="102"/>
      <c r="AFU33" s="102"/>
      <c r="AFV33" s="102"/>
      <c r="AFW33" s="102"/>
      <c r="AFX33" s="102"/>
      <c r="AFY33" s="102"/>
      <c r="AFZ33" s="102"/>
      <c r="AGA33" s="102"/>
      <c r="AGB33" s="102"/>
      <c r="AGC33" s="102"/>
      <c r="AGD33" s="102"/>
      <c r="AGE33" s="102"/>
      <c r="AGF33" s="102"/>
      <c r="AGG33" s="102"/>
      <c r="AGH33" s="102"/>
      <c r="AGI33" s="102"/>
      <c r="AGJ33" s="102"/>
      <c r="AGK33" s="102"/>
      <c r="AGL33" s="102"/>
      <c r="AGM33" s="102"/>
      <c r="AGN33" s="102"/>
      <c r="AGO33" s="102"/>
      <c r="AGP33" s="102"/>
      <c r="AGQ33" s="102"/>
      <c r="AGR33" s="102"/>
      <c r="AGS33" s="102"/>
      <c r="AGT33" s="102"/>
      <c r="AGU33" s="102"/>
      <c r="AGV33" s="102"/>
      <c r="AGW33" s="102"/>
      <c r="AGX33" s="102"/>
      <c r="AGY33" s="102"/>
      <c r="AGZ33" s="102"/>
      <c r="AHA33" s="102"/>
      <c r="AHB33" s="102"/>
      <c r="AHC33" s="102"/>
      <c r="AHD33" s="102"/>
      <c r="AHE33" s="102"/>
      <c r="AHF33" s="102"/>
      <c r="AHG33" s="102"/>
      <c r="AHH33" s="102"/>
      <c r="AHI33" s="102"/>
      <c r="AHJ33" s="102"/>
      <c r="AHK33" s="102"/>
      <c r="AHL33" s="102"/>
      <c r="AHM33" s="102"/>
      <c r="AHN33" s="102"/>
      <c r="AHO33" s="102"/>
      <c r="AHP33" s="102"/>
      <c r="AHQ33" s="102"/>
      <c r="AHR33" s="102"/>
      <c r="AHS33" s="102"/>
      <c r="AHT33" s="102"/>
      <c r="AHU33" s="102"/>
      <c r="AHV33" s="102"/>
      <c r="AHW33" s="102"/>
      <c r="AHX33" s="102"/>
      <c r="AHY33" s="102"/>
      <c r="AHZ33" s="102"/>
      <c r="AIA33" s="102"/>
      <c r="AIB33" s="102"/>
      <c r="AIC33" s="102"/>
      <c r="AID33" s="102"/>
      <c r="AIE33" s="102"/>
      <c r="AIF33" s="102"/>
      <c r="AIG33" s="102"/>
      <c r="AIH33" s="102"/>
      <c r="AII33" s="102"/>
      <c r="AIJ33" s="102"/>
      <c r="AIK33" s="102"/>
      <c r="AIL33" s="102"/>
      <c r="AIM33" s="102"/>
      <c r="AIN33" s="102"/>
      <c r="AIO33" s="102"/>
      <c r="AIP33" s="102"/>
      <c r="AIQ33" s="102"/>
      <c r="AIR33" s="102"/>
      <c r="AIS33" s="102"/>
      <c r="AIT33" s="102"/>
      <c r="AIU33" s="102"/>
      <c r="AIV33" s="102"/>
      <c r="AIW33" s="102"/>
      <c r="AIX33" s="102"/>
      <c r="AIY33" s="102"/>
      <c r="AIZ33" s="102"/>
      <c r="AJA33" s="102"/>
      <c r="AJB33" s="102"/>
      <c r="AJC33" s="102"/>
      <c r="AJD33" s="102"/>
      <c r="AJE33" s="102"/>
      <c r="AJF33" s="102"/>
      <c r="AJG33" s="102"/>
      <c r="AJH33" s="102"/>
      <c r="AJI33" s="102"/>
      <c r="AJJ33" s="102"/>
      <c r="AJK33" s="102"/>
      <c r="AJL33" s="102"/>
      <c r="AJM33" s="102"/>
      <c r="AJN33" s="102"/>
      <c r="AJO33" s="102"/>
      <c r="AJP33" s="102"/>
      <c r="AJQ33" s="102"/>
      <c r="AJR33" s="102"/>
      <c r="AJS33" s="102"/>
      <c r="AJT33" s="102"/>
      <c r="AJU33" s="102"/>
      <c r="AJV33" s="102"/>
      <c r="AJW33" s="102"/>
      <c r="AJX33" s="102"/>
      <c r="AJY33" s="102"/>
      <c r="AJZ33" s="102"/>
      <c r="AKA33" s="102"/>
      <c r="AKB33" s="102"/>
      <c r="AKC33" s="102"/>
      <c r="AKD33" s="102"/>
      <c r="AKE33" s="102"/>
      <c r="AKF33" s="102"/>
      <c r="AKG33" s="102"/>
      <c r="AKH33" s="102"/>
      <c r="AKI33" s="102"/>
      <c r="AKJ33" s="102"/>
      <c r="AKK33" s="102"/>
      <c r="AKL33" s="102"/>
      <c r="AKM33" s="102"/>
      <c r="AKN33" s="102"/>
      <c r="AKO33" s="102"/>
      <c r="AKP33" s="102"/>
      <c r="AKQ33" s="102"/>
      <c r="AKR33" s="102"/>
      <c r="AKS33" s="102"/>
      <c r="AKT33" s="102"/>
      <c r="AKU33" s="102"/>
      <c r="AKV33" s="102"/>
      <c r="AKW33" s="102"/>
      <c r="AKX33" s="102"/>
      <c r="AKY33" s="102"/>
      <c r="AKZ33" s="102"/>
      <c r="ALA33" s="102"/>
      <c r="ALB33" s="102"/>
      <c r="ALC33" s="102"/>
      <c r="ALD33" s="102"/>
      <c r="ALE33" s="102"/>
      <c r="ALF33" s="102"/>
      <c r="ALG33" s="102"/>
      <c r="ALH33" s="102"/>
      <c r="ALI33" s="102"/>
      <c r="ALJ33" s="102"/>
      <c r="ALK33" s="102"/>
      <c r="ALL33" s="102"/>
      <c r="ALM33" s="102"/>
      <c r="ALN33" s="102"/>
      <c r="ALO33" s="102"/>
      <c r="ALP33" s="102"/>
      <c r="ALQ33" s="102"/>
      <c r="ALR33" s="102"/>
      <c r="ALS33" s="102"/>
      <c r="ALT33" s="102"/>
      <c r="ALU33" s="102"/>
      <c r="ALV33" s="102"/>
      <c r="ALW33" s="102"/>
      <c r="ALX33" s="102"/>
      <c r="ALY33" s="102"/>
      <c r="ALZ33" s="102"/>
      <c r="AMA33" s="102"/>
      <c r="AMB33" s="102"/>
      <c r="AMC33" s="102"/>
      <c r="AMD33" s="102"/>
      <c r="AME33" s="102"/>
      <c r="AMF33" s="102"/>
      <c r="AMG33" s="102"/>
      <c r="AMH33" s="102"/>
      <c r="AMI33" s="102"/>
      <c r="AMJ33" s="102"/>
      <c r="AMK33" s="102"/>
      <c r="AML33" s="102"/>
      <c r="AMM33" s="102"/>
      <c r="AMN33" s="102"/>
      <c r="AMO33" s="102"/>
      <c r="AMP33" s="102"/>
      <c r="AMQ33" s="102"/>
      <c r="AMR33" s="102"/>
      <c r="AMS33" s="102"/>
      <c r="AMT33" s="102"/>
      <c r="AMU33" s="102"/>
      <c r="AMV33" s="102"/>
      <c r="AMW33" s="102"/>
      <c r="AMX33" s="102"/>
      <c r="AMY33" s="102"/>
      <c r="AMZ33" s="102"/>
      <c r="ANA33" s="102"/>
      <c r="ANB33" s="102"/>
      <c r="ANC33" s="102"/>
      <c r="AND33" s="102"/>
      <c r="ANE33" s="102"/>
      <c r="ANF33" s="102"/>
      <c r="ANG33" s="102"/>
      <c r="ANH33" s="102"/>
      <c r="ANI33" s="102"/>
      <c r="ANJ33" s="102"/>
      <c r="ANK33" s="102"/>
      <c r="ANL33" s="102"/>
      <c r="ANM33" s="102"/>
      <c r="ANN33" s="102"/>
      <c r="ANO33" s="102"/>
      <c r="ANP33" s="102"/>
      <c r="ANQ33" s="102"/>
      <c r="ANR33" s="102"/>
      <c r="ANS33" s="102"/>
      <c r="ANT33" s="102"/>
      <c r="ANU33" s="102"/>
      <c r="ANV33" s="102"/>
      <c r="ANW33" s="102"/>
      <c r="ANX33" s="102"/>
      <c r="ANY33" s="102"/>
      <c r="ANZ33" s="102"/>
      <c r="AOA33" s="102"/>
      <c r="AOB33" s="102"/>
      <c r="AOC33" s="102"/>
      <c r="AOD33" s="102"/>
      <c r="AOE33" s="102"/>
      <c r="AOF33" s="102"/>
      <c r="AOG33" s="102"/>
      <c r="AOH33" s="102"/>
      <c r="AOI33" s="102"/>
      <c r="AOJ33" s="102"/>
      <c r="AOK33" s="102"/>
      <c r="AOL33" s="102"/>
      <c r="AOM33" s="102"/>
      <c r="AON33" s="102"/>
      <c r="AOO33" s="102"/>
      <c r="AOP33" s="102"/>
      <c r="AOQ33" s="102"/>
      <c r="AOR33" s="102"/>
      <c r="AOS33" s="102"/>
      <c r="AOT33" s="102"/>
      <c r="AOU33" s="102"/>
      <c r="AOV33" s="102"/>
      <c r="AOW33" s="102"/>
      <c r="AOX33" s="102"/>
      <c r="AOY33" s="102"/>
      <c r="AOZ33" s="102"/>
      <c r="APA33" s="102"/>
      <c r="APB33" s="102"/>
      <c r="APC33" s="102"/>
      <c r="APD33" s="102"/>
      <c r="APE33" s="102"/>
      <c r="APF33" s="102"/>
      <c r="APG33" s="102"/>
      <c r="APH33" s="102"/>
      <c r="API33" s="102"/>
      <c r="APJ33" s="102"/>
      <c r="APK33" s="102"/>
      <c r="APL33" s="102"/>
      <c r="APM33" s="102"/>
      <c r="APN33" s="102"/>
      <c r="APO33" s="102"/>
      <c r="APP33" s="102"/>
      <c r="APQ33" s="102"/>
      <c r="APR33" s="102"/>
      <c r="APS33" s="102"/>
      <c r="APT33" s="102"/>
      <c r="APU33" s="102"/>
      <c r="APV33" s="102"/>
      <c r="APW33" s="102"/>
      <c r="APX33" s="102"/>
      <c r="APY33" s="102"/>
      <c r="APZ33" s="102"/>
      <c r="AQA33" s="102"/>
      <c r="AQB33" s="102"/>
      <c r="AQC33" s="102"/>
      <c r="AQD33" s="102"/>
      <c r="AQE33" s="102"/>
      <c r="AQF33" s="102"/>
      <c r="AQG33" s="102"/>
      <c r="AQH33" s="102"/>
      <c r="AQI33" s="102"/>
      <c r="AQJ33" s="102"/>
      <c r="AQK33" s="102"/>
      <c r="AQL33" s="102"/>
      <c r="AQM33" s="102"/>
      <c r="AQN33" s="102"/>
      <c r="AQO33" s="102"/>
      <c r="AQP33" s="102"/>
      <c r="AQQ33" s="102"/>
      <c r="AQR33" s="102"/>
      <c r="AQS33" s="102"/>
      <c r="AQT33" s="102"/>
      <c r="AQU33" s="102"/>
      <c r="AQV33" s="102"/>
      <c r="AQW33" s="102"/>
      <c r="AQX33" s="102"/>
      <c r="AQY33" s="102"/>
      <c r="AQZ33" s="102"/>
      <c r="ARA33" s="102"/>
      <c r="ARB33" s="102"/>
      <c r="ARC33" s="102"/>
      <c r="ARD33" s="102"/>
      <c r="ARE33" s="102"/>
      <c r="ARF33" s="102"/>
      <c r="ARG33" s="102"/>
      <c r="ARH33" s="102"/>
      <c r="ARI33" s="102"/>
      <c r="ARJ33" s="102"/>
      <c r="ARK33" s="102"/>
      <c r="ARL33" s="102"/>
      <c r="ARM33" s="102"/>
      <c r="ARN33" s="102"/>
      <c r="ARO33" s="102"/>
      <c r="ARP33" s="102"/>
      <c r="ARQ33" s="102"/>
      <c r="ARR33" s="102"/>
      <c r="ARS33" s="102"/>
      <c r="ART33" s="102"/>
      <c r="ARU33" s="102"/>
      <c r="ARV33" s="102"/>
      <c r="ARW33" s="102"/>
      <c r="ARX33" s="102"/>
      <c r="ARY33" s="102"/>
      <c r="ARZ33" s="102"/>
      <c r="ASA33" s="102"/>
      <c r="ASB33" s="102"/>
      <c r="ASC33" s="102"/>
      <c r="ASD33" s="102"/>
      <c r="ASE33" s="102"/>
      <c r="ASF33" s="102"/>
      <c r="ASG33" s="102"/>
      <c r="ASH33" s="102"/>
      <c r="ASI33" s="102"/>
      <c r="ASJ33" s="102"/>
      <c r="ASK33" s="102"/>
      <c r="ASL33" s="102"/>
      <c r="ASM33" s="102"/>
      <c r="ASN33" s="102"/>
      <c r="ASO33" s="102"/>
      <c r="ASP33" s="102"/>
      <c r="ASQ33" s="102"/>
      <c r="ASR33" s="102"/>
      <c r="ASS33" s="102"/>
      <c r="AST33" s="102"/>
      <c r="ASU33" s="102"/>
      <c r="ASV33" s="102"/>
      <c r="ASW33" s="102"/>
      <c r="ASX33" s="102"/>
      <c r="ASY33" s="102"/>
      <c r="ASZ33" s="102"/>
      <c r="ATA33" s="102"/>
      <c r="ATB33" s="102"/>
      <c r="ATC33" s="102"/>
      <c r="ATD33" s="102"/>
      <c r="ATE33" s="102"/>
      <c r="ATF33" s="102"/>
      <c r="ATG33" s="102"/>
      <c r="ATH33" s="102"/>
      <c r="ATI33" s="102"/>
      <c r="ATJ33" s="102"/>
      <c r="ATK33" s="102"/>
      <c r="ATL33" s="102"/>
      <c r="ATM33" s="102"/>
      <c r="ATN33" s="102"/>
      <c r="ATO33" s="102"/>
      <c r="ATP33" s="102"/>
      <c r="ATQ33" s="102"/>
      <c r="ATR33" s="102"/>
      <c r="ATS33" s="102"/>
      <c r="ATT33" s="102"/>
      <c r="ATU33" s="102"/>
      <c r="ATV33" s="102"/>
      <c r="ATW33" s="102"/>
      <c r="ATX33" s="102"/>
      <c r="ATY33" s="102"/>
      <c r="ATZ33" s="102"/>
      <c r="AUA33" s="102"/>
      <c r="AUB33" s="102"/>
      <c r="AUC33" s="102"/>
      <c r="AUD33" s="102"/>
      <c r="AUE33" s="102"/>
      <c r="AUF33" s="102"/>
      <c r="AUG33" s="102"/>
      <c r="AUH33" s="102"/>
      <c r="AUI33" s="102"/>
      <c r="AUJ33" s="102"/>
      <c r="AUK33" s="102"/>
      <c r="AUL33" s="102"/>
      <c r="AUM33" s="102"/>
      <c r="AUN33" s="102"/>
      <c r="AUO33" s="102"/>
      <c r="AUP33" s="102"/>
      <c r="AUQ33" s="102"/>
      <c r="AUR33" s="102"/>
      <c r="AUS33" s="102"/>
      <c r="AUT33" s="102"/>
      <c r="AUU33" s="102"/>
      <c r="AUV33" s="102"/>
      <c r="AUW33" s="102"/>
      <c r="AUX33" s="102"/>
      <c r="AUY33" s="102"/>
      <c r="AUZ33" s="102"/>
      <c r="AVA33" s="102"/>
      <c r="AVB33" s="102"/>
      <c r="AVC33" s="102"/>
      <c r="AVD33" s="102"/>
      <c r="AVE33" s="102"/>
      <c r="AVF33" s="102"/>
      <c r="AVG33" s="102"/>
      <c r="AVH33" s="102"/>
      <c r="AVI33" s="102"/>
      <c r="AVJ33" s="102"/>
      <c r="AVK33" s="102"/>
      <c r="AVL33" s="102"/>
      <c r="AVM33" s="102"/>
      <c r="AVN33" s="102"/>
      <c r="AVO33" s="102"/>
      <c r="AVP33" s="102"/>
      <c r="AVQ33" s="102"/>
      <c r="AVR33" s="102"/>
      <c r="AVS33" s="102"/>
      <c r="AVT33" s="102"/>
      <c r="AVU33" s="102"/>
      <c r="AVV33" s="102"/>
      <c r="AVW33" s="102"/>
      <c r="AVX33" s="102"/>
      <c r="AVY33" s="102"/>
      <c r="AVZ33" s="102"/>
      <c r="AWA33" s="102"/>
      <c r="AWB33" s="102"/>
      <c r="AWC33" s="102"/>
      <c r="AWD33" s="102"/>
      <c r="AWE33" s="102"/>
      <c r="AWF33" s="102"/>
      <c r="AWG33" s="102"/>
      <c r="AWH33" s="102"/>
      <c r="AWI33" s="102"/>
      <c r="AWJ33" s="102"/>
      <c r="AWK33" s="102"/>
      <c r="AWL33" s="102"/>
      <c r="AWM33" s="102"/>
      <c r="AWN33" s="102"/>
      <c r="AWO33" s="102"/>
      <c r="AWP33" s="102"/>
      <c r="AWQ33" s="102"/>
      <c r="AWR33" s="102"/>
      <c r="AWS33" s="102"/>
      <c r="AWT33" s="102"/>
      <c r="AWU33" s="102"/>
      <c r="AWV33" s="102"/>
      <c r="AWW33" s="102"/>
      <c r="AWX33" s="102"/>
      <c r="AWY33" s="102"/>
      <c r="AWZ33" s="102"/>
      <c r="AXA33" s="102"/>
      <c r="AXB33" s="102"/>
      <c r="AXC33" s="102"/>
      <c r="AXD33" s="102"/>
      <c r="AXE33" s="102"/>
      <c r="AXF33" s="102"/>
      <c r="AXG33" s="102"/>
      <c r="AXH33" s="102"/>
      <c r="AXI33" s="102"/>
      <c r="AXJ33" s="102"/>
      <c r="AXK33" s="102"/>
      <c r="AXL33" s="102"/>
      <c r="AXM33" s="102"/>
      <c r="AXN33" s="102"/>
      <c r="AXO33" s="102"/>
      <c r="AXP33" s="102"/>
      <c r="AXQ33" s="102"/>
      <c r="AXR33" s="102"/>
      <c r="AXS33" s="102"/>
      <c r="AXT33" s="102"/>
      <c r="AXU33" s="102"/>
      <c r="AXV33" s="102"/>
      <c r="AXW33" s="102"/>
      <c r="AXX33" s="102"/>
      <c r="AXY33" s="102"/>
      <c r="AXZ33" s="102"/>
      <c r="AYA33" s="102"/>
      <c r="AYB33" s="102"/>
      <c r="AYC33" s="102"/>
      <c r="AYD33" s="102"/>
      <c r="AYE33" s="102"/>
      <c r="AYF33" s="102"/>
      <c r="AYG33" s="102"/>
      <c r="AYH33" s="102"/>
      <c r="AYI33" s="102"/>
      <c r="AYJ33" s="102"/>
      <c r="AYK33" s="102"/>
      <c r="AYL33" s="102"/>
      <c r="AYM33" s="102"/>
      <c r="AYN33" s="102"/>
      <c r="AYO33" s="102"/>
      <c r="AYP33" s="102"/>
      <c r="AYQ33" s="102"/>
      <c r="AYR33" s="102"/>
      <c r="AYS33" s="102"/>
      <c r="AYT33" s="102"/>
      <c r="AYU33" s="102"/>
      <c r="AYV33" s="102"/>
      <c r="AYW33" s="102"/>
      <c r="AYX33" s="102"/>
      <c r="AYY33" s="102"/>
      <c r="AYZ33" s="102"/>
      <c r="AZA33" s="102"/>
      <c r="AZB33" s="102"/>
      <c r="AZC33" s="102"/>
      <c r="AZD33" s="102"/>
      <c r="AZE33" s="102"/>
      <c r="AZF33" s="102"/>
      <c r="AZG33" s="102"/>
      <c r="AZH33" s="102"/>
      <c r="AZI33" s="102"/>
      <c r="AZJ33" s="102"/>
      <c r="AZK33" s="102"/>
      <c r="AZL33" s="102"/>
      <c r="AZM33" s="102"/>
      <c r="AZN33" s="102"/>
      <c r="AZO33" s="102"/>
      <c r="AZP33" s="102"/>
      <c r="AZQ33" s="102"/>
      <c r="AZR33" s="102"/>
      <c r="AZS33" s="102"/>
      <c r="AZT33" s="102"/>
      <c r="AZU33" s="102"/>
      <c r="AZV33" s="102"/>
      <c r="AZW33" s="102"/>
      <c r="AZX33" s="102"/>
      <c r="AZY33" s="102"/>
      <c r="AZZ33" s="102"/>
      <c r="BAA33" s="102"/>
      <c r="BAB33" s="102"/>
      <c r="BAC33" s="102"/>
      <c r="BAD33" s="102"/>
      <c r="BAE33" s="102"/>
      <c r="BAF33" s="102"/>
      <c r="BAG33" s="102"/>
      <c r="BAH33" s="102"/>
      <c r="BAI33" s="102"/>
      <c r="BAJ33" s="102"/>
      <c r="BAK33" s="102"/>
      <c r="BAL33" s="102"/>
      <c r="BAM33" s="102"/>
      <c r="BAN33" s="102"/>
      <c r="BAO33" s="102"/>
      <c r="BAP33" s="102"/>
      <c r="BAQ33" s="102"/>
      <c r="BAR33" s="102"/>
      <c r="BAS33" s="102"/>
      <c r="BAT33" s="102"/>
      <c r="BAU33" s="102"/>
      <c r="BAV33" s="102"/>
      <c r="BAW33" s="102"/>
      <c r="BAX33" s="102"/>
      <c r="BAY33" s="102"/>
      <c r="BAZ33" s="102"/>
      <c r="BBA33" s="102"/>
      <c r="BBB33" s="102"/>
      <c r="BBC33" s="102"/>
      <c r="BBD33" s="102"/>
      <c r="BBE33" s="102"/>
      <c r="BBF33" s="102"/>
      <c r="BBG33" s="102"/>
      <c r="BBH33" s="102"/>
      <c r="BBI33" s="102"/>
      <c r="BBJ33" s="102"/>
      <c r="BBK33" s="102"/>
      <c r="BBL33" s="102"/>
      <c r="BBM33" s="102"/>
      <c r="BBN33" s="102"/>
      <c r="BBO33" s="102"/>
      <c r="BBP33" s="102"/>
      <c r="BBQ33" s="102"/>
      <c r="BBR33" s="102"/>
      <c r="BBS33" s="102"/>
      <c r="BBT33" s="102"/>
      <c r="BBU33" s="102"/>
      <c r="BBV33" s="102"/>
      <c r="BBW33" s="102"/>
      <c r="BBX33" s="102"/>
      <c r="BBY33" s="102"/>
      <c r="BBZ33" s="102"/>
      <c r="BCA33" s="102"/>
      <c r="BCB33" s="102"/>
      <c r="BCC33" s="102"/>
      <c r="BCD33" s="102"/>
      <c r="BCE33" s="102"/>
      <c r="BCF33" s="102"/>
      <c r="BCG33" s="102"/>
      <c r="BCH33" s="102"/>
      <c r="BCI33" s="102"/>
      <c r="BCJ33" s="102"/>
      <c r="BCK33" s="102"/>
      <c r="BCL33" s="102"/>
      <c r="BCM33" s="102"/>
      <c r="BCN33" s="102"/>
      <c r="BCO33" s="102"/>
      <c r="BCP33" s="102"/>
      <c r="BCQ33" s="102"/>
      <c r="BCR33" s="102"/>
      <c r="BCS33" s="102"/>
      <c r="BCT33" s="102"/>
      <c r="BCU33" s="102"/>
      <c r="BCV33" s="102"/>
      <c r="BCW33" s="102"/>
      <c r="BCX33" s="102"/>
      <c r="BCY33" s="102"/>
      <c r="BCZ33" s="102"/>
      <c r="BDA33" s="102"/>
      <c r="BDB33" s="102"/>
      <c r="BDC33" s="102"/>
      <c r="BDD33" s="102"/>
      <c r="BDE33" s="102"/>
      <c r="BDF33" s="102"/>
      <c r="BDG33" s="102"/>
      <c r="BDH33" s="102"/>
      <c r="BDI33" s="102"/>
      <c r="BDJ33" s="102"/>
      <c r="BDK33" s="102"/>
      <c r="BDL33" s="102"/>
      <c r="BDM33" s="102"/>
      <c r="BDN33" s="102"/>
      <c r="BDO33" s="102"/>
      <c r="BDP33" s="102"/>
      <c r="BDQ33" s="102"/>
      <c r="BDR33" s="102"/>
      <c r="BDS33" s="102"/>
      <c r="BDT33" s="102"/>
      <c r="BDU33" s="102"/>
      <c r="BDV33" s="102"/>
      <c r="BDW33" s="102"/>
      <c r="BDX33" s="102"/>
      <c r="BDY33" s="102"/>
      <c r="BDZ33" s="102"/>
      <c r="BEA33" s="102"/>
      <c r="BEB33" s="102"/>
      <c r="BEC33" s="102"/>
      <c r="BED33" s="102"/>
      <c r="BEE33" s="102"/>
      <c r="BEF33" s="102"/>
      <c r="BEG33" s="102"/>
      <c r="BEH33" s="102"/>
      <c r="BEI33" s="102"/>
      <c r="BEJ33" s="102"/>
      <c r="BEK33" s="102"/>
      <c r="BEL33" s="102"/>
      <c r="BEM33" s="102"/>
      <c r="BEN33" s="102"/>
      <c r="BEO33" s="102"/>
      <c r="BEP33" s="102"/>
      <c r="BEQ33" s="102"/>
      <c r="BER33" s="102"/>
      <c r="BES33" s="102"/>
      <c r="BET33" s="102"/>
      <c r="BEU33" s="102"/>
      <c r="BEV33" s="102"/>
      <c r="BEW33" s="102"/>
      <c r="BEX33" s="102"/>
      <c r="BEY33" s="102"/>
      <c r="BEZ33" s="102"/>
      <c r="BFA33" s="102"/>
      <c r="BFB33" s="102"/>
      <c r="BFC33" s="102"/>
      <c r="BFD33" s="102"/>
      <c r="BFE33" s="102"/>
      <c r="BFF33" s="102"/>
      <c r="BFG33" s="102"/>
      <c r="BFH33" s="102"/>
      <c r="BFI33" s="102"/>
      <c r="BFJ33" s="102"/>
      <c r="BFK33" s="102"/>
      <c r="BFL33" s="102"/>
      <c r="BFM33" s="102"/>
      <c r="BFN33" s="102"/>
      <c r="BFO33" s="102"/>
      <c r="BFP33" s="102"/>
      <c r="BFQ33" s="102"/>
      <c r="BFR33" s="102"/>
      <c r="BFS33" s="102"/>
      <c r="BFT33" s="102"/>
      <c r="BFU33" s="102"/>
      <c r="BFV33" s="102"/>
      <c r="BFW33" s="102"/>
      <c r="BFX33" s="102"/>
      <c r="BFY33" s="102"/>
      <c r="BFZ33" s="102"/>
      <c r="BGA33" s="102"/>
      <c r="BGB33" s="102"/>
      <c r="BGC33" s="102"/>
      <c r="BGD33" s="102"/>
      <c r="BGE33" s="102"/>
      <c r="BGF33" s="102"/>
      <c r="BGG33" s="102"/>
      <c r="BGH33" s="102"/>
      <c r="BGI33" s="102"/>
      <c r="BGJ33" s="102"/>
      <c r="BGK33" s="102"/>
      <c r="BGL33" s="102"/>
      <c r="BGM33" s="102"/>
      <c r="BGN33" s="102"/>
      <c r="BGO33" s="102"/>
      <c r="BGP33" s="102"/>
      <c r="BGQ33" s="102"/>
      <c r="BGR33" s="102"/>
      <c r="BGS33" s="102"/>
      <c r="BGT33" s="102"/>
      <c r="BGU33" s="102"/>
      <c r="BGV33" s="102"/>
      <c r="BGW33" s="102"/>
      <c r="BGX33" s="102"/>
      <c r="BGY33" s="102"/>
      <c r="BGZ33" s="102"/>
      <c r="BHA33" s="102"/>
      <c r="BHB33" s="102"/>
      <c r="BHC33" s="102"/>
      <c r="BHD33" s="102"/>
      <c r="BHE33" s="102"/>
      <c r="BHF33" s="102"/>
      <c r="BHG33" s="102"/>
      <c r="BHH33" s="102"/>
      <c r="BHI33" s="102"/>
      <c r="BHJ33" s="102"/>
      <c r="BHK33" s="102"/>
      <c r="BHL33" s="102"/>
      <c r="BHM33" s="102"/>
      <c r="BHN33" s="102"/>
      <c r="BHO33" s="102"/>
      <c r="BHP33" s="102"/>
      <c r="BHQ33" s="102"/>
      <c r="BHR33" s="102"/>
      <c r="BHS33" s="102"/>
      <c r="BHT33" s="102"/>
      <c r="BHU33" s="102"/>
      <c r="BHV33" s="102"/>
      <c r="BHW33" s="102"/>
      <c r="BHX33" s="102"/>
      <c r="BHY33" s="102"/>
      <c r="BHZ33" s="102"/>
      <c r="BIA33" s="102"/>
      <c r="BIB33" s="102"/>
      <c r="BIC33" s="102"/>
      <c r="BID33" s="102"/>
      <c r="BIE33" s="102"/>
      <c r="BIF33" s="102"/>
      <c r="BIG33" s="102"/>
      <c r="BIH33" s="102"/>
      <c r="BII33" s="102"/>
      <c r="BIJ33" s="102"/>
      <c r="BIK33" s="102"/>
      <c r="BIL33" s="102"/>
      <c r="BIM33" s="102"/>
      <c r="BIN33" s="102"/>
      <c r="BIO33" s="102"/>
      <c r="BIP33" s="102"/>
      <c r="BIQ33" s="102"/>
      <c r="BIR33" s="102"/>
      <c r="BIS33" s="102"/>
      <c r="BIT33" s="102"/>
      <c r="BIU33" s="102"/>
      <c r="BIV33" s="102"/>
      <c r="BIW33" s="102"/>
      <c r="BIX33" s="102"/>
      <c r="BIY33" s="102"/>
      <c r="BIZ33" s="102"/>
      <c r="BJA33" s="102"/>
      <c r="BJB33" s="102"/>
      <c r="BJC33" s="102"/>
      <c r="BJD33" s="102"/>
      <c r="BJE33" s="102"/>
      <c r="BJF33" s="102"/>
      <c r="BJG33" s="102"/>
      <c r="BJH33" s="102"/>
      <c r="BJI33" s="102"/>
      <c r="BJJ33" s="102"/>
      <c r="BJK33" s="102"/>
      <c r="BJL33" s="102"/>
      <c r="BJM33" s="102"/>
      <c r="BJN33" s="102"/>
      <c r="BJO33" s="102"/>
      <c r="BJP33" s="102"/>
      <c r="BJQ33" s="102"/>
      <c r="BJR33" s="102"/>
      <c r="BJS33" s="102"/>
      <c r="BJT33" s="102"/>
      <c r="BJU33" s="102"/>
      <c r="BJV33" s="102"/>
      <c r="BJW33" s="102"/>
      <c r="BJX33" s="102"/>
      <c r="BJY33" s="102"/>
      <c r="BJZ33" s="102"/>
      <c r="BKA33" s="102"/>
      <c r="BKB33" s="102"/>
      <c r="BKC33" s="102"/>
      <c r="BKD33" s="102"/>
      <c r="BKE33" s="102"/>
      <c r="BKF33" s="102"/>
      <c r="BKG33" s="102"/>
      <c r="BKH33" s="102"/>
      <c r="BKI33" s="102"/>
      <c r="BKJ33" s="102"/>
      <c r="BKK33" s="102"/>
      <c r="BKL33" s="102"/>
      <c r="BKM33" s="102"/>
      <c r="BKN33" s="102"/>
      <c r="BKO33" s="102"/>
      <c r="BKP33" s="102"/>
      <c r="BKQ33" s="102"/>
      <c r="BKR33" s="102"/>
      <c r="BKS33" s="102"/>
      <c r="BKT33" s="102"/>
      <c r="BKU33" s="102"/>
      <c r="BKV33" s="102"/>
      <c r="BKW33" s="102"/>
      <c r="BKX33" s="102"/>
      <c r="BKY33" s="102"/>
      <c r="BKZ33" s="102"/>
      <c r="BLA33" s="102"/>
      <c r="BLB33" s="102"/>
      <c r="BLC33" s="102"/>
      <c r="BLD33" s="102"/>
      <c r="BLE33" s="102"/>
      <c r="BLF33" s="102"/>
      <c r="BLG33" s="102"/>
      <c r="BLH33" s="102"/>
      <c r="BLI33" s="102"/>
      <c r="BLJ33" s="102"/>
      <c r="BLK33" s="102"/>
      <c r="BLL33" s="102"/>
      <c r="BLM33" s="102"/>
      <c r="BLN33" s="102"/>
      <c r="BLO33" s="102"/>
      <c r="BLP33" s="102"/>
      <c r="BLQ33" s="102"/>
      <c r="BLR33" s="102"/>
      <c r="BLS33" s="102"/>
      <c r="BLT33" s="102"/>
      <c r="BLU33" s="102"/>
      <c r="BLV33" s="102"/>
      <c r="BLW33" s="102"/>
      <c r="BLX33" s="102"/>
      <c r="BLY33" s="102"/>
      <c r="BLZ33" s="102"/>
      <c r="BMA33" s="102"/>
      <c r="BMB33" s="102"/>
      <c r="BMC33" s="102"/>
      <c r="BMD33" s="102"/>
      <c r="BME33" s="102"/>
      <c r="BMF33" s="102"/>
      <c r="BMG33" s="102"/>
      <c r="BMH33" s="102"/>
      <c r="BMI33" s="102"/>
      <c r="BMJ33" s="102"/>
      <c r="BMK33" s="102"/>
      <c r="BML33" s="102"/>
      <c r="BMM33" s="102"/>
      <c r="BMN33" s="102"/>
      <c r="BMO33" s="102"/>
      <c r="BMP33" s="102"/>
      <c r="BMQ33" s="102"/>
      <c r="BMR33" s="102"/>
      <c r="BMS33" s="102"/>
      <c r="BMT33" s="102"/>
      <c r="BMU33" s="102"/>
      <c r="BMV33" s="102"/>
      <c r="BMW33" s="102"/>
      <c r="BMX33" s="102"/>
      <c r="BMY33" s="102"/>
      <c r="BMZ33" s="102"/>
      <c r="BNA33" s="102"/>
      <c r="BNB33" s="102"/>
      <c r="BNC33" s="102"/>
      <c r="BND33" s="102"/>
      <c r="BNE33" s="102"/>
      <c r="BNF33" s="102"/>
      <c r="BNG33" s="102"/>
      <c r="BNH33" s="102"/>
      <c r="BNI33" s="102"/>
      <c r="BNJ33" s="102"/>
      <c r="BNK33" s="102"/>
      <c r="BNL33" s="102"/>
      <c r="BNM33" s="102"/>
      <c r="BNN33" s="102"/>
      <c r="BNO33" s="102"/>
      <c r="BNP33" s="102"/>
      <c r="BNQ33" s="102"/>
      <c r="BNR33" s="102"/>
      <c r="BNS33" s="102"/>
      <c r="BNT33" s="102"/>
      <c r="BNU33" s="102"/>
      <c r="BNV33" s="102"/>
      <c r="BNW33" s="102"/>
      <c r="BNX33" s="102"/>
      <c r="BNY33" s="102"/>
      <c r="BNZ33" s="102"/>
      <c r="BOA33" s="102"/>
      <c r="BOB33" s="102"/>
      <c r="BOC33" s="102"/>
      <c r="BOD33" s="102"/>
      <c r="BOE33" s="102"/>
      <c r="BOF33" s="102"/>
      <c r="BOG33" s="102"/>
      <c r="BOH33" s="102"/>
      <c r="BOI33" s="102"/>
      <c r="BOJ33" s="102"/>
      <c r="BOK33" s="102"/>
      <c r="BOL33" s="102"/>
      <c r="BOM33" s="102"/>
      <c r="BON33" s="102"/>
      <c r="BOO33" s="102"/>
      <c r="BOP33" s="102"/>
      <c r="BOQ33" s="102"/>
      <c r="BOR33" s="102"/>
      <c r="BOS33" s="102"/>
      <c r="BOT33" s="102"/>
      <c r="BOU33" s="102"/>
      <c r="BOV33" s="102"/>
      <c r="BOW33" s="102"/>
      <c r="BOX33" s="102"/>
      <c r="BOY33" s="102"/>
      <c r="BOZ33" s="102"/>
      <c r="BPA33" s="102"/>
      <c r="BPB33" s="102"/>
      <c r="BPC33" s="102"/>
      <c r="BPD33" s="102"/>
      <c r="BPE33" s="102"/>
      <c r="BPF33" s="102"/>
      <c r="BPG33" s="102"/>
      <c r="BPH33" s="102"/>
      <c r="BPI33" s="102"/>
      <c r="BPJ33" s="102"/>
      <c r="BPK33" s="102"/>
      <c r="BPL33" s="102"/>
      <c r="BPM33" s="102"/>
      <c r="BPN33" s="102"/>
      <c r="BPO33" s="102"/>
      <c r="BPP33" s="102"/>
      <c r="BPQ33" s="102"/>
      <c r="BPR33" s="102"/>
      <c r="BPS33" s="102"/>
      <c r="BPT33" s="102"/>
      <c r="BPU33" s="102"/>
      <c r="BPV33" s="102"/>
      <c r="BPW33" s="102"/>
      <c r="BPX33" s="102"/>
      <c r="BPY33" s="102"/>
      <c r="BPZ33" s="102"/>
      <c r="BQA33" s="102"/>
      <c r="BQB33" s="102"/>
      <c r="BQC33" s="102"/>
      <c r="BQD33" s="102"/>
      <c r="BQE33" s="102"/>
      <c r="BQF33" s="102"/>
      <c r="BQG33" s="102"/>
      <c r="BQH33" s="102"/>
      <c r="BQI33" s="102"/>
      <c r="BQJ33" s="102"/>
      <c r="BQK33" s="102"/>
      <c r="BQL33" s="102"/>
      <c r="BQM33" s="102"/>
      <c r="BQN33" s="102"/>
      <c r="BQO33" s="102"/>
      <c r="BQP33" s="102"/>
      <c r="BQQ33" s="102"/>
      <c r="BQR33" s="102"/>
      <c r="BQS33" s="102"/>
      <c r="BQT33" s="102"/>
      <c r="BQU33" s="102"/>
      <c r="BQV33" s="102"/>
      <c r="BQW33" s="102"/>
      <c r="BQX33" s="102"/>
      <c r="BQY33" s="102"/>
      <c r="BQZ33" s="102"/>
      <c r="BRA33" s="102"/>
      <c r="BRB33" s="102"/>
      <c r="BRC33" s="102"/>
      <c r="BRD33" s="102"/>
      <c r="BRE33" s="102"/>
      <c r="BRF33" s="102"/>
      <c r="BRG33" s="102"/>
      <c r="BRH33" s="102"/>
      <c r="BRI33" s="102"/>
      <c r="BRJ33" s="102"/>
      <c r="BRK33" s="102"/>
      <c r="BRL33" s="102"/>
      <c r="BRM33" s="102"/>
      <c r="BRN33" s="102"/>
      <c r="BRO33" s="102"/>
      <c r="BRP33" s="102"/>
      <c r="BRQ33" s="102"/>
      <c r="BRR33" s="102"/>
      <c r="BRS33" s="102"/>
      <c r="BRT33" s="102"/>
      <c r="BRU33" s="102"/>
      <c r="BRV33" s="102"/>
      <c r="BRW33" s="102"/>
      <c r="BRX33" s="102"/>
      <c r="BRY33" s="102"/>
      <c r="BRZ33" s="102"/>
      <c r="BSA33" s="102"/>
      <c r="BSB33" s="102"/>
      <c r="BSC33" s="102"/>
      <c r="BSD33" s="102"/>
      <c r="BSE33" s="102"/>
      <c r="BSF33" s="102"/>
      <c r="BSG33" s="102"/>
      <c r="BSH33" s="102"/>
      <c r="BSI33" s="102"/>
      <c r="BSJ33" s="102"/>
      <c r="BSK33" s="102"/>
      <c r="BSL33" s="102"/>
      <c r="BSM33" s="102"/>
      <c r="BSN33" s="102"/>
      <c r="BSO33" s="102"/>
      <c r="BSP33" s="102"/>
      <c r="BSQ33" s="102"/>
      <c r="BSR33" s="102"/>
      <c r="BSS33" s="102"/>
      <c r="BST33" s="102"/>
      <c r="BSU33" s="102"/>
      <c r="BSV33" s="102"/>
      <c r="BSW33" s="102"/>
      <c r="BSX33" s="102"/>
      <c r="BSY33" s="102"/>
      <c r="BSZ33" s="102"/>
      <c r="BTA33" s="102"/>
      <c r="BTB33" s="102"/>
      <c r="BTC33" s="102"/>
      <c r="BTD33" s="102"/>
      <c r="BTE33" s="102"/>
      <c r="BTF33" s="102"/>
      <c r="BTG33" s="102"/>
      <c r="BTH33" s="102"/>
      <c r="BTI33" s="102"/>
      <c r="BTJ33" s="102"/>
      <c r="BTK33" s="102"/>
      <c r="BTL33" s="102"/>
      <c r="BTM33" s="102"/>
      <c r="BTN33" s="102"/>
      <c r="BTO33" s="102"/>
      <c r="BTP33" s="102"/>
      <c r="BTQ33" s="102"/>
      <c r="BTR33" s="102"/>
      <c r="BTS33" s="102"/>
      <c r="BTT33" s="102"/>
      <c r="BTU33" s="102"/>
      <c r="BTV33" s="102"/>
      <c r="BTW33" s="102"/>
      <c r="BTX33" s="102"/>
      <c r="BTY33" s="102"/>
      <c r="BTZ33" s="102"/>
      <c r="BUA33" s="102"/>
      <c r="BUB33" s="102"/>
      <c r="BUC33" s="102"/>
      <c r="BUD33" s="102"/>
      <c r="BUE33" s="102"/>
      <c r="BUF33" s="102"/>
      <c r="BUG33" s="102"/>
      <c r="BUH33" s="102"/>
      <c r="BUI33" s="102"/>
      <c r="BUJ33" s="102"/>
      <c r="BUK33" s="102"/>
      <c r="BUL33" s="102"/>
      <c r="BUM33" s="102"/>
      <c r="BUN33" s="102"/>
      <c r="BUO33" s="102"/>
      <c r="BUP33" s="102"/>
      <c r="BUQ33" s="102"/>
      <c r="BUR33" s="102"/>
      <c r="BUS33" s="102"/>
      <c r="BUT33" s="102"/>
      <c r="BUU33" s="102"/>
      <c r="BUV33" s="102"/>
      <c r="BUW33" s="102"/>
      <c r="BUX33" s="102"/>
      <c r="BUY33" s="102"/>
      <c r="BUZ33" s="102"/>
      <c r="BVA33" s="102"/>
      <c r="BVB33" s="102"/>
      <c r="BVC33" s="102"/>
      <c r="BVD33" s="102"/>
      <c r="BVE33" s="102"/>
      <c r="BVF33" s="102"/>
      <c r="BVG33" s="102"/>
      <c r="BVH33" s="102"/>
      <c r="BVI33" s="102"/>
      <c r="BVJ33" s="102"/>
      <c r="BVK33" s="102"/>
      <c r="BVL33" s="102"/>
      <c r="BVM33" s="102"/>
      <c r="BVN33" s="102"/>
      <c r="BVO33" s="102"/>
      <c r="BVP33" s="102"/>
      <c r="BVQ33" s="102"/>
      <c r="BVR33" s="102"/>
      <c r="BVS33" s="102"/>
      <c r="BVT33" s="102"/>
      <c r="BVU33" s="102"/>
      <c r="BVV33" s="102"/>
      <c r="BVW33" s="102"/>
      <c r="BVX33" s="102"/>
      <c r="BVY33" s="102"/>
      <c r="BVZ33" s="102"/>
      <c r="BWA33" s="102"/>
      <c r="BWB33" s="102"/>
      <c r="BWC33" s="102"/>
      <c r="BWD33" s="102"/>
    </row>
    <row r="34" spans="1:1954" ht="16.5" x14ac:dyDescent="0.3">
      <c r="A34" s="189" t="s">
        <v>305</v>
      </c>
      <c r="B34" s="190">
        <v>165.45552948999998</v>
      </c>
      <c r="C34" s="190">
        <v>6.80868217</v>
      </c>
      <c r="D34" s="190">
        <v>172.26421165999997</v>
      </c>
      <c r="F34" s="185"/>
      <c r="G34" s="185"/>
      <c r="H34" s="185"/>
      <c r="J34" s="186"/>
      <c r="K34" s="186"/>
      <c r="L34" s="186"/>
    </row>
    <row r="35" spans="1:1954" ht="16.5" x14ac:dyDescent="0.3">
      <c r="A35" s="187" t="s">
        <v>306</v>
      </c>
      <c r="B35" s="188">
        <v>625.50640978999991</v>
      </c>
      <c r="C35" s="188">
        <v>3179.9752609899997</v>
      </c>
      <c r="D35" s="188">
        <v>3805.4816707799996</v>
      </c>
      <c r="E35" s="106"/>
      <c r="F35" s="193"/>
      <c r="G35" s="185"/>
      <c r="H35" s="193"/>
      <c r="I35" s="106"/>
      <c r="J35" s="186"/>
      <c r="K35" s="186"/>
      <c r="L35" s="18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6"/>
      <c r="JN35" s="106"/>
      <c r="JO35" s="106"/>
      <c r="JP35" s="106"/>
      <c r="JQ35" s="106"/>
      <c r="JR35" s="106"/>
      <c r="JS35" s="106"/>
      <c r="JT35" s="106"/>
      <c r="JU35" s="106"/>
      <c r="JV35" s="106"/>
      <c r="JW35" s="106"/>
      <c r="JX35" s="106"/>
      <c r="JY35" s="106"/>
      <c r="JZ35" s="106"/>
      <c r="KA35" s="106"/>
      <c r="KB35" s="106"/>
      <c r="KC35" s="106"/>
      <c r="KD35" s="106"/>
      <c r="KE35" s="106"/>
      <c r="KF35" s="106"/>
      <c r="KG35" s="106"/>
      <c r="KH35" s="106"/>
      <c r="KI35" s="106"/>
      <c r="KJ35" s="106"/>
      <c r="KK35" s="106"/>
      <c r="KL35" s="106"/>
      <c r="KM35" s="106"/>
      <c r="KN35" s="106"/>
      <c r="KO35" s="106"/>
      <c r="KP35" s="106"/>
      <c r="KQ35" s="106"/>
      <c r="KR35" s="106"/>
      <c r="KS35" s="106"/>
      <c r="KT35" s="106"/>
      <c r="KU35" s="106"/>
      <c r="KV35" s="106"/>
      <c r="KW35" s="106"/>
      <c r="KX35" s="106"/>
      <c r="KY35" s="106"/>
      <c r="KZ35" s="106"/>
      <c r="LA35" s="106"/>
      <c r="LB35" s="106"/>
      <c r="LC35" s="106"/>
      <c r="LD35" s="106"/>
      <c r="LE35" s="106"/>
      <c r="LF35" s="106"/>
      <c r="LG35" s="106"/>
      <c r="LH35" s="106"/>
      <c r="LI35" s="106"/>
      <c r="LJ35" s="106"/>
      <c r="LK35" s="106"/>
      <c r="LL35" s="106"/>
      <c r="LM35" s="106"/>
      <c r="LN35" s="106"/>
      <c r="LO35" s="106"/>
      <c r="LP35" s="106"/>
      <c r="LQ35" s="106"/>
      <c r="LR35" s="106"/>
      <c r="LS35" s="106"/>
      <c r="LT35" s="106"/>
      <c r="LU35" s="106"/>
      <c r="LV35" s="106"/>
      <c r="LW35" s="106"/>
      <c r="LX35" s="106"/>
      <c r="LY35" s="106"/>
      <c r="LZ35" s="106"/>
      <c r="MA35" s="106"/>
      <c r="MB35" s="106"/>
      <c r="MC35" s="106"/>
      <c r="MD35" s="106"/>
      <c r="ME35" s="106"/>
      <c r="MF35" s="106"/>
      <c r="MG35" s="106"/>
      <c r="MH35" s="106"/>
      <c r="MI35" s="106"/>
      <c r="MJ35" s="106"/>
      <c r="MK35" s="106"/>
      <c r="ML35" s="106"/>
      <c r="MM35" s="106"/>
      <c r="MN35" s="106"/>
      <c r="MO35" s="106"/>
      <c r="MP35" s="106"/>
      <c r="MQ35" s="106"/>
      <c r="MR35" s="106"/>
      <c r="MS35" s="106"/>
      <c r="MT35" s="106"/>
      <c r="MU35" s="106"/>
      <c r="MV35" s="106"/>
      <c r="MW35" s="106"/>
      <c r="MX35" s="106"/>
      <c r="MY35" s="106"/>
      <c r="MZ35" s="106"/>
      <c r="NA35" s="106"/>
      <c r="NB35" s="106"/>
      <c r="NC35" s="106"/>
      <c r="ND35" s="106"/>
      <c r="NE35" s="106"/>
      <c r="NF35" s="106"/>
      <c r="NG35" s="106"/>
      <c r="NH35" s="106"/>
      <c r="NI35" s="106"/>
      <c r="NJ35" s="106"/>
      <c r="NK35" s="106"/>
      <c r="NL35" s="106"/>
      <c r="NM35" s="106"/>
      <c r="NN35" s="106"/>
      <c r="NO35" s="106"/>
      <c r="NP35" s="106"/>
      <c r="NQ35" s="106"/>
      <c r="NR35" s="106"/>
      <c r="NS35" s="106"/>
      <c r="NT35" s="106"/>
      <c r="NU35" s="106"/>
      <c r="NV35" s="106"/>
      <c r="NW35" s="106"/>
      <c r="NX35" s="106"/>
      <c r="NY35" s="106"/>
      <c r="NZ35" s="106"/>
      <c r="OA35" s="106"/>
      <c r="OB35" s="106"/>
      <c r="OC35" s="106"/>
      <c r="OD35" s="106"/>
      <c r="OE35" s="106"/>
      <c r="OF35" s="106"/>
      <c r="OG35" s="106"/>
      <c r="OH35" s="106"/>
      <c r="OI35" s="106"/>
      <c r="OJ35" s="106"/>
      <c r="OK35" s="106"/>
      <c r="OL35" s="106"/>
      <c r="OM35" s="106"/>
      <c r="ON35" s="106"/>
      <c r="OO35" s="106"/>
      <c r="OP35" s="106"/>
      <c r="OQ35" s="106"/>
      <c r="OR35" s="106"/>
      <c r="OS35" s="106"/>
      <c r="OT35" s="106"/>
      <c r="OU35" s="106"/>
      <c r="OV35" s="106"/>
      <c r="OW35" s="106"/>
      <c r="OX35" s="106"/>
      <c r="OY35" s="106"/>
      <c r="OZ35" s="106"/>
      <c r="PA35" s="106"/>
      <c r="PB35" s="106"/>
      <c r="PC35" s="106"/>
      <c r="PD35" s="106"/>
      <c r="PE35" s="106"/>
      <c r="PF35" s="106"/>
      <c r="PG35" s="106"/>
      <c r="PH35" s="106"/>
      <c r="PI35" s="106"/>
      <c r="PJ35" s="106"/>
      <c r="PK35" s="106"/>
      <c r="PL35" s="106"/>
      <c r="PM35" s="106"/>
      <c r="PN35" s="106"/>
      <c r="PO35" s="106"/>
      <c r="PP35" s="106"/>
      <c r="PQ35" s="106"/>
      <c r="PR35" s="106"/>
      <c r="PS35" s="106"/>
      <c r="PT35" s="106"/>
      <c r="PU35" s="106"/>
      <c r="PV35" s="106"/>
      <c r="PW35" s="106"/>
      <c r="PX35" s="106"/>
      <c r="PY35" s="106"/>
      <c r="PZ35" s="106"/>
      <c r="QA35" s="106"/>
      <c r="QB35" s="106"/>
      <c r="QC35" s="106"/>
      <c r="QD35" s="106"/>
      <c r="QE35" s="106"/>
      <c r="QF35" s="106"/>
      <c r="QG35" s="106"/>
      <c r="QH35" s="106"/>
      <c r="QI35" s="106"/>
      <c r="QJ35" s="106"/>
      <c r="QK35" s="106"/>
      <c r="QL35" s="106"/>
      <c r="QM35" s="106"/>
      <c r="QN35" s="106"/>
      <c r="QO35" s="106"/>
      <c r="QP35" s="106"/>
      <c r="QQ35" s="106"/>
      <c r="QR35" s="106"/>
      <c r="QS35" s="106"/>
      <c r="QT35" s="106"/>
      <c r="QU35" s="106"/>
      <c r="QV35" s="106"/>
      <c r="QW35" s="106"/>
      <c r="QX35" s="106"/>
      <c r="QY35" s="106"/>
      <c r="QZ35" s="106"/>
      <c r="RA35" s="106"/>
      <c r="RB35" s="106"/>
      <c r="RC35" s="106"/>
      <c r="RD35" s="106"/>
      <c r="RE35" s="106"/>
      <c r="RF35" s="106"/>
      <c r="RG35" s="106"/>
      <c r="RH35" s="106"/>
      <c r="RI35" s="106"/>
      <c r="RJ35" s="106"/>
      <c r="RK35" s="106"/>
      <c r="RL35" s="106"/>
      <c r="RM35" s="106"/>
      <c r="RN35" s="106"/>
      <c r="RO35" s="106"/>
      <c r="RP35" s="106"/>
      <c r="RQ35" s="106"/>
      <c r="RR35" s="106"/>
      <c r="RS35" s="106"/>
      <c r="RT35" s="106"/>
      <c r="RU35" s="106"/>
      <c r="RV35" s="106"/>
      <c r="RW35" s="106"/>
      <c r="RX35" s="106"/>
      <c r="RY35" s="106"/>
      <c r="RZ35" s="106"/>
      <c r="SA35" s="106"/>
      <c r="SB35" s="106"/>
      <c r="SC35" s="106"/>
      <c r="SD35" s="106"/>
      <c r="SE35" s="106"/>
      <c r="SF35" s="106"/>
      <c r="SG35" s="106"/>
      <c r="SH35" s="106"/>
      <c r="SI35" s="106"/>
      <c r="SJ35" s="106"/>
      <c r="SK35" s="106"/>
      <c r="SL35" s="106"/>
      <c r="SM35" s="106"/>
      <c r="SN35" s="106"/>
      <c r="SO35" s="106"/>
      <c r="SP35" s="106"/>
      <c r="SQ35" s="106"/>
      <c r="SR35" s="106"/>
      <c r="SS35" s="106"/>
      <c r="ST35" s="106"/>
      <c r="SU35" s="106"/>
      <c r="SV35" s="106"/>
      <c r="SW35" s="106"/>
      <c r="SX35" s="106"/>
      <c r="SY35" s="106"/>
      <c r="SZ35" s="106"/>
      <c r="TA35" s="106"/>
      <c r="TB35" s="106"/>
      <c r="TC35" s="106"/>
      <c r="TD35" s="106"/>
      <c r="TE35" s="106"/>
      <c r="TF35" s="106"/>
      <c r="TG35" s="106"/>
      <c r="TH35" s="106"/>
      <c r="TI35" s="106"/>
      <c r="TJ35" s="106"/>
      <c r="TK35" s="106"/>
      <c r="TL35" s="106"/>
      <c r="TM35" s="106"/>
      <c r="TN35" s="106"/>
      <c r="TO35" s="106"/>
      <c r="TP35" s="106"/>
      <c r="TQ35" s="106"/>
      <c r="TR35" s="106"/>
      <c r="TS35" s="106"/>
      <c r="TT35" s="106"/>
      <c r="TU35" s="106"/>
      <c r="TV35" s="106"/>
      <c r="TW35" s="106"/>
      <c r="TX35" s="106"/>
      <c r="TY35" s="106"/>
      <c r="TZ35" s="106"/>
      <c r="UA35" s="106"/>
      <c r="UB35" s="106"/>
      <c r="UC35" s="106"/>
      <c r="UD35" s="106"/>
      <c r="UE35" s="106"/>
      <c r="UF35" s="106"/>
      <c r="UG35" s="106"/>
      <c r="UH35" s="106"/>
      <c r="UI35" s="106"/>
      <c r="UJ35" s="106"/>
      <c r="UK35" s="106"/>
      <c r="UL35" s="106"/>
      <c r="UM35" s="106"/>
      <c r="UN35" s="106"/>
      <c r="UO35" s="106"/>
      <c r="UP35" s="106"/>
      <c r="UQ35" s="106"/>
      <c r="UR35" s="106"/>
      <c r="US35" s="106"/>
      <c r="UT35" s="106"/>
      <c r="UU35" s="106"/>
      <c r="UV35" s="106"/>
      <c r="UW35" s="106"/>
      <c r="UX35" s="106"/>
      <c r="UY35" s="106"/>
      <c r="UZ35" s="106"/>
      <c r="VA35" s="106"/>
      <c r="VB35" s="106"/>
      <c r="VC35" s="106"/>
      <c r="VD35" s="106"/>
      <c r="VE35" s="106"/>
      <c r="VF35" s="106"/>
      <c r="VG35" s="106"/>
      <c r="VH35" s="106"/>
      <c r="VI35" s="106"/>
      <c r="VJ35" s="106"/>
      <c r="VK35" s="106"/>
      <c r="VL35" s="106"/>
      <c r="VM35" s="106"/>
      <c r="VN35" s="106"/>
      <c r="VO35" s="106"/>
      <c r="VP35" s="106"/>
      <c r="VQ35" s="106"/>
      <c r="VR35" s="106"/>
      <c r="VS35" s="106"/>
      <c r="VT35" s="106"/>
      <c r="VU35" s="106"/>
      <c r="VV35" s="106"/>
      <c r="VW35" s="106"/>
      <c r="VX35" s="106"/>
      <c r="VY35" s="106"/>
      <c r="VZ35" s="106"/>
      <c r="WA35" s="106"/>
      <c r="WB35" s="106"/>
      <c r="WC35" s="106"/>
      <c r="WD35" s="106"/>
      <c r="WE35" s="106"/>
      <c r="WF35" s="106"/>
      <c r="WG35" s="106"/>
      <c r="WH35" s="106"/>
      <c r="WI35" s="106"/>
      <c r="WJ35" s="106"/>
      <c r="WK35" s="106"/>
      <c r="WL35" s="106"/>
      <c r="WM35" s="106"/>
      <c r="WN35" s="106"/>
      <c r="WO35" s="106"/>
      <c r="WP35" s="106"/>
      <c r="WQ35" s="106"/>
      <c r="WR35" s="106"/>
      <c r="WS35" s="106"/>
      <c r="WT35" s="106"/>
      <c r="WU35" s="106"/>
      <c r="WV35" s="106"/>
      <c r="WW35" s="106"/>
      <c r="WX35" s="106"/>
      <c r="WY35" s="106"/>
      <c r="WZ35" s="106"/>
      <c r="XA35" s="106"/>
      <c r="XB35" s="106"/>
      <c r="XC35" s="106"/>
      <c r="XD35" s="106"/>
      <c r="XE35" s="106"/>
      <c r="XF35" s="106"/>
      <c r="XG35" s="106"/>
      <c r="XH35" s="106"/>
      <c r="XI35" s="106"/>
      <c r="XJ35" s="106"/>
      <c r="XK35" s="106"/>
      <c r="XL35" s="106"/>
      <c r="XM35" s="106"/>
      <c r="XN35" s="106"/>
      <c r="XO35" s="106"/>
      <c r="XP35" s="106"/>
      <c r="XQ35" s="106"/>
      <c r="XR35" s="106"/>
      <c r="XS35" s="106"/>
      <c r="XT35" s="106"/>
      <c r="XU35" s="106"/>
      <c r="XV35" s="106"/>
      <c r="XW35" s="106"/>
      <c r="XX35" s="106"/>
      <c r="XY35" s="106"/>
      <c r="XZ35" s="106"/>
      <c r="YA35" s="106"/>
      <c r="YB35" s="106"/>
      <c r="YC35" s="106"/>
      <c r="YD35" s="106"/>
      <c r="YE35" s="106"/>
      <c r="YF35" s="106"/>
      <c r="YG35" s="106"/>
      <c r="YH35" s="106"/>
      <c r="YI35" s="106"/>
      <c r="YJ35" s="106"/>
      <c r="YK35" s="106"/>
      <c r="YL35" s="106"/>
      <c r="YM35" s="106"/>
      <c r="YN35" s="106"/>
      <c r="YO35" s="106"/>
      <c r="YP35" s="106"/>
      <c r="YQ35" s="106"/>
      <c r="YR35" s="106"/>
      <c r="YS35" s="106"/>
      <c r="YT35" s="106"/>
      <c r="YU35" s="106"/>
      <c r="YV35" s="106"/>
      <c r="YW35" s="106"/>
      <c r="YX35" s="106"/>
      <c r="YY35" s="106"/>
      <c r="YZ35" s="106"/>
      <c r="ZA35" s="106"/>
      <c r="ZB35" s="106"/>
      <c r="ZC35" s="106"/>
      <c r="ZD35" s="106"/>
      <c r="ZE35" s="106"/>
      <c r="ZF35" s="106"/>
      <c r="ZG35" s="106"/>
      <c r="ZH35" s="106"/>
      <c r="ZI35" s="106"/>
      <c r="ZJ35" s="106"/>
      <c r="ZK35" s="106"/>
      <c r="ZL35" s="106"/>
      <c r="ZM35" s="106"/>
      <c r="ZN35" s="106"/>
      <c r="ZO35" s="106"/>
      <c r="ZP35" s="106"/>
      <c r="ZQ35" s="106"/>
      <c r="ZR35" s="106"/>
      <c r="ZS35" s="106"/>
      <c r="ZT35" s="106"/>
      <c r="ZU35" s="106"/>
      <c r="ZV35" s="106"/>
      <c r="ZW35" s="106"/>
      <c r="ZX35" s="106"/>
      <c r="ZY35" s="106"/>
      <c r="ZZ35" s="106"/>
      <c r="AAA35" s="106"/>
      <c r="AAB35" s="106"/>
      <c r="AAC35" s="106"/>
      <c r="AAD35" s="106"/>
      <c r="AAE35" s="106"/>
      <c r="AAF35" s="106"/>
      <c r="AAG35" s="106"/>
      <c r="AAH35" s="106"/>
      <c r="AAI35" s="106"/>
      <c r="AAJ35" s="106"/>
      <c r="AAK35" s="106"/>
      <c r="AAL35" s="106"/>
      <c r="AAM35" s="106"/>
      <c r="AAN35" s="106"/>
      <c r="AAO35" s="106"/>
      <c r="AAP35" s="106"/>
      <c r="AAQ35" s="106"/>
      <c r="AAR35" s="106"/>
      <c r="AAS35" s="106"/>
      <c r="AAT35" s="106"/>
      <c r="AAU35" s="106"/>
      <c r="AAV35" s="106"/>
      <c r="AAW35" s="106"/>
      <c r="AAX35" s="106"/>
      <c r="AAY35" s="106"/>
      <c r="AAZ35" s="106"/>
      <c r="ABA35" s="106"/>
      <c r="ABB35" s="106"/>
      <c r="ABC35" s="106"/>
      <c r="ABD35" s="106"/>
      <c r="ABE35" s="106"/>
      <c r="ABF35" s="106"/>
      <c r="ABG35" s="106"/>
      <c r="ABH35" s="106"/>
      <c r="ABI35" s="106"/>
      <c r="ABJ35" s="106"/>
      <c r="ABK35" s="106"/>
      <c r="ABL35" s="106"/>
      <c r="ABM35" s="106"/>
      <c r="ABN35" s="106"/>
      <c r="ABO35" s="106"/>
      <c r="ABP35" s="106"/>
      <c r="ABQ35" s="106"/>
      <c r="ABR35" s="106"/>
      <c r="ABS35" s="106"/>
      <c r="ABT35" s="106"/>
      <c r="ABU35" s="106"/>
      <c r="ABV35" s="106"/>
      <c r="ABW35" s="106"/>
      <c r="ABX35" s="106"/>
      <c r="ABY35" s="106"/>
      <c r="ABZ35" s="106"/>
      <c r="ACA35" s="106"/>
      <c r="ACB35" s="106"/>
      <c r="ACC35" s="106"/>
      <c r="ACD35" s="106"/>
      <c r="ACE35" s="106"/>
      <c r="ACF35" s="106"/>
      <c r="ACG35" s="106"/>
      <c r="ACH35" s="106"/>
      <c r="ACI35" s="106"/>
      <c r="ACJ35" s="106"/>
      <c r="ACK35" s="106"/>
      <c r="ACL35" s="106"/>
      <c r="ACM35" s="106"/>
      <c r="ACN35" s="106"/>
      <c r="ACO35" s="106"/>
      <c r="ACP35" s="106"/>
      <c r="ACQ35" s="106"/>
      <c r="ACR35" s="106"/>
      <c r="ACS35" s="106"/>
      <c r="ACT35" s="106"/>
      <c r="ACU35" s="106"/>
      <c r="ACV35" s="106"/>
      <c r="ACW35" s="106"/>
      <c r="ACX35" s="106"/>
      <c r="ACY35" s="106"/>
      <c r="ACZ35" s="106"/>
      <c r="ADA35" s="106"/>
      <c r="ADB35" s="106"/>
      <c r="ADC35" s="106"/>
      <c r="ADD35" s="106"/>
      <c r="ADE35" s="106"/>
      <c r="ADF35" s="106"/>
      <c r="ADG35" s="106"/>
      <c r="ADH35" s="106"/>
      <c r="ADI35" s="106"/>
      <c r="ADJ35" s="106"/>
      <c r="ADK35" s="106"/>
      <c r="ADL35" s="106"/>
      <c r="ADM35" s="106"/>
      <c r="ADN35" s="106"/>
      <c r="ADO35" s="106"/>
      <c r="ADP35" s="106"/>
      <c r="ADQ35" s="106"/>
      <c r="ADR35" s="106"/>
      <c r="ADS35" s="106"/>
      <c r="ADT35" s="106"/>
      <c r="ADU35" s="106"/>
      <c r="ADV35" s="106"/>
      <c r="ADW35" s="106"/>
      <c r="ADX35" s="106"/>
      <c r="ADY35" s="106"/>
      <c r="ADZ35" s="106"/>
      <c r="AEA35" s="106"/>
      <c r="AEB35" s="106"/>
      <c r="AEC35" s="106"/>
      <c r="AED35" s="106"/>
      <c r="AEE35" s="106"/>
      <c r="AEF35" s="106"/>
      <c r="AEG35" s="106"/>
      <c r="AEH35" s="106"/>
      <c r="AEI35" s="106"/>
      <c r="AEJ35" s="106"/>
      <c r="AEK35" s="106"/>
      <c r="AEL35" s="106"/>
      <c r="AEM35" s="106"/>
      <c r="AEN35" s="106"/>
      <c r="AEO35" s="106"/>
      <c r="AEP35" s="106"/>
      <c r="AEQ35" s="106"/>
      <c r="AER35" s="106"/>
      <c r="AES35" s="106"/>
      <c r="AET35" s="106"/>
      <c r="AEU35" s="106"/>
      <c r="AEV35" s="106"/>
      <c r="AEW35" s="106"/>
      <c r="AEX35" s="106"/>
      <c r="AEY35" s="106"/>
      <c r="AEZ35" s="106"/>
      <c r="AFA35" s="106"/>
      <c r="AFB35" s="106"/>
      <c r="AFC35" s="106"/>
      <c r="AFD35" s="106"/>
      <c r="AFE35" s="106"/>
      <c r="AFF35" s="106"/>
      <c r="AFG35" s="106"/>
      <c r="AFH35" s="106"/>
      <c r="AFI35" s="106"/>
      <c r="AFJ35" s="106"/>
      <c r="AFK35" s="106"/>
      <c r="AFL35" s="106"/>
      <c r="AFM35" s="106"/>
      <c r="AFN35" s="106"/>
      <c r="AFO35" s="106"/>
      <c r="AFP35" s="106"/>
      <c r="AFQ35" s="106"/>
      <c r="AFR35" s="106"/>
      <c r="AFS35" s="106"/>
      <c r="AFT35" s="106"/>
      <c r="AFU35" s="106"/>
      <c r="AFV35" s="106"/>
      <c r="AFW35" s="106"/>
      <c r="AFX35" s="106"/>
      <c r="AFY35" s="106"/>
      <c r="AFZ35" s="106"/>
      <c r="AGA35" s="106"/>
      <c r="AGB35" s="106"/>
      <c r="AGC35" s="106"/>
      <c r="AGD35" s="106"/>
      <c r="AGE35" s="106"/>
      <c r="AGF35" s="106"/>
      <c r="AGG35" s="106"/>
      <c r="AGH35" s="106"/>
      <c r="AGI35" s="106"/>
      <c r="AGJ35" s="106"/>
      <c r="AGK35" s="106"/>
      <c r="AGL35" s="106"/>
      <c r="AGM35" s="106"/>
      <c r="AGN35" s="106"/>
      <c r="AGO35" s="106"/>
      <c r="AGP35" s="106"/>
      <c r="AGQ35" s="106"/>
      <c r="AGR35" s="106"/>
      <c r="AGS35" s="106"/>
      <c r="AGT35" s="106"/>
      <c r="AGU35" s="106"/>
      <c r="AGV35" s="106"/>
      <c r="AGW35" s="106"/>
      <c r="AGX35" s="106"/>
      <c r="AGY35" s="106"/>
      <c r="AGZ35" s="106"/>
      <c r="AHA35" s="106"/>
      <c r="AHB35" s="106"/>
      <c r="AHC35" s="106"/>
      <c r="AHD35" s="106"/>
      <c r="AHE35" s="106"/>
      <c r="AHF35" s="106"/>
      <c r="AHG35" s="106"/>
      <c r="AHH35" s="106"/>
      <c r="AHI35" s="106"/>
      <c r="AHJ35" s="106"/>
      <c r="AHK35" s="106"/>
      <c r="AHL35" s="106"/>
      <c r="AHM35" s="106"/>
      <c r="AHN35" s="106"/>
      <c r="AHO35" s="106"/>
      <c r="AHP35" s="106"/>
      <c r="AHQ35" s="106"/>
      <c r="AHR35" s="106"/>
      <c r="AHS35" s="106"/>
      <c r="AHT35" s="106"/>
      <c r="AHU35" s="106"/>
      <c r="AHV35" s="106"/>
      <c r="AHW35" s="106"/>
      <c r="AHX35" s="106"/>
      <c r="AHY35" s="106"/>
      <c r="AHZ35" s="106"/>
      <c r="AIA35" s="106"/>
      <c r="AIB35" s="106"/>
      <c r="AIC35" s="106"/>
      <c r="AID35" s="106"/>
      <c r="AIE35" s="106"/>
      <c r="AIF35" s="106"/>
      <c r="AIG35" s="106"/>
      <c r="AIH35" s="106"/>
      <c r="AII35" s="106"/>
      <c r="AIJ35" s="106"/>
      <c r="AIK35" s="106"/>
      <c r="AIL35" s="106"/>
      <c r="AIM35" s="106"/>
      <c r="AIN35" s="106"/>
      <c r="AIO35" s="106"/>
      <c r="AIP35" s="106"/>
      <c r="AIQ35" s="106"/>
      <c r="AIR35" s="106"/>
      <c r="AIS35" s="106"/>
      <c r="AIT35" s="106"/>
      <c r="AIU35" s="106"/>
      <c r="AIV35" s="106"/>
      <c r="AIW35" s="106"/>
      <c r="AIX35" s="106"/>
      <c r="AIY35" s="106"/>
      <c r="AIZ35" s="106"/>
      <c r="AJA35" s="106"/>
      <c r="AJB35" s="106"/>
      <c r="AJC35" s="106"/>
      <c r="AJD35" s="106"/>
      <c r="AJE35" s="106"/>
      <c r="AJF35" s="106"/>
      <c r="AJG35" s="106"/>
      <c r="AJH35" s="106"/>
      <c r="AJI35" s="106"/>
      <c r="AJJ35" s="106"/>
      <c r="AJK35" s="106"/>
      <c r="AJL35" s="106"/>
      <c r="AJM35" s="106"/>
      <c r="AJN35" s="106"/>
      <c r="AJO35" s="106"/>
      <c r="AJP35" s="106"/>
      <c r="AJQ35" s="106"/>
      <c r="AJR35" s="106"/>
      <c r="AJS35" s="106"/>
      <c r="AJT35" s="106"/>
      <c r="AJU35" s="106"/>
      <c r="AJV35" s="106"/>
      <c r="AJW35" s="106"/>
      <c r="AJX35" s="106"/>
      <c r="AJY35" s="106"/>
      <c r="AJZ35" s="106"/>
      <c r="AKA35" s="106"/>
      <c r="AKB35" s="106"/>
      <c r="AKC35" s="106"/>
      <c r="AKD35" s="106"/>
      <c r="AKE35" s="106"/>
      <c r="AKF35" s="106"/>
      <c r="AKG35" s="106"/>
      <c r="AKH35" s="106"/>
      <c r="AKI35" s="106"/>
      <c r="AKJ35" s="106"/>
      <c r="AKK35" s="106"/>
      <c r="AKL35" s="106"/>
      <c r="AKM35" s="106"/>
      <c r="AKN35" s="106"/>
      <c r="AKO35" s="106"/>
      <c r="AKP35" s="106"/>
      <c r="AKQ35" s="106"/>
      <c r="AKR35" s="106"/>
      <c r="AKS35" s="106"/>
      <c r="AKT35" s="106"/>
      <c r="AKU35" s="106"/>
      <c r="AKV35" s="106"/>
      <c r="AKW35" s="106"/>
      <c r="AKX35" s="106"/>
      <c r="AKY35" s="106"/>
      <c r="AKZ35" s="106"/>
      <c r="ALA35" s="106"/>
      <c r="ALB35" s="106"/>
      <c r="ALC35" s="106"/>
      <c r="ALD35" s="106"/>
      <c r="ALE35" s="106"/>
      <c r="ALF35" s="106"/>
      <c r="ALG35" s="106"/>
      <c r="ALH35" s="106"/>
      <c r="ALI35" s="106"/>
      <c r="ALJ35" s="106"/>
      <c r="ALK35" s="106"/>
      <c r="ALL35" s="106"/>
      <c r="ALM35" s="106"/>
      <c r="ALN35" s="106"/>
      <c r="ALO35" s="106"/>
      <c r="ALP35" s="106"/>
      <c r="ALQ35" s="106"/>
      <c r="ALR35" s="106"/>
      <c r="ALS35" s="106"/>
      <c r="ALT35" s="106"/>
      <c r="ALU35" s="106"/>
      <c r="ALV35" s="106"/>
      <c r="ALW35" s="106"/>
      <c r="ALX35" s="106"/>
      <c r="ALY35" s="106"/>
      <c r="ALZ35" s="106"/>
      <c r="AMA35" s="106"/>
      <c r="AMB35" s="106"/>
      <c r="AMC35" s="106"/>
      <c r="AMD35" s="106"/>
      <c r="AME35" s="106"/>
      <c r="AMF35" s="106"/>
      <c r="AMG35" s="106"/>
      <c r="AMH35" s="106"/>
      <c r="AMI35" s="106"/>
      <c r="AMJ35" s="106"/>
      <c r="AMK35" s="106"/>
      <c r="AML35" s="106"/>
      <c r="AMM35" s="106"/>
      <c r="AMN35" s="106"/>
      <c r="AMO35" s="106"/>
      <c r="AMP35" s="106"/>
      <c r="AMQ35" s="106"/>
      <c r="AMR35" s="106"/>
      <c r="AMS35" s="106"/>
      <c r="AMT35" s="106"/>
      <c r="AMU35" s="106"/>
      <c r="AMV35" s="106"/>
      <c r="AMW35" s="106"/>
      <c r="AMX35" s="106"/>
      <c r="AMY35" s="106"/>
      <c r="AMZ35" s="106"/>
      <c r="ANA35" s="106"/>
      <c r="ANB35" s="106"/>
      <c r="ANC35" s="106"/>
      <c r="AND35" s="106"/>
      <c r="ANE35" s="106"/>
      <c r="ANF35" s="106"/>
      <c r="ANG35" s="106"/>
      <c r="ANH35" s="106"/>
      <c r="ANI35" s="106"/>
      <c r="ANJ35" s="106"/>
      <c r="ANK35" s="106"/>
      <c r="ANL35" s="106"/>
      <c r="ANM35" s="106"/>
      <c r="ANN35" s="106"/>
      <c r="ANO35" s="106"/>
      <c r="ANP35" s="106"/>
      <c r="ANQ35" s="106"/>
      <c r="ANR35" s="106"/>
      <c r="ANS35" s="106"/>
      <c r="ANT35" s="106"/>
      <c r="ANU35" s="106"/>
      <c r="ANV35" s="106"/>
      <c r="ANW35" s="106"/>
      <c r="ANX35" s="106"/>
      <c r="ANY35" s="106"/>
      <c r="ANZ35" s="106"/>
      <c r="AOA35" s="106"/>
      <c r="AOB35" s="106"/>
      <c r="AOC35" s="106"/>
      <c r="AOD35" s="106"/>
      <c r="AOE35" s="106"/>
      <c r="AOF35" s="106"/>
      <c r="AOG35" s="106"/>
      <c r="AOH35" s="106"/>
      <c r="AOI35" s="106"/>
      <c r="AOJ35" s="106"/>
      <c r="AOK35" s="106"/>
      <c r="AOL35" s="106"/>
      <c r="AOM35" s="106"/>
      <c r="AON35" s="106"/>
      <c r="AOO35" s="106"/>
      <c r="AOP35" s="106"/>
      <c r="AOQ35" s="106"/>
      <c r="AOR35" s="106"/>
      <c r="AOS35" s="106"/>
      <c r="AOT35" s="106"/>
      <c r="AOU35" s="106"/>
      <c r="AOV35" s="106"/>
      <c r="AOW35" s="106"/>
      <c r="AOX35" s="106"/>
      <c r="AOY35" s="106"/>
      <c r="AOZ35" s="106"/>
      <c r="APA35" s="106"/>
      <c r="APB35" s="106"/>
      <c r="APC35" s="106"/>
      <c r="APD35" s="106"/>
      <c r="APE35" s="106"/>
      <c r="APF35" s="106"/>
      <c r="APG35" s="106"/>
      <c r="APH35" s="106"/>
      <c r="API35" s="106"/>
      <c r="APJ35" s="106"/>
      <c r="APK35" s="106"/>
      <c r="APL35" s="106"/>
      <c r="APM35" s="106"/>
      <c r="APN35" s="106"/>
      <c r="APO35" s="106"/>
      <c r="APP35" s="106"/>
      <c r="APQ35" s="106"/>
      <c r="APR35" s="106"/>
      <c r="APS35" s="106"/>
      <c r="APT35" s="106"/>
      <c r="APU35" s="106"/>
      <c r="APV35" s="106"/>
      <c r="APW35" s="106"/>
      <c r="APX35" s="106"/>
      <c r="APY35" s="106"/>
      <c r="APZ35" s="106"/>
      <c r="AQA35" s="106"/>
      <c r="AQB35" s="106"/>
      <c r="AQC35" s="106"/>
      <c r="AQD35" s="106"/>
      <c r="AQE35" s="106"/>
      <c r="AQF35" s="106"/>
      <c r="AQG35" s="106"/>
      <c r="AQH35" s="106"/>
      <c r="AQI35" s="106"/>
      <c r="AQJ35" s="106"/>
      <c r="AQK35" s="106"/>
      <c r="AQL35" s="106"/>
      <c r="AQM35" s="106"/>
      <c r="AQN35" s="106"/>
      <c r="AQO35" s="106"/>
      <c r="AQP35" s="106"/>
      <c r="AQQ35" s="106"/>
      <c r="AQR35" s="106"/>
      <c r="AQS35" s="106"/>
      <c r="AQT35" s="106"/>
      <c r="AQU35" s="106"/>
      <c r="AQV35" s="106"/>
      <c r="AQW35" s="106"/>
      <c r="AQX35" s="106"/>
      <c r="AQY35" s="106"/>
      <c r="AQZ35" s="106"/>
      <c r="ARA35" s="106"/>
      <c r="ARB35" s="106"/>
      <c r="ARC35" s="106"/>
      <c r="ARD35" s="106"/>
      <c r="ARE35" s="106"/>
      <c r="ARF35" s="106"/>
      <c r="ARG35" s="106"/>
      <c r="ARH35" s="106"/>
      <c r="ARI35" s="106"/>
      <c r="ARJ35" s="106"/>
      <c r="ARK35" s="106"/>
      <c r="ARL35" s="106"/>
      <c r="ARM35" s="106"/>
      <c r="ARN35" s="106"/>
      <c r="ARO35" s="106"/>
      <c r="ARP35" s="106"/>
      <c r="ARQ35" s="106"/>
      <c r="ARR35" s="106"/>
      <c r="ARS35" s="106"/>
      <c r="ART35" s="106"/>
      <c r="ARU35" s="106"/>
      <c r="ARV35" s="106"/>
      <c r="ARW35" s="106"/>
      <c r="ARX35" s="106"/>
      <c r="ARY35" s="106"/>
      <c r="ARZ35" s="106"/>
      <c r="ASA35" s="106"/>
      <c r="ASB35" s="106"/>
      <c r="ASC35" s="106"/>
      <c r="ASD35" s="106"/>
      <c r="ASE35" s="106"/>
      <c r="ASF35" s="106"/>
      <c r="ASG35" s="106"/>
      <c r="ASH35" s="106"/>
      <c r="ASI35" s="106"/>
      <c r="ASJ35" s="106"/>
      <c r="ASK35" s="106"/>
      <c r="ASL35" s="106"/>
      <c r="ASM35" s="106"/>
      <c r="ASN35" s="106"/>
      <c r="ASO35" s="106"/>
      <c r="ASP35" s="106"/>
      <c r="ASQ35" s="106"/>
      <c r="ASR35" s="106"/>
      <c r="ASS35" s="106"/>
      <c r="AST35" s="106"/>
      <c r="ASU35" s="106"/>
      <c r="ASV35" s="106"/>
      <c r="ASW35" s="106"/>
      <c r="ASX35" s="106"/>
      <c r="ASY35" s="106"/>
      <c r="ASZ35" s="106"/>
      <c r="ATA35" s="106"/>
      <c r="ATB35" s="106"/>
      <c r="ATC35" s="106"/>
      <c r="ATD35" s="106"/>
      <c r="ATE35" s="106"/>
      <c r="ATF35" s="106"/>
      <c r="ATG35" s="106"/>
      <c r="ATH35" s="106"/>
      <c r="ATI35" s="106"/>
      <c r="ATJ35" s="106"/>
      <c r="ATK35" s="106"/>
      <c r="ATL35" s="106"/>
      <c r="ATM35" s="106"/>
      <c r="ATN35" s="106"/>
      <c r="ATO35" s="106"/>
      <c r="ATP35" s="106"/>
      <c r="ATQ35" s="106"/>
      <c r="ATR35" s="106"/>
      <c r="ATS35" s="106"/>
      <c r="ATT35" s="106"/>
      <c r="ATU35" s="106"/>
      <c r="ATV35" s="106"/>
      <c r="ATW35" s="106"/>
      <c r="ATX35" s="106"/>
      <c r="ATY35" s="106"/>
      <c r="ATZ35" s="106"/>
      <c r="AUA35" s="106"/>
      <c r="AUB35" s="106"/>
      <c r="AUC35" s="106"/>
      <c r="AUD35" s="106"/>
      <c r="AUE35" s="106"/>
      <c r="AUF35" s="106"/>
      <c r="AUG35" s="106"/>
      <c r="AUH35" s="106"/>
      <c r="AUI35" s="106"/>
      <c r="AUJ35" s="106"/>
      <c r="AUK35" s="106"/>
      <c r="AUL35" s="106"/>
      <c r="AUM35" s="106"/>
      <c r="AUN35" s="106"/>
      <c r="AUO35" s="106"/>
      <c r="AUP35" s="106"/>
      <c r="AUQ35" s="106"/>
      <c r="AUR35" s="106"/>
      <c r="AUS35" s="106"/>
      <c r="AUT35" s="106"/>
      <c r="AUU35" s="106"/>
      <c r="AUV35" s="106"/>
      <c r="AUW35" s="106"/>
      <c r="AUX35" s="106"/>
      <c r="AUY35" s="106"/>
      <c r="AUZ35" s="106"/>
      <c r="AVA35" s="106"/>
      <c r="AVB35" s="106"/>
      <c r="AVC35" s="106"/>
      <c r="AVD35" s="106"/>
      <c r="AVE35" s="106"/>
      <c r="AVF35" s="106"/>
      <c r="AVG35" s="106"/>
      <c r="AVH35" s="106"/>
      <c r="AVI35" s="106"/>
      <c r="AVJ35" s="106"/>
      <c r="AVK35" s="106"/>
      <c r="AVL35" s="106"/>
      <c r="AVM35" s="106"/>
      <c r="AVN35" s="106"/>
      <c r="AVO35" s="106"/>
      <c r="AVP35" s="106"/>
      <c r="AVQ35" s="106"/>
      <c r="AVR35" s="106"/>
      <c r="AVS35" s="106"/>
      <c r="AVT35" s="106"/>
      <c r="AVU35" s="106"/>
      <c r="AVV35" s="106"/>
      <c r="AVW35" s="106"/>
      <c r="AVX35" s="106"/>
      <c r="AVY35" s="106"/>
      <c r="AVZ35" s="106"/>
      <c r="AWA35" s="106"/>
      <c r="AWB35" s="106"/>
      <c r="AWC35" s="106"/>
      <c r="AWD35" s="106"/>
      <c r="AWE35" s="106"/>
      <c r="AWF35" s="106"/>
      <c r="AWG35" s="106"/>
      <c r="AWH35" s="106"/>
      <c r="AWI35" s="106"/>
      <c r="AWJ35" s="106"/>
      <c r="AWK35" s="106"/>
      <c r="AWL35" s="106"/>
      <c r="AWM35" s="106"/>
      <c r="AWN35" s="106"/>
      <c r="AWO35" s="106"/>
      <c r="AWP35" s="106"/>
      <c r="AWQ35" s="106"/>
      <c r="AWR35" s="106"/>
      <c r="AWS35" s="106"/>
      <c r="AWT35" s="106"/>
      <c r="AWU35" s="106"/>
      <c r="AWV35" s="106"/>
      <c r="AWW35" s="106"/>
      <c r="AWX35" s="106"/>
      <c r="AWY35" s="106"/>
      <c r="AWZ35" s="106"/>
      <c r="AXA35" s="106"/>
      <c r="AXB35" s="106"/>
      <c r="AXC35" s="106"/>
      <c r="AXD35" s="106"/>
      <c r="AXE35" s="106"/>
      <c r="AXF35" s="106"/>
      <c r="AXG35" s="106"/>
      <c r="AXH35" s="106"/>
      <c r="AXI35" s="106"/>
      <c r="AXJ35" s="106"/>
      <c r="AXK35" s="106"/>
      <c r="AXL35" s="106"/>
      <c r="AXM35" s="106"/>
      <c r="AXN35" s="106"/>
      <c r="AXO35" s="106"/>
      <c r="AXP35" s="106"/>
      <c r="AXQ35" s="106"/>
      <c r="AXR35" s="106"/>
      <c r="AXS35" s="106"/>
      <c r="AXT35" s="106"/>
      <c r="AXU35" s="106"/>
      <c r="AXV35" s="106"/>
      <c r="AXW35" s="106"/>
      <c r="AXX35" s="106"/>
      <c r="AXY35" s="106"/>
      <c r="AXZ35" s="106"/>
      <c r="AYA35" s="106"/>
      <c r="AYB35" s="106"/>
      <c r="AYC35" s="106"/>
      <c r="AYD35" s="106"/>
      <c r="AYE35" s="106"/>
      <c r="AYF35" s="106"/>
      <c r="AYG35" s="106"/>
      <c r="AYH35" s="106"/>
      <c r="AYI35" s="106"/>
      <c r="AYJ35" s="106"/>
      <c r="AYK35" s="106"/>
      <c r="AYL35" s="106"/>
      <c r="AYM35" s="106"/>
      <c r="AYN35" s="106"/>
      <c r="AYO35" s="106"/>
      <c r="AYP35" s="106"/>
      <c r="AYQ35" s="106"/>
      <c r="AYR35" s="106"/>
      <c r="AYS35" s="106"/>
      <c r="AYT35" s="106"/>
      <c r="AYU35" s="106"/>
      <c r="AYV35" s="106"/>
      <c r="AYW35" s="106"/>
      <c r="AYX35" s="106"/>
      <c r="AYY35" s="106"/>
      <c r="AYZ35" s="106"/>
      <c r="AZA35" s="106"/>
      <c r="AZB35" s="106"/>
      <c r="AZC35" s="106"/>
      <c r="AZD35" s="106"/>
      <c r="AZE35" s="106"/>
      <c r="AZF35" s="106"/>
      <c r="AZG35" s="106"/>
      <c r="AZH35" s="106"/>
      <c r="AZI35" s="106"/>
      <c r="AZJ35" s="106"/>
      <c r="AZK35" s="106"/>
      <c r="AZL35" s="106"/>
      <c r="AZM35" s="106"/>
      <c r="AZN35" s="106"/>
      <c r="AZO35" s="106"/>
      <c r="AZP35" s="106"/>
      <c r="AZQ35" s="106"/>
      <c r="AZR35" s="106"/>
      <c r="AZS35" s="106"/>
      <c r="AZT35" s="106"/>
      <c r="AZU35" s="106"/>
      <c r="AZV35" s="106"/>
      <c r="AZW35" s="106"/>
      <c r="AZX35" s="106"/>
      <c r="AZY35" s="106"/>
      <c r="AZZ35" s="106"/>
      <c r="BAA35" s="106"/>
      <c r="BAB35" s="106"/>
      <c r="BAC35" s="106"/>
      <c r="BAD35" s="106"/>
      <c r="BAE35" s="106"/>
      <c r="BAF35" s="106"/>
      <c r="BAG35" s="106"/>
      <c r="BAH35" s="106"/>
      <c r="BAI35" s="106"/>
      <c r="BAJ35" s="106"/>
      <c r="BAK35" s="106"/>
      <c r="BAL35" s="106"/>
      <c r="BAM35" s="106"/>
      <c r="BAN35" s="106"/>
      <c r="BAO35" s="106"/>
      <c r="BAP35" s="106"/>
      <c r="BAQ35" s="106"/>
      <c r="BAR35" s="106"/>
      <c r="BAS35" s="106"/>
      <c r="BAT35" s="106"/>
      <c r="BAU35" s="106"/>
      <c r="BAV35" s="106"/>
      <c r="BAW35" s="106"/>
      <c r="BAX35" s="106"/>
      <c r="BAY35" s="106"/>
      <c r="BAZ35" s="106"/>
      <c r="BBA35" s="106"/>
      <c r="BBB35" s="106"/>
      <c r="BBC35" s="106"/>
      <c r="BBD35" s="106"/>
      <c r="BBE35" s="106"/>
      <c r="BBF35" s="106"/>
      <c r="BBG35" s="106"/>
      <c r="BBH35" s="106"/>
      <c r="BBI35" s="106"/>
      <c r="BBJ35" s="106"/>
      <c r="BBK35" s="106"/>
      <c r="BBL35" s="106"/>
      <c r="BBM35" s="106"/>
      <c r="BBN35" s="106"/>
      <c r="BBO35" s="106"/>
      <c r="BBP35" s="106"/>
      <c r="BBQ35" s="106"/>
      <c r="BBR35" s="106"/>
      <c r="BBS35" s="106"/>
      <c r="BBT35" s="106"/>
      <c r="BBU35" s="106"/>
      <c r="BBV35" s="106"/>
      <c r="BBW35" s="106"/>
      <c r="BBX35" s="106"/>
      <c r="BBY35" s="106"/>
      <c r="BBZ35" s="106"/>
      <c r="BCA35" s="106"/>
      <c r="BCB35" s="106"/>
      <c r="BCC35" s="106"/>
      <c r="BCD35" s="106"/>
      <c r="BCE35" s="106"/>
      <c r="BCF35" s="106"/>
      <c r="BCG35" s="106"/>
      <c r="BCH35" s="106"/>
      <c r="BCI35" s="106"/>
      <c r="BCJ35" s="106"/>
      <c r="BCK35" s="106"/>
      <c r="BCL35" s="106"/>
      <c r="BCM35" s="106"/>
      <c r="BCN35" s="106"/>
      <c r="BCO35" s="106"/>
      <c r="BCP35" s="106"/>
      <c r="BCQ35" s="106"/>
      <c r="BCR35" s="106"/>
      <c r="BCS35" s="106"/>
      <c r="BCT35" s="106"/>
      <c r="BCU35" s="106"/>
      <c r="BCV35" s="106"/>
      <c r="BCW35" s="106"/>
      <c r="BCX35" s="106"/>
      <c r="BCY35" s="106"/>
      <c r="BCZ35" s="106"/>
      <c r="BDA35" s="106"/>
      <c r="BDB35" s="106"/>
      <c r="BDC35" s="106"/>
      <c r="BDD35" s="106"/>
      <c r="BDE35" s="106"/>
      <c r="BDF35" s="106"/>
      <c r="BDG35" s="106"/>
      <c r="BDH35" s="106"/>
      <c r="BDI35" s="106"/>
      <c r="BDJ35" s="106"/>
      <c r="BDK35" s="106"/>
      <c r="BDL35" s="106"/>
      <c r="BDM35" s="106"/>
      <c r="BDN35" s="106"/>
      <c r="BDO35" s="106"/>
      <c r="BDP35" s="106"/>
      <c r="BDQ35" s="106"/>
      <c r="BDR35" s="106"/>
      <c r="BDS35" s="106"/>
      <c r="BDT35" s="106"/>
      <c r="BDU35" s="106"/>
      <c r="BDV35" s="106"/>
      <c r="BDW35" s="106"/>
      <c r="BDX35" s="106"/>
      <c r="BDY35" s="106"/>
      <c r="BDZ35" s="106"/>
      <c r="BEA35" s="106"/>
      <c r="BEB35" s="106"/>
      <c r="BEC35" s="106"/>
      <c r="BED35" s="106"/>
      <c r="BEE35" s="106"/>
      <c r="BEF35" s="106"/>
      <c r="BEG35" s="106"/>
      <c r="BEH35" s="106"/>
      <c r="BEI35" s="106"/>
      <c r="BEJ35" s="106"/>
      <c r="BEK35" s="106"/>
      <c r="BEL35" s="106"/>
      <c r="BEM35" s="106"/>
      <c r="BEN35" s="106"/>
      <c r="BEO35" s="106"/>
      <c r="BEP35" s="106"/>
      <c r="BEQ35" s="106"/>
      <c r="BER35" s="106"/>
      <c r="BES35" s="106"/>
      <c r="BET35" s="106"/>
      <c r="BEU35" s="106"/>
      <c r="BEV35" s="106"/>
      <c r="BEW35" s="106"/>
      <c r="BEX35" s="106"/>
      <c r="BEY35" s="106"/>
      <c r="BEZ35" s="106"/>
      <c r="BFA35" s="106"/>
      <c r="BFB35" s="106"/>
      <c r="BFC35" s="106"/>
      <c r="BFD35" s="106"/>
      <c r="BFE35" s="106"/>
      <c r="BFF35" s="106"/>
      <c r="BFG35" s="106"/>
      <c r="BFH35" s="106"/>
      <c r="BFI35" s="106"/>
      <c r="BFJ35" s="106"/>
      <c r="BFK35" s="106"/>
      <c r="BFL35" s="106"/>
      <c r="BFM35" s="106"/>
      <c r="BFN35" s="106"/>
      <c r="BFO35" s="106"/>
      <c r="BFP35" s="106"/>
      <c r="BFQ35" s="106"/>
      <c r="BFR35" s="106"/>
      <c r="BFS35" s="106"/>
      <c r="BFT35" s="106"/>
      <c r="BFU35" s="106"/>
      <c r="BFV35" s="106"/>
      <c r="BFW35" s="106"/>
      <c r="BFX35" s="106"/>
      <c r="BFY35" s="106"/>
      <c r="BFZ35" s="106"/>
      <c r="BGA35" s="106"/>
      <c r="BGB35" s="106"/>
      <c r="BGC35" s="106"/>
      <c r="BGD35" s="106"/>
      <c r="BGE35" s="106"/>
      <c r="BGF35" s="106"/>
      <c r="BGG35" s="106"/>
      <c r="BGH35" s="106"/>
      <c r="BGI35" s="106"/>
      <c r="BGJ35" s="106"/>
      <c r="BGK35" s="106"/>
      <c r="BGL35" s="106"/>
      <c r="BGM35" s="106"/>
      <c r="BGN35" s="106"/>
      <c r="BGO35" s="106"/>
      <c r="BGP35" s="106"/>
      <c r="BGQ35" s="106"/>
      <c r="BGR35" s="106"/>
      <c r="BGS35" s="106"/>
      <c r="BGT35" s="106"/>
      <c r="BGU35" s="106"/>
      <c r="BGV35" s="106"/>
      <c r="BGW35" s="106"/>
      <c r="BGX35" s="106"/>
      <c r="BGY35" s="106"/>
      <c r="BGZ35" s="106"/>
      <c r="BHA35" s="106"/>
      <c r="BHB35" s="106"/>
      <c r="BHC35" s="106"/>
      <c r="BHD35" s="106"/>
      <c r="BHE35" s="106"/>
      <c r="BHF35" s="106"/>
      <c r="BHG35" s="106"/>
      <c r="BHH35" s="106"/>
      <c r="BHI35" s="106"/>
      <c r="BHJ35" s="106"/>
      <c r="BHK35" s="106"/>
      <c r="BHL35" s="106"/>
      <c r="BHM35" s="106"/>
      <c r="BHN35" s="106"/>
      <c r="BHO35" s="106"/>
      <c r="BHP35" s="106"/>
      <c r="BHQ35" s="106"/>
      <c r="BHR35" s="106"/>
      <c r="BHS35" s="106"/>
      <c r="BHT35" s="106"/>
      <c r="BHU35" s="106"/>
      <c r="BHV35" s="106"/>
      <c r="BHW35" s="106"/>
      <c r="BHX35" s="106"/>
      <c r="BHY35" s="106"/>
      <c r="BHZ35" s="106"/>
      <c r="BIA35" s="106"/>
      <c r="BIB35" s="106"/>
      <c r="BIC35" s="106"/>
      <c r="BID35" s="106"/>
      <c r="BIE35" s="106"/>
      <c r="BIF35" s="106"/>
      <c r="BIG35" s="106"/>
      <c r="BIH35" s="106"/>
      <c r="BII35" s="106"/>
      <c r="BIJ35" s="106"/>
      <c r="BIK35" s="106"/>
      <c r="BIL35" s="106"/>
      <c r="BIM35" s="106"/>
      <c r="BIN35" s="106"/>
      <c r="BIO35" s="106"/>
      <c r="BIP35" s="106"/>
      <c r="BIQ35" s="106"/>
      <c r="BIR35" s="106"/>
      <c r="BIS35" s="106"/>
      <c r="BIT35" s="106"/>
      <c r="BIU35" s="106"/>
      <c r="BIV35" s="106"/>
      <c r="BIW35" s="106"/>
      <c r="BIX35" s="106"/>
      <c r="BIY35" s="106"/>
      <c r="BIZ35" s="106"/>
      <c r="BJA35" s="106"/>
      <c r="BJB35" s="106"/>
      <c r="BJC35" s="106"/>
      <c r="BJD35" s="106"/>
      <c r="BJE35" s="106"/>
      <c r="BJF35" s="106"/>
      <c r="BJG35" s="106"/>
      <c r="BJH35" s="106"/>
      <c r="BJI35" s="106"/>
      <c r="BJJ35" s="106"/>
      <c r="BJK35" s="106"/>
      <c r="BJL35" s="106"/>
      <c r="BJM35" s="106"/>
      <c r="BJN35" s="106"/>
      <c r="BJO35" s="106"/>
      <c r="BJP35" s="106"/>
      <c r="BJQ35" s="106"/>
      <c r="BJR35" s="106"/>
      <c r="BJS35" s="106"/>
      <c r="BJT35" s="106"/>
      <c r="BJU35" s="106"/>
      <c r="BJV35" s="106"/>
      <c r="BJW35" s="106"/>
      <c r="BJX35" s="106"/>
      <c r="BJY35" s="106"/>
      <c r="BJZ35" s="106"/>
      <c r="BKA35" s="106"/>
      <c r="BKB35" s="106"/>
      <c r="BKC35" s="106"/>
      <c r="BKD35" s="106"/>
      <c r="BKE35" s="106"/>
      <c r="BKF35" s="106"/>
      <c r="BKG35" s="106"/>
      <c r="BKH35" s="106"/>
      <c r="BKI35" s="106"/>
      <c r="BKJ35" s="106"/>
      <c r="BKK35" s="106"/>
      <c r="BKL35" s="106"/>
      <c r="BKM35" s="106"/>
      <c r="BKN35" s="106"/>
      <c r="BKO35" s="106"/>
      <c r="BKP35" s="106"/>
      <c r="BKQ35" s="106"/>
      <c r="BKR35" s="106"/>
      <c r="BKS35" s="106"/>
      <c r="BKT35" s="106"/>
      <c r="BKU35" s="106"/>
      <c r="BKV35" s="106"/>
      <c r="BKW35" s="106"/>
      <c r="BKX35" s="106"/>
      <c r="BKY35" s="106"/>
      <c r="BKZ35" s="106"/>
      <c r="BLA35" s="106"/>
      <c r="BLB35" s="106"/>
      <c r="BLC35" s="106"/>
      <c r="BLD35" s="106"/>
      <c r="BLE35" s="106"/>
      <c r="BLF35" s="106"/>
      <c r="BLG35" s="106"/>
      <c r="BLH35" s="106"/>
      <c r="BLI35" s="106"/>
      <c r="BLJ35" s="106"/>
      <c r="BLK35" s="106"/>
      <c r="BLL35" s="106"/>
      <c r="BLM35" s="106"/>
      <c r="BLN35" s="106"/>
      <c r="BLO35" s="106"/>
      <c r="BLP35" s="106"/>
      <c r="BLQ35" s="106"/>
      <c r="BLR35" s="106"/>
      <c r="BLS35" s="106"/>
      <c r="BLT35" s="106"/>
      <c r="BLU35" s="106"/>
      <c r="BLV35" s="106"/>
      <c r="BLW35" s="106"/>
      <c r="BLX35" s="106"/>
      <c r="BLY35" s="106"/>
      <c r="BLZ35" s="106"/>
      <c r="BMA35" s="106"/>
      <c r="BMB35" s="106"/>
      <c r="BMC35" s="106"/>
      <c r="BMD35" s="106"/>
      <c r="BME35" s="106"/>
      <c r="BMF35" s="106"/>
      <c r="BMG35" s="106"/>
      <c r="BMH35" s="106"/>
      <c r="BMI35" s="106"/>
      <c r="BMJ35" s="106"/>
      <c r="BMK35" s="106"/>
      <c r="BML35" s="106"/>
      <c r="BMM35" s="106"/>
      <c r="BMN35" s="106"/>
      <c r="BMO35" s="106"/>
      <c r="BMP35" s="106"/>
      <c r="BMQ35" s="106"/>
      <c r="BMR35" s="106"/>
      <c r="BMS35" s="106"/>
      <c r="BMT35" s="106"/>
      <c r="BMU35" s="106"/>
      <c r="BMV35" s="106"/>
      <c r="BMW35" s="106"/>
      <c r="BMX35" s="106"/>
      <c r="BMY35" s="106"/>
      <c r="BMZ35" s="106"/>
      <c r="BNA35" s="106"/>
      <c r="BNB35" s="106"/>
      <c r="BNC35" s="106"/>
      <c r="BND35" s="106"/>
      <c r="BNE35" s="106"/>
      <c r="BNF35" s="106"/>
      <c r="BNG35" s="106"/>
      <c r="BNH35" s="106"/>
      <c r="BNI35" s="106"/>
      <c r="BNJ35" s="106"/>
      <c r="BNK35" s="106"/>
      <c r="BNL35" s="106"/>
      <c r="BNM35" s="106"/>
      <c r="BNN35" s="106"/>
      <c r="BNO35" s="106"/>
      <c r="BNP35" s="106"/>
      <c r="BNQ35" s="106"/>
      <c r="BNR35" s="106"/>
      <c r="BNS35" s="106"/>
      <c r="BNT35" s="106"/>
      <c r="BNU35" s="106"/>
      <c r="BNV35" s="106"/>
      <c r="BNW35" s="106"/>
      <c r="BNX35" s="106"/>
      <c r="BNY35" s="106"/>
      <c r="BNZ35" s="106"/>
      <c r="BOA35" s="106"/>
      <c r="BOB35" s="106"/>
      <c r="BOC35" s="106"/>
      <c r="BOD35" s="106"/>
      <c r="BOE35" s="106"/>
      <c r="BOF35" s="106"/>
      <c r="BOG35" s="106"/>
      <c r="BOH35" s="106"/>
      <c r="BOI35" s="106"/>
      <c r="BOJ35" s="106"/>
      <c r="BOK35" s="106"/>
      <c r="BOL35" s="106"/>
      <c r="BOM35" s="106"/>
      <c r="BON35" s="106"/>
      <c r="BOO35" s="106"/>
      <c r="BOP35" s="106"/>
      <c r="BOQ35" s="106"/>
      <c r="BOR35" s="106"/>
      <c r="BOS35" s="106"/>
      <c r="BOT35" s="106"/>
      <c r="BOU35" s="106"/>
      <c r="BOV35" s="106"/>
      <c r="BOW35" s="106"/>
      <c r="BOX35" s="106"/>
      <c r="BOY35" s="106"/>
      <c r="BOZ35" s="106"/>
      <c r="BPA35" s="106"/>
      <c r="BPB35" s="106"/>
      <c r="BPC35" s="106"/>
      <c r="BPD35" s="106"/>
      <c r="BPE35" s="106"/>
      <c r="BPF35" s="106"/>
      <c r="BPG35" s="106"/>
      <c r="BPH35" s="106"/>
      <c r="BPI35" s="106"/>
      <c r="BPJ35" s="106"/>
      <c r="BPK35" s="106"/>
      <c r="BPL35" s="106"/>
      <c r="BPM35" s="106"/>
      <c r="BPN35" s="106"/>
      <c r="BPO35" s="106"/>
      <c r="BPP35" s="106"/>
      <c r="BPQ35" s="106"/>
      <c r="BPR35" s="106"/>
      <c r="BPS35" s="106"/>
      <c r="BPT35" s="106"/>
      <c r="BPU35" s="106"/>
      <c r="BPV35" s="106"/>
      <c r="BPW35" s="106"/>
      <c r="BPX35" s="106"/>
      <c r="BPY35" s="106"/>
      <c r="BPZ35" s="106"/>
      <c r="BQA35" s="106"/>
      <c r="BQB35" s="106"/>
      <c r="BQC35" s="106"/>
      <c r="BQD35" s="106"/>
      <c r="BQE35" s="106"/>
      <c r="BQF35" s="106"/>
      <c r="BQG35" s="106"/>
      <c r="BQH35" s="106"/>
      <c r="BQI35" s="106"/>
      <c r="BQJ35" s="106"/>
      <c r="BQK35" s="106"/>
      <c r="BQL35" s="106"/>
      <c r="BQM35" s="106"/>
      <c r="BQN35" s="106"/>
      <c r="BQO35" s="106"/>
      <c r="BQP35" s="106"/>
      <c r="BQQ35" s="106"/>
      <c r="BQR35" s="106"/>
      <c r="BQS35" s="106"/>
      <c r="BQT35" s="106"/>
      <c r="BQU35" s="106"/>
      <c r="BQV35" s="106"/>
      <c r="BQW35" s="106"/>
      <c r="BQX35" s="106"/>
      <c r="BQY35" s="106"/>
      <c r="BQZ35" s="106"/>
      <c r="BRA35" s="106"/>
      <c r="BRB35" s="106"/>
      <c r="BRC35" s="106"/>
      <c r="BRD35" s="106"/>
      <c r="BRE35" s="106"/>
      <c r="BRF35" s="106"/>
      <c r="BRG35" s="106"/>
      <c r="BRH35" s="106"/>
      <c r="BRI35" s="106"/>
      <c r="BRJ35" s="106"/>
      <c r="BRK35" s="106"/>
      <c r="BRL35" s="106"/>
      <c r="BRM35" s="106"/>
      <c r="BRN35" s="106"/>
      <c r="BRO35" s="106"/>
      <c r="BRP35" s="106"/>
      <c r="BRQ35" s="106"/>
      <c r="BRR35" s="106"/>
      <c r="BRS35" s="106"/>
      <c r="BRT35" s="106"/>
      <c r="BRU35" s="106"/>
      <c r="BRV35" s="106"/>
      <c r="BRW35" s="106"/>
      <c r="BRX35" s="106"/>
      <c r="BRY35" s="106"/>
      <c r="BRZ35" s="106"/>
      <c r="BSA35" s="106"/>
      <c r="BSB35" s="106"/>
      <c r="BSC35" s="106"/>
      <c r="BSD35" s="106"/>
      <c r="BSE35" s="106"/>
      <c r="BSF35" s="106"/>
      <c r="BSG35" s="106"/>
      <c r="BSH35" s="106"/>
      <c r="BSI35" s="106"/>
      <c r="BSJ35" s="106"/>
      <c r="BSK35" s="106"/>
      <c r="BSL35" s="106"/>
      <c r="BSM35" s="106"/>
      <c r="BSN35" s="106"/>
      <c r="BSO35" s="106"/>
      <c r="BSP35" s="106"/>
      <c r="BSQ35" s="106"/>
      <c r="BSR35" s="106"/>
      <c r="BSS35" s="106"/>
      <c r="BST35" s="106"/>
      <c r="BSU35" s="106"/>
      <c r="BSV35" s="106"/>
      <c r="BSW35" s="106"/>
      <c r="BSX35" s="106"/>
      <c r="BSY35" s="106"/>
      <c r="BSZ35" s="106"/>
      <c r="BTA35" s="106"/>
      <c r="BTB35" s="106"/>
      <c r="BTC35" s="106"/>
      <c r="BTD35" s="106"/>
      <c r="BTE35" s="106"/>
      <c r="BTF35" s="106"/>
      <c r="BTG35" s="106"/>
      <c r="BTH35" s="106"/>
      <c r="BTI35" s="106"/>
      <c r="BTJ35" s="106"/>
      <c r="BTK35" s="106"/>
      <c r="BTL35" s="106"/>
      <c r="BTM35" s="106"/>
      <c r="BTN35" s="106"/>
      <c r="BTO35" s="106"/>
      <c r="BTP35" s="106"/>
      <c r="BTQ35" s="106"/>
      <c r="BTR35" s="106"/>
      <c r="BTS35" s="106"/>
      <c r="BTT35" s="106"/>
      <c r="BTU35" s="106"/>
      <c r="BTV35" s="106"/>
      <c r="BTW35" s="106"/>
      <c r="BTX35" s="106"/>
      <c r="BTY35" s="106"/>
      <c r="BTZ35" s="106"/>
      <c r="BUA35" s="106"/>
      <c r="BUB35" s="106"/>
      <c r="BUC35" s="106"/>
      <c r="BUD35" s="106"/>
      <c r="BUE35" s="106"/>
      <c r="BUF35" s="106"/>
      <c r="BUG35" s="106"/>
      <c r="BUH35" s="106"/>
      <c r="BUI35" s="106"/>
      <c r="BUJ35" s="106"/>
      <c r="BUK35" s="106"/>
      <c r="BUL35" s="106"/>
      <c r="BUM35" s="106"/>
      <c r="BUN35" s="106"/>
      <c r="BUO35" s="106"/>
      <c r="BUP35" s="106"/>
      <c r="BUQ35" s="106"/>
      <c r="BUR35" s="106"/>
      <c r="BUS35" s="106"/>
      <c r="BUT35" s="106"/>
      <c r="BUU35" s="106"/>
      <c r="BUV35" s="106"/>
      <c r="BUW35" s="106"/>
      <c r="BUX35" s="106"/>
      <c r="BUY35" s="106"/>
      <c r="BUZ35" s="106"/>
      <c r="BVA35" s="106"/>
      <c r="BVB35" s="106"/>
      <c r="BVC35" s="106"/>
      <c r="BVD35" s="106"/>
      <c r="BVE35" s="106"/>
      <c r="BVF35" s="106"/>
      <c r="BVG35" s="106"/>
      <c r="BVH35" s="106"/>
      <c r="BVI35" s="106"/>
      <c r="BVJ35" s="106"/>
      <c r="BVK35" s="106"/>
      <c r="BVL35" s="106"/>
      <c r="BVM35" s="106"/>
      <c r="BVN35" s="106"/>
      <c r="BVO35" s="106"/>
      <c r="BVP35" s="106"/>
      <c r="BVQ35" s="106"/>
      <c r="BVR35" s="106"/>
      <c r="BVS35" s="106"/>
      <c r="BVT35" s="106"/>
      <c r="BVU35" s="106"/>
      <c r="BVV35" s="106"/>
      <c r="BVW35" s="106"/>
      <c r="BVX35" s="106"/>
      <c r="BVY35" s="106"/>
      <c r="BVZ35" s="106"/>
      <c r="BWA35" s="106"/>
      <c r="BWB35" s="106"/>
      <c r="BWC35" s="106"/>
      <c r="BWD35" s="106"/>
    </row>
    <row r="36" spans="1:1954" ht="16.5" x14ac:dyDescent="0.3">
      <c r="A36" s="187" t="s">
        <v>307</v>
      </c>
      <c r="B36" s="188">
        <v>96.266554400000004</v>
      </c>
      <c r="C36" s="188">
        <v>0.13693886999999999</v>
      </c>
      <c r="D36" s="188">
        <v>96.403493270000013</v>
      </c>
      <c r="E36" s="106"/>
      <c r="F36" s="193"/>
      <c r="G36" s="185"/>
      <c r="H36" s="193"/>
      <c r="I36" s="106"/>
      <c r="J36" s="186"/>
      <c r="K36" s="186"/>
      <c r="L36" s="18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6"/>
      <c r="JN36" s="106"/>
      <c r="JO36" s="106"/>
      <c r="JP36" s="106"/>
      <c r="JQ36" s="106"/>
      <c r="JR36" s="106"/>
      <c r="JS36" s="106"/>
      <c r="JT36" s="106"/>
      <c r="JU36" s="106"/>
      <c r="JV36" s="106"/>
      <c r="JW36" s="106"/>
      <c r="JX36" s="106"/>
      <c r="JY36" s="106"/>
      <c r="JZ36" s="106"/>
      <c r="KA36" s="106"/>
      <c r="KB36" s="106"/>
      <c r="KC36" s="106"/>
      <c r="KD36" s="106"/>
      <c r="KE36" s="106"/>
      <c r="KF36" s="106"/>
      <c r="KG36" s="106"/>
      <c r="KH36" s="106"/>
      <c r="KI36" s="106"/>
      <c r="KJ36" s="106"/>
      <c r="KK36" s="106"/>
      <c r="KL36" s="106"/>
      <c r="KM36" s="106"/>
      <c r="KN36" s="106"/>
      <c r="KO36" s="106"/>
      <c r="KP36" s="106"/>
      <c r="KQ36" s="106"/>
      <c r="KR36" s="106"/>
      <c r="KS36" s="106"/>
      <c r="KT36" s="106"/>
      <c r="KU36" s="106"/>
      <c r="KV36" s="106"/>
      <c r="KW36" s="106"/>
      <c r="KX36" s="106"/>
      <c r="KY36" s="106"/>
      <c r="KZ36" s="106"/>
      <c r="LA36" s="106"/>
      <c r="LB36" s="106"/>
      <c r="LC36" s="106"/>
      <c r="LD36" s="106"/>
      <c r="LE36" s="106"/>
      <c r="LF36" s="106"/>
      <c r="LG36" s="106"/>
      <c r="LH36" s="106"/>
      <c r="LI36" s="106"/>
      <c r="LJ36" s="106"/>
      <c r="LK36" s="106"/>
      <c r="LL36" s="106"/>
      <c r="LM36" s="106"/>
      <c r="LN36" s="106"/>
      <c r="LO36" s="106"/>
      <c r="LP36" s="106"/>
      <c r="LQ36" s="106"/>
      <c r="LR36" s="106"/>
      <c r="LS36" s="106"/>
      <c r="LT36" s="106"/>
      <c r="LU36" s="106"/>
      <c r="LV36" s="106"/>
      <c r="LW36" s="106"/>
      <c r="LX36" s="106"/>
      <c r="LY36" s="106"/>
      <c r="LZ36" s="106"/>
      <c r="MA36" s="106"/>
      <c r="MB36" s="106"/>
      <c r="MC36" s="106"/>
      <c r="MD36" s="106"/>
      <c r="ME36" s="106"/>
      <c r="MF36" s="106"/>
      <c r="MG36" s="106"/>
      <c r="MH36" s="106"/>
      <c r="MI36" s="106"/>
      <c r="MJ36" s="106"/>
      <c r="MK36" s="106"/>
      <c r="ML36" s="106"/>
      <c r="MM36" s="106"/>
      <c r="MN36" s="106"/>
      <c r="MO36" s="106"/>
      <c r="MP36" s="106"/>
      <c r="MQ36" s="106"/>
      <c r="MR36" s="106"/>
      <c r="MS36" s="106"/>
      <c r="MT36" s="106"/>
      <c r="MU36" s="106"/>
      <c r="MV36" s="106"/>
      <c r="MW36" s="106"/>
      <c r="MX36" s="106"/>
      <c r="MY36" s="106"/>
      <c r="MZ36" s="106"/>
      <c r="NA36" s="106"/>
      <c r="NB36" s="106"/>
      <c r="NC36" s="106"/>
      <c r="ND36" s="106"/>
      <c r="NE36" s="106"/>
      <c r="NF36" s="106"/>
      <c r="NG36" s="106"/>
      <c r="NH36" s="106"/>
      <c r="NI36" s="106"/>
      <c r="NJ36" s="106"/>
      <c r="NK36" s="106"/>
      <c r="NL36" s="106"/>
      <c r="NM36" s="106"/>
      <c r="NN36" s="106"/>
      <c r="NO36" s="106"/>
      <c r="NP36" s="106"/>
      <c r="NQ36" s="106"/>
      <c r="NR36" s="106"/>
      <c r="NS36" s="106"/>
      <c r="NT36" s="106"/>
      <c r="NU36" s="106"/>
      <c r="NV36" s="106"/>
      <c r="NW36" s="106"/>
      <c r="NX36" s="106"/>
      <c r="NY36" s="106"/>
      <c r="NZ36" s="106"/>
      <c r="OA36" s="106"/>
      <c r="OB36" s="106"/>
      <c r="OC36" s="106"/>
      <c r="OD36" s="106"/>
      <c r="OE36" s="106"/>
      <c r="OF36" s="106"/>
      <c r="OG36" s="106"/>
      <c r="OH36" s="106"/>
      <c r="OI36" s="106"/>
      <c r="OJ36" s="106"/>
      <c r="OK36" s="106"/>
      <c r="OL36" s="106"/>
      <c r="OM36" s="106"/>
      <c r="ON36" s="106"/>
      <c r="OO36" s="106"/>
      <c r="OP36" s="106"/>
      <c r="OQ36" s="106"/>
      <c r="OR36" s="106"/>
      <c r="OS36" s="106"/>
      <c r="OT36" s="106"/>
      <c r="OU36" s="106"/>
      <c r="OV36" s="106"/>
      <c r="OW36" s="106"/>
      <c r="OX36" s="106"/>
      <c r="OY36" s="106"/>
      <c r="OZ36" s="106"/>
      <c r="PA36" s="106"/>
      <c r="PB36" s="106"/>
      <c r="PC36" s="106"/>
      <c r="PD36" s="106"/>
      <c r="PE36" s="106"/>
      <c r="PF36" s="106"/>
      <c r="PG36" s="106"/>
      <c r="PH36" s="106"/>
      <c r="PI36" s="106"/>
      <c r="PJ36" s="106"/>
      <c r="PK36" s="106"/>
      <c r="PL36" s="106"/>
      <c r="PM36" s="106"/>
      <c r="PN36" s="106"/>
      <c r="PO36" s="106"/>
      <c r="PP36" s="106"/>
      <c r="PQ36" s="106"/>
      <c r="PR36" s="106"/>
      <c r="PS36" s="106"/>
      <c r="PT36" s="106"/>
      <c r="PU36" s="106"/>
      <c r="PV36" s="106"/>
      <c r="PW36" s="106"/>
      <c r="PX36" s="106"/>
      <c r="PY36" s="106"/>
      <c r="PZ36" s="106"/>
      <c r="QA36" s="106"/>
      <c r="QB36" s="106"/>
      <c r="QC36" s="106"/>
      <c r="QD36" s="106"/>
      <c r="QE36" s="106"/>
      <c r="QF36" s="106"/>
      <c r="QG36" s="106"/>
      <c r="QH36" s="106"/>
      <c r="QI36" s="106"/>
      <c r="QJ36" s="106"/>
      <c r="QK36" s="106"/>
      <c r="QL36" s="106"/>
      <c r="QM36" s="106"/>
      <c r="QN36" s="106"/>
      <c r="QO36" s="106"/>
      <c r="QP36" s="106"/>
      <c r="QQ36" s="106"/>
      <c r="QR36" s="106"/>
      <c r="QS36" s="106"/>
      <c r="QT36" s="106"/>
      <c r="QU36" s="106"/>
      <c r="QV36" s="106"/>
      <c r="QW36" s="106"/>
      <c r="QX36" s="106"/>
      <c r="QY36" s="106"/>
      <c r="QZ36" s="106"/>
      <c r="RA36" s="106"/>
      <c r="RB36" s="106"/>
      <c r="RC36" s="106"/>
      <c r="RD36" s="106"/>
      <c r="RE36" s="106"/>
      <c r="RF36" s="106"/>
      <c r="RG36" s="106"/>
      <c r="RH36" s="106"/>
      <c r="RI36" s="106"/>
      <c r="RJ36" s="106"/>
      <c r="RK36" s="106"/>
      <c r="RL36" s="106"/>
      <c r="RM36" s="106"/>
      <c r="RN36" s="106"/>
      <c r="RO36" s="106"/>
      <c r="RP36" s="106"/>
      <c r="RQ36" s="106"/>
      <c r="RR36" s="106"/>
      <c r="RS36" s="106"/>
      <c r="RT36" s="106"/>
      <c r="RU36" s="106"/>
      <c r="RV36" s="106"/>
      <c r="RW36" s="106"/>
      <c r="RX36" s="106"/>
      <c r="RY36" s="106"/>
      <c r="RZ36" s="106"/>
      <c r="SA36" s="106"/>
      <c r="SB36" s="106"/>
      <c r="SC36" s="106"/>
      <c r="SD36" s="106"/>
      <c r="SE36" s="106"/>
      <c r="SF36" s="106"/>
      <c r="SG36" s="106"/>
      <c r="SH36" s="106"/>
      <c r="SI36" s="106"/>
      <c r="SJ36" s="106"/>
      <c r="SK36" s="106"/>
      <c r="SL36" s="106"/>
      <c r="SM36" s="106"/>
      <c r="SN36" s="106"/>
      <c r="SO36" s="106"/>
      <c r="SP36" s="106"/>
      <c r="SQ36" s="106"/>
      <c r="SR36" s="106"/>
      <c r="SS36" s="106"/>
      <c r="ST36" s="106"/>
      <c r="SU36" s="106"/>
      <c r="SV36" s="106"/>
      <c r="SW36" s="106"/>
      <c r="SX36" s="106"/>
      <c r="SY36" s="106"/>
      <c r="SZ36" s="106"/>
      <c r="TA36" s="106"/>
      <c r="TB36" s="106"/>
      <c r="TC36" s="106"/>
      <c r="TD36" s="106"/>
      <c r="TE36" s="106"/>
      <c r="TF36" s="106"/>
      <c r="TG36" s="106"/>
      <c r="TH36" s="106"/>
      <c r="TI36" s="106"/>
      <c r="TJ36" s="106"/>
      <c r="TK36" s="106"/>
      <c r="TL36" s="106"/>
      <c r="TM36" s="106"/>
      <c r="TN36" s="106"/>
      <c r="TO36" s="106"/>
      <c r="TP36" s="106"/>
      <c r="TQ36" s="106"/>
      <c r="TR36" s="106"/>
      <c r="TS36" s="106"/>
      <c r="TT36" s="106"/>
      <c r="TU36" s="106"/>
      <c r="TV36" s="106"/>
      <c r="TW36" s="106"/>
      <c r="TX36" s="106"/>
      <c r="TY36" s="106"/>
      <c r="TZ36" s="106"/>
      <c r="UA36" s="106"/>
      <c r="UB36" s="106"/>
      <c r="UC36" s="106"/>
      <c r="UD36" s="106"/>
      <c r="UE36" s="106"/>
      <c r="UF36" s="106"/>
      <c r="UG36" s="106"/>
      <c r="UH36" s="106"/>
      <c r="UI36" s="106"/>
      <c r="UJ36" s="106"/>
      <c r="UK36" s="106"/>
      <c r="UL36" s="106"/>
      <c r="UM36" s="106"/>
      <c r="UN36" s="106"/>
      <c r="UO36" s="106"/>
      <c r="UP36" s="106"/>
      <c r="UQ36" s="106"/>
      <c r="UR36" s="106"/>
      <c r="US36" s="106"/>
      <c r="UT36" s="106"/>
      <c r="UU36" s="106"/>
      <c r="UV36" s="106"/>
      <c r="UW36" s="106"/>
      <c r="UX36" s="106"/>
      <c r="UY36" s="106"/>
      <c r="UZ36" s="106"/>
      <c r="VA36" s="106"/>
      <c r="VB36" s="106"/>
      <c r="VC36" s="106"/>
      <c r="VD36" s="106"/>
      <c r="VE36" s="106"/>
      <c r="VF36" s="106"/>
      <c r="VG36" s="106"/>
      <c r="VH36" s="106"/>
      <c r="VI36" s="106"/>
      <c r="VJ36" s="106"/>
      <c r="VK36" s="106"/>
      <c r="VL36" s="106"/>
      <c r="VM36" s="106"/>
      <c r="VN36" s="106"/>
      <c r="VO36" s="106"/>
      <c r="VP36" s="106"/>
      <c r="VQ36" s="106"/>
      <c r="VR36" s="106"/>
      <c r="VS36" s="106"/>
      <c r="VT36" s="106"/>
      <c r="VU36" s="106"/>
      <c r="VV36" s="106"/>
      <c r="VW36" s="106"/>
      <c r="VX36" s="106"/>
      <c r="VY36" s="106"/>
      <c r="VZ36" s="106"/>
      <c r="WA36" s="106"/>
      <c r="WB36" s="106"/>
      <c r="WC36" s="106"/>
      <c r="WD36" s="106"/>
      <c r="WE36" s="106"/>
      <c r="WF36" s="106"/>
      <c r="WG36" s="106"/>
      <c r="WH36" s="106"/>
      <c r="WI36" s="106"/>
      <c r="WJ36" s="106"/>
      <c r="WK36" s="106"/>
      <c r="WL36" s="106"/>
      <c r="WM36" s="106"/>
      <c r="WN36" s="106"/>
      <c r="WO36" s="106"/>
      <c r="WP36" s="106"/>
      <c r="WQ36" s="106"/>
      <c r="WR36" s="106"/>
      <c r="WS36" s="106"/>
      <c r="WT36" s="106"/>
      <c r="WU36" s="106"/>
      <c r="WV36" s="106"/>
      <c r="WW36" s="106"/>
      <c r="WX36" s="106"/>
      <c r="WY36" s="106"/>
      <c r="WZ36" s="106"/>
      <c r="XA36" s="106"/>
      <c r="XB36" s="106"/>
      <c r="XC36" s="106"/>
      <c r="XD36" s="106"/>
      <c r="XE36" s="106"/>
      <c r="XF36" s="106"/>
      <c r="XG36" s="106"/>
      <c r="XH36" s="106"/>
      <c r="XI36" s="106"/>
      <c r="XJ36" s="106"/>
      <c r="XK36" s="106"/>
      <c r="XL36" s="106"/>
      <c r="XM36" s="106"/>
      <c r="XN36" s="106"/>
      <c r="XO36" s="106"/>
      <c r="XP36" s="106"/>
      <c r="XQ36" s="106"/>
      <c r="XR36" s="106"/>
      <c r="XS36" s="106"/>
      <c r="XT36" s="106"/>
      <c r="XU36" s="106"/>
      <c r="XV36" s="106"/>
      <c r="XW36" s="106"/>
      <c r="XX36" s="106"/>
      <c r="XY36" s="106"/>
      <c r="XZ36" s="106"/>
      <c r="YA36" s="106"/>
      <c r="YB36" s="106"/>
      <c r="YC36" s="106"/>
      <c r="YD36" s="106"/>
      <c r="YE36" s="106"/>
      <c r="YF36" s="106"/>
      <c r="YG36" s="106"/>
      <c r="YH36" s="106"/>
      <c r="YI36" s="106"/>
      <c r="YJ36" s="106"/>
      <c r="YK36" s="106"/>
      <c r="YL36" s="106"/>
      <c r="YM36" s="106"/>
      <c r="YN36" s="106"/>
      <c r="YO36" s="106"/>
      <c r="YP36" s="106"/>
      <c r="YQ36" s="106"/>
      <c r="YR36" s="106"/>
      <c r="YS36" s="106"/>
      <c r="YT36" s="106"/>
      <c r="YU36" s="106"/>
      <c r="YV36" s="106"/>
      <c r="YW36" s="106"/>
      <c r="YX36" s="106"/>
      <c r="YY36" s="106"/>
      <c r="YZ36" s="106"/>
      <c r="ZA36" s="106"/>
      <c r="ZB36" s="106"/>
      <c r="ZC36" s="106"/>
      <c r="ZD36" s="106"/>
      <c r="ZE36" s="106"/>
      <c r="ZF36" s="106"/>
      <c r="ZG36" s="106"/>
      <c r="ZH36" s="106"/>
      <c r="ZI36" s="106"/>
      <c r="ZJ36" s="106"/>
      <c r="ZK36" s="106"/>
      <c r="ZL36" s="106"/>
      <c r="ZM36" s="106"/>
      <c r="ZN36" s="106"/>
      <c r="ZO36" s="106"/>
      <c r="ZP36" s="106"/>
      <c r="ZQ36" s="106"/>
      <c r="ZR36" s="106"/>
      <c r="ZS36" s="106"/>
      <c r="ZT36" s="106"/>
      <c r="ZU36" s="106"/>
      <c r="ZV36" s="106"/>
      <c r="ZW36" s="106"/>
      <c r="ZX36" s="106"/>
      <c r="ZY36" s="106"/>
      <c r="ZZ36" s="106"/>
      <c r="AAA36" s="106"/>
      <c r="AAB36" s="106"/>
      <c r="AAC36" s="106"/>
      <c r="AAD36" s="106"/>
      <c r="AAE36" s="106"/>
      <c r="AAF36" s="106"/>
      <c r="AAG36" s="106"/>
      <c r="AAH36" s="106"/>
      <c r="AAI36" s="106"/>
      <c r="AAJ36" s="106"/>
      <c r="AAK36" s="106"/>
      <c r="AAL36" s="106"/>
      <c r="AAM36" s="106"/>
      <c r="AAN36" s="106"/>
      <c r="AAO36" s="106"/>
      <c r="AAP36" s="106"/>
      <c r="AAQ36" s="106"/>
      <c r="AAR36" s="106"/>
      <c r="AAS36" s="106"/>
      <c r="AAT36" s="106"/>
      <c r="AAU36" s="106"/>
      <c r="AAV36" s="106"/>
      <c r="AAW36" s="106"/>
      <c r="AAX36" s="106"/>
      <c r="AAY36" s="106"/>
      <c r="AAZ36" s="106"/>
      <c r="ABA36" s="106"/>
      <c r="ABB36" s="106"/>
      <c r="ABC36" s="106"/>
      <c r="ABD36" s="106"/>
      <c r="ABE36" s="106"/>
      <c r="ABF36" s="106"/>
      <c r="ABG36" s="106"/>
      <c r="ABH36" s="106"/>
      <c r="ABI36" s="106"/>
      <c r="ABJ36" s="106"/>
      <c r="ABK36" s="106"/>
      <c r="ABL36" s="106"/>
      <c r="ABM36" s="106"/>
      <c r="ABN36" s="106"/>
      <c r="ABO36" s="106"/>
      <c r="ABP36" s="106"/>
      <c r="ABQ36" s="106"/>
      <c r="ABR36" s="106"/>
      <c r="ABS36" s="106"/>
      <c r="ABT36" s="106"/>
      <c r="ABU36" s="106"/>
      <c r="ABV36" s="106"/>
      <c r="ABW36" s="106"/>
      <c r="ABX36" s="106"/>
      <c r="ABY36" s="106"/>
      <c r="ABZ36" s="106"/>
      <c r="ACA36" s="106"/>
      <c r="ACB36" s="106"/>
      <c r="ACC36" s="106"/>
      <c r="ACD36" s="106"/>
      <c r="ACE36" s="106"/>
      <c r="ACF36" s="106"/>
      <c r="ACG36" s="106"/>
      <c r="ACH36" s="106"/>
      <c r="ACI36" s="106"/>
      <c r="ACJ36" s="106"/>
      <c r="ACK36" s="106"/>
      <c r="ACL36" s="106"/>
      <c r="ACM36" s="106"/>
      <c r="ACN36" s="106"/>
      <c r="ACO36" s="106"/>
      <c r="ACP36" s="106"/>
      <c r="ACQ36" s="106"/>
      <c r="ACR36" s="106"/>
      <c r="ACS36" s="106"/>
      <c r="ACT36" s="106"/>
      <c r="ACU36" s="106"/>
      <c r="ACV36" s="106"/>
      <c r="ACW36" s="106"/>
      <c r="ACX36" s="106"/>
      <c r="ACY36" s="106"/>
      <c r="ACZ36" s="106"/>
      <c r="ADA36" s="106"/>
      <c r="ADB36" s="106"/>
      <c r="ADC36" s="106"/>
      <c r="ADD36" s="106"/>
      <c r="ADE36" s="106"/>
      <c r="ADF36" s="106"/>
      <c r="ADG36" s="106"/>
      <c r="ADH36" s="106"/>
      <c r="ADI36" s="106"/>
      <c r="ADJ36" s="106"/>
      <c r="ADK36" s="106"/>
      <c r="ADL36" s="106"/>
      <c r="ADM36" s="106"/>
      <c r="ADN36" s="106"/>
      <c r="ADO36" s="106"/>
      <c r="ADP36" s="106"/>
      <c r="ADQ36" s="106"/>
      <c r="ADR36" s="106"/>
      <c r="ADS36" s="106"/>
      <c r="ADT36" s="106"/>
      <c r="ADU36" s="106"/>
      <c r="ADV36" s="106"/>
      <c r="ADW36" s="106"/>
      <c r="ADX36" s="106"/>
      <c r="ADY36" s="106"/>
      <c r="ADZ36" s="106"/>
      <c r="AEA36" s="106"/>
      <c r="AEB36" s="106"/>
      <c r="AEC36" s="106"/>
      <c r="AED36" s="106"/>
      <c r="AEE36" s="106"/>
      <c r="AEF36" s="106"/>
      <c r="AEG36" s="106"/>
      <c r="AEH36" s="106"/>
      <c r="AEI36" s="106"/>
      <c r="AEJ36" s="106"/>
      <c r="AEK36" s="106"/>
      <c r="AEL36" s="106"/>
      <c r="AEM36" s="106"/>
      <c r="AEN36" s="106"/>
      <c r="AEO36" s="106"/>
      <c r="AEP36" s="106"/>
      <c r="AEQ36" s="106"/>
      <c r="AER36" s="106"/>
      <c r="AES36" s="106"/>
      <c r="AET36" s="106"/>
      <c r="AEU36" s="106"/>
      <c r="AEV36" s="106"/>
      <c r="AEW36" s="106"/>
      <c r="AEX36" s="106"/>
      <c r="AEY36" s="106"/>
      <c r="AEZ36" s="106"/>
      <c r="AFA36" s="106"/>
      <c r="AFB36" s="106"/>
      <c r="AFC36" s="106"/>
      <c r="AFD36" s="106"/>
      <c r="AFE36" s="106"/>
      <c r="AFF36" s="106"/>
      <c r="AFG36" s="106"/>
      <c r="AFH36" s="106"/>
      <c r="AFI36" s="106"/>
      <c r="AFJ36" s="106"/>
      <c r="AFK36" s="106"/>
      <c r="AFL36" s="106"/>
      <c r="AFM36" s="106"/>
      <c r="AFN36" s="106"/>
      <c r="AFO36" s="106"/>
      <c r="AFP36" s="106"/>
      <c r="AFQ36" s="106"/>
      <c r="AFR36" s="106"/>
      <c r="AFS36" s="106"/>
      <c r="AFT36" s="106"/>
      <c r="AFU36" s="106"/>
      <c r="AFV36" s="106"/>
      <c r="AFW36" s="106"/>
      <c r="AFX36" s="106"/>
      <c r="AFY36" s="106"/>
      <c r="AFZ36" s="106"/>
      <c r="AGA36" s="106"/>
      <c r="AGB36" s="106"/>
      <c r="AGC36" s="106"/>
      <c r="AGD36" s="106"/>
      <c r="AGE36" s="106"/>
      <c r="AGF36" s="106"/>
      <c r="AGG36" s="106"/>
      <c r="AGH36" s="106"/>
      <c r="AGI36" s="106"/>
      <c r="AGJ36" s="106"/>
      <c r="AGK36" s="106"/>
      <c r="AGL36" s="106"/>
      <c r="AGM36" s="106"/>
      <c r="AGN36" s="106"/>
      <c r="AGO36" s="106"/>
      <c r="AGP36" s="106"/>
      <c r="AGQ36" s="106"/>
      <c r="AGR36" s="106"/>
      <c r="AGS36" s="106"/>
      <c r="AGT36" s="106"/>
      <c r="AGU36" s="106"/>
      <c r="AGV36" s="106"/>
      <c r="AGW36" s="106"/>
      <c r="AGX36" s="106"/>
      <c r="AGY36" s="106"/>
      <c r="AGZ36" s="106"/>
      <c r="AHA36" s="106"/>
      <c r="AHB36" s="106"/>
      <c r="AHC36" s="106"/>
      <c r="AHD36" s="106"/>
      <c r="AHE36" s="106"/>
      <c r="AHF36" s="106"/>
      <c r="AHG36" s="106"/>
      <c r="AHH36" s="106"/>
      <c r="AHI36" s="106"/>
      <c r="AHJ36" s="106"/>
      <c r="AHK36" s="106"/>
      <c r="AHL36" s="106"/>
      <c r="AHM36" s="106"/>
      <c r="AHN36" s="106"/>
      <c r="AHO36" s="106"/>
      <c r="AHP36" s="106"/>
      <c r="AHQ36" s="106"/>
      <c r="AHR36" s="106"/>
      <c r="AHS36" s="106"/>
      <c r="AHT36" s="106"/>
      <c r="AHU36" s="106"/>
      <c r="AHV36" s="106"/>
      <c r="AHW36" s="106"/>
      <c r="AHX36" s="106"/>
      <c r="AHY36" s="106"/>
      <c r="AHZ36" s="106"/>
      <c r="AIA36" s="106"/>
      <c r="AIB36" s="106"/>
      <c r="AIC36" s="106"/>
      <c r="AID36" s="106"/>
      <c r="AIE36" s="106"/>
      <c r="AIF36" s="106"/>
      <c r="AIG36" s="106"/>
      <c r="AIH36" s="106"/>
      <c r="AII36" s="106"/>
      <c r="AIJ36" s="106"/>
      <c r="AIK36" s="106"/>
      <c r="AIL36" s="106"/>
      <c r="AIM36" s="106"/>
      <c r="AIN36" s="106"/>
      <c r="AIO36" s="106"/>
      <c r="AIP36" s="106"/>
      <c r="AIQ36" s="106"/>
      <c r="AIR36" s="106"/>
      <c r="AIS36" s="106"/>
      <c r="AIT36" s="106"/>
      <c r="AIU36" s="106"/>
      <c r="AIV36" s="106"/>
      <c r="AIW36" s="106"/>
      <c r="AIX36" s="106"/>
      <c r="AIY36" s="106"/>
      <c r="AIZ36" s="106"/>
      <c r="AJA36" s="106"/>
      <c r="AJB36" s="106"/>
      <c r="AJC36" s="106"/>
      <c r="AJD36" s="106"/>
      <c r="AJE36" s="106"/>
      <c r="AJF36" s="106"/>
      <c r="AJG36" s="106"/>
      <c r="AJH36" s="106"/>
      <c r="AJI36" s="106"/>
      <c r="AJJ36" s="106"/>
      <c r="AJK36" s="106"/>
      <c r="AJL36" s="106"/>
      <c r="AJM36" s="106"/>
      <c r="AJN36" s="106"/>
      <c r="AJO36" s="106"/>
      <c r="AJP36" s="106"/>
      <c r="AJQ36" s="106"/>
      <c r="AJR36" s="106"/>
      <c r="AJS36" s="106"/>
      <c r="AJT36" s="106"/>
      <c r="AJU36" s="106"/>
      <c r="AJV36" s="106"/>
      <c r="AJW36" s="106"/>
      <c r="AJX36" s="106"/>
      <c r="AJY36" s="106"/>
      <c r="AJZ36" s="106"/>
      <c r="AKA36" s="106"/>
      <c r="AKB36" s="106"/>
      <c r="AKC36" s="106"/>
      <c r="AKD36" s="106"/>
      <c r="AKE36" s="106"/>
      <c r="AKF36" s="106"/>
      <c r="AKG36" s="106"/>
      <c r="AKH36" s="106"/>
      <c r="AKI36" s="106"/>
      <c r="AKJ36" s="106"/>
      <c r="AKK36" s="106"/>
      <c r="AKL36" s="106"/>
      <c r="AKM36" s="106"/>
      <c r="AKN36" s="106"/>
      <c r="AKO36" s="106"/>
      <c r="AKP36" s="106"/>
      <c r="AKQ36" s="106"/>
      <c r="AKR36" s="106"/>
      <c r="AKS36" s="106"/>
      <c r="AKT36" s="106"/>
      <c r="AKU36" s="106"/>
      <c r="AKV36" s="106"/>
      <c r="AKW36" s="106"/>
      <c r="AKX36" s="106"/>
      <c r="AKY36" s="106"/>
      <c r="AKZ36" s="106"/>
      <c r="ALA36" s="106"/>
      <c r="ALB36" s="106"/>
      <c r="ALC36" s="106"/>
      <c r="ALD36" s="106"/>
      <c r="ALE36" s="106"/>
      <c r="ALF36" s="106"/>
      <c r="ALG36" s="106"/>
      <c r="ALH36" s="106"/>
      <c r="ALI36" s="106"/>
      <c r="ALJ36" s="106"/>
      <c r="ALK36" s="106"/>
      <c r="ALL36" s="106"/>
      <c r="ALM36" s="106"/>
      <c r="ALN36" s="106"/>
      <c r="ALO36" s="106"/>
      <c r="ALP36" s="106"/>
      <c r="ALQ36" s="106"/>
      <c r="ALR36" s="106"/>
      <c r="ALS36" s="106"/>
      <c r="ALT36" s="106"/>
      <c r="ALU36" s="106"/>
      <c r="ALV36" s="106"/>
      <c r="ALW36" s="106"/>
      <c r="ALX36" s="106"/>
      <c r="ALY36" s="106"/>
      <c r="ALZ36" s="106"/>
      <c r="AMA36" s="106"/>
      <c r="AMB36" s="106"/>
      <c r="AMC36" s="106"/>
      <c r="AMD36" s="106"/>
      <c r="AME36" s="106"/>
      <c r="AMF36" s="106"/>
      <c r="AMG36" s="106"/>
      <c r="AMH36" s="106"/>
      <c r="AMI36" s="106"/>
      <c r="AMJ36" s="106"/>
      <c r="AMK36" s="106"/>
      <c r="AML36" s="106"/>
      <c r="AMM36" s="106"/>
      <c r="AMN36" s="106"/>
      <c r="AMO36" s="106"/>
      <c r="AMP36" s="106"/>
      <c r="AMQ36" s="106"/>
      <c r="AMR36" s="106"/>
      <c r="AMS36" s="106"/>
      <c r="AMT36" s="106"/>
      <c r="AMU36" s="106"/>
      <c r="AMV36" s="106"/>
      <c r="AMW36" s="106"/>
      <c r="AMX36" s="106"/>
      <c r="AMY36" s="106"/>
      <c r="AMZ36" s="106"/>
      <c r="ANA36" s="106"/>
      <c r="ANB36" s="106"/>
      <c r="ANC36" s="106"/>
      <c r="AND36" s="106"/>
      <c r="ANE36" s="106"/>
      <c r="ANF36" s="106"/>
      <c r="ANG36" s="106"/>
      <c r="ANH36" s="106"/>
      <c r="ANI36" s="106"/>
      <c r="ANJ36" s="106"/>
      <c r="ANK36" s="106"/>
      <c r="ANL36" s="106"/>
      <c r="ANM36" s="106"/>
      <c r="ANN36" s="106"/>
      <c r="ANO36" s="106"/>
      <c r="ANP36" s="106"/>
      <c r="ANQ36" s="106"/>
      <c r="ANR36" s="106"/>
      <c r="ANS36" s="106"/>
      <c r="ANT36" s="106"/>
      <c r="ANU36" s="106"/>
      <c r="ANV36" s="106"/>
      <c r="ANW36" s="106"/>
      <c r="ANX36" s="106"/>
      <c r="ANY36" s="106"/>
      <c r="ANZ36" s="106"/>
      <c r="AOA36" s="106"/>
      <c r="AOB36" s="106"/>
      <c r="AOC36" s="106"/>
      <c r="AOD36" s="106"/>
      <c r="AOE36" s="106"/>
      <c r="AOF36" s="106"/>
      <c r="AOG36" s="106"/>
      <c r="AOH36" s="106"/>
      <c r="AOI36" s="106"/>
      <c r="AOJ36" s="106"/>
      <c r="AOK36" s="106"/>
      <c r="AOL36" s="106"/>
      <c r="AOM36" s="106"/>
      <c r="AON36" s="106"/>
      <c r="AOO36" s="106"/>
      <c r="AOP36" s="106"/>
      <c r="AOQ36" s="106"/>
      <c r="AOR36" s="106"/>
      <c r="AOS36" s="106"/>
      <c r="AOT36" s="106"/>
      <c r="AOU36" s="106"/>
      <c r="AOV36" s="106"/>
      <c r="AOW36" s="106"/>
      <c r="AOX36" s="106"/>
      <c r="AOY36" s="106"/>
      <c r="AOZ36" s="106"/>
      <c r="APA36" s="106"/>
      <c r="APB36" s="106"/>
      <c r="APC36" s="106"/>
      <c r="APD36" s="106"/>
      <c r="APE36" s="106"/>
      <c r="APF36" s="106"/>
      <c r="APG36" s="106"/>
      <c r="APH36" s="106"/>
      <c r="API36" s="106"/>
      <c r="APJ36" s="106"/>
      <c r="APK36" s="106"/>
      <c r="APL36" s="106"/>
      <c r="APM36" s="106"/>
      <c r="APN36" s="106"/>
      <c r="APO36" s="106"/>
      <c r="APP36" s="106"/>
      <c r="APQ36" s="106"/>
      <c r="APR36" s="106"/>
      <c r="APS36" s="106"/>
      <c r="APT36" s="106"/>
      <c r="APU36" s="106"/>
      <c r="APV36" s="106"/>
      <c r="APW36" s="106"/>
      <c r="APX36" s="106"/>
      <c r="APY36" s="106"/>
      <c r="APZ36" s="106"/>
      <c r="AQA36" s="106"/>
      <c r="AQB36" s="106"/>
      <c r="AQC36" s="106"/>
      <c r="AQD36" s="106"/>
      <c r="AQE36" s="106"/>
      <c r="AQF36" s="106"/>
      <c r="AQG36" s="106"/>
      <c r="AQH36" s="106"/>
      <c r="AQI36" s="106"/>
      <c r="AQJ36" s="106"/>
      <c r="AQK36" s="106"/>
      <c r="AQL36" s="106"/>
      <c r="AQM36" s="106"/>
      <c r="AQN36" s="106"/>
      <c r="AQO36" s="106"/>
      <c r="AQP36" s="106"/>
      <c r="AQQ36" s="106"/>
      <c r="AQR36" s="106"/>
      <c r="AQS36" s="106"/>
      <c r="AQT36" s="106"/>
      <c r="AQU36" s="106"/>
      <c r="AQV36" s="106"/>
      <c r="AQW36" s="106"/>
      <c r="AQX36" s="106"/>
      <c r="AQY36" s="106"/>
      <c r="AQZ36" s="106"/>
      <c r="ARA36" s="106"/>
      <c r="ARB36" s="106"/>
      <c r="ARC36" s="106"/>
      <c r="ARD36" s="106"/>
      <c r="ARE36" s="106"/>
      <c r="ARF36" s="106"/>
      <c r="ARG36" s="106"/>
      <c r="ARH36" s="106"/>
      <c r="ARI36" s="106"/>
      <c r="ARJ36" s="106"/>
      <c r="ARK36" s="106"/>
      <c r="ARL36" s="106"/>
      <c r="ARM36" s="106"/>
      <c r="ARN36" s="106"/>
      <c r="ARO36" s="106"/>
      <c r="ARP36" s="106"/>
      <c r="ARQ36" s="106"/>
      <c r="ARR36" s="106"/>
      <c r="ARS36" s="106"/>
      <c r="ART36" s="106"/>
      <c r="ARU36" s="106"/>
      <c r="ARV36" s="106"/>
      <c r="ARW36" s="106"/>
      <c r="ARX36" s="106"/>
      <c r="ARY36" s="106"/>
      <c r="ARZ36" s="106"/>
      <c r="ASA36" s="106"/>
      <c r="ASB36" s="106"/>
      <c r="ASC36" s="106"/>
      <c r="ASD36" s="106"/>
      <c r="ASE36" s="106"/>
      <c r="ASF36" s="106"/>
      <c r="ASG36" s="106"/>
      <c r="ASH36" s="106"/>
      <c r="ASI36" s="106"/>
      <c r="ASJ36" s="106"/>
      <c r="ASK36" s="106"/>
      <c r="ASL36" s="106"/>
      <c r="ASM36" s="106"/>
      <c r="ASN36" s="106"/>
      <c r="ASO36" s="106"/>
      <c r="ASP36" s="106"/>
      <c r="ASQ36" s="106"/>
      <c r="ASR36" s="106"/>
      <c r="ASS36" s="106"/>
      <c r="AST36" s="106"/>
      <c r="ASU36" s="106"/>
      <c r="ASV36" s="106"/>
      <c r="ASW36" s="106"/>
      <c r="ASX36" s="106"/>
      <c r="ASY36" s="106"/>
      <c r="ASZ36" s="106"/>
      <c r="ATA36" s="106"/>
      <c r="ATB36" s="106"/>
      <c r="ATC36" s="106"/>
      <c r="ATD36" s="106"/>
      <c r="ATE36" s="106"/>
      <c r="ATF36" s="106"/>
      <c r="ATG36" s="106"/>
      <c r="ATH36" s="106"/>
      <c r="ATI36" s="106"/>
      <c r="ATJ36" s="106"/>
      <c r="ATK36" s="106"/>
      <c r="ATL36" s="106"/>
      <c r="ATM36" s="106"/>
      <c r="ATN36" s="106"/>
      <c r="ATO36" s="106"/>
      <c r="ATP36" s="106"/>
      <c r="ATQ36" s="106"/>
      <c r="ATR36" s="106"/>
      <c r="ATS36" s="106"/>
      <c r="ATT36" s="106"/>
      <c r="ATU36" s="106"/>
      <c r="ATV36" s="106"/>
      <c r="ATW36" s="106"/>
      <c r="ATX36" s="106"/>
      <c r="ATY36" s="106"/>
      <c r="ATZ36" s="106"/>
      <c r="AUA36" s="106"/>
      <c r="AUB36" s="106"/>
      <c r="AUC36" s="106"/>
      <c r="AUD36" s="106"/>
      <c r="AUE36" s="106"/>
      <c r="AUF36" s="106"/>
      <c r="AUG36" s="106"/>
      <c r="AUH36" s="106"/>
      <c r="AUI36" s="106"/>
      <c r="AUJ36" s="106"/>
      <c r="AUK36" s="106"/>
      <c r="AUL36" s="106"/>
      <c r="AUM36" s="106"/>
      <c r="AUN36" s="106"/>
      <c r="AUO36" s="106"/>
      <c r="AUP36" s="106"/>
      <c r="AUQ36" s="106"/>
      <c r="AUR36" s="106"/>
      <c r="AUS36" s="106"/>
      <c r="AUT36" s="106"/>
      <c r="AUU36" s="106"/>
      <c r="AUV36" s="106"/>
      <c r="AUW36" s="106"/>
      <c r="AUX36" s="106"/>
      <c r="AUY36" s="106"/>
      <c r="AUZ36" s="106"/>
      <c r="AVA36" s="106"/>
      <c r="AVB36" s="106"/>
      <c r="AVC36" s="106"/>
      <c r="AVD36" s="106"/>
      <c r="AVE36" s="106"/>
      <c r="AVF36" s="106"/>
      <c r="AVG36" s="106"/>
      <c r="AVH36" s="106"/>
      <c r="AVI36" s="106"/>
      <c r="AVJ36" s="106"/>
      <c r="AVK36" s="106"/>
      <c r="AVL36" s="106"/>
      <c r="AVM36" s="106"/>
      <c r="AVN36" s="106"/>
      <c r="AVO36" s="106"/>
      <c r="AVP36" s="106"/>
      <c r="AVQ36" s="106"/>
      <c r="AVR36" s="106"/>
      <c r="AVS36" s="106"/>
      <c r="AVT36" s="106"/>
      <c r="AVU36" s="106"/>
      <c r="AVV36" s="106"/>
      <c r="AVW36" s="106"/>
      <c r="AVX36" s="106"/>
      <c r="AVY36" s="106"/>
      <c r="AVZ36" s="106"/>
      <c r="AWA36" s="106"/>
      <c r="AWB36" s="106"/>
      <c r="AWC36" s="106"/>
      <c r="AWD36" s="106"/>
      <c r="AWE36" s="106"/>
      <c r="AWF36" s="106"/>
      <c r="AWG36" s="106"/>
      <c r="AWH36" s="106"/>
      <c r="AWI36" s="106"/>
      <c r="AWJ36" s="106"/>
      <c r="AWK36" s="106"/>
      <c r="AWL36" s="106"/>
      <c r="AWM36" s="106"/>
      <c r="AWN36" s="106"/>
      <c r="AWO36" s="106"/>
      <c r="AWP36" s="106"/>
      <c r="AWQ36" s="106"/>
      <c r="AWR36" s="106"/>
      <c r="AWS36" s="106"/>
      <c r="AWT36" s="106"/>
      <c r="AWU36" s="106"/>
      <c r="AWV36" s="106"/>
      <c r="AWW36" s="106"/>
      <c r="AWX36" s="106"/>
      <c r="AWY36" s="106"/>
      <c r="AWZ36" s="106"/>
      <c r="AXA36" s="106"/>
      <c r="AXB36" s="106"/>
      <c r="AXC36" s="106"/>
      <c r="AXD36" s="106"/>
      <c r="AXE36" s="106"/>
      <c r="AXF36" s="106"/>
      <c r="AXG36" s="106"/>
      <c r="AXH36" s="106"/>
      <c r="AXI36" s="106"/>
      <c r="AXJ36" s="106"/>
      <c r="AXK36" s="106"/>
      <c r="AXL36" s="106"/>
      <c r="AXM36" s="106"/>
      <c r="AXN36" s="106"/>
      <c r="AXO36" s="106"/>
      <c r="AXP36" s="106"/>
      <c r="AXQ36" s="106"/>
      <c r="AXR36" s="106"/>
      <c r="AXS36" s="106"/>
      <c r="AXT36" s="106"/>
      <c r="AXU36" s="106"/>
      <c r="AXV36" s="106"/>
      <c r="AXW36" s="106"/>
      <c r="AXX36" s="106"/>
      <c r="AXY36" s="106"/>
      <c r="AXZ36" s="106"/>
      <c r="AYA36" s="106"/>
      <c r="AYB36" s="106"/>
      <c r="AYC36" s="106"/>
      <c r="AYD36" s="106"/>
      <c r="AYE36" s="106"/>
      <c r="AYF36" s="106"/>
      <c r="AYG36" s="106"/>
      <c r="AYH36" s="106"/>
      <c r="AYI36" s="106"/>
      <c r="AYJ36" s="106"/>
      <c r="AYK36" s="106"/>
      <c r="AYL36" s="106"/>
      <c r="AYM36" s="106"/>
      <c r="AYN36" s="106"/>
      <c r="AYO36" s="106"/>
      <c r="AYP36" s="106"/>
      <c r="AYQ36" s="106"/>
      <c r="AYR36" s="106"/>
      <c r="AYS36" s="106"/>
      <c r="AYT36" s="106"/>
      <c r="AYU36" s="106"/>
      <c r="AYV36" s="106"/>
      <c r="AYW36" s="106"/>
      <c r="AYX36" s="106"/>
      <c r="AYY36" s="106"/>
      <c r="AYZ36" s="106"/>
      <c r="AZA36" s="106"/>
      <c r="AZB36" s="106"/>
      <c r="AZC36" s="106"/>
      <c r="AZD36" s="106"/>
      <c r="AZE36" s="106"/>
      <c r="AZF36" s="106"/>
      <c r="AZG36" s="106"/>
      <c r="AZH36" s="106"/>
      <c r="AZI36" s="106"/>
      <c r="AZJ36" s="106"/>
      <c r="AZK36" s="106"/>
      <c r="AZL36" s="106"/>
      <c r="AZM36" s="106"/>
      <c r="AZN36" s="106"/>
      <c r="AZO36" s="106"/>
      <c r="AZP36" s="106"/>
      <c r="AZQ36" s="106"/>
      <c r="AZR36" s="106"/>
      <c r="AZS36" s="106"/>
      <c r="AZT36" s="106"/>
      <c r="AZU36" s="106"/>
      <c r="AZV36" s="106"/>
      <c r="AZW36" s="106"/>
      <c r="AZX36" s="106"/>
      <c r="AZY36" s="106"/>
      <c r="AZZ36" s="106"/>
      <c r="BAA36" s="106"/>
      <c r="BAB36" s="106"/>
      <c r="BAC36" s="106"/>
      <c r="BAD36" s="106"/>
      <c r="BAE36" s="106"/>
      <c r="BAF36" s="106"/>
      <c r="BAG36" s="106"/>
      <c r="BAH36" s="106"/>
      <c r="BAI36" s="106"/>
      <c r="BAJ36" s="106"/>
      <c r="BAK36" s="106"/>
      <c r="BAL36" s="106"/>
      <c r="BAM36" s="106"/>
      <c r="BAN36" s="106"/>
      <c r="BAO36" s="106"/>
      <c r="BAP36" s="106"/>
      <c r="BAQ36" s="106"/>
      <c r="BAR36" s="106"/>
      <c r="BAS36" s="106"/>
      <c r="BAT36" s="106"/>
      <c r="BAU36" s="106"/>
      <c r="BAV36" s="106"/>
      <c r="BAW36" s="106"/>
      <c r="BAX36" s="106"/>
      <c r="BAY36" s="106"/>
      <c r="BAZ36" s="106"/>
      <c r="BBA36" s="106"/>
      <c r="BBB36" s="106"/>
      <c r="BBC36" s="106"/>
      <c r="BBD36" s="106"/>
      <c r="BBE36" s="106"/>
      <c r="BBF36" s="106"/>
      <c r="BBG36" s="106"/>
      <c r="BBH36" s="106"/>
      <c r="BBI36" s="106"/>
      <c r="BBJ36" s="106"/>
      <c r="BBK36" s="106"/>
      <c r="BBL36" s="106"/>
      <c r="BBM36" s="106"/>
      <c r="BBN36" s="106"/>
      <c r="BBO36" s="106"/>
      <c r="BBP36" s="106"/>
      <c r="BBQ36" s="106"/>
      <c r="BBR36" s="106"/>
      <c r="BBS36" s="106"/>
      <c r="BBT36" s="106"/>
      <c r="BBU36" s="106"/>
      <c r="BBV36" s="106"/>
      <c r="BBW36" s="106"/>
      <c r="BBX36" s="106"/>
      <c r="BBY36" s="106"/>
      <c r="BBZ36" s="106"/>
      <c r="BCA36" s="106"/>
      <c r="BCB36" s="106"/>
      <c r="BCC36" s="106"/>
      <c r="BCD36" s="106"/>
      <c r="BCE36" s="106"/>
      <c r="BCF36" s="106"/>
      <c r="BCG36" s="106"/>
      <c r="BCH36" s="106"/>
      <c r="BCI36" s="106"/>
      <c r="BCJ36" s="106"/>
      <c r="BCK36" s="106"/>
      <c r="BCL36" s="106"/>
      <c r="BCM36" s="106"/>
      <c r="BCN36" s="106"/>
      <c r="BCO36" s="106"/>
      <c r="BCP36" s="106"/>
      <c r="BCQ36" s="106"/>
      <c r="BCR36" s="106"/>
      <c r="BCS36" s="106"/>
      <c r="BCT36" s="106"/>
      <c r="BCU36" s="106"/>
      <c r="BCV36" s="106"/>
      <c r="BCW36" s="106"/>
      <c r="BCX36" s="106"/>
      <c r="BCY36" s="106"/>
      <c r="BCZ36" s="106"/>
      <c r="BDA36" s="106"/>
      <c r="BDB36" s="106"/>
      <c r="BDC36" s="106"/>
      <c r="BDD36" s="106"/>
      <c r="BDE36" s="106"/>
      <c r="BDF36" s="106"/>
      <c r="BDG36" s="106"/>
      <c r="BDH36" s="106"/>
      <c r="BDI36" s="106"/>
      <c r="BDJ36" s="106"/>
      <c r="BDK36" s="106"/>
      <c r="BDL36" s="106"/>
      <c r="BDM36" s="106"/>
      <c r="BDN36" s="106"/>
      <c r="BDO36" s="106"/>
      <c r="BDP36" s="106"/>
      <c r="BDQ36" s="106"/>
      <c r="BDR36" s="106"/>
      <c r="BDS36" s="106"/>
      <c r="BDT36" s="106"/>
      <c r="BDU36" s="106"/>
      <c r="BDV36" s="106"/>
      <c r="BDW36" s="106"/>
      <c r="BDX36" s="106"/>
      <c r="BDY36" s="106"/>
      <c r="BDZ36" s="106"/>
      <c r="BEA36" s="106"/>
      <c r="BEB36" s="106"/>
      <c r="BEC36" s="106"/>
      <c r="BED36" s="106"/>
      <c r="BEE36" s="106"/>
      <c r="BEF36" s="106"/>
      <c r="BEG36" s="106"/>
      <c r="BEH36" s="106"/>
      <c r="BEI36" s="106"/>
      <c r="BEJ36" s="106"/>
      <c r="BEK36" s="106"/>
      <c r="BEL36" s="106"/>
      <c r="BEM36" s="106"/>
      <c r="BEN36" s="106"/>
      <c r="BEO36" s="106"/>
      <c r="BEP36" s="106"/>
      <c r="BEQ36" s="106"/>
      <c r="BER36" s="106"/>
      <c r="BES36" s="106"/>
      <c r="BET36" s="106"/>
      <c r="BEU36" s="106"/>
      <c r="BEV36" s="106"/>
      <c r="BEW36" s="106"/>
      <c r="BEX36" s="106"/>
      <c r="BEY36" s="106"/>
      <c r="BEZ36" s="106"/>
      <c r="BFA36" s="106"/>
      <c r="BFB36" s="106"/>
      <c r="BFC36" s="106"/>
      <c r="BFD36" s="106"/>
      <c r="BFE36" s="106"/>
      <c r="BFF36" s="106"/>
      <c r="BFG36" s="106"/>
      <c r="BFH36" s="106"/>
      <c r="BFI36" s="106"/>
      <c r="BFJ36" s="106"/>
      <c r="BFK36" s="106"/>
      <c r="BFL36" s="106"/>
      <c r="BFM36" s="106"/>
      <c r="BFN36" s="106"/>
      <c r="BFO36" s="106"/>
      <c r="BFP36" s="106"/>
      <c r="BFQ36" s="106"/>
      <c r="BFR36" s="106"/>
      <c r="BFS36" s="106"/>
      <c r="BFT36" s="106"/>
      <c r="BFU36" s="106"/>
      <c r="BFV36" s="106"/>
      <c r="BFW36" s="106"/>
      <c r="BFX36" s="106"/>
      <c r="BFY36" s="106"/>
      <c r="BFZ36" s="106"/>
      <c r="BGA36" s="106"/>
      <c r="BGB36" s="106"/>
      <c r="BGC36" s="106"/>
      <c r="BGD36" s="106"/>
      <c r="BGE36" s="106"/>
      <c r="BGF36" s="106"/>
      <c r="BGG36" s="106"/>
      <c r="BGH36" s="106"/>
      <c r="BGI36" s="106"/>
      <c r="BGJ36" s="106"/>
      <c r="BGK36" s="106"/>
      <c r="BGL36" s="106"/>
      <c r="BGM36" s="106"/>
      <c r="BGN36" s="106"/>
      <c r="BGO36" s="106"/>
      <c r="BGP36" s="106"/>
      <c r="BGQ36" s="106"/>
      <c r="BGR36" s="106"/>
      <c r="BGS36" s="106"/>
      <c r="BGT36" s="106"/>
      <c r="BGU36" s="106"/>
      <c r="BGV36" s="106"/>
      <c r="BGW36" s="106"/>
      <c r="BGX36" s="106"/>
      <c r="BGY36" s="106"/>
      <c r="BGZ36" s="106"/>
      <c r="BHA36" s="106"/>
      <c r="BHB36" s="106"/>
      <c r="BHC36" s="106"/>
      <c r="BHD36" s="106"/>
      <c r="BHE36" s="106"/>
      <c r="BHF36" s="106"/>
      <c r="BHG36" s="106"/>
      <c r="BHH36" s="106"/>
      <c r="BHI36" s="106"/>
      <c r="BHJ36" s="106"/>
      <c r="BHK36" s="106"/>
      <c r="BHL36" s="106"/>
      <c r="BHM36" s="106"/>
      <c r="BHN36" s="106"/>
      <c r="BHO36" s="106"/>
      <c r="BHP36" s="106"/>
      <c r="BHQ36" s="106"/>
      <c r="BHR36" s="106"/>
      <c r="BHS36" s="106"/>
      <c r="BHT36" s="106"/>
      <c r="BHU36" s="106"/>
      <c r="BHV36" s="106"/>
      <c r="BHW36" s="106"/>
      <c r="BHX36" s="106"/>
      <c r="BHY36" s="106"/>
      <c r="BHZ36" s="106"/>
      <c r="BIA36" s="106"/>
      <c r="BIB36" s="106"/>
      <c r="BIC36" s="106"/>
      <c r="BID36" s="106"/>
      <c r="BIE36" s="106"/>
      <c r="BIF36" s="106"/>
      <c r="BIG36" s="106"/>
      <c r="BIH36" s="106"/>
      <c r="BII36" s="106"/>
      <c r="BIJ36" s="106"/>
      <c r="BIK36" s="106"/>
      <c r="BIL36" s="106"/>
      <c r="BIM36" s="106"/>
      <c r="BIN36" s="106"/>
      <c r="BIO36" s="106"/>
      <c r="BIP36" s="106"/>
      <c r="BIQ36" s="106"/>
      <c r="BIR36" s="106"/>
      <c r="BIS36" s="106"/>
      <c r="BIT36" s="106"/>
      <c r="BIU36" s="106"/>
      <c r="BIV36" s="106"/>
      <c r="BIW36" s="106"/>
      <c r="BIX36" s="106"/>
      <c r="BIY36" s="106"/>
      <c r="BIZ36" s="106"/>
      <c r="BJA36" s="106"/>
      <c r="BJB36" s="106"/>
      <c r="BJC36" s="106"/>
      <c r="BJD36" s="106"/>
      <c r="BJE36" s="106"/>
      <c r="BJF36" s="106"/>
      <c r="BJG36" s="106"/>
      <c r="BJH36" s="106"/>
      <c r="BJI36" s="106"/>
      <c r="BJJ36" s="106"/>
      <c r="BJK36" s="106"/>
      <c r="BJL36" s="106"/>
      <c r="BJM36" s="106"/>
      <c r="BJN36" s="106"/>
      <c r="BJO36" s="106"/>
      <c r="BJP36" s="106"/>
      <c r="BJQ36" s="106"/>
      <c r="BJR36" s="106"/>
      <c r="BJS36" s="106"/>
      <c r="BJT36" s="106"/>
      <c r="BJU36" s="106"/>
      <c r="BJV36" s="106"/>
      <c r="BJW36" s="106"/>
      <c r="BJX36" s="106"/>
      <c r="BJY36" s="106"/>
      <c r="BJZ36" s="106"/>
      <c r="BKA36" s="106"/>
      <c r="BKB36" s="106"/>
      <c r="BKC36" s="106"/>
      <c r="BKD36" s="106"/>
      <c r="BKE36" s="106"/>
      <c r="BKF36" s="106"/>
      <c r="BKG36" s="106"/>
      <c r="BKH36" s="106"/>
      <c r="BKI36" s="106"/>
      <c r="BKJ36" s="106"/>
      <c r="BKK36" s="106"/>
      <c r="BKL36" s="106"/>
      <c r="BKM36" s="106"/>
      <c r="BKN36" s="106"/>
      <c r="BKO36" s="106"/>
      <c r="BKP36" s="106"/>
      <c r="BKQ36" s="106"/>
      <c r="BKR36" s="106"/>
      <c r="BKS36" s="106"/>
      <c r="BKT36" s="106"/>
      <c r="BKU36" s="106"/>
      <c r="BKV36" s="106"/>
      <c r="BKW36" s="106"/>
      <c r="BKX36" s="106"/>
      <c r="BKY36" s="106"/>
      <c r="BKZ36" s="106"/>
      <c r="BLA36" s="106"/>
      <c r="BLB36" s="106"/>
      <c r="BLC36" s="106"/>
      <c r="BLD36" s="106"/>
      <c r="BLE36" s="106"/>
      <c r="BLF36" s="106"/>
      <c r="BLG36" s="106"/>
      <c r="BLH36" s="106"/>
      <c r="BLI36" s="106"/>
      <c r="BLJ36" s="106"/>
      <c r="BLK36" s="106"/>
      <c r="BLL36" s="106"/>
      <c r="BLM36" s="106"/>
      <c r="BLN36" s="106"/>
      <c r="BLO36" s="106"/>
      <c r="BLP36" s="106"/>
      <c r="BLQ36" s="106"/>
      <c r="BLR36" s="106"/>
      <c r="BLS36" s="106"/>
      <c r="BLT36" s="106"/>
      <c r="BLU36" s="106"/>
      <c r="BLV36" s="106"/>
      <c r="BLW36" s="106"/>
      <c r="BLX36" s="106"/>
      <c r="BLY36" s="106"/>
      <c r="BLZ36" s="106"/>
      <c r="BMA36" s="106"/>
      <c r="BMB36" s="106"/>
      <c r="BMC36" s="106"/>
      <c r="BMD36" s="106"/>
      <c r="BME36" s="106"/>
      <c r="BMF36" s="106"/>
      <c r="BMG36" s="106"/>
      <c r="BMH36" s="106"/>
      <c r="BMI36" s="106"/>
      <c r="BMJ36" s="106"/>
      <c r="BMK36" s="106"/>
      <c r="BML36" s="106"/>
      <c r="BMM36" s="106"/>
      <c r="BMN36" s="106"/>
      <c r="BMO36" s="106"/>
      <c r="BMP36" s="106"/>
      <c r="BMQ36" s="106"/>
      <c r="BMR36" s="106"/>
      <c r="BMS36" s="106"/>
      <c r="BMT36" s="106"/>
      <c r="BMU36" s="106"/>
      <c r="BMV36" s="106"/>
      <c r="BMW36" s="106"/>
      <c r="BMX36" s="106"/>
      <c r="BMY36" s="106"/>
      <c r="BMZ36" s="106"/>
      <c r="BNA36" s="106"/>
      <c r="BNB36" s="106"/>
      <c r="BNC36" s="106"/>
      <c r="BND36" s="106"/>
      <c r="BNE36" s="106"/>
      <c r="BNF36" s="106"/>
      <c r="BNG36" s="106"/>
      <c r="BNH36" s="106"/>
      <c r="BNI36" s="106"/>
      <c r="BNJ36" s="106"/>
      <c r="BNK36" s="106"/>
      <c r="BNL36" s="106"/>
      <c r="BNM36" s="106"/>
      <c r="BNN36" s="106"/>
      <c r="BNO36" s="106"/>
      <c r="BNP36" s="106"/>
      <c r="BNQ36" s="106"/>
      <c r="BNR36" s="106"/>
      <c r="BNS36" s="106"/>
      <c r="BNT36" s="106"/>
      <c r="BNU36" s="106"/>
      <c r="BNV36" s="106"/>
      <c r="BNW36" s="106"/>
      <c r="BNX36" s="106"/>
      <c r="BNY36" s="106"/>
      <c r="BNZ36" s="106"/>
      <c r="BOA36" s="106"/>
      <c r="BOB36" s="106"/>
      <c r="BOC36" s="106"/>
      <c r="BOD36" s="106"/>
      <c r="BOE36" s="106"/>
      <c r="BOF36" s="106"/>
      <c r="BOG36" s="106"/>
      <c r="BOH36" s="106"/>
      <c r="BOI36" s="106"/>
      <c r="BOJ36" s="106"/>
      <c r="BOK36" s="106"/>
      <c r="BOL36" s="106"/>
      <c r="BOM36" s="106"/>
      <c r="BON36" s="106"/>
      <c r="BOO36" s="106"/>
      <c r="BOP36" s="106"/>
      <c r="BOQ36" s="106"/>
      <c r="BOR36" s="106"/>
      <c r="BOS36" s="106"/>
      <c r="BOT36" s="106"/>
      <c r="BOU36" s="106"/>
      <c r="BOV36" s="106"/>
      <c r="BOW36" s="106"/>
      <c r="BOX36" s="106"/>
      <c r="BOY36" s="106"/>
      <c r="BOZ36" s="106"/>
      <c r="BPA36" s="106"/>
      <c r="BPB36" s="106"/>
      <c r="BPC36" s="106"/>
      <c r="BPD36" s="106"/>
      <c r="BPE36" s="106"/>
      <c r="BPF36" s="106"/>
      <c r="BPG36" s="106"/>
      <c r="BPH36" s="106"/>
      <c r="BPI36" s="106"/>
      <c r="BPJ36" s="106"/>
      <c r="BPK36" s="106"/>
      <c r="BPL36" s="106"/>
      <c r="BPM36" s="106"/>
      <c r="BPN36" s="106"/>
      <c r="BPO36" s="106"/>
      <c r="BPP36" s="106"/>
      <c r="BPQ36" s="106"/>
      <c r="BPR36" s="106"/>
      <c r="BPS36" s="106"/>
      <c r="BPT36" s="106"/>
      <c r="BPU36" s="106"/>
      <c r="BPV36" s="106"/>
      <c r="BPW36" s="106"/>
      <c r="BPX36" s="106"/>
      <c r="BPY36" s="106"/>
      <c r="BPZ36" s="106"/>
      <c r="BQA36" s="106"/>
      <c r="BQB36" s="106"/>
      <c r="BQC36" s="106"/>
      <c r="BQD36" s="106"/>
      <c r="BQE36" s="106"/>
      <c r="BQF36" s="106"/>
      <c r="BQG36" s="106"/>
      <c r="BQH36" s="106"/>
      <c r="BQI36" s="106"/>
      <c r="BQJ36" s="106"/>
      <c r="BQK36" s="106"/>
      <c r="BQL36" s="106"/>
      <c r="BQM36" s="106"/>
      <c r="BQN36" s="106"/>
      <c r="BQO36" s="106"/>
      <c r="BQP36" s="106"/>
      <c r="BQQ36" s="106"/>
      <c r="BQR36" s="106"/>
      <c r="BQS36" s="106"/>
      <c r="BQT36" s="106"/>
      <c r="BQU36" s="106"/>
      <c r="BQV36" s="106"/>
      <c r="BQW36" s="106"/>
      <c r="BQX36" s="106"/>
      <c r="BQY36" s="106"/>
      <c r="BQZ36" s="106"/>
      <c r="BRA36" s="106"/>
      <c r="BRB36" s="106"/>
      <c r="BRC36" s="106"/>
      <c r="BRD36" s="106"/>
      <c r="BRE36" s="106"/>
      <c r="BRF36" s="106"/>
      <c r="BRG36" s="106"/>
      <c r="BRH36" s="106"/>
      <c r="BRI36" s="106"/>
      <c r="BRJ36" s="106"/>
      <c r="BRK36" s="106"/>
      <c r="BRL36" s="106"/>
      <c r="BRM36" s="106"/>
      <c r="BRN36" s="106"/>
      <c r="BRO36" s="106"/>
      <c r="BRP36" s="106"/>
      <c r="BRQ36" s="106"/>
      <c r="BRR36" s="106"/>
      <c r="BRS36" s="106"/>
      <c r="BRT36" s="106"/>
      <c r="BRU36" s="106"/>
      <c r="BRV36" s="106"/>
      <c r="BRW36" s="106"/>
      <c r="BRX36" s="106"/>
      <c r="BRY36" s="106"/>
      <c r="BRZ36" s="106"/>
      <c r="BSA36" s="106"/>
      <c r="BSB36" s="106"/>
      <c r="BSC36" s="106"/>
      <c r="BSD36" s="106"/>
      <c r="BSE36" s="106"/>
      <c r="BSF36" s="106"/>
      <c r="BSG36" s="106"/>
      <c r="BSH36" s="106"/>
      <c r="BSI36" s="106"/>
      <c r="BSJ36" s="106"/>
      <c r="BSK36" s="106"/>
      <c r="BSL36" s="106"/>
      <c r="BSM36" s="106"/>
      <c r="BSN36" s="106"/>
      <c r="BSO36" s="106"/>
      <c r="BSP36" s="106"/>
      <c r="BSQ36" s="106"/>
      <c r="BSR36" s="106"/>
      <c r="BSS36" s="106"/>
      <c r="BST36" s="106"/>
      <c r="BSU36" s="106"/>
      <c r="BSV36" s="106"/>
      <c r="BSW36" s="106"/>
      <c r="BSX36" s="106"/>
      <c r="BSY36" s="106"/>
      <c r="BSZ36" s="106"/>
      <c r="BTA36" s="106"/>
      <c r="BTB36" s="106"/>
      <c r="BTC36" s="106"/>
      <c r="BTD36" s="106"/>
      <c r="BTE36" s="106"/>
      <c r="BTF36" s="106"/>
      <c r="BTG36" s="106"/>
      <c r="BTH36" s="106"/>
      <c r="BTI36" s="106"/>
      <c r="BTJ36" s="106"/>
      <c r="BTK36" s="106"/>
      <c r="BTL36" s="106"/>
      <c r="BTM36" s="106"/>
      <c r="BTN36" s="106"/>
      <c r="BTO36" s="106"/>
      <c r="BTP36" s="106"/>
      <c r="BTQ36" s="106"/>
      <c r="BTR36" s="106"/>
      <c r="BTS36" s="106"/>
      <c r="BTT36" s="106"/>
      <c r="BTU36" s="106"/>
      <c r="BTV36" s="106"/>
      <c r="BTW36" s="106"/>
      <c r="BTX36" s="106"/>
      <c r="BTY36" s="106"/>
      <c r="BTZ36" s="106"/>
      <c r="BUA36" s="106"/>
      <c r="BUB36" s="106"/>
      <c r="BUC36" s="106"/>
      <c r="BUD36" s="106"/>
      <c r="BUE36" s="106"/>
      <c r="BUF36" s="106"/>
      <c r="BUG36" s="106"/>
      <c r="BUH36" s="106"/>
      <c r="BUI36" s="106"/>
      <c r="BUJ36" s="106"/>
      <c r="BUK36" s="106"/>
      <c r="BUL36" s="106"/>
      <c r="BUM36" s="106"/>
      <c r="BUN36" s="106"/>
      <c r="BUO36" s="106"/>
      <c r="BUP36" s="106"/>
      <c r="BUQ36" s="106"/>
      <c r="BUR36" s="106"/>
      <c r="BUS36" s="106"/>
      <c r="BUT36" s="106"/>
      <c r="BUU36" s="106"/>
      <c r="BUV36" s="106"/>
      <c r="BUW36" s="106"/>
      <c r="BUX36" s="106"/>
      <c r="BUY36" s="106"/>
      <c r="BUZ36" s="106"/>
      <c r="BVA36" s="106"/>
      <c r="BVB36" s="106"/>
      <c r="BVC36" s="106"/>
      <c r="BVD36" s="106"/>
      <c r="BVE36" s="106"/>
      <c r="BVF36" s="106"/>
      <c r="BVG36" s="106"/>
      <c r="BVH36" s="106"/>
      <c r="BVI36" s="106"/>
      <c r="BVJ36" s="106"/>
      <c r="BVK36" s="106"/>
      <c r="BVL36" s="106"/>
      <c r="BVM36" s="106"/>
      <c r="BVN36" s="106"/>
      <c r="BVO36" s="106"/>
      <c r="BVP36" s="106"/>
      <c r="BVQ36" s="106"/>
      <c r="BVR36" s="106"/>
      <c r="BVS36" s="106"/>
      <c r="BVT36" s="106"/>
      <c r="BVU36" s="106"/>
      <c r="BVV36" s="106"/>
      <c r="BVW36" s="106"/>
      <c r="BVX36" s="106"/>
      <c r="BVY36" s="106"/>
      <c r="BVZ36" s="106"/>
      <c r="BWA36" s="106"/>
      <c r="BWB36" s="106"/>
      <c r="BWC36" s="106"/>
      <c r="BWD36" s="106"/>
    </row>
    <row r="37" spans="1:1954" ht="16.5" x14ac:dyDescent="0.3">
      <c r="A37" s="187" t="s">
        <v>308</v>
      </c>
      <c r="B37" s="188">
        <v>13692.621397303436</v>
      </c>
      <c r="C37" s="188">
        <v>2990.3604831516</v>
      </c>
      <c r="D37" s="188">
        <v>16682.981880455038</v>
      </c>
      <c r="F37" s="185"/>
      <c r="G37" s="185"/>
      <c r="H37" s="185"/>
      <c r="J37" s="186"/>
      <c r="K37" s="186"/>
      <c r="L37" s="186"/>
    </row>
    <row r="38" spans="1:1954" ht="16.5" x14ac:dyDescent="0.3">
      <c r="A38" s="189" t="s">
        <v>309</v>
      </c>
      <c r="B38" s="190">
        <v>10954.248733132828</v>
      </c>
      <c r="C38" s="190">
        <v>2774.5133462916001</v>
      </c>
      <c r="D38" s="190">
        <v>13728.762079424427</v>
      </c>
      <c r="F38" s="185"/>
      <c r="G38" s="185"/>
      <c r="H38" s="185"/>
      <c r="J38" s="186"/>
      <c r="K38" s="186"/>
      <c r="L38" s="186"/>
    </row>
    <row r="39" spans="1:1954" ht="16.5" x14ac:dyDescent="0.3">
      <c r="A39" s="191" t="s">
        <v>310</v>
      </c>
      <c r="B39" s="192">
        <v>2907.5241904808559</v>
      </c>
      <c r="C39" s="192">
        <v>2626.7988257516004</v>
      </c>
      <c r="D39" s="192">
        <v>5534.3230162324562</v>
      </c>
      <c r="F39" s="185"/>
      <c r="G39" s="185"/>
      <c r="H39" s="185"/>
      <c r="J39" s="186"/>
      <c r="K39" s="186"/>
      <c r="L39" s="186"/>
    </row>
    <row r="40" spans="1:1954" ht="16.5" x14ac:dyDescent="0.3">
      <c r="A40" s="191" t="s">
        <v>311</v>
      </c>
      <c r="B40" s="192">
        <v>8046.7245426519703</v>
      </c>
      <c r="C40" s="192">
        <v>147.71452054</v>
      </c>
      <c r="D40" s="192">
        <v>8194.4390631919705</v>
      </c>
      <c r="F40" s="185"/>
      <c r="G40" s="185"/>
      <c r="H40" s="185"/>
      <c r="J40" s="186"/>
      <c r="K40" s="186"/>
      <c r="L40" s="186"/>
    </row>
    <row r="41" spans="1:1954" ht="16.5" x14ac:dyDescent="0.3">
      <c r="A41" s="191" t="s">
        <v>312</v>
      </c>
      <c r="B41" s="192">
        <v>215.78022851563793</v>
      </c>
      <c r="C41" s="192">
        <v>7.9068162599999994</v>
      </c>
      <c r="D41" s="192">
        <v>223.68704477563793</v>
      </c>
      <c r="F41" s="185"/>
      <c r="G41" s="185"/>
      <c r="H41" s="185"/>
      <c r="J41" s="186"/>
      <c r="K41" s="186"/>
      <c r="L41" s="186"/>
    </row>
    <row r="42" spans="1:1954" ht="16.5" x14ac:dyDescent="0.3">
      <c r="A42" s="191" t="s">
        <v>313</v>
      </c>
      <c r="B42" s="192">
        <v>417.37680514633263</v>
      </c>
      <c r="C42" s="192">
        <v>18.816799449999998</v>
      </c>
      <c r="D42" s="192">
        <v>436.19360459633259</v>
      </c>
      <c r="F42" s="185"/>
      <c r="G42" s="185"/>
      <c r="H42" s="185"/>
      <c r="J42" s="186"/>
      <c r="K42" s="186"/>
      <c r="L42" s="186"/>
    </row>
    <row r="43" spans="1:1954" ht="16.5" x14ac:dyDescent="0.3">
      <c r="A43" s="191" t="s">
        <v>314</v>
      </c>
      <c r="B43" s="192">
        <v>5290.2930323600003</v>
      </c>
      <c r="C43" s="192">
        <v>24.825712509999999</v>
      </c>
      <c r="D43" s="192">
        <v>5315.1187448700011</v>
      </c>
      <c r="F43" s="185"/>
      <c r="G43" s="185"/>
      <c r="H43" s="185"/>
      <c r="J43" s="186"/>
      <c r="K43" s="186"/>
      <c r="L43" s="186"/>
    </row>
    <row r="44" spans="1:1954" ht="16.5" x14ac:dyDescent="0.3">
      <c r="A44" s="191" t="s">
        <v>315</v>
      </c>
      <c r="B44" s="192">
        <v>2123.2744766300002</v>
      </c>
      <c r="C44" s="192">
        <v>96.165192320000003</v>
      </c>
      <c r="D44" s="192">
        <v>2219.4396689499999</v>
      </c>
      <c r="F44" s="185"/>
      <c r="G44" s="185"/>
      <c r="H44" s="185"/>
      <c r="J44" s="186"/>
      <c r="K44" s="186"/>
      <c r="L44" s="186"/>
    </row>
    <row r="45" spans="1:1954" ht="16.5" x14ac:dyDescent="0.3">
      <c r="A45" s="189" t="s">
        <v>316</v>
      </c>
      <c r="B45" s="190">
        <v>1182.4686392221727</v>
      </c>
      <c r="C45" s="190">
        <v>7.8745599999999999E-2</v>
      </c>
      <c r="D45" s="190">
        <v>1182.5473848221727</v>
      </c>
      <c r="F45" s="185"/>
      <c r="G45" s="185"/>
      <c r="H45" s="185"/>
      <c r="J45" s="186"/>
      <c r="K45" s="186"/>
      <c r="L45" s="186"/>
    </row>
    <row r="46" spans="1:1954" ht="16.5" x14ac:dyDescent="0.3">
      <c r="A46" s="189" t="s">
        <v>317</v>
      </c>
      <c r="B46" s="190">
        <v>1555.9040249484367</v>
      </c>
      <c r="C46" s="190">
        <v>215.76839125999999</v>
      </c>
      <c r="D46" s="190">
        <v>1771.6724162084367</v>
      </c>
      <c r="F46" s="185"/>
      <c r="G46" s="185"/>
      <c r="H46" s="185"/>
      <c r="J46" s="186"/>
      <c r="K46" s="186"/>
      <c r="L46" s="186"/>
    </row>
    <row r="47" spans="1:1954" ht="16.5" x14ac:dyDescent="0.3">
      <c r="A47" s="187" t="s">
        <v>318</v>
      </c>
      <c r="B47" s="188">
        <v>20319.167376834961</v>
      </c>
      <c r="C47" s="188">
        <v>2206.8768240410195</v>
      </c>
      <c r="D47" s="188">
        <v>22526.044200875978</v>
      </c>
      <c r="F47" s="185"/>
      <c r="G47" s="185"/>
      <c r="H47" s="185"/>
      <c r="J47" s="186"/>
      <c r="K47" s="186"/>
      <c r="L47" s="186"/>
    </row>
    <row r="48" spans="1:1954" ht="16.5" x14ac:dyDescent="0.3">
      <c r="A48" s="189" t="s">
        <v>319</v>
      </c>
      <c r="B48" s="190">
        <v>3353.1433759070401</v>
      </c>
      <c r="C48" s="190">
        <v>162.23346502000001</v>
      </c>
      <c r="D48" s="190">
        <v>3515.3768409270401</v>
      </c>
      <c r="F48" s="185"/>
      <c r="G48" s="185"/>
      <c r="H48" s="185"/>
      <c r="J48" s="186"/>
      <c r="K48" s="186"/>
      <c r="L48" s="186"/>
    </row>
    <row r="49" spans="1:1954" ht="16.5" x14ac:dyDescent="0.3">
      <c r="A49" s="189" t="s">
        <v>320</v>
      </c>
      <c r="B49" s="190">
        <v>10057.669379262017</v>
      </c>
      <c r="C49" s="190">
        <v>1821.643440659562</v>
      </c>
      <c r="D49" s="190">
        <v>11879.312819921577</v>
      </c>
      <c r="F49" s="185"/>
      <c r="G49" s="185"/>
      <c r="H49" s="185"/>
      <c r="J49" s="186"/>
      <c r="K49" s="186"/>
      <c r="L49" s="186"/>
    </row>
    <row r="50" spans="1:1954" ht="16.5" x14ac:dyDescent="0.3">
      <c r="A50" s="189" t="s">
        <v>321</v>
      </c>
      <c r="B50" s="190">
        <v>6908.3546216659033</v>
      </c>
      <c r="C50" s="190">
        <v>222.99991836145745</v>
      </c>
      <c r="D50" s="190">
        <v>7131.3545400273597</v>
      </c>
      <c r="F50" s="185"/>
      <c r="G50" s="185"/>
      <c r="H50" s="185"/>
      <c r="J50" s="186"/>
      <c r="K50" s="186"/>
      <c r="L50" s="186"/>
    </row>
    <row r="51" spans="1:1954" ht="16.5" x14ac:dyDescent="0.3">
      <c r="A51" s="187" t="s">
        <v>322</v>
      </c>
      <c r="B51" s="188">
        <v>4249.5991890886053</v>
      </c>
      <c r="C51" s="188">
        <v>1403.6253940182555</v>
      </c>
      <c r="D51" s="188">
        <v>5653.2245831068612</v>
      </c>
      <c r="F51" s="185"/>
      <c r="G51" s="185"/>
      <c r="H51" s="185"/>
      <c r="J51" s="186"/>
      <c r="K51" s="186"/>
      <c r="L51" s="186"/>
    </row>
    <row r="52" spans="1:1954" ht="16.5" x14ac:dyDescent="0.3">
      <c r="A52" s="189" t="s">
        <v>323</v>
      </c>
      <c r="B52" s="190">
        <v>859.33561613214044</v>
      </c>
      <c r="C52" s="190">
        <v>46.881213760000009</v>
      </c>
      <c r="D52" s="190">
        <v>906.21682989214037</v>
      </c>
      <c r="F52" s="185"/>
      <c r="G52" s="185"/>
      <c r="H52" s="185"/>
      <c r="J52" s="186"/>
      <c r="K52" s="186"/>
      <c r="L52" s="186"/>
    </row>
    <row r="53" spans="1:1954" ht="16.5" x14ac:dyDescent="0.3">
      <c r="A53" s="189" t="s">
        <v>324</v>
      </c>
      <c r="B53" s="190">
        <v>59.308561666601925</v>
      </c>
      <c r="C53" s="190">
        <v>144.47908514825534</v>
      </c>
      <c r="D53" s="190">
        <v>203.78764681485731</v>
      </c>
      <c r="F53" s="185"/>
      <c r="G53" s="185"/>
      <c r="H53" s="185"/>
      <c r="J53" s="186"/>
      <c r="K53" s="186"/>
      <c r="L53" s="186"/>
    </row>
    <row r="54" spans="1:1954" ht="16.5" x14ac:dyDescent="0.3">
      <c r="A54" s="189" t="s">
        <v>325</v>
      </c>
      <c r="B54" s="190">
        <v>605.84131559000002</v>
      </c>
      <c r="C54" s="190">
        <v>615.67522583000004</v>
      </c>
      <c r="D54" s="190">
        <v>1221.5165414200001</v>
      </c>
      <c r="F54" s="185"/>
      <c r="G54" s="185"/>
      <c r="H54" s="185"/>
      <c r="J54" s="186"/>
      <c r="K54" s="186"/>
      <c r="L54" s="186"/>
    </row>
    <row r="55" spans="1:1954" ht="16.5" x14ac:dyDescent="0.3">
      <c r="A55" s="189" t="s">
        <v>326</v>
      </c>
      <c r="B55" s="190">
        <v>2722.7168400398627</v>
      </c>
      <c r="C55" s="190">
        <v>596.57778079999991</v>
      </c>
      <c r="D55" s="190">
        <v>3319.294620839863</v>
      </c>
      <c r="F55" s="185"/>
      <c r="G55" s="185"/>
      <c r="H55" s="185"/>
      <c r="J55" s="186"/>
      <c r="K55" s="186"/>
      <c r="L55" s="186"/>
    </row>
    <row r="56" spans="1:1954" ht="16.5" x14ac:dyDescent="0.3">
      <c r="A56" s="189" t="s">
        <v>327</v>
      </c>
      <c r="B56" s="190">
        <v>2.3968556599999995</v>
      </c>
      <c r="C56" s="190">
        <v>1.208848E-2</v>
      </c>
      <c r="D56" s="190">
        <v>2.4089441399999996</v>
      </c>
      <c r="F56" s="185"/>
      <c r="G56" s="185"/>
      <c r="H56" s="185"/>
      <c r="J56" s="186"/>
      <c r="K56" s="186"/>
      <c r="L56" s="186"/>
    </row>
    <row r="57" spans="1:1954" ht="16.5" x14ac:dyDescent="0.3">
      <c r="A57" s="187" t="s">
        <v>328</v>
      </c>
      <c r="B57" s="188">
        <v>22268.50330959756</v>
      </c>
      <c r="C57" s="188">
        <v>34030.279749726753</v>
      </c>
      <c r="D57" s="188">
        <v>56298.783059324312</v>
      </c>
      <c r="F57" s="185"/>
      <c r="G57" s="185"/>
      <c r="H57" s="185"/>
      <c r="J57" s="186"/>
      <c r="K57" s="186"/>
      <c r="L57" s="186"/>
    </row>
    <row r="58" spans="1:1954" ht="16.5" x14ac:dyDescent="0.3">
      <c r="A58" s="189" t="s">
        <v>329</v>
      </c>
      <c r="B58" s="190">
        <v>21162.783315683297</v>
      </c>
      <c r="C58" s="190">
        <v>34022.976107986746</v>
      </c>
      <c r="D58" s="190">
        <v>55185.759423670046</v>
      </c>
      <c r="F58" s="185"/>
      <c r="G58" s="185"/>
      <c r="H58" s="185"/>
      <c r="J58" s="186"/>
      <c r="K58" s="186"/>
      <c r="L58" s="186"/>
    </row>
    <row r="59" spans="1:1954" ht="16.5" x14ac:dyDescent="0.3">
      <c r="A59" s="191" t="s">
        <v>330</v>
      </c>
      <c r="B59" s="192">
        <v>18595.335066761974</v>
      </c>
      <c r="C59" s="192">
        <v>30417.566982496755</v>
      </c>
      <c r="D59" s="192">
        <v>49012.90204925873</v>
      </c>
      <c r="F59" s="185"/>
      <c r="G59" s="185"/>
      <c r="H59" s="185"/>
      <c r="J59" s="186"/>
      <c r="K59" s="186"/>
      <c r="L59" s="186"/>
    </row>
    <row r="60" spans="1:1954" ht="16.5" x14ac:dyDescent="0.3">
      <c r="A60" s="191" t="s">
        <v>331</v>
      </c>
      <c r="B60" s="192">
        <v>2092.9651923331144</v>
      </c>
      <c r="C60" s="192">
        <v>3290.9566639700001</v>
      </c>
      <c r="D60" s="192">
        <v>5383.9218563031136</v>
      </c>
      <c r="E60" s="110"/>
      <c r="F60" s="195"/>
      <c r="G60" s="185"/>
      <c r="H60" s="195"/>
      <c r="I60" s="110"/>
      <c r="J60" s="186"/>
      <c r="K60" s="186"/>
      <c r="L60" s="186"/>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c r="IU60" s="110"/>
      <c r="IV60" s="110"/>
      <c r="IW60" s="110"/>
      <c r="IX60" s="110"/>
      <c r="IY60" s="110"/>
      <c r="IZ60" s="110"/>
      <c r="JA60" s="110"/>
      <c r="JB60" s="110"/>
      <c r="JC60" s="110"/>
      <c r="JD60" s="110"/>
      <c r="JE60" s="110"/>
      <c r="JF60" s="110"/>
      <c r="JG60" s="110"/>
      <c r="JH60" s="110"/>
      <c r="JI60" s="110"/>
      <c r="JJ60" s="110"/>
      <c r="JK60" s="110"/>
      <c r="JL60" s="110"/>
      <c r="JM60" s="110"/>
      <c r="JN60" s="110"/>
      <c r="JO60" s="110"/>
      <c r="JP60" s="110"/>
      <c r="JQ60" s="110"/>
      <c r="JR60" s="110"/>
      <c r="JS60" s="110"/>
      <c r="JT60" s="110"/>
      <c r="JU60" s="110"/>
      <c r="JV60" s="110"/>
      <c r="JW60" s="110"/>
      <c r="JX60" s="110"/>
      <c r="JY60" s="110"/>
      <c r="JZ60" s="110"/>
      <c r="KA60" s="110"/>
      <c r="KB60" s="110"/>
      <c r="KC60" s="110"/>
      <c r="KD60" s="110"/>
      <c r="KE60" s="110"/>
      <c r="KF60" s="110"/>
      <c r="KG60" s="110"/>
      <c r="KH60" s="110"/>
      <c r="KI60" s="110"/>
      <c r="KJ60" s="110"/>
      <c r="KK60" s="110"/>
      <c r="KL60" s="110"/>
      <c r="KM60" s="110"/>
      <c r="KN60" s="110"/>
      <c r="KO60" s="110"/>
      <c r="KP60" s="110"/>
      <c r="KQ60" s="110"/>
      <c r="KR60" s="110"/>
      <c r="KS60" s="110"/>
      <c r="KT60" s="110"/>
      <c r="KU60" s="110"/>
      <c r="KV60" s="110"/>
      <c r="KW60" s="110"/>
      <c r="KX60" s="110"/>
      <c r="KY60" s="110"/>
      <c r="KZ60" s="110"/>
      <c r="LA60" s="110"/>
      <c r="LB60" s="110"/>
      <c r="LC60" s="110"/>
      <c r="LD60" s="110"/>
      <c r="LE60" s="110"/>
      <c r="LF60" s="110"/>
      <c r="LG60" s="110"/>
      <c r="LH60" s="110"/>
      <c r="LI60" s="110"/>
      <c r="LJ60" s="110"/>
      <c r="LK60" s="110"/>
      <c r="LL60" s="110"/>
      <c r="LM60" s="110"/>
      <c r="LN60" s="110"/>
      <c r="LO60" s="110"/>
      <c r="LP60" s="110"/>
      <c r="LQ60" s="110"/>
      <c r="LR60" s="110"/>
      <c r="LS60" s="110"/>
      <c r="LT60" s="110"/>
      <c r="LU60" s="110"/>
      <c r="LV60" s="110"/>
      <c r="LW60" s="110"/>
      <c r="LX60" s="110"/>
      <c r="LY60" s="110"/>
      <c r="LZ60" s="110"/>
      <c r="MA60" s="110"/>
      <c r="MB60" s="110"/>
      <c r="MC60" s="110"/>
      <c r="MD60" s="110"/>
      <c r="ME60" s="110"/>
      <c r="MF60" s="110"/>
      <c r="MG60" s="110"/>
      <c r="MH60" s="110"/>
      <c r="MI60" s="110"/>
      <c r="MJ60" s="110"/>
      <c r="MK60" s="110"/>
      <c r="ML60" s="110"/>
      <c r="MM60" s="110"/>
      <c r="MN60" s="110"/>
      <c r="MO60" s="110"/>
      <c r="MP60" s="110"/>
      <c r="MQ60" s="110"/>
      <c r="MR60" s="110"/>
      <c r="MS60" s="110"/>
      <c r="MT60" s="110"/>
      <c r="MU60" s="110"/>
      <c r="MV60" s="110"/>
      <c r="MW60" s="110"/>
      <c r="MX60" s="110"/>
      <c r="MY60" s="110"/>
      <c r="MZ60" s="110"/>
      <c r="NA60" s="110"/>
      <c r="NB60" s="110"/>
      <c r="NC60" s="110"/>
      <c r="ND60" s="110"/>
      <c r="NE60" s="110"/>
      <c r="NF60" s="110"/>
      <c r="NG60" s="110"/>
      <c r="NH60" s="110"/>
      <c r="NI60" s="110"/>
      <c r="NJ60" s="110"/>
      <c r="NK60" s="110"/>
      <c r="NL60" s="110"/>
      <c r="NM60" s="110"/>
      <c r="NN60" s="110"/>
      <c r="NO60" s="110"/>
      <c r="NP60" s="110"/>
      <c r="NQ60" s="110"/>
      <c r="NR60" s="110"/>
      <c r="NS60" s="110"/>
      <c r="NT60" s="110"/>
      <c r="NU60" s="110"/>
      <c r="NV60" s="110"/>
      <c r="NW60" s="110"/>
      <c r="NX60" s="110"/>
      <c r="NY60" s="110"/>
      <c r="NZ60" s="110"/>
      <c r="OA60" s="110"/>
      <c r="OB60" s="110"/>
      <c r="OC60" s="110"/>
      <c r="OD60" s="110"/>
      <c r="OE60" s="110"/>
      <c r="OF60" s="110"/>
      <c r="OG60" s="110"/>
      <c r="OH60" s="110"/>
      <c r="OI60" s="110"/>
      <c r="OJ60" s="110"/>
      <c r="OK60" s="110"/>
      <c r="OL60" s="110"/>
      <c r="OM60" s="110"/>
      <c r="ON60" s="110"/>
      <c r="OO60" s="110"/>
      <c r="OP60" s="110"/>
      <c r="OQ60" s="110"/>
      <c r="OR60" s="110"/>
      <c r="OS60" s="110"/>
      <c r="OT60" s="110"/>
      <c r="OU60" s="110"/>
      <c r="OV60" s="110"/>
      <c r="OW60" s="110"/>
      <c r="OX60" s="110"/>
      <c r="OY60" s="110"/>
      <c r="OZ60" s="110"/>
      <c r="PA60" s="110"/>
      <c r="PB60" s="110"/>
      <c r="PC60" s="110"/>
      <c r="PD60" s="110"/>
      <c r="PE60" s="110"/>
      <c r="PF60" s="110"/>
      <c r="PG60" s="110"/>
      <c r="PH60" s="110"/>
      <c r="PI60" s="110"/>
      <c r="PJ60" s="110"/>
      <c r="PK60" s="110"/>
      <c r="PL60" s="110"/>
      <c r="PM60" s="110"/>
      <c r="PN60" s="110"/>
      <c r="PO60" s="110"/>
      <c r="PP60" s="110"/>
      <c r="PQ60" s="110"/>
      <c r="PR60" s="110"/>
      <c r="PS60" s="110"/>
      <c r="PT60" s="110"/>
      <c r="PU60" s="110"/>
      <c r="PV60" s="110"/>
      <c r="PW60" s="110"/>
      <c r="PX60" s="110"/>
      <c r="PY60" s="110"/>
      <c r="PZ60" s="110"/>
      <c r="QA60" s="110"/>
      <c r="QB60" s="110"/>
      <c r="QC60" s="110"/>
      <c r="QD60" s="110"/>
      <c r="QE60" s="110"/>
      <c r="QF60" s="110"/>
      <c r="QG60" s="110"/>
      <c r="QH60" s="110"/>
      <c r="QI60" s="110"/>
      <c r="QJ60" s="110"/>
      <c r="QK60" s="110"/>
      <c r="QL60" s="110"/>
      <c r="QM60" s="110"/>
      <c r="QN60" s="110"/>
      <c r="QO60" s="110"/>
      <c r="QP60" s="110"/>
      <c r="QQ60" s="110"/>
      <c r="QR60" s="110"/>
      <c r="QS60" s="110"/>
      <c r="QT60" s="110"/>
      <c r="QU60" s="110"/>
      <c r="QV60" s="110"/>
      <c r="QW60" s="110"/>
      <c r="QX60" s="110"/>
      <c r="QY60" s="110"/>
      <c r="QZ60" s="110"/>
      <c r="RA60" s="110"/>
      <c r="RB60" s="110"/>
      <c r="RC60" s="110"/>
      <c r="RD60" s="110"/>
      <c r="RE60" s="110"/>
      <c r="RF60" s="110"/>
      <c r="RG60" s="110"/>
      <c r="RH60" s="110"/>
      <c r="RI60" s="110"/>
      <c r="RJ60" s="110"/>
      <c r="RK60" s="110"/>
      <c r="RL60" s="110"/>
      <c r="RM60" s="110"/>
      <c r="RN60" s="110"/>
      <c r="RO60" s="110"/>
      <c r="RP60" s="110"/>
      <c r="RQ60" s="110"/>
      <c r="RR60" s="110"/>
      <c r="RS60" s="110"/>
      <c r="RT60" s="110"/>
      <c r="RU60" s="110"/>
      <c r="RV60" s="110"/>
      <c r="RW60" s="110"/>
      <c r="RX60" s="110"/>
      <c r="RY60" s="110"/>
      <c r="RZ60" s="110"/>
      <c r="SA60" s="110"/>
      <c r="SB60" s="110"/>
      <c r="SC60" s="110"/>
      <c r="SD60" s="110"/>
      <c r="SE60" s="110"/>
      <c r="SF60" s="110"/>
      <c r="SG60" s="110"/>
      <c r="SH60" s="110"/>
      <c r="SI60" s="110"/>
      <c r="SJ60" s="110"/>
      <c r="SK60" s="110"/>
      <c r="SL60" s="110"/>
      <c r="SM60" s="110"/>
      <c r="SN60" s="110"/>
      <c r="SO60" s="110"/>
      <c r="SP60" s="110"/>
      <c r="SQ60" s="110"/>
      <c r="SR60" s="110"/>
      <c r="SS60" s="110"/>
      <c r="ST60" s="110"/>
      <c r="SU60" s="110"/>
      <c r="SV60" s="110"/>
      <c r="SW60" s="110"/>
      <c r="SX60" s="110"/>
      <c r="SY60" s="110"/>
      <c r="SZ60" s="110"/>
      <c r="TA60" s="110"/>
      <c r="TB60" s="110"/>
      <c r="TC60" s="110"/>
      <c r="TD60" s="110"/>
      <c r="TE60" s="110"/>
      <c r="TF60" s="110"/>
      <c r="TG60" s="110"/>
      <c r="TH60" s="110"/>
      <c r="TI60" s="110"/>
      <c r="TJ60" s="110"/>
      <c r="TK60" s="110"/>
      <c r="TL60" s="110"/>
      <c r="TM60" s="110"/>
      <c r="TN60" s="110"/>
      <c r="TO60" s="110"/>
      <c r="TP60" s="110"/>
      <c r="TQ60" s="110"/>
      <c r="TR60" s="110"/>
      <c r="TS60" s="110"/>
      <c r="TT60" s="110"/>
      <c r="TU60" s="110"/>
      <c r="TV60" s="110"/>
      <c r="TW60" s="110"/>
      <c r="TX60" s="110"/>
      <c r="TY60" s="110"/>
      <c r="TZ60" s="110"/>
      <c r="UA60" s="110"/>
      <c r="UB60" s="110"/>
      <c r="UC60" s="110"/>
      <c r="UD60" s="110"/>
      <c r="UE60" s="110"/>
      <c r="UF60" s="110"/>
      <c r="UG60" s="110"/>
      <c r="UH60" s="110"/>
      <c r="UI60" s="110"/>
      <c r="UJ60" s="110"/>
      <c r="UK60" s="110"/>
      <c r="UL60" s="110"/>
      <c r="UM60" s="110"/>
      <c r="UN60" s="110"/>
      <c r="UO60" s="110"/>
      <c r="UP60" s="110"/>
      <c r="UQ60" s="110"/>
      <c r="UR60" s="110"/>
      <c r="US60" s="110"/>
      <c r="UT60" s="110"/>
      <c r="UU60" s="110"/>
      <c r="UV60" s="110"/>
      <c r="UW60" s="110"/>
      <c r="UX60" s="110"/>
      <c r="UY60" s="110"/>
      <c r="UZ60" s="110"/>
      <c r="VA60" s="110"/>
      <c r="VB60" s="110"/>
      <c r="VC60" s="110"/>
      <c r="VD60" s="110"/>
      <c r="VE60" s="110"/>
      <c r="VF60" s="110"/>
      <c r="VG60" s="110"/>
      <c r="VH60" s="110"/>
      <c r="VI60" s="110"/>
      <c r="VJ60" s="110"/>
      <c r="VK60" s="110"/>
      <c r="VL60" s="110"/>
      <c r="VM60" s="110"/>
      <c r="VN60" s="110"/>
      <c r="VO60" s="110"/>
      <c r="VP60" s="110"/>
      <c r="VQ60" s="110"/>
      <c r="VR60" s="110"/>
      <c r="VS60" s="110"/>
      <c r="VT60" s="110"/>
      <c r="VU60" s="110"/>
      <c r="VV60" s="110"/>
      <c r="VW60" s="110"/>
      <c r="VX60" s="110"/>
      <c r="VY60" s="110"/>
      <c r="VZ60" s="110"/>
      <c r="WA60" s="110"/>
      <c r="WB60" s="110"/>
      <c r="WC60" s="110"/>
      <c r="WD60" s="110"/>
      <c r="WE60" s="110"/>
      <c r="WF60" s="110"/>
      <c r="WG60" s="110"/>
      <c r="WH60" s="110"/>
      <c r="WI60" s="110"/>
      <c r="WJ60" s="110"/>
      <c r="WK60" s="110"/>
      <c r="WL60" s="110"/>
      <c r="WM60" s="110"/>
      <c r="WN60" s="110"/>
      <c r="WO60" s="110"/>
      <c r="WP60" s="110"/>
      <c r="WQ60" s="110"/>
      <c r="WR60" s="110"/>
      <c r="WS60" s="110"/>
      <c r="WT60" s="110"/>
      <c r="WU60" s="110"/>
      <c r="WV60" s="110"/>
      <c r="WW60" s="110"/>
      <c r="WX60" s="110"/>
      <c r="WY60" s="110"/>
      <c r="WZ60" s="110"/>
      <c r="XA60" s="110"/>
      <c r="XB60" s="110"/>
      <c r="XC60" s="110"/>
      <c r="XD60" s="110"/>
      <c r="XE60" s="110"/>
      <c r="XF60" s="110"/>
      <c r="XG60" s="110"/>
      <c r="XH60" s="110"/>
      <c r="XI60" s="110"/>
      <c r="XJ60" s="110"/>
      <c r="XK60" s="110"/>
      <c r="XL60" s="110"/>
      <c r="XM60" s="110"/>
      <c r="XN60" s="110"/>
      <c r="XO60" s="110"/>
      <c r="XP60" s="110"/>
      <c r="XQ60" s="110"/>
      <c r="XR60" s="110"/>
      <c r="XS60" s="110"/>
      <c r="XT60" s="110"/>
      <c r="XU60" s="110"/>
      <c r="XV60" s="110"/>
      <c r="XW60" s="110"/>
      <c r="XX60" s="110"/>
      <c r="XY60" s="110"/>
      <c r="XZ60" s="110"/>
      <c r="YA60" s="110"/>
      <c r="YB60" s="110"/>
      <c r="YC60" s="110"/>
      <c r="YD60" s="110"/>
      <c r="YE60" s="110"/>
      <c r="YF60" s="110"/>
      <c r="YG60" s="110"/>
      <c r="YH60" s="110"/>
      <c r="YI60" s="110"/>
      <c r="YJ60" s="110"/>
      <c r="YK60" s="110"/>
      <c r="YL60" s="110"/>
      <c r="YM60" s="110"/>
      <c r="YN60" s="110"/>
      <c r="YO60" s="110"/>
      <c r="YP60" s="110"/>
      <c r="YQ60" s="110"/>
      <c r="YR60" s="110"/>
      <c r="YS60" s="110"/>
      <c r="YT60" s="110"/>
      <c r="YU60" s="110"/>
      <c r="YV60" s="110"/>
      <c r="YW60" s="110"/>
      <c r="YX60" s="110"/>
      <c r="YY60" s="110"/>
      <c r="YZ60" s="110"/>
      <c r="ZA60" s="110"/>
      <c r="ZB60" s="110"/>
      <c r="ZC60" s="110"/>
      <c r="ZD60" s="110"/>
      <c r="ZE60" s="110"/>
      <c r="ZF60" s="110"/>
      <c r="ZG60" s="110"/>
      <c r="ZH60" s="110"/>
      <c r="ZI60" s="110"/>
      <c r="ZJ60" s="110"/>
      <c r="ZK60" s="110"/>
      <c r="ZL60" s="110"/>
      <c r="ZM60" s="110"/>
      <c r="ZN60" s="110"/>
      <c r="ZO60" s="110"/>
      <c r="ZP60" s="110"/>
      <c r="ZQ60" s="110"/>
      <c r="ZR60" s="110"/>
      <c r="ZS60" s="110"/>
      <c r="ZT60" s="110"/>
      <c r="ZU60" s="110"/>
      <c r="ZV60" s="110"/>
      <c r="ZW60" s="110"/>
      <c r="ZX60" s="110"/>
      <c r="ZY60" s="110"/>
      <c r="ZZ60" s="110"/>
      <c r="AAA60" s="110"/>
      <c r="AAB60" s="110"/>
      <c r="AAC60" s="110"/>
      <c r="AAD60" s="110"/>
      <c r="AAE60" s="110"/>
      <c r="AAF60" s="110"/>
      <c r="AAG60" s="110"/>
      <c r="AAH60" s="110"/>
      <c r="AAI60" s="110"/>
      <c r="AAJ60" s="110"/>
      <c r="AAK60" s="110"/>
      <c r="AAL60" s="110"/>
      <c r="AAM60" s="110"/>
      <c r="AAN60" s="110"/>
      <c r="AAO60" s="110"/>
      <c r="AAP60" s="110"/>
      <c r="AAQ60" s="110"/>
      <c r="AAR60" s="110"/>
      <c r="AAS60" s="110"/>
      <c r="AAT60" s="110"/>
      <c r="AAU60" s="110"/>
      <c r="AAV60" s="110"/>
      <c r="AAW60" s="110"/>
      <c r="AAX60" s="110"/>
      <c r="AAY60" s="110"/>
      <c r="AAZ60" s="110"/>
      <c r="ABA60" s="110"/>
      <c r="ABB60" s="110"/>
      <c r="ABC60" s="110"/>
      <c r="ABD60" s="110"/>
      <c r="ABE60" s="110"/>
      <c r="ABF60" s="110"/>
      <c r="ABG60" s="110"/>
      <c r="ABH60" s="110"/>
      <c r="ABI60" s="110"/>
      <c r="ABJ60" s="110"/>
      <c r="ABK60" s="110"/>
      <c r="ABL60" s="110"/>
      <c r="ABM60" s="110"/>
      <c r="ABN60" s="110"/>
      <c r="ABO60" s="110"/>
      <c r="ABP60" s="110"/>
      <c r="ABQ60" s="110"/>
      <c r="ABR60" s="110"/>
      <c r="ABS60" s="110"/>
      <c r="ABT60" s="110"/>
      <c r="ABU60" s="110"/>
      <c r="ABV60" s="110"/>
      <c r="ABW60" s="110"/>
      <c r="ABX60" s="110"/>
      <c r="ABY60" s="110"/>
      <c r="ABZ60" s="110"/>
      <c r="ACA60" s="110"/>
      <c r="ACB60" s="110"/>
      <c r="ACC60" s="110"/>
      <c r="ACD60" s="110"/>
      <c r="ACE60" s="110"/>
      <c r="ACF60" s="110"/>
      <c r="ACG60" s="110"/>
      <c r="ACH60" s="110"/>
      <c r="ACI60" s="110"/>
      <c r="ACJ60" s="110"/>
      <c r="ACK60" s="110"/>
      <c r="ACL60" s="110"/>
      <c r="ACM60" s="110"/>
      <c r="ACN60" s="110"/>
      <c r="ACO60" s="110"/>
      <c r="ACP60" s="110"/>
      <c r="ACQ60" s="110"/>
      <c r="ACR60" s="110"/>
      <c r="ACS60" s="110"/>
      <c r="ACT60" s="110"/>
      <c r="ACU60" s="110"/>
      <c r="ACV60" s="110"/>
      <c r="ACW60" s="110"/>
      <c r="ACX60" s="110"/>
      <c r="ACY60" s="110"/>
      <c r="ACZ60" s="110"/>
      <c r="ADA60" s="110"/>
      <c r="ADB60" s="110"/>
      <c r="ADC60" s="110"/>
      <c r="ADD60" s="110"/>
      <c r="ADE60" s="110"/>
      <c r="ADF60" s="110"/>
      <c r="ADG60" s="110"/>
      <c r="ADH60" s="110"/>
      <c r="ADI60" s="110"/>
      <c r="ADJ60" s="110"/>
      <c r="ADK60" s="110"/>
      <c r="ADL60" s="110"/>
      <c r="ADM60" s="110"/>
      <c r="ADN60" s="110"/>
      <c r="ADO60" s="110"/>
      <c r="ADP60" s="110"/>
      <c r="ADQ60" s="110"/>
      <c r="ADR60" s="110"/>
      <c r="ADS60" s="110"/>
      <c r="ADT60" s="110"/>
      <c r="ADU60" s="110"/>
      <c r="ADV60" s="110"/>
      <c r="ADW60" s="110"/>
      <c r="ADX60" s="110"/>
      <c r="ADY60" s="110"/>
      <c r="ADZ60" s="110"/>
      <c r="AEA60" s="110"/>
      <c r="AEB60" s="110"/>
      <c r="AEC60" s="110"/>
      <c r="AED60" s="110"/>
      <c r="AEE60" s="110"/>
      <c r="AEF60" s="110"/>
      <c r="AEG60" s="110"/>
      <c r="AEH60" s="110"/>
      <c r="AEI60" s="110"/>
      <c r="AEJ60" s="110"/>
      <c r="AEK60" s="110"/>
      <c r="AEL60" s="110"/>
      <c r="AEM60" s="110"/>
      <c r="AEN60" s="110"/>
      <c r="AEO60" s="110"/>
      <c r="AEP60" s="110"/>
      <c r="AEQ60" s="110"/>
      <c r="AER60" s="110"/>
      <c r="AES60" s="110"/>
      <c r="AET60" s="110"/>
      <c r="AEU60" s="110"/>
      <c r="AEV60" s="110"/>
      <c r="AEW60" s="110"/>
      <c r="AEX60" s="110"/>
      <c r="AEY60" s="110"/>
      <c r="AEZ60" s="110"/>
      <c r="AFA60" s="110"/>
      <c r="AFB60" s="110"/>
      <c r="AFC60" s="110"/>
      <c r="AFD60" s="110"/>
      <c r="AFE60" s="110"/>
      <c r="AFF60" s="110"/>
      <c r="AFG60" s="110"/>
      <c r="AFH60" s="110"/>
      <c r="AFI60" s="110"/>
      <c r="AFJ60" s="110"/>
      <c r="AFK60" s="110"/>
      <c r="AFL60" s="110"/>
      <c r="AFM60" s="110"/>
      <c r="AFN60" s="110"/>
      <c r="AFO60" s="110"/>
      <c r="AFP60" s="110"/>
      <c r="AFQ60" s="110"/>
      <c r="AFR60" s="110"/>
      <c r="AFS60" s="110"/>
      <c r="AFT60" s="110"/>
      <c r="AFU60" s="110"/>
      <c r="AFV60" s="110"/>
      <c r="AFW60" s="110"/>
      <c r="AFX60" s="110"/>
      <c r="AFY60" s="110"/>
      <c r="AFZ60" s="110"/>
      <c r="AGA60" s="110"/>
      <c r="AGB60" s="110"/>
      <c r="AGC60" s="110"/>
      <c r="AGD60" s="110"/>
      <c r="AGE60" s="110"/>
      <c r="AGF60" s="110"/>
      <c r="AGG60" s="110"/>
      <c r="AGH60" s="110"/>
      <c r="AGI60" s="110"/>
      <c r="AGJ60" s="110"/>
      <c r="AGK60" s="110"/>
      <c r="AGL60" s="110"/>
      <c r="AGM60" s="110"/>
      <c r="AGN60" s="110"/>
      <c r="AGO60" s="110"/>
      <c r="AGP60" s="110"/>
      <c r="AGQ60" s="110"/>
      <c r="AGR60" s="110"/>
      <c r="AGS60" s="110"/>
      <c r="AGT60" s="110"/>
      <c r="AGU60" s="110"/>
      <c r="AGV60" s="110"/>
      <c r="AGW60" s="110"/>
      <c r="AGX60" s="110"/>
      <c r="AGY60" s="110"/>
      <c r="AGZ60" s="110"/>
      <c r="AHA60" s="110"/>
      <c r="AHB60" s="110"/>
      <c r="AHC60" s="110"/>
      <c r="AHD60" s="110"/>
      <c r="AHE60" s="110"/>
      <c r="AHF60" s="110"/>
      <c r="AHG60" s="110"/>
      <c r="AHH60" s="110"/>
      <c r="AHI60" s="110"/>
      <c r="AHJ60" s="110"/>
      <c r="AHK60" s="110"/>
      <c r="AHL60" s="110"/>
      <c r="AHM60" s="110"/>
      <c r="AHN60" s="110"/>
      <c r="AHO60" s="110"/>
      <c r="AHP60" s="110"/>
      <c r="AHQ60" s="110"/>
      <c r="AHR60" s="110"/>
      <c r="AHS60" s="110"/>
      <c r="AHT60" s="110"/>
      <c r="AHU60" s="110"/>
      <c r="AHV60" s="110"/>
      <c r="AHW60" s="110"/>
      <c r="AHX60" s="110"/>
      <c r="AHY60" s="110"/>
      <c r="AHZ60" s="110"/>
      <c r="AIA60" s="110"/>
      <c r="AIB60" s="110"/>
      <c r="AIC60" s="110"/>
      <c r="AID60" s="110"/>
      <c r="AIE60" s="110"/>
      <c r="AIF60" s="110"/>
      <c r="AIG60" s="110"/>
      <c r="AIH60" s="110"/>
      <c r="AII60" s="110"/>
      <c r="AIJ60" s="110"/>
      <c r="AIK60" s="110"/>
      <c r="AIL60" s="110"/>
      <c r="AIM60" s="110"/>
      <c r="AIN60" s="110"/>
      <c r="AIO60" s="110"/>
      <c r="AIP60" s="110"/>
      <c r="AIQ60" s="110"/>
      <c r="AIR60" s="110"/>
      <c r="AIS60" s="110"/>
      <c r="AIT60" s="110"/>
      <c r="AIU60" s="110"/>
      <c r="AIV60" s="110"/>
      <c r="AIW60" s="110"/>
      <c r="AIX60" s="110"/>
      <c r="AIY60" s="110"/>
      <c r="AIZ60" s="110"/>
      <c r="AJA60" s="110"/>
      <c r="AJB60" s="110"/>
      <c r="AJC60" s="110"/>
      <c r="AJD60" s="110"/>
      <c r="AJE60" s="110"/>
      <c r="AJF60" s="110"/>
      <c r="AJG60" s="110"/>
      <c r="AJH60" s="110"/>
      <c r="AJI60" s="110"/>
      <c r="AJJ60" s="110"/>
      <c r="AJK60" s="110"/>
      <c r="AJL60" s="110"/>
      <c r="AJM60" s="110"/>
      <c r="AJN60" s="110"/>
      <c r="AJO60" s="110"/>
      <c r="AJP60" s="110"/>
      <c r="AJQ60" s="110"/>
      <c r="AJR60" s="110"/>
      <c r="AJS60" s="110"/>
      <c r="AJT60" s="110"/>
      <c r="AJU60" s="110"/>
      <c r="AJV60" s="110"/>
      <c r="AJW60" s="110"/>
      <c r="AJX60" s="110"/>
      <c r="AJY60" s="110"/>
      <c r="AJZ60" s="110"/>
      <c r="AKA60" s="110"/>
      <c r="AKB60" s="110"/>
      <c r="AKC60" s="110"/>
      <c r="AKD60" s="110"/>
      <c r="AKE60" s="110"/>
      <c r="AKF60" s="110"/>
      <c r="AKG60" s="110"/>
      <c r="AKH60" s="110"/>
      <c r="AKI60" s="110"/>
      <c r="AKJ60" s="110"/>
      <c r="AKK60" s="110"/>
      <c r="AKL60" s="110"/>
      <c r="AKM60" s="110"/>
      <c r="AKN60" s="110"/>
      <c r="AKO60" s="110"/>
      <c r="AKP60" s="110"/>
      <c r="AKQ60" s="110"/>
      <c r="AKR60" s="110"/>
      <c r="AKS60" s="110"/>
      <c r="AKT60" s="110"/>
      <c r="AKU60" s="110"/>
      <c r="AKV60" s="110"/>
      <c r="AKW60" s="110"/>
      <c r="AKX60" s="110"/>
      <c r="AKY60" s="110"/>
      <c r="AKZ60" s="110"/>
      <c r="ALA60" s="110"/>
      <c r="ALB60" s="110"/>
      <c r="ALC60" s="110"/>
      <c r="ALD60" s="110"/>
      <c r="ALE60" s="110"/>
      <c r="ALF60" s="110"/>
      <c r="ALG60" s="110"/>
      <c r="ALH60" s="110"/>
      <c r="ALI60" s="110"/>
      <c r="ALJ60" s="110"/>
      <c r="ALK60" s="110"/>
      <c r="ALL60" s="110"/>
      <c r="ALM60" s="110"/>
      <c r="ALN60" s="110"/>
      <c r="ALO60" s="110"/>
      <c r="ALP60" s="110"/>
      <c r="ALQ60" s="110"/>
      <c r="ALR60" s="110"/>
      <c r="ALS60" s="110"/>
      <c r="ALT60" s="110"/>
      <c r="ALU60" s="110"/>
      <c r="ALV60" s="110"/>
      <c r="ALW60" s="110"/>
      <c r="ALX60" s="110"/>
      <c r="ALY60" s="110"/>
      <c r="ALZ60" s="110"/>
      <c r="AMA60" s="110"/>
      <c r="AMB60" s="110"/>
      <c r="AMC60" s="110"/>
      <c r="AMD60" s="110"/>
      <c r="AME60" s="110"/>
      <c r="AMF60" s="110"/>
      <c r="AMG60" s="110"/>
      <c r="AMH60" s="110"/>
      <c r="AMI60" s="110"/>
      <c r="AMJ60" s="110"/>
      <c r="AMK60" s="110"/>
      <c r="AML60" s="110"/>
      <c r="AMM60" s="110"/>
      <c r="AMN60" s="110"/>
      <c r="AMO60" s="110"/>
      <c r="AMP60" s="110"/>
      <c r="AMQ60" s="110"/>
      <c r="AMR60" s="110"/>
      <c r="AMS60" s="110"/>
      <c r="AMT60" s="110"/>
      <c r="AMU60" s="110"/>
      <c r="AMV60" s="110"/>
      <c r="AMW60" s="110"/>
      <c r="AMX60" s="110"/>
      <c r="AMY60" s="110"/>
      <c r="AMZ60" s="110"/>
      <c r="ANA60" s="110"/>
      <c r="ANB60" s="110"/>
      <c r="ANC60" s="110"/>
      <c r="AND60" s="110"/>
      <c r="ANE60" s="110"/>
      <c r="ANF60" s="110"/>
      <c r="ANG60" s="110"/>
      <c r="ANH60" s="110"/>
      <c r="ANI60" s="110"/>
      <c r="ANJ60" s="110"/>
      <c r="ANK60" s="110"/>
      <c r="ANL60" s="110"/>
      <c r="ANM60" s="110"/>
      <c r="ANN60" s="110"/>
      <c r="ANO60" s="110"/>
      <c r="ANP60" s="110"/>
      <c r="ANQ60" s="110"/>
      <c r="ANR60" s="110"/>
      <c r="ANS60" s="110"/>
      <c r="ANT60" s="110"/>
      <c r="ANU60" s="110"/>
      <c r="ANV60" s="110"/>
      <c r="ANW60" s="110"/>
      <c r="ANX60" s="110"/>
      <c r="ANY60" s="110"/>
      <c r="ANZ60" s="110"/>
      <c r="AOA60" s="110"/>
      <c r="AOB60" s="110"/>
      <c r="AOC60" s="110"/>
      <c r="AOD60" s="110"/>
      <c r="AOE60" s="110"/>
      <c r="AOF60" s="110"/>
      <c r="AOG60" s="110"/>
      <c r="AOH60" s="110"/>
      <c r="AOI60" s="110"/>
      <c r="AOJ60" s="110"/>
      <c r="AOK60" s="110"/>
      <c r="AOL60" s="110"/>
      <c r="AOM60" s="110"/>
      <c r="AON60" s="110"/>
      <c r="AOO60" s="110"/>
      <c r="AOP60" s="110"/>
      <c r="AOQ60" s="110"/>
      <c r="AOR60" s="110"/>
      <c r="AOS60" s="110"/>
      <c r="AOT60" s="110"/>
      <c r="AOU60" s="110"/>
      <c r="AOV60" s="110"/>
      <c r="AOW60" s="110"/>
      <c r="AOX60" s="110"/>
      <c r="AOY60" s="110"/>
      <c r="AOZ60" s="110"/>
      <c r="APA60" s="110"/>
      <c r="APB60" s="110"/>
      <c r="APC60" s="110"/>
      <c r="APD60" s="110"/>
      <c r="APE60" s="110"/>
      <c r="APF60" s="110"/>
      <c r="APG60" s="110"/>
      <c r="APH60" s="110"/>
      <c r="API60" s="110"/>
      <c r="APJ60" s="110"/>
      <c r="APK60" s="110"/>
      <c r="APL60" s="110"/>
      <c r="APM60" s="110"/>
      <c r="APN60" s="110"/>
      <c r="APO60" s="110"/>
      <c r="APP60" s="110"/>
      <c r="APQ60" s="110"/>
      <c r="APR60" s="110"/>
      <c r="APS60" s="110"/>
      <c r="APT60" s="110"/>
      <c r="APU60" s="110"/>
      <c r="APV60" s="110"/>
      <c r="APW60" s="110"/>
      <c r="APX60" s="110"/>
      <c r="APY60" s="110"/>
      <c r="APZ60" s="110"/>
      <c r="AQA60" s="110"/>
      <c r="AQB60" s="110"/>
      <c r="AQC60" s="110"/>
      <c r="AQD60" s="110"/>
      <c r="AQE60" s="110"/>
      <c r="AQF60" s="110"/>
      <c r="AQG60" s="110"/>
      <c r="AQH60" s="110"/>
      <c r="AQI60" s="110"/>
      <c r="AQJ60" s="110"/>
      <c r="AQK60" s="110"/>
      <c r="AQL60" s="110"/>
      <c r="AQM60" s="110"/>
      <c r="AQN60" s="110"/>
      <c r="AQO60" s="110"/>
      <c r="AQP60" s="110"/>
      <c r="AQQ60" s="110"/>
      <c r="AQR60" s="110"/>
      <c r="AQS60" s="110"/>
      <c r="AQT60" s="110"/>
      <c r="AQU60" s="110"/>
      <c r="AQV60" s="110"/>
      <c r="AQW60" s="110"/>
      <c r="AQX60" s="110"/>
      <c r="AQY60" s="110"/>
      <c r="AQZ60" s="110"/>
      <c r="ARA60" s="110"/>
      <c r="ARB60" s="110"/>
      <c r="ARC60" s="110"/>
      <c r="ARD60" s="110"/>
      <c r="ARE60" s="110"/>
      <c r="ARF60" s="110"/>
      <c r="ARG60" s="110"/>
      <c r="ARH60" s="110"/>
      <c r="ARI60" s="110"/>
      <c r="ARJ60" s="110"/>
      <c r="ARK60" s="110"/>
      <c r="ARL60" s="110"/>
      <c r="ARM60" s="110"/>
      <c r="ARN60" s="110"/>
      <c r="ARO60" s="110"/>
      <c r="ARP60" s="110"/>
      <c r="ARQ60" s="110"/>
      <c r="ARR60" s="110"/>
      <c r="ARS60" s="110"/>
      <c r="ART60" s="110"/>
      <c r="ARU60" s="110"/>
      <c r="ARV60" s="110"/>
      <c r="ARW60" s="110"/>
      <c r="ARX60" s="110"/>
      <c r="ARY60" s="110"/>
      <c r="ARZ60" s="110"/>
      <c r="ASA60" s="110"/>
      <c r="ASB60" s="110"/>
      <c r="ASC60" s="110"/>
      <c r="ASD60" s="110"/>
      <c r="ASE60" s="110"/>
      <c r="ASF60" s="110"/>
      <c r="ASG60" s="110"/>
      <c r="ASH60" s="110"/>
      <c r="ASI60" s="110"/>
      <c r="ASJ60" s="110"/>
      <c r="ASK60" s="110"/>
      <c r="ASL60" s="110"/>
      <c r="ASM60" s="110"/>
      <c r="ASN60" s="110"/>
      <c r="ASO60" s="110"/>
      <c r="ASP60" s="110"/>
      <c r="ASQ60" s="110"/>
      <c r="ASR60" s="110"/>
      <c r="ASS60" s="110"/>
      <c r="AST60" s="110"/>
      <c r="ASU60" s="110"/>
      <c r="ASV60" s="110"/>
      <c r="ASW60" s="110"/>
      <c r="ASX60" s="110"/>
      <c r="ASY60" s="110"/>
      <c r="ASZ60" s="110"/>
      <c r="ATA60" s="110"/>
      <c r="ATB60" s="110"/>
      <c r="ATC60" s="110"/>
      <c r="ATD60" s="110"/>
      <c r="ATE60" s="110"/>
      <c r="ATF60" s="110"/>
      <c r="ATG60" s="110"/>
      <c r="ATH60" s="110"/>
      <c r="ATI60" s="110"/>
      <c r="ATJ60" s="110"/>
      <c r="ATK60" s="110"/>
      <c r="ATL60" s="110"/>
      <c r="ATM60" s="110"/>
      <c r="ATN60" s="110"/>
      <c r="ATO60" s="110"/>
      <c r="ATP60" s="110"/>
      <c r="ATQ60" s="110"/>
      <c r="ATR60" s="110"/>
      <c r="ATS60" s="110"/>
      <c r="ATT60" s="110"/>
      <c r="ATU60" s="110"/>
      <c r="ATV60" s="110"/>
      <c r="ATW60" s="110"/>
      <c r="ATX60" s="110"/>
      <c r="ATY60" s="110"/>
      <c r="ATZ60" s="110"/>
      <c r="AUA60" s="110"/>
      <c r="AUB60" s="110"/>
      <c r="AUC60" s="110"/>
      <c r="AUD60" s="110"/>
      <c r="AUE60" s="110"/>
      <c r="AUF60" s="110"/>
      <c r="AUG60" s="110"/>
      <c r="AUH60" s="110"/>
      <c r="AUI60" s="110"/>
      <c r="AUJ60" s="110"/>
      <c r="AUK60" s="110"/>
      <c r="AUL60" s="110"/>
      <c r="AUM60" s="110"/>
      <c r="AUN60" s="110"/>
      <c r="AUO60" s="110"/>
      <c r="AUP60" s="110"/>
      <c r="AUQ60" s="110"/>
      <c r="AUR60" s="110"/>
      <c r="AUS60" s="110"/>
      <c r="AUT60" s="110"/>
      <c r="AUU60" s="110"/>
      <c r="AUV60" s="110"/>
      <c r="AUW60" s="110"/>
      <c r="AUX60" s="110"/>
      <c r="AUY60" s="110"/>
      <c r="AUZ60" s="110"/>
      <c r="AVA60" s="110"/>
      <c r="AVB60" s="110"/>
      <c r="AVC60" s="110"/>
      <c r="AVD60" s="110"/>
      <c r="AVE60" s="110"/>
      <c r="AVF60" s="110"/>
      <c r="AVG60" s="110"/>
      <c r="AVH60" s="110"/>
      <c r="AVI60" s="110"/>
      <c r="AVJ60" s="110"/>
      <c r="AVK60" s="110"/>
      <c r="AVL60" s="110"/>
      <c r="AVM60" s="110"/>
      <c r="AVN60" s="110"/>
      <c r="AVO60" s="110"/>
      <c r="AVP60" s="110"/>
      <c r="AVQ60" s="110"/>
      <c r="AVR60" s="110"/>
      <c r="AVS60" s="110"/>
      <c r="AVT60" s="110"/>
      <c r="AVU60" s="110"/>
      <c r="AVV60" s="110"/>
      <c r="AVW60" s="110"/>
      <c r="AVX60" s="110"/>
      <c r="AVY60" s="110"/>
      <c r="AVZ60" s="110"/>
      <c r="AWA60" s="110"/>
      <c r="AWB60" s="110"/>
      <c r="AWC60" s="110"/>
      <c r="AWD60" s="110"/>
      <c r="AWE60" s="110"/>
      <c r="AWF60" s="110"/>
      <c r="AWG60" s="110"/>
      <c r="AWH60" s="110"/>
      <c r="AWI60" s="110"/>
      <c r="AWJ60" s="110"/>
      <c r="AWK60" s="110"/>
      <c r="AWL60" s="110"/>
      <c r="AWM60" s="110"/>
      <c r="AWN60" s="110"/>
      <c r="AWO60" s="110"/>
      <c r="AWP60" s="110"/>
      <c r="AWQ60" s="110"/>
      <c r="AWR60" s="110"/>
      <c r="AWS60" s="110"/>
      <c r="AWT60" s="110"/>
      <c r="AWU60" s="110"/>
      <c r="AWV60" s="110"/>
      <c r="AWW60" s="110"/>
      <c r="AWX60" s="110"/>
      <c r="AWY60" s="110"/>
      <c r="AWZ60" s="110"/>
      <c r="AXA60" s="110"/>
      <c r="AXB60" s="110"/>
      <c r="AXC60" s="110"/>
      <c r="AXD60" s="110"/>
      <c r="AXE60" s="110"/>
      <c r="AXF60" s="110"/>
      <c r="AXG60" s="110"/>
      <c r="AXH60" s="110"/>
      <c r="AXI60" s="110"/>
      <c r="AXJ60" s="110"/>
      <c r="AXK60" s="110"/>
      <c r="AXL60" s="110"/>
      <c r="AXM60" s="110"/>
      <c r="AXN60" s="110"/>
      <c r="AXO60" s="110"/>
      <c r="AXP60" s="110"/>
      <c r="AXQ60" s="110"/>
      <c r="AXR60" s="110"/>
      <c r="AXS60" s="110"/>
      <c r="AXT60" s="110"/>
      <c r="AXU60" s="110"/>
      <c r="AXV60" s="110"/>
      <c r="AXW60" s="110"/>
      <c r="AXX60" s="110"/>
      <c r="AXY60" s="110"/>
      <c r="AXZ60" s="110"/>
      <c r="AYA60" s="110"/>
      <c r="AYB60" s="110"/>
      <c r="AYC60" s="110"/>
      <c r="AYD60" s="110"/>
      <c r="AYE60" s="110"/>
      <c r="AYF60" s="110"/>
      <c r="AYG60" s="110"/>
      <c r="AYH60" s="110"/>
      <c r="AYI60" s="110"/>
      <c r="AYJ60" s="110"/>
      <c r="AYK60" s="110"/>
      <c r="AYL60" s="110"/>
      <c r="AYM60" s="110"/>
      <c r="AYN60" s="110"/>
      <c r="AYO60" s="110"/>
      <c r="AYP60" s="110"/>
      <c r="AYQ60" s="110"/>
      <c r="AYR60" s="110"/>
      <c r="AYS60" s="110"/>
      <c r="AYT60" s="110"/>
      <c r="AYU60" s="110"/>
      <c r="AYV60" s="110"/>
      <c r="AYW60" s="110"/>
      <c r="AYX60" s="110"/>
      <c r="AYY60" s="110"/>
      <c r="AYZ60" s="110"/>
      <c r="AZA60" s="110"/>
      <c r="AZB60" s="110"/>
      <c r="AZC60" s="110"/>
      <c r="AZD60" s="110"/>
      <c r="AZE60" s="110"/>
      <c r="AZF60" s="110"/>
      <c r="AZG60" s="110"/>
      <c r="AZH60" s="110"/>
      <c r="AZI60" s="110"/>
      <c r="AZJ60" s="110"/>
      <c r="AZK60" s="110"/>
      <c r="AZL60" s="110"/>
      <c r="AZM60" s="110"/>
      <c r="AZN60" s="110"/>
      <c r="AZO60" s="110"/>
      <c r="AZP60" s="110"/>
      <c r="AZQ60" s="110"/>
      <c r="AZR60" s="110"/>
      <c r="AZS60" s="110"/>
      <c r="AZT60" s="110"/>
      <c r="AZU60" s="110"/>
      <c r="AZV60" s="110"/>
      <c r="AZW60" s="110"/>
      <c r="AZX60" s="110"/>
      <c r="AZY60" s="110"/>
      <c r="AZZ60" s="110"/>
      <c r="BAA60" s="110"/>
      <c r="BAB60" s="110"/>
      <c r="BAC60" s="110"/>
      <c r="BAD60" s="110"/>
      <c r="BAE60" s="110"/>
      <c r="BAF60" s="110"/>
      <c r="BAG60" s="110"/>
      <c r="BAH60" s="110"/>
      <c r="BAI60" s="110"/>
      <c r="BAJ60" s="110"/>
      <c r="BAK60" s="110"/>
      <c r="BAL60" s="110"/>
      <c r="BAM60" s="110"/>
      <c r="BAN60" s="110"/>
      <c r="BAO60" s="110"/>
      <c r="BAP60" s="110"/>
      <c r="BAQ60" s="110"/>
      <c r="BAR60" s="110"/>
      <c r="BAS60" s="110"/>
      <c r="BAT60" s="110"/>
      <c r="BAU60" s="110"/>
      <c r="BAV60" s="110"/>
      <c r="BAW60" s="110"/>
      <c r="BAX60" s="110"/>
      <c r="BAY60" s="110"/>
      <c r="BAZ60" s="110"/>
      <c r="BBA60" s="110"/>
      <c r="BBB60" s="110"/>
      <c r="BBC60" s="110"/>
      <c r="BBD60" s="110"/>
      <c r="BBE60" s="110"/>
      <c r="BBF60" s="110"/>
      <c r="BBG60" s="110"/>
      <c r="BBH60" s="110"/>
      <c r="BBI60" s="110"/>
      <c r="BBJ60" s="110"/>
      <c r="BBK60" s="110"/>
      <c r="BBL60" s="110"/>
      <c r="BBM60" s="110"/>
      <c r="BBN60" s="110"/>
      <c r="BBO60" s="110"/>
      <c r="BBP60" s="110"/>
      <c r="BBQ60" s="110"/>
      <c r="BBR60" s="110"/>
      <c r="BBS60" s="110"/>
      <c r="BBT60" s="110"/>
      <c r="BBU60" s="110"/>
      <c r="BBV60" s="110"/>
      <c r="BBW60" s="110"/>
      <c r="BBX60" s="110"/>
      <c r="BBY60" s="110"/>
      <c r="BBZ60" s="110"/>
      <c r="BCA60" s="110"/>
      <c r="BCB60" s="110"/>
      <c r="BCC60" s="110"/>
      <c r="BCD60" s="110"/>
      <c r="BCE60" s="110"/>
      <c r="BCF60" s="110"/>
      <c r="BCG60" s="110"/>
      <c r="BCH60" s="110"/>
      <c r="BCI60" s="110"/>
      <c r="BCJ60" s="110"/>
      <c r="BCK60" s="110"/>
      <c r="BCL60" s="110"/>
      <c r="BCM60" s="110"/>
      <c r="BCN60" s="110"/>
      <c r="BCO60" s="110"/>
      <c r="BCP60" s="110"/>
      <c r="BCQ60" s="110"/>
      <c r="BCR60" s="110"/>
      <c r="BCS60" s="110"/>
      <c r="BCT60" s="110"/>
      <c r="BCU60" s="110"/>
      <c r="BCV60" s="110"/>
      <c r="BCW60" s="110"/>
      <c r="BCX60" s="110"/>
      <c r="BCY60" s="110"/>
      <c r="BCZ60" s="110"/>
      <c r="BDA60" s="110"/>
      <c r="BDB60" s="110"/>
      <c r="BDC60" s="110"/>
      <c r="BDD60" s="110"/>
      <c r="BDE60" s="110"/>
      <c r="BDF60" s="110"/>
      <c r="BDG60" s="110"/>
      <c r="BDH60" s="110"/>
      <c r="BDI60" s="110"/>
      <c r="BDJ60" s="110"/>
      <c r="BDK60" s="110"/>
      <c r="BDL60" s="110"/>
      <c r="BDM60" s="110"/>
      <c r="BDN60" s="110"/>
      <c r="BDO60" s="110"/>
      <c r="BDP60" s="110"/>
      <c r="BDQ60" s="110"/>
      <c r="BDR60" s="110"/>
      <c r="BDS60" s="110"/>
      <c r="BDT60" s="110"/>
      <c r="BDU60" s="110"/>
      <c r="BDV60" s="110"/>
      <c r="BDW60" s="110"/>
      <c r="BDX60" s="110"/>
      <c r="BDY60" s="110"/>
      <c r="BDZ60" s="110"/>
      <c r="BEA60" s="110"/>
      <c r="BEB60" s="110"/>
      <c r="BEC60" s="110"/>
      <c r="BED60" s="110"/>
      <c r="BEE60" s="110"/>
      <c r="BEF60" s="110"/>
      <c r="BEG60" s="110"/>
      <c r="BEH60" s="110"/>
      <c r="BEI60" s="110"/>
      <c r="BEJ60" s="110"/>
      <c r="BEK60" s="110"/>
      <c r="BEL60" s="110"/>
      <c r="BEM60" s="110"/>
      <c r="BEN60" s="110"/>
      <c r="BEO60" s="110"/>
      <c r="BEP60" s="110"/>
      <c r="BEQ60" s="110"/>
      <c r="BER60" s="110"/>
      <c r="BES60" s="110"/>
      <c r="BET60" s="110"/>
      <c r="BEU60" s="110"/>
      <c r="BEV60" s="110"/>
      <c r="BEW60" s="110"/>
      <c r="BEX60" s="110"/>
      <c r="BEY60" s="110"/>
      <c r="BEZ60" s="110"/>
      <c r="BFA60" s="110"/>
      <c r="BFB60" s="110"/>
      <c r="BFC60" s="110"/>
      <c r="BFD60" s="110"/>
      <c r="BFE60" s="110"/>
      <c r="BFF60" s="110"/>
      <c r="BFG60" s="110"/>
      <c r="BFH60" s="110"/>
      <c r="BFI60" s="110"/>
      <c r="BFJ60" s="110"/>
      <c r="BFK60" s="110"/>
      <c r="BFL60" s="110"/>
      <c r="BFM60" s="110"/>
      <c r="BFN60" s="110"/>
      <c r="BFO60" s="110"/>
      <c r="BFP60" s="110"/>
      <c r="BFQ60" s="110"/>
      <c r="BFR60" s="110"/>
      <c r="BFS60" s="110"/>
      <c r="BFT60" s="110"/>
      <c r="BFU60" s="110"/>
      <c r="BFV60" s="110"/>
      <c r="BFW60" s="110"/>
      <c r="BFX60" s="110"/>
      <c r="BFY60" s="110"/>
      <c r="BFZ60" s="110"/>
      <c r="BGA60" s="110"/>
      <c r="BGB60" s="110"/>
      <c r="BGC60" s="110"/>
      <c r="BGD60" s="110"/>
      <c r="BGE60" s="110"/>
      <c r="BGF60" s="110"/>
      <c r="BGG60" s="110"/>
      <c r="BGH60" s="110"/>
      <c r="BGI60" s="110"/>
      <c r="BGJ60" s="110"/>
      <c r="BGK60" s="110"/>
      <c r="BGL60" s="110"/>
      <c r="BGM60" s="110"/>
      <c r="BGN60" s="110"/>
      <c r="BGO60" s="110"/>
      <c r="BGP60" s="110"/>
      <c r="BGQ60" s="110"/>
      <c r="BGR60" s="110"/>
      <c r="BGS60" s="110"/>
      <c r="BGT60" s="110"/>
      <c r="BGU60" s="110"/>
      <c r="BGV60" s="110"/>
      <c r="BGW60" s="110"/>
      <c r="BGX60" s="110"/>
      <c r="BGY60" s="110"/>
      <c r="BGZ60" s="110"/>
      <c r="BHA60" s="110"/>
      <c r="BHB60" s="110"/>
      <c r="BHC60" s="110"/>
      <c r="BHD60" s="110"/>
      <c r="BHE60" s="110"/>
      <c r="BHF60" s="110"/>
      <c r="BHG60" s="110"/>
      <c r="BHH60" s="110"/>
      <c r="BHI60" s="110"/>
      <c r="BHJ60" s="110"/>
      <c r="BHK60" s="110"/>
      <c r="BHL60" s="110"/>
      <c r="BHM60" s="110"/>
      <c r="BHN60" s="110"/>
      <c r="BHO60" s="110"/>
      <c r="BHP60" s="110"/>
      <c r="BHQ60" s="110"/>
      <c r="BHR60" s="110"/>
      <c r="BHS60" s="110"/>
      <c r="BHT60" s="110"/>
      <c r="BHU60" s="110"/>
      <c r="BHV60" s="110"/>
      <c r="BHW60" s="110"/>
      <c r="BHX60" s="110"/>
      <c r="BHY60" s="110"/>
      <c r="BHZ60" s="110"/>
      <c r="BIA60" s="110"/>
      <c r="BIB60" s="110"/>
      <c r="BIC60" s="110"/>
      <c r="BID60" s="110"/>
      <c r="BIE60" s="110"/>
      <c r="BIF60" s="110"/>
      <c r="BIG60" s="110"/>
      <c r="BIH60" s="110"/>
      <c r="BII60" s="110"/>
      <c r="BIJ60" s="110"/>
      <c r="BIK60" s="110"/>
      <c r="BIL60" s="110"/>
      <c r="BIM60" s="110"/>
      <c r="BIN60" s="110"/>
      <c r="BIO60" s="110"/>
      <c r="BIP60" s="110"/>
      <c r="BIQ60" s="110"/>
      <c r="BIR60" s="110"/>
      <c r="BIS60" s="110"/>
      <c r="BIT60" s="110"/>
      <c r="BIU60" s="110"/>
      <c r="BIV60" s="110"/>
      <c r="BIW60" s="110"/>
      <c r="BIX60" s="110"/>
      <c r="BIY60" s="110"/>
      <c r="BIZ60" s="110"/>
      <c r="BJA60" s="110"/>
      <c r="BJB60" s="110"/>
      <c r="BJC60" s="110"/>
      <c r="BJD60" s="110"/>
      <c r="BJE60" s="110"/>
      <c r="BJF60" s="110"/>
      <c r="BJG60" s="110"/>
      <c r="BJH60" s="110"/>
      <c r="BJI60" s="110"/>
      <c r="BJJ60" s="110"/>
      <c r="BJK60" s="110"/>
      <c r="BJL60" s="110"/>
      <c r="BJM60" s="110"/>
      <c r="BJN60" s="110"/>
      <c r="BJO60" s="110"/>
      <c r="BJP60" s="110"/>
      <c r="BJQ60" s="110"/>
      <c r="BJR60" s="110"/>
      <c r="BJS60" s="110"/>
      <c r="BJT60" s="110"/>
      <c r="BJU60" s="110"/>
      <c r="BJV60" s="110"/>
      <c r="BJW60" s="110"/>
      <c r="BJX60" s="110"/>
      <c r="BJY60" s="110"/>
      <c r="BJZ60" s="110"/>
      <c r="BKA60" s="110"/>
      <c r="BKB60" s="110"/>
      <c r="BKC60" s="110"/>
      <c r="BKD60" s="110"/>
      <c r="BKE60" s="110"/>
      <c r="BKF60" s="110"/>
      <c r="BKG60" s="110"/>
      <c r="BKH60" s="110"/>
      <c r="BKI60" s="110"/>
      <c r="BKJ60" s="110"/>
      <c r="BKK60" s="110"/>
      <c r="BKL60" s="110"/>
      <c r="BKM60" s="110"/>
      <c r="BKN60" s="110"/>
      <c r="BKO60" s="110"/>
      <c r="BKP60" s="110"/>
      <c r="BKQ60" s="110"/>
      <c r="BKR60" s="110"/>
      <c r="BKS60" s="110"/>
      <c r="BKT60" s="110"/>
      <c r="BKU60" s="110"/>
      <c r="BKV60" s="110"/>
      <c r="BKW60" s="110"/>
      <c r="BKX60" s="110"/>
      <c r="BKY60" s="110"/>
      <c r="BKZ60" s="110"/>
      <c r="BLA60" s="110"/>
      <c r="BLB60" s="110"/>
      <c r="BLC60" s="110"/>
      <c r="BLD60" s="110"/>
      <c r="BLE60" s="110"/>
      <c r="BLF60" s="110"/>
      <c r="BLG60" s="110"/>
      <c r="BLH60" s="110"/>
      <c r="BLI60" s="110"/>
      <c r="BLJ60" s="110"/>
      <c r="BLK60" s="110"/>
      <c r="BLL60" s="110"/>
      <c r="BLM60" s="110"/>
      <c r="BLN60" s="110"/>
      <c r="BLO60" s="110"/>
      <c r="BLP60" s="110"/>
      <c r="BLQ60" s="110"/>
      <c r="BLR60" s="110"/>
      <c r="BLS60" s="110"/>
      <c r="BLT60" s="110"/>
      <c r="BLU60" s="110"/>
      <c r="BLV60" s="110"/>
      <c r="BLW60" s="110"/>
      <c r="BLX60" s="110"/>
      <c r="BLY60" s="110"/>
      <c r="BLZ60" s="110"/>
      <c r="BMA60" s="110"/>
      <c r="BMB60" s="110"/>
      <c r="BMC60" s="110"/>
      <c r="BMD60" s="110"/>
      <c r="BME60" s="110"/>
      <c r="BMF60" s="110"/>
      <c r="BMG60" s="110"/>
      <c r="BMH60" s="110"/>
      <c r="BMI60" s="110"/>
      <c r="BMJ60" s="110"/>
      <c r="BMK60" s="110"/>
      <c r="BML60" s="110"/>
      <c r="BMM60" s="110"/>
      <c r="BMN60" s="110"/>
      <c r="BMO60" s="110"/>
      <c r="BMP60" s="110"/>
      <c r="BMQ60" s="110"/>
      <c r="BMR60" s="110"/>
      <c r="BMS60" s="110"/>
      <c r="BMT60" s="110"/>
      <c r="BMU60" s="110"/>
      <c r="BMV60" s="110"/>
      <c r="BMW60" s="110"/>
      <c r="BMX60" s="110"/>
      <c r="BMY60" s="110"/>
      <c r="BMZ60" s="110"/>
      <c r="BNA60" s="110"/>
      <c r="BNB60" s="110"/>
      <c r="BNC60" s="110"/>
      <c r="BND60" s="110"/>
      <c r="BNE60" s="110"/>
      <c r="BNF60" s="110"/>
      <c r="BNG60" s="110"/>
      <c r="BNH60" s="110"/>
      <c r="BNI60" s="110"/>
      <c r="BNJ60" s="110"/>
      <c r="BNK60" s="110"/>
      <c r="BNL60" s="110"/>
      <c r="BNM60" s="110"/>
      <c r="BNN60" s="110"/>
      <c r="BNO60" s="110"/>
      <c r="BNP60" s="110"/>
      <c r="BNQ60" s="110"/>
      <c r="BNR60" s="110"/>
      <c r="BNS60" s="110"/>
      <c r="BNT60" s="110"/>
      <c r="BNU60" s="110"/>
      <c r="BNV60" s="110"/>
      <c r="BNW60" s="110"/>
      <c r="BNX60" s="110"/>
      <c r="BNY60" s="110"/>
      <c r="BNZ60" s="110"/>
      <c r="BOA60" s="110"/>
      <c r="BOB60" s="110"/>
      <c r="BOC60" s="110"/>
      <c r="BOD60" s="110"/>
      <c r="BOE60" s="110"/>
      <c r="BOF60" s="110"/>
      <c r="BOG60" s="110"/>
      <c r="BOH60" s="110"/>
      <c r="BOI60" s="110"/>
      <c r="BOJ60" s="110"/>
      <c r="BOK60" s="110"/>
      <c r="BOL60" s="110"/>
      <c r="BOM60" s="110"/>
      <c r="BON60" s="110"/>
      <c r="BOO60" s="110"/>
      <c r="BOP60" s="110"/>
      <c r="BOQ60" s="110"/>
      <c r="BOR60" s="110"/>
      <c r="BOS60" s="110"/>
      <c r="BOT60" s="110"/>
      <c r="BOU60" s="110"/>
      <c r="BOV60" s="110"/>
      <c r="BOW60" s="110"/>
      <c r="BOX60" s="110"/>
      <c r="BOY60" s="110"/>
      <c r="BOZ60" s="110"/>
      <c r="BPA60" s="110"/>
      <c r="BPB60" s="110"/>
      <c r="BPC60" s="110"/>
      <c r="BPD60" s="110"/>
      <c r="BPE60" s="110"/>
      <c r="BPF60" s="110"/>
      <c r="BPG60" s="110"/>
      <c r="BPH60" s="110"/>
      <c r="BPI60" s="110"/>
      <c r="BPJ60" s="110"/>
      <c r="BPK60" s="110"/>
      <c r="BPL60" s="110"/>
      <c r="BPM60" s="110"/>
      <c r="BPN60" s="110"/>
      <c r="BPO60" s="110"/>
      <c r="BPP60" s="110"/>
      <c r="BPQ60" s="110"/>
      <c r="BPR60" s="110"/>
      <c r="BPS60" s="110"/>
      <c r="BPT60" s="110"/>
      <c r="BPU60" s="110"/>
      <c r="BPV60" s="110"/>
      <c r="BPW60" s="110"/>
      <c r="BPX60" s="110"/>
      <c r="BPY60" s="110"/>
      <c r="BPZ60" s="110"/>
      <c r="BQA60" s="110"/>
      <c r="BQB60" s="110"/>
      <c r="BQC60" s="110"/>
      <c r="BQD60" s="110"/>
      <c r="BQE60" s="110"/>
      <c r="BQF60" s="110"/>
      <c r="BQG60" s="110"/>
      <c r="BQH60" s="110"/>
      <c r="BQI60" s="110"/>
      <c r="BQJ60" s="110"/>
      <c r="BQK60" s="110"/>
      <c r="BQL60" s="110"/>
      <c r="BQM60" s="110"/>
      <c r="BQN60" s="110"/>
      <c r="BQO60" s="110"/>
      <c r="BQP60" s="110"/>
      <c r="BQQ60" s="110"/>
      <c r="BQR60" s="110"/>
      <c r="BQS60" s="110"/>
      <c r="BQT60" s="110"/>
      <c r="BQU60" s="110"/>
      <c r="BQV60" s="110"/>
      <c r="BQW60" s="110"/>
      <c r="BQX60" s="110"/>
      <c r="BQY60" s="110"/>
      <c r="BQZ60" s="110"/>
      <c r="BRA60" s="110"/>
      <c r="BRB60" s="110"/>
      <c r="BRC60" s="110"/>
      <c r="BRD60" s="110"/>
      <c r="BRE60" s="110"/>
      <c r="BRF60" s="110"/>
      <c r="BRG60" s="110"/>
      <c r="BRH60" s="110"/>
      <c r="BRI60" s="110"/>
      <c r="BRJ60" s="110"/>
      <c r="BRK60" s="110"/>
      <c r="BRL60" s="110"/>
      <c r="BRM60" s="110"/>
      <c r="BRN60" s="110"/>
      <c r="BRO60" s="110"/>
      <c r="BRP60" s="110"/>
      <c r="BRQ60" s="110"/>
      <c r="BRR60" s="110"/>
      <c r="BRS60" s="110"/>
      <c r="BRT60" s="110"/>
      <c r="BRU60" s="110"/>
      <c r="BRV60" s="110"/>
      <c r="BRW60" s="110"/>
      <c r="BRX60" s="110"/>
      <c r="BRY60" s="110"/>
      <c r="BRZ60" s="110"/>
      <c r="BSA60" s="110"/>
      <c r="BSB60" s="110"/>
      <c r="BSC60" s="110"/>
      <c r="BSD60" s="110"/>
      <c r="BSE60" s="110"/>
      <c r="BSF60" s="110"/>
      <c r="BSG60" s="110"/>
      <c r="BSH60" s="110"/>
      <c r="BSI60" s="110"/>
      <c r="BSJ60" s="110"/>
      <c r="BSK60" s="110"/>
      <c r="BSL60" s="110"/>
      <c r="BSM60" s="110"/>
      <c r="BSN60" s="110"/>
      <c r="BSO60" s="110"/>
      <c r="BSP60" s="110"/>
      <c r="BSQ60" s="110"/>
      <c r="BSR60" s="110"/>
      <c r="BSS60" s="110"/>
      <c r="BST60" s="110"/>
      <c r="BSU60" s="110"/>
      <c r="BSV60" s="110"/>
      <c r="BSW60" s="110"/>
      <c r="BSX60" s="110"/>
      <c r="BSY60" s="110"/>
      <c r="BSZ60" s="110"/>
      <c r="BTA60" s="110"/>
      <c r="BTB60" s="110"/>
      <c r="BTC60" s="110"/>
      <c r="BTD60" s="110"/>
      <c r="BTE60" s="110"/>
      <c r="BTF60" s="110"/>
      <c r="BTG60" s="110"/>
      <c r="BTH60" s="110"/>
      <c r="BTI60" s="110"/>
      <c r="BTJ60" s="110"/>
      <c r="BTK60" s="110"/>
      <c r="BTL60" s="110"/>
      <c r="BTM60" s="110"/>
      <c r="BTN60" s="110"/>
      <c r="BTO60" s="110"/>
      <c r="BTP60" s="110"/>
      <c r="BTQ60" s="110"/>
      <c r="BTR60" s="110"/>
      <c r="BTS60" s="110"/>
      <c r="BTT60" s="110"/>
      <c r="BTU60" s="110"/>
      <c r="BTV60" s="110"/>
      <c r="BTW60" s="110"/>
      <c r="BTX60" s="110"/>
      <c r="BTY60" s="110"/>
      <c r="BTZ60" s="110"/>
      <c r="BUA60" s="110"/>
      <c r="BUB60" s="110"/>
      <c r="BUC60" s="110"/>
      <c r="BUD60" s="110"/>
      <c r="BUE60" s="110"/>
      <c r="BUF60" s="110"/>
      <c r="BUG60" s="110"/>
      <c r="BUH60" s="110"/>
      <c r="BUI60" s="110"/>
      <c r="BUJ60" s="110"/>
      <c r="BUK60" s="110"/>
      <c r="BUL60" s="110"/>
      <c r="BUM60" s="110"/>
      <c r="BUN60" s="110"/>
      <c r="BUO60" s="110"/>
      <c r="BUP60" s="110"/>
      <c r="BUQ60" s="110"/>
      <c r="BUR60" s="110"/>
      <c r="BUS60" s="110"/>
      <c r="BUT60" s="110"/>
      <c r="BUU60" s="110"/>
      <c r="BUV60" s="110"/>
      <c r="BUW60" s="110"/>
      <c r="BUX60" s="110"/>
      <c r="BUY60" s="110"/>
      <c r="BUZ60" s="110"/>
      <c r="BVA60" s="110"/>
      <c r="BVB60" s="110"/>
      <c r="BVC60" s="110"/>
      <c r="BVD60" s="110"/>
      <c r="BVE60" s="110"/>
      <c r="BVF60" s="110"/>
      <c r="BVG60" s="110"/>
      <c r="BVH60" s="110"/>
      <c r="BVI60" s="110"/>
      <c r="BVJ60" s="110"/>
      <c r="BVK60" s="110"/>
      <c r="BVL60" s="110"/>
      <c r="BVM60" s="110"/>
      <c r="BVN60" s="110"/>
      <c r="BVO60" s="110"/>
      <c r="BVP60" s="110"/>
      <c r="BVQ60" s="110"/>
      <c r="BVR60" s="110"/>
      <c r="BVS60" s="110"/>
      <c r="BVT60" s="110"/>
      <c r="BVU60" s="110"/>
      <c r="BVV60" s="110"/>
      <c r="BVW60" s="110"/>
      <c r="BVX60" s="110"/>
      <c r="BVY60" s="110"/>
      <c r="BVZ60" s="110"/>
      <c r="BWA60" s="110"/>
      <c r="BWB60" s="110"/>
      <c r="BWC60" s="110"/>
      <c r="BWD60" s="110"/>
    </row>
    <row r="61" spans="1:1954" ht="16.5" x14ac:dyDescent="0.3">
      <c r="A61" s="191" t="s">
        <v>332</v>
      </c>
      <c r="B61" s="192">
        <v>151.80772720999997</v>
      </c>
      <c r="C61" s="192">
        <v>56.714497549999997</v>
      </c>
      <c r="D61" s="192">
        <v>208.52222476</v>
      </c>
      <c r="E61" s="110"/>
      <c r="F61" s="195"/>
      <c r="G61" s="185"/>
      <c r="H61" s="195"/>
      <c r="I61" s="110"/>
      <c r="J61" s="186"/>
      <c r="K61" s="186"/>
      <c r="L61" s="186"/>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c r="IU61" s="110"/>
      <c r="IV61" s="110"/>
      <c r="IW61" s="110"/>
      <c r="IX61" s="110"/>
      <c r="IY61" s="110"/>
      <c r="IZ61" s="110"/>
      <c r="JA61" s="110"/>
      <c r="JB61" s="110"/>
      <c r="JC61" s="110"/>
      <c r="JD61" s="110"/>
      <c r="JE61" s="110"/>
      <c r="JF61" s="110"/>
      <c r="JG61" s="110"/>
      <c r="JH61" s="110"/>
      <c r="JI61" s="110"/>
      <c r="JJ61" s="110"/>
      <c r="JK61" s="110"/>
      <c r="JL61" s="110"/>
      <c r="JM61" s="110"/>
      <c r="JN61" s="110"/>
      <c r="JO61" s="110"/>
      <c r="JP61" s="110"/>
      <c r="JQ61" s="110"/>
      <c r="JR61" s="110"/>
      <c r="JS61" s="110"/>
      <c r="JT61" s="110"/>
      <c r="JU61" s="110"/>
      <c r="JV61" s="110"/>
      <c r="JW61" s="110"/>
      <c r="JX61" s="110"/>
      <c r="JY61" s="110"/>
      <c r="JZ61" s="110"/>
      <c r="KA61" s="110"/>
      <c r="KB61" s="110"/>
      <c r="KC61" s="110"/>
      <c r="KD61" s="110"/>
      <c r="KE61" s="110"/>
      <c r="KF61" s="110"/>
      <c r="KG61" s="110"/>
      <c r="KH61" s="110"/>
      <c r="KI61" s="110"/>
      <c r="KJ61" s="110"/>
      <c r="KK61" s="110"/>
      <c r="KL61" s="110"/>
      <c r="KM61" s="110"/>
      <c r="KN61" s="110"/>
      <c r="KO61" s="110"/>
      <c r="KP61" s="110"/>
      <c r="KQ61" s="110"/>
      <c r="KR61" s="110"/>
      <c r="KS61" s="110"/>
      <c r="KT61" s="110"/>
      <c r="KU61" s="110"/>
      <c r="KV61" s="110"/>
      <c r="KW61" s="110"/>
      <c r="KX61" s="110"/>
      <c r="KY61" s="110"/>
      <c r="KZ61" s="110"/>
      <c r="LA61" s="110"/>
      <c r="LB61" s="110"/>
      <c r="LC61" s="110"/>
      <c r="LD61" s="110"/>
      <c r="LE61" s="110"/>
      <c r="LF61" s="110"/>
      <c r="LG61" s="110"/>
      <c r="LH61" s="110"/>
      <c r="LI61" s="110"/>
      <c r="LJ61" s="110"/>
      <c r="LK61" s="110"/>
      <c r="LL61" s="110"/>
      <c r="LM61" s="110"/>
      <c r="LN61" s="110"/>
      <c r="LO61" s="110"/>
      <c r="LP61" s="110"/>
      <c r="LQ61" s="110"/>
      <c r="LR61" s="110"/>
      <c r="LS61" s="110"/>
      <c r="LT61" s="110"/>
      <c r="LU61" s="110"/>
      <c r="LV61" s="110"/>
      <c r="LW61" s="110"/>
      <c r="LX61" s="110"/>
      <c r="LY61" s="110"/>
      <c r="LZ61" s="110"/>
      <c r="MA61" s="110"/>
      <c r="MB61" s="110"/>
      <c r="MC61" s="110"/>
      <c r="MD61" s="110"/>
      <c r="ME61" s="110"/>
      <c r="MF61" s="110"/>
      <c r="MG61" s="110"/>
      <c r="MH61" s="110"/>
      <c r="MI61" s="110"/>
      <c r="MJ61" s="110"/>
      <c r="MK61" s="110"/>
      <c r="ML61" s="110"/>
      <c r="MM61" s="110"/>
      <c r="MN61" s="110"/>
      <c r="MO61" s="110"/>
      <c r="MP61" s="110"/>
      <c r="MQ61" s="110"/>
      <c r="MR61" s="110"/>
      <c r="MS61" s="110"/>
      <c r="MT61" s="110"/>
      <c r="MU61" s="110"/>
      <c r="MV61" s="110"/>
      <c r="MW61" s="110"/>
      <c r="MX61" s="110"/>
      <c r="MY61" s="110"/>
      <c r="MZ61" s="110"/>
      <c r="NA61" s="110"/>
      <c r="NB61" s="110"/>
      <c r="NC61" s="110"/>
      <c r="ND61" s="110"/>
      <c r="NE61" s="110"/>
      <c r="NF61" s="110"/>
      <c r="NG61" s="110"/>
      <c r="NH61" s="110"/>
      <c r="NI61" s="110"/>
      <c r="NJ61" s="110"/>
      <c r="NK61" s="110"/>
      <c r="NL61" s="110"/>
      <c r="NM61" s="110"/>
      <c r="NN61" s="110"/>
      <c r="NO61" s="110"/>
      <c r="NP61" s="110"/>
      <c r="NQ61" s="110"/>
      <c r="NR61" s="110"/>
      <c r="NS61" s="110"/>
      <c r="NT61" s="110"/>
      <c r="NU61" s="110"/>
      <c r="NV61" s="110"/>
      <c r="NW61" s="110"/>
      <c r="NX61" s="110"/>
      <c r="NY61" s="110"/>
      <c r="NZ61" s="110"/>
      <c r="OA61" s="110"/>
      <c r="OB61" s="110"/>
      <c r="OC61" s="110"/>
      <c r="OD61" s="110"/>
      <c r="OE61" s="110"/>
      <c r="OF61" s="110"/>
      <c r="OG61" s="110"/>
      <c r="OH61" s="110"/>
      <c r="OI61" s="110"/>
      <c r="OJ61" s="110"/>
      <c r="OK61" s="110"/>
      <c r="OL61" s="110"/>
      <c r="OM61" s="110"/>
      <c r="ON61" s="110"/>
      <c r="OO61" s="110"/>
      <c r="OP61" s="110"/>
      <c r="OQ61" s="110"/>
      <c r="OR61" s="110"/>
      <c r="OS61" s="110"/>
      <c r="OT61" s="110"/>
      <c r="OU61" s="110"/>
      <c r="OV61" s="110"/>
      <c r="OW61" s="110"/>
      <c r="OX61" s="110"/>
      <c r="OY61" s="110"/>
      <c r="OZ61" s="110"/>
      <c r="PA61" s="110"/>
      <c r="PB61" s="110"/>
      <c r="PC61" s="110"/>
      <c r="PD61" s="110"/>
      <c r="PE61" s="110"/>
      <c r="PF61" s="110"/>
      <c r="PG61" s="110"/>
      <c r="PH61" s="110"/>
      <c r="PI61" s="110"/>
      <c r="PJ61" s="110"/>
      <c r="PK61" s="110"/>
      <c r="PL61" s="110"/>
      <c r="PM61" s="110"/>
      <c r="PN61" s="110"/>
      <c r="PO61" s="110"/>
      <c r="PP61" s="110"/>
      <c r="PQ61" s="110"/>
      <c r="PR61" s="110"/>
      <c r="PS61" s="110"/>
      <c r="PT61" s="110"/>
      <c r="PU61" s="110"/>
      <c r="PV61" s="110"/>
      <c r="PW61" s="110"/>
      <c r="PX61" s="110"/>
      <c r="PY61" s="110"/>
      <c r="PZ61" s="110"/>
      <c r="QA61" s="110"/>
      <c r="QB61" s="110"/>
      <c r="QC61" s="110"/>
      <c r="QD61" s="110"/>
      <c r="QE61" s="110"/>
      <c r="QF61" s="110"/>
      <c r="QG61" s="110"/>
      <c r="QH61" s="110"/>
      <c r="QI61" s="110"/>
      <c r="QJ61" s="110"/>
      <c r="QK61" s="110"/>
      <c r="QL61" s="110"/>
      <c r="QM61" s="110"/>
      <c r="QN61" s="110"/>
      <c r="QO61" s="110"/>
      <c r="QP61" s="110"/>
      <c r="QQ61" s="110"/>
      <c r="QR61" s="110"/>
      <c r="QS61" s="110"/>
      <c r="QT61" s="110"/>
      <c r="QU61" s="110"/>
      <c r="QV61" s="110"/>
      <c r="QW61" s="110"/>
      <c r="QX61" s="110"/>
      <c r="QY61" s="110"/>
      <c r="QZ61" s="110"/>
      <c r="RA61" s="110"/>
      <c r="RB61" s="110"/>
      <c r="RC61" s="110"/>
      <c r="RD61" s="110"/>
      <c r="RE61" s="110"/>
      <c r="RF61" s="110"/>
      <c r="RG61" s="110"/>
      <c r="RH61" s="110"/>
      <c r="RI61" s="110"/>
      <c r="RJ61" s="110"/>
      <c r="RK61" s="110"/>
      <c r="RL61" s="110"/>
      <c r="RM61" s="110"/>
      <c r="RN61" s="110"/>
      <c r="RO61" s="110"/>
      <c r="RP61" s="110"/>
      <c r="RQ61" s="110"/>
      <c r="RR61" s="110"/>
      <c r="RS61" s="110"/>
      <c r="RT61" s="110"/>
      <c r="RU61" s="110"/>
      <c r="RV61" s="110"/>
      <c r="RW61" s="110"/>
      <c r="RX61" s="110"/>
      <c r="RY61" s="110"/>
      <c r="RZ61" s="110"/>
      <c r="SA61" s="110"/>
      <c r="SB61" s="110"/>
      <c r="SC61" s="110"/>
      <c r="SD61" s="110"/>
      <c r="SE61" s="110"/>
      <c r="SF61" s="110"/>
      <c r="SG61" s="110"/>
      <c r="SH61" s="110"/>
      <c r="SI61" s="110"/>
      <c r="SJ61" s="110"/>
      <c r="SK61" s="110"/>
      <c r="SL61" s="110"/>
      <c r="SM61" s="110"/>
      <c r="SN61" s="110"/>
      <c r="SO61" s="110"/>
      <c r="SP61" s="110"/>
      <c r="SQ61" s="110"/>
      <c r="SR61" s="110"/>
      <c r="SS61" s="110"/>
      <c r="ST61" s="110"/>
      <c r="SU61" s="110"/>
      <c r="SV61" s="110"/>
      <c r="SW61" s="110"/>
      <c r="SX61" s="110"/>
      <c r="SY61" s="110"/>
      <c r="SZ61" s="110"/>
      <c r="TA61" s="110"/>
      <c r="TB61" s="110"/>
      <c r="TC61" s="110"/>
      <c r="TD61" s="110"/>
      <c r="TE61" s="110"/>
      <c r="TF61" s="110"/>
      <c r="TG61" s="110"/>
      <c r="TH61" s="110"/>
      <c r="TI61" s="110"/>
      <c r="TJ61" s="110"/>
      <c r="TK61" s="110"/>
      <c r="TL61" s="110"/>
      <c r="TM61" s="110"/>
      <c r="TN61" s="110"/>
      <c r="TO61" s="110"/>
      <c r="TP61" s="110"/>
      <c r="TQ61" s="110"/>
      <c r="TR61" s="110"/>
      <c r="TS61" s="110"/>
      <c r="TT61" s="110"/>
      <c r="TU61" s="110"/>
      <c r="TV61" s="110"/>
      <c r="TW61" s="110"/>
      <c r="TX61" s="110"/>
      <c r="TY61" s="110"/>
      <c r="TZ61" s="110"/>
      <c r="UA61" s="110"/>
      <c r="UB61" s="110"/>
      <c r="UC61" s="110"/>
      <c r="UD61" s="110"/>
      <c r="UE61" s="110"/>
      <c r="UF61" s="110"/>
      <c r="UG61" s="110"/>
      <c r="UH61" s="110"/>
      <c r="UI61" s="110"/>
      <c r="UJ61" s="110"/>
      <c r="UK61" s="110"/>
      <c r="UL61" s="110"/>
      <c r="UM61" s="110"/>
      <c r="UN61" s="110"/>
      <c r="UO61" s="110"/>
      <c r="UP61" s="110"/>
      <c r="UQ61" s="110"/>
      <c r="UR61" s="110"/>
      <c r="US61" s="110"/>
      <c r="UT61" s="110"/>
      <c r="UU61" s="110"/>
      <c r="UV61" s="110"/>
      <c r="UW61" s="110"/>
      <c r="UX61" s="110"/>
      <c r="UY61" s="110"/>
      <c r="UZ61" s="110"/>
      <c r="VA61" s="110"/>
      <c r="VB61" s="110"/>
      <c r="VC61" s="110"/>
      <c r="VD61" s="110"/>
      <c r="VE61" s="110"/>
      <c r="VF61" s="110"/>
      <c r="VG61" s="110"/>
      <c r="VH61" s="110"/>
      <c r="VI61" s="110"/>
      <c r="VJ61" s="110"/>
      <c r="VK61" s="110"/>
      <c r="VL61" s="110"/>
      <c r="VM61" s="110"/>
      <c r="VN61" s="110"/>
      <c r="VO61" s="110"/>
      <c r="VP61" s="110"/>
      <c r="VQ61" s="110"/>
      <c r="VR61" s="110"/>
      <c r="VS61" s="110"/>
      <c r="VT61" s="110"/>
      <c r="VU61" s="110"/>
      <c r="VV61" s="110"/>
      <c r="VW61" s="110"/>
      <c r="VX61" s="110"/>
      <c r="VY61" s="110"/>
      <c r="VZ61" s="110"/>
      <c r="WA61" s="110"/>
      <c r="WB61" s="110"/>
      <c r="WC61" s="110"/>
      <c r="WD61" s="110"/>
      <c r="WE61" s="110"/>
      <c r="WF61" s="110"/>
      <c r="WG61" s="110"/>
      <c r="WH61" s="110"/>
      <c r="WI61" s="110"/>
      <c r="WJ61" s="110"/>
      <c r="WK61" s="110"/>
      <c r="WL61" s="110"/>
      <c r="WM61" s="110"/>
      <c r="WN61" s="110"/>
      <c r="WO61" s="110"/>
      <c r="WP61" s="110"/>
      <c r="WQ61" s="110"/>
      <c r="WR61" s="110"/>
      <c r="WS61" s="110"/>
      <c r="WT61" s="110"/>
      <c r="WU61" s="110"/>
      <c r="WV61" s="110"/>
      <c r="WW61" s="110"/>
      <c r="WX61" s="110"/>
      <c r="WY61" s="110"/>
      <c r="WZ61" s="110"/>
      <c r="XA61" s="110"/>
      <c r="XB61" s="110"/>
      <c r="XC61" s="110"/>
      <c r="XD61" s="110"/>
      <c r="XE61" s="110"/>
      <c r="XF61" s="110"/>
      <c r="XG61" s="110"/>
      <c r="XH61" s="110"/>
      <c r="XI61" s="110"/>
      <c r="XJ61" s="110"/>
      <c r="XK61" s="110"/>
      <c r="XL61" s="110"/>
      <c r="XM61" s="110"/>
      <c r="XN61" s="110"/>
      <c r="XO61" s="110"/>
      <c r="XP61" s="110"/>
      <c r="XQ61" s="110"/>
      <c r="XR61" s="110"/>
      <c r="XS61" s="110"/>
      <c r="XT61" s="110"/>
      <c r="XU61" s="110"/>
      <c r="XV61" s="110"/>
      <c r="XW61" s="110"/>
      <c r="XX61" s="110"/>
      <c r="XY61" s="110"/>
      <c r="XZ61" s="110"/>
      <c r="YA61" s="110"/>
      <c r="YB61" s="110"/>
      <c r="YC61" s="110"/>
      <c r="YD61" s="110"/>
      <c r="YE61" s="110"/>
      <c r="YF61" s="110"/>
      <c r="YG61" s="110"/>
      <c r="YH61" s="110"/>
      <c r="YI61" s="110"/>
      <c r="YJ61" s="110"/>
      <c r="YK61" s="110"/>
      <c r="YL61" s="110"/>
      <c r="YM61" s="110"/>
      <c r="YN61" s="110"/>
      <c r="YO61" s="110"/>
      <c r="YP61" s="110"/>
      <c r="YQ61" s="110"/>
      <c r="YR61" s="110"/>
      <c r="YS61" s="110"/>
      <c r="YT61" s="110"/>
      <c r="YU61" s="110"/>
      <c r="YV61" s="110"/>
      <c r="YW61" s="110"/>
      <c r="YX61" s="110"/>
      <c r="YY61" s="110"/>
      <c r="YZ61" s="110"/>
      <c r="ZA61" s="110"/>
      <c r="ZB61" s="110"/>
      <c r="ZC61" s="110"/>
      <c r="ZD61" s="110"/>
      <c r="ZE61" s="110"/>
      <c r="ZF61" s="110"/>
      <c r="ZG61" s="110"/>
      <c r="ZH61" s="110"/>
      <c r="ZI61" s="110"/>
      <c r="ZJ61" s="110"/>
      <c r="ZK61" s="110"/>
      <c r="ZL61" s="110"/>
      <c r="ZM61" s="110"/>
      <c r="ZN61" s="110"/>
      <c r="ZO61" s="110"/>
      <c r="ZP61" s="110"/>
      <c r="ZQ61" s="110"/>
      <c r="ZR61" s="110"/>
      <c r="ZS61" s="110"/>
      <c r="ZT61" s="110"/>
      <c r="ZU61" s="110"/>
      <c r="ZV61" s="110"/>
      <c r="ZW61" s="110"/>
      <c r="ZX61" s="110"/>
      <c r="ZY61" s="110"/>
      <c r="ZZ61" s="110"/>
      <c r="AAA61" s="110"/>
      <c r="AAB61" s="110"/>
      <c r="AAC61" s="110"/>
      <c r="AAD61" s="110"/>
      <c r="AAE61" s="110"/>
      <c r="AAF61" s="110"/>
      <c r="AAG61" s="110"/>
      <c r="AAH61" s="110"/>
      <c r="AAI61" s="110"/>
      <c r="AAJ61" s="110"/>
      <c r="AAK61" s="110"/>
      <c r="AAL61" s="110"/>
      <c r="AAM61" s="110"/>
      <c r="AAN61" s="110"/>
      <c r="AAO61" s="110"/>
      <c r="AAP61" s="110"/>
      <c r="AAQ61" s="110"/>
      <c r="AAR61" s="110"/>
      <c r="AAS61" s="110"/>
      <c r="AAT61" s="110"/>
      <c r="AAU61" s="110"/>
      <c r="AAV61" s="110"/>
      <c r="AAW61" s="110"/>
      <c r="AAX61" s="110"/>
      <c r="AAY61" s="110"/>
      <c r="AAZ61" s="110"/>
      <c r="ABA61" s="110"/>
      <c r="ABB61" s="110"/>
      <c r="ABC61" s="110"/>
      <c r="ABD61" s="110"/>
      <c r="ABE61" s="110"/>
      <c r="ABF61" s="110"/>
      <c r="ABG61" s="110"/>
      <c r="ABH61" s="110"/>
      <c r="ABI61" s="110"/>
      <c r="ABJ61" s="110"/>
      <c r="ABK61" s="110"/>
      <c r="ABL61" s="110"/>
      <c r="ABM61" s="110"/>
      <c r="ABN61" s="110"/>
      <c r="ABO61" s="110"/>
      <c r="ABP61" s="110"/>
      <c r="ABQ61" s="110"/>
      <c r="ABR61" s="110"/>
      <c r="ABS61" s="110"/>
      <c r="ABT61" s="110"/>
      <c r="ABU61" s="110"/>
      <c r="ABV61" s="110"/>
      <c r="ABW61" s="110"/>
      <c r="ABX61" s="110"/>
      <c r="ABY61" s="110"/>
      <c r="ABZ61" s="110"/>
      <c r="ACA61" s="110"/>
      <c r="ACB61" s="110"/>
      <c r="ACC61" s="110"/>
      <c r="ACD61" s="110"/>
      <c r="ACE61" s="110"/>
      <c r="ACF61" s="110"/>
      <c r="ACG61" s="110"/>
      <c r="ACH61" s="110"/>
      <c r="ACI61" s="110"/>
      <c r="ACJ61" s="110"/>
      <c r="ACK61" s="110"/>
      <c r="ACL61" s="110"/>
      <c r="ACM61" s="110"/>
      <c r="ACN61" s="110"/>
      <c r="ACO61" s="110"/>
      <c r="ACP61" s="110"/>
      <c r="ACQ61" s="110"/>
      <c r="ACR61" s="110"/>
      <c r="ACS61" s="110"/>
      <c r="ACT61" s="110"/>
      <c r="ACU61" s="110"/>
      <c r="ACV61" s="110"/>
      <c r="ACW61" s="110"/>
      <c r="ACX61" s="110"/>
      <c r="ACY61" s="110"/>
      <c r="ACZ61" s="110"/>
      <c r="ADA61" s="110"/>
      <c r="ADB61" s="110"/>
      <c r="ADC61" s="110"/>
      <c r="ADD61" s="110"/>
      <c r="ADE61" s="110"/>
      <c r="ADF61" s="110"/>
      <c r="ADG61" s="110"/>
      <c r="ADH61" s="110"/>
      <c r="ADI61" s="110"/>
      <c r="ADJ61" s="110"/>
      <c r="ADK61" s="110"/>
      <c r="ADL61" s="110"/>
      <c r="ADM61" s="110"/>
      <c r="ADN61" s="110"/>
      <c r="ADO61" s="110"/>
      <c r="ADP61" s="110"/>
      <c r="ADQ61" s="110"/>
      <c r="ADR61" s="110"/>
      <c r="ADS61" s="110"/>
      <c r="ADT61" s="110"/>
      <c r="ADU61" s="110"/>
      <c r="ADV61" s="110"/>
      <c r="ADW61" s="110"/>
      <c r="ADX61" s="110"/>
      <c r="ADY61" s="110"/>
      <c r="ADZ61" s="110"/>
      <c r="AEA61" s="110"/>
      <c r="AEB61" s="110"/>
      <c r="AEC61" s="110"/>
      <c r="AED61" s="110"/>
      <c r="AEE61" s="110"/>
      <c r="AEF61" s="110"/>
      <c r="AEG61" s="110"/>
      <c r="AEH61" s="110"/>
      <c r="AEI61" s="110"/>
      <c r="AEJ61" s="110"/>
      <c r="AEK61" s="110"/>
      <c r="AEL61" s="110"/>
      <c r="AEM61" s="110"/>
      <c r="AEN61" s="110"/>
      <c r="AEO61" s="110"/>
      <c r="AEP61" s="110"/>
      <c r="AEQ61" s="110"/>
      <c r="AER61" s="110"/>
      <c r="AES61" s="110"/>
      <c r="AET61" s="110"/>
      <c r="AEU61" s="110"/>
      <c r="AEV61" s="110"/>
      <c r="AEW61" s="110"/>
      <c r="AEX61" s="110"/>
      <c r="AEY61" s="110"/>
      <c r="AEZ61" s="110"/>
      <c r="AFA61" s="110"/>
      <c r="AFB61" s="110"/>
      <c r="AFC61" s="110"/>
      <c r="AFD61" s="110"/>
      <c r="AFE61" s="110"/>
      <c r="AFF61" s="110"/>
      <c r="AFG61" s="110"/>
      <c r="AFH61" s="110"/>
      <c r="AFI61" s="110"/>
      <c r="AFJ61" s="110"/>
      <c r="AFK61" s="110"/>
      <c r="AFL61" s="110"/>
      <c r="AFM61" s="110"/>
      <c r="AFN61" s="110"/>
      <c r="AFO61" s="110"/>
      <c r="AFP61" s="110"/>
      <c r="AFQ61" s="110"/>
      <c r="AFR61" s="110"/>
      <c r="AFS61" s="110"/>
      <c r="AFT61" s="110"/>
      <c r="AFU61" s="110"/>
      <c r="AFV61" s="110"/>
      <c r="AFW61" s="110"/>
      <c r="AFX61" s="110"/>
      <c r="AFY61" s="110"/>
      <c r="AFZ61" s="110"/>
      <c r="AGA61" s="110"/>
      <c r="AGB61" s="110"/>
      <c r="AGC61" s="110"/>
      <c r="AGD61" s="110"/>
      <c r="AGE61" s="110"/>
      <c r="AGF61" s="110"/>
      <c r="AGG61" s="110"/>
      <c r="AGH61" s="110"/>
      <c r="AGI61" s="110"/>
      <c r="AGJ61" s="110"/>
      <c r="AGK61" s="110"/>
      <c r="AGL61" s="110"/>
      <c r="AGM61" s="110"/>
      <c r="AGN61" s="110"/>
      <c r="AGO61" s="110"/>
      <c r="AGP61" s="110"/>
      <c r="AGQ61" s="110"/>
      <c r="AGR61" s="110"/>
      <c r="AGS61" s="110"/>
      <c r="AGT61" s="110"/>
      <c r="AGU61" s="110"/>
      <c r="AGV61" s="110"/>
      <c r="AGW61" s="110"/>
      <c r="AGX61" s="110"/>
      <c r="AGY61" s="110"/>
      <c r="AGZ61" s="110"/>
      <c r="AHA61" s="110"/>
      <c r="AHB61" s="110"/>
      <c r="AHC61" s="110"/>
      <c r="AHD61" s="110"/>
      <c r="AHE61" s="110"/>
      <c r="AHF61" s="110"/>
      <c r="AHG61" s="110"/>
      <c r="AHH61" s="110"/>
      <c r="AHI61" s="110"/>
      <c r="AHJ61" s="110"/>
      <c r="AHK61" s="110"/>
      <c r="AHL61" s="110"/>
      <c r="AHM61" s="110"/>
      <c r="AHN61" s="110"/>
      <c r="AHO61" s="110"/>
      <c r="AHP61" s="110"/>
      <c r="AHQ61" s="110"/>
      <c r="AHR61" s="110"/>
      <c r="AHS61" s="110"/>
      <c r="AHT61" s="110"/>
      <c r="AHU61" s="110"/>
      <c r="AHV61" s="110"/>
      <c r="AHW61" s="110"/>
      <c r="AHX61" s="110"/>
      <c r="AHY61" s="110"/>
      <c r="AHZ61" s="110"/>
      <c r="AIA61" s="110"/>
      <c r="AIB61" s="110"/>
      <c r="AIC61" s="110"/>
      <c r="AID61" s="110"/>
      <c r="AIE61" s="110"/>
      <c r="AIF61" s="110"/>
      <c r="AIG61" s="110"/>
      <c r="AIH61" s="110"/>
      <c r="AII61" s="110"/>
      <c r="AIJ61" s="110"/>
      <c r="AIK61" s="110"/>
      <c r="AIL61" s="110"/>
      <c r="AIM61" s="110"/>
      <c r="AIN61" s="110"/>
      <c r="AIO61" s="110"/>
      <c r="AIP61" s="110"/>
      <c r="AIQ61" s="110"/>
      <c r="AIR61" s="110"/>
      <c r="AIS61" s="110"/>
      <c r="AIT61" s="110"/>
      <c r="AIU61" s="110"/>
      <c r="AIV61" s="110"/>
      <c r="AIW61" s="110"/>
      <c r="AIX61" s="110"/>
      <c r="AIY61" s="110"/>
      <c r="AIZ61" s="110"/>
      <c r="AJA61" s="110"/>
      <c r="AJB61" s="110"/>
      <c r="AJC61" s="110"/>
      <c r="AJD61" s="110"/>
      <c r="AJE61" s="110"/>
      <c r="AJF61" s="110"/>
      <c r="AJG61" s="110"/>
      <c r="AJH61" s="110"/>
      <c r="AJI61" s="110"/>
      <c r="AJJ61" s="110"/>
      <c r="AJK61" s="110"/>
      <c r="AJL61" s="110"/>
      <c r="AJM61" s="110"/>
      <c r="AJN61" s="110"/>
      <c r="AJO61" s="110"/>
      <c r="AJP61" s="110"/>
      <c r="AJQ61" s="110"/>
      <c r="AJR61" s="110"/>
      <c r="AJS61" s="110"/>
      <c r="AJT61" s="110"/>
      <c r="AJU61" s="110"/>
      <c r="AJV61" s="110"/>
      <c r="AJW61" s="110"/>
      <c r="AJX61" s="110"/>
      <c r="AJY61" s="110"/>
      <c r="AJZ61" s="110"/>
      <c r="AKA61" s="110"/>
      <c r="AKB61" s="110"/>
      <c r="AKC61" s="110"/>
      <c r="AKD61" s="110"/>
      <c r="AKE61" s="110"/>
      <c r="AKF61" s="110"/>
      <c r="AKG61" s="110"/>
      <c r="AKH61" s="110"/>
      <c r="AKI61" s="110"/>
      <c r="AKJ61" s="110"/>
      <c r="AKK61" s="110"/>
      <c r="AKL61" s="110"/>
      <c r="AKM61" s="110"/>
      <c r="AKN61" s="110"/>
      <c r="AKO61" s="110"/>
      <c r="AKP61" s="110"/>
      <c r="AKQ61" s="110"/>
      <c r="AKR61" s="110"/>
      <c r="AKS61" s="110"/>
      <c r="AKT61" s="110"/>
      <c r="AKU61" s="110"/>
      <c r="AKV61" s="110"/>
      <c r="AKW61" s="110"/>
      <c r="AKX61" s="110"/>
      <c r="AKY61" s="110"/>
      <c r="AKZ61" s="110"/>
      <c r="ALA61" s="110"/>
      <c r="ALB61" s="110"/>
      <c r="ALC61" s="110"/>
      <c r="ALD61" s="110"/>
      <c r="ALE61" s="110"/>
      <c r="ALF61" s="110"/>
      <c r="ALG61" s="110"/>
      <c r="ALH61" s="110"/>
      <c r="ALI61" s="110"/>
      <c r="ALJ61" s="110"/>
      <c r="ALK61" s="110"/>
      <c r="ALL61" s="110"/>
      <c r="ALM61" s="110"/>
      <c r="ALN61" s="110"/>
      <c r="ALO61" s="110"/>
      <c r="ALP61" s="110"/>
      <c r="ALQ61" s="110"/>
      <c r="ALR61" s="110"/>
      <c r="ALS61" s="110"/>
      <c r="ALT61" s="110"/>
      <c r="ALU61" s="110"/>
      <c r="ALV61" s="110"/>
      <c r="ALW61" s="110"/>
      <c r="ALX61" s="110"/>
      <c r="ALY61" s="110"/>
      <c r="ALZ61" s="110"/>
      <c r="AMA61" s="110"/>
      <c r="AMB61" s="110"/>
      <c r="AMC61" s="110"/>
      <c r="AMD61" s="110"/>
      <c r="AME61" s="110"/>
      <c r="AMF61" s="110"/>
      <c r="AMG61" s="110"/>
      <c r="AMH61" s="110"/>
      <c r="AMI61" s="110"/>
      <c r="AMJ61" s="110"/>
      <c r="AMK61" s="110"/>
      <c r="AML61" s="110"/>
      <c r="AMM61" s="110"/>
      <c r="AMN61" s="110"/>
      <c r="AMO61" s="110"/>
      <c r="AMP61" s="110"/>
      <c r="AMQ61" s="110"/>
      <c r="AMR61" s="110"/>
      <c r="AMS61" s="110"/>
      <c r="AMT61" s="110"/>
      <c r="AMU61" s="110"/>
      <c r="AMV61" s="110"/>
      <c r="AMW61" s="110"/>
      <c r="AMX61" s="110"/>
      <c r="AMY61" s="110"/>
      <c r="AMZ61" s="110"/>
      <c r="ANA61" s="110"/>
      <c r="ANB61" s="110"/>
      <c r="ANC61" s="110"/>
      <c r="AND61" s="110"/>
      <c r="ANE61" s="110"/>
      <c r="ANF61" s="110"/>
      <c r="ANG61" s="110"/>
      <c r="ANH61" s="110"/>
      <c r="ANI61" s="110"/>
      <c r="ANJ61" s="110"/>
      <c r="ANK61" s="110"/>
      <c r="ANL61" s="110"/>
      <c r="ANM61" s="110"/>
      <c r="ANN61" s="110"/>
      <c r="ANO61" s="110"/>
      <c r="ANP61" s="110"/>
      <c r="ANQ61" s="110"/>
      <c r="ANR61" s="110"/>
      <c r="ANS61" s="110"/>
      <c r="ANT61" s="110"/>
      <c r="ANU61" s="110"/>
      <c r="ANV61" s="110"/>
      <c r="ANW61" s="110"/>
      <c r="ANX61" s="110"/>
      <c r="ANY61" s="110"/>
      <c r="ANZ61" s="110"/>
      <c r="AOA61" s="110"/>
      <c r="AOB61" s="110"/>
      <c r="AOC61" s="110"/>
      <c r="AOD61" s="110"/>
      <c r="AOE61" s="110"/>
      <c r="AOF61" s="110"/>
      <c r="AOG61" s="110"/>
      <c r="AOH61" s="110"/>
      <c r="AOI61" s="110"/>
      <c r="AOJ61" s="110"/>
      <c r="AOK61" s="110"/>
      <c r="AOL61" s="110"/>
      <c r="AOM61" s="110"/>
      <c r="AON61" s="110"/>
      <c r="AOO61" s="110"/>
      <c r="AOP61" s="110"/>
      <c r="AOQ61" s="110"/>
      <c r="AOR61" s="110"/>
      <c r="AOS61" s="110"/>
      <c r="AOT61" s="110"/>
      <c r="AOU61" s="110"/>
      <c r="AOV61" s="110"/>
      <c r="AOW61" s="110"/>
      <c r="AOX61" s="110"/>
      <c r="AOY61" s="110"/>
      <c r="AOZ61" s="110"/>
      <c r="APA61" s="110"/>
      <c r="APB61" s="110"/>
      <c r="APC61" s="110"/>
      <c r="APD61" s="110"/>
      <c r="APE61" s="110"/>
      <c r="APF61" s="110"/>
      <c r="APG61" s="110"/>
      <c r="APH61" s="110"/>
      <c r="API61" s="110"/>
      <c r="APJ61" s="110"/>
      <c r="APK61" s="110"/>
      <c r="APL61" s="110"/>
      <c r="APM61" s="110"/>
      <c r="APN61" s="110"/>
      <c r="APO61" s="110"/>
      <c r="APP61" s="110"/>
      <c r="APQ61" s="110"/>
      <c r="APR61" s="110"/>
      <c r="APS61" s="110"/>
      <c r="APT61" s="110"/>
      <c r="APU61" s="110"/>
      <c r="APV61" s="110"/>
      <c r="APW61" s="110"/>
      <c r="APX61" s="110"/>
      <c r="APY61" s="110"/>
      <c r="APZ61" s="110"/>
      <c r="AQA61" s="110"/>
      <c r="AQB61" s="110"/>
      <c r="AQC61" s="110"/>
      <c r="AQD61" s="110"/>
      <c r="AQE61" s="110"/>
      <c r="AQF61" s="110"/>
      <c r="AQG61" s="110"/>
      <c r="AQH61" s="110"/>
      <c r="AQI61" s="110"/>
      <c r="AQJ61" s="110"/>
      <c r="AQK61" s="110"/>
      <c r="AQL61" s="110"/>
      <c r="AQM61" s="110"/>
      <c r="AQN61" s="110"/>
      <c r="AQO61" s="110"/>
      <c r="AQP61" s="110"/>
      <c r="AQQ61" s="110"/>
      <c r="AQR61" s="110"/>
      <c r="AQS61" s="110"/>
      <c r="AQT61" s="110"/>
      <c r="AQU61" s="110"/>
      <c r="AQV61" s="110"/>
      <c r="AQW61" s="110"/>
      <c r="AQX61" s="110"/>
      <c r="AQY61" s="110"/>
      <c r="AQZ61" s="110"/>
      <c r="ARA61" s="110"/>
      <c r="ARB61" s="110"/>
      <c r="ARC61" s="110"/>
      <c r="ARD61" s="110"/>
      <c r="ARE61" s="110"/>
      <c r="ARF61" s="110"/>
      <c r="ARG61" s="110"/>
      <c r="ARH61" s="110"/>
      <c r="ARI61" s="110"/>
      <c r="ARJ61" s="110"/>
      <c r="ARK61" s="110"/>
      <c r="ARL61" s="110"/>
      <c r="ARM61" s="110"/>
      <c r="ARN61" s="110"/>
      <c r="ARO61" s="110"/>
      <c r="ARP61" s="110"/>
      <c r="ARQ61" s="110"/>
      <c r="ARR61" s="110"/>
      <c r="ARS61" s="110"/>
      <c r="ART61" s="110"/>
      <c r="ARU61" s="110"/>
      <c r="ARV61" s="110"/>
      <c r="ARW61" s="110"/>
      <c r="ARX61" s="110"/>
      <c r="ARY61" s="110"/>
      <c r="ARZ61" s="110"/>
      <c r="ASA61" s="110"/>
      <c r="ASB61" s="110"/>
      <c r="ASC61" s="110"/>
      <c r="ASD61" s="110"/>
      <c r="ASE61" s="110"/>
      <c r="ASF61" s="110"/>
      <c r="ASG61" s="110"/>
      <c r="ASH61" s="110"/>
      <c r="ASI61" s="110"/>
      <c r="ASJ61" s="110"/>
      <c r="ASK61" s="110"/>
      <c r="ASL61" s="110"/>
      <c r="ASM61" s="110"/>
      <c r="ASN61" s="110"/>
      <c r="ASO61" s="110"/>
      <c r="ASP61" s="110"/>
      <c r="ASQ61" s="110"/>
      <c r="ASR61" s="110"/>
      <c r="ASS61" s="110"/>
      <c r="AST61" s="110"/>
      <c r="ASU61" s="110"/>
      <c r="ASV61" s="110"/>
      <c r="ASW61" s="110"/>
      <c r="ASX61" s="110"/>
      <c r="ASY61" s="110"/>
      <c r="ASZ61" s="110"/>
      <c r="ATA61" s="110"/>
      <c r="ATB61" s="110"/>
      <c r="ATC61" s="110"/>
      <c r="ATD61" s="110"/>
      <c r="ATE61" s="110"/>
      <c r="ATF61" s="110"/>
      <c r="ATG61" s="110"/>
      <c r="ATH61" s="110"/>
      <c r="ATI61" s="110"/>
      <c r="ATJ61" s="110"/>
      <c r="ATK61" s="110"/>
      <c r="ATL61" s="110"/>
      <c r="ATM61" s="110"/>
      <c r="ATN61" s="110"/>
      <c r="ATO61" s="110"/>
      <c r="ATP61" s="110"/>
      <c r="ATQ61" s="110"/>
      <c r="ATR61" s="110"/>
      <c r="ATS61" s="110"/>
      <c r="ATT61" s="110"/>
      <c r="ATU61" s="110"/>
      <c r="ATV61" s="110"/>
      <c r="ATW61" s="110"/>
      <c r="ATX61" s="110"/>
      <c r="ATY61" s="110"/>
      <c r="ATZ61" s="110"/>
      <c r="AUA61" s="110"/>
      <c r="AUB61" s="110"/>
      <c r="AUC61" s="110"/>
      <c r="AUD61" s="110"/>
      <c r="AUE61" s="110"/>
      <c r="AUF61" s="110"/>
      <c r="AUG61" s="110"/>
      <c r="AUH61" s="110"/>
      <c r="AUI61" s="110"/>
      <c r="AUJ61" s="110"/>
      <c r="AUK61" s="110"/>
      <c r="AUL61" s="110"/>
      <c r="AUM61" s="110"/>
      <c r="AUN61" s="110"/>
      <c r="AUO61" s="110"/>
      <c r="AUP61" s="110"/>
      <c r="AUQ61" s="110"/>
      <c r="AUR61" s="110"/>
      <c r="AUS61" s="110"/>
      <c r="AUT61" s="110"/>
      <c r="AUU61" s="110"/>
      <c r="AUV61" s="110"/>
      <c r="AUW61" s="110"/>
      <c r="AUX61" s="110"/>
      <c r="AUY61" s="110"/>
      <c r="AUZ61" s="110"/>
      <c r="AVA61" s="110"/>
      <c r="AVB61" s="110"/>
      <c r="AVC61" s="110"/>
      <c r="AVD61" s="110"/>
      <c r="AVE61" s="110"/>
      <c r="AVF61" s="110"/>
      <c r="AVG61" s="110"/>
      <c r="AVH61" s="110"/>
      <c r="AVI61" s="110"/>
      <c r="AVJ61" s="110"/>
      <c r="AVK61" s="110"/>
      <c r="AVL61" s="110"/>
      <c r="AVM61" s="110"/>
      <c r="AVN61" s="110"/>
      <c r="AVO61" s="110"/>
      <c r="AVP61" s="110"/>
      <c r="AVQ61" s="110"/>
      <c r="AVR61" s="110"/>
      <c r="AVS61" s="110"/>
      <c r="AVT61" s="110"/>
      <c r="AVU61" s="110"/>
      <c r="AVV61" s="110"/>
      <c r="AVW61" s="110"/>
      <c r="AVX61" s="110"/>
      <c r="AVY61" s="110"/>
      <c r="AVZ61" s="110"/>
      <c r="AWA61" s="110"/>
      <c r="AWB61" s="110"/>
      <c r="AWC61" s="110"/>
      <c r="AWD61" s="110"/>
      <c r="AWE61" s="110"/>
      <c r="AWF61" s="110"/>
      <c r="AWG61" s="110"/>
      <c r="AWH61" s="110"/>
      <c r="AWI61" s="110"/>
      <c r="AWJ61" s="110"/>
      <c r="AWK61" s="110"/>
      <c r="AWL61" s="110"/>
      <c r="AWM61" s="110"/>
      <c r="AWN61" s="110"/>
      <c r="AWO61" s="110"/>
      <c r="AWP61" s="110"/>
      <c r="AWQ61" s="110"/>
      <c r="AWR61" s="110"/>
      <c r="AWS61" s="110"/>
      <c r="AWT61" s="110"/>
      <c r="AWU61" s="110"/>
      <c r="AWV61" s="110"/>
      <c r="AWW61" s="110"/>
      <c r="AWX61" s="110"/>
      <c r="AWY61" s="110"/>
      <c r="AWZ61" s="110"/>
      <c r="AXA61" s="110"/>
      <c r="AXB61" s="110"/>
      <c r="AXC61" s="110"/>
      <c r="AXD61" s="110"/>
      <c r="AXE61" s="110"/>
      <c r="AXF61" s="110"/>
      <c r="AXG61" s="110"/>
      <c r="AXH61" s="110"/>
      <c r="AXI61" s="110"/>
      <c r="AXJ61" s="110"/>
      <c r="AXK61" s="110"/>
      <c r="AXL61" s="110"/>
      <c r="AXM61" s="110"/>
      <c r="AXN61" s="110"/>
      <c r="AXO61" s="110"/>
      <c r="AXP61" s="110"/>
      <c r="AXQ61" s="110"/>
      <c r="AXR61" s="110"/>
      <c r="AXS61" s="110"/>
      <c r="AXT61" s="110"/>
      <c r="AXU61" s="110"/>
      <c r="AXV61" s="110"/>
      <c r="AXW61" s="110"/>
      <c r="AXX61" s="110"/>
      <c r="AXY61" s="110"/>
      <c r="AXZ61" s="110"/>
      <c r="AYA61" s="110"/>
      <c r="AYB61" s="110"/>
      <c r="AYC61" s="110"/>
      <c r="AYD61" s="110"/>
      <c r="AYE61" s="110"/>
      <c r="AYF61" s="110"/>
      <c r="AYG61" s="110"/>
      <c r="AYH61" s="110"/>
      <c r="AYI61" s="110"/>
      <c r="AYJ61" s="110"/>
      <c r="AYK61" s="110"/>
      <c r="AYL61" s="110"/>
      <c r="AYM61" s="110"/>
      <c r="AYN61" s="110"/>
      <c r="AYO61" s="110"/>
      <c r="AYP61" s="110"/>
      <c r="AYQ61" s="110"/>
      <c r="AYR61" s="110"/>
      <c r="AYS61" s="110"/>
      <c r="AYT61" s="110"/>
      <c r="AYU61" s="110"/>
      <c r="AYV61" s="110"/>
      <c r="AYW61" s="110"/>
      <c r="AYX61" s="110"/>
      <c r="AYY61" s="110"/>
      <c r="AYZ61" s="110"/>
      <c r="AZA61" s="110"/>
      <c r="AZB61" s="110"/>
      <c r="AZC61" s="110"/>
      <c r="AZD61" s="110"/>
      <c r="AZE61" s="110"/>
      <c r="AZF61" s="110"/>
      <c r="AZG61" s="110"/>
      <c r="AZH61" s="110"/>
      <c r="AZI61" s="110"/>
      <c r="AZJ61" s="110"/>
      <c r="AZK61" s="110"/>
      <c r="AZL61" s="110"/>
      <c r="AZM61" s="110"/>
      <c r="AZN61" s="110"/>
      <c r="AZO61" s="110"/>
      <c r="AZP61" s="110"/>
      <c r="AZQ61" s="110"/>
      <c r="AZR61" s="110"/>
      <c r="AZS61" s="110"/>
      <c r="AZT61" s="110"/>
      <c r="AZU61" s="110"/>
      <c r="AZV61" s="110"/>
      <c r="AZW61" s="110"/>
      <c r="AZX61" s="110"/>
      <c r="AZY61" s="110"/>
      <c r="AZZ61" s="110"/>
      <c r="BAA61" s="110"/>
      <c r="BAB61" s="110"/>
      <c r="BAC61" s="110"/>
      <c r="BAD61" s="110"/>
      <c r="BAE61" s="110"/>
      <c r="BAF61" s="110"/>
      <c r="BAG61" s="110"/>
      <c r="BAH61" s="110"/>
      <c r="BAI61" s="110"/>
      <c r="BAJ61" s="110"/>
      <c r="BAK61" s="110"/>
      <c r="BAL61" s="110"/>
      <c r="BAM61" s="110"/>
      <c r="BAN61" s="110"/>
      <c r="BAO61" s="110"/>
      <c r="BAP61" s="110"/>
      <c r="BAQ61" s="110"/>
      <c r="BAR61" s="110"/>
      <c r="BAS61" s="110"/>
      <c r="BAT61" s="110"/>
      <c r="BAU61" s="110"/>
      <c r="BAV61" s="110"/>
      <c r="BAW61" s="110"/>
      <c r="BAX61" s="110"/>
      <c r="BAY61" s="110"/>
      <c r="BAZ61" s="110"/>
      <c r="BBA61" s="110"/>
      <c r="BBB61" s="110"/>
      <c r="BBC61" s="110"/>
      <c r="BBD61" s="110"/>
      <c r="BBE61" s="110"/>
      <c r="BBF61" s="110"/>
      <c r="BBG61" s="110"/>
      <c r="BBH61" s="110"/>
      <c r="BBI61" s="110"/>
      <c r="BBJ61" s="110"/>
      <c r="BBK61" s="110"/>
      <c r="BBL61" s="110"/>
      <c r="BBM61" s="110"/>
      <c r="BBN61" s="110"/>
      <c r="BBO61" s="110"/>
      <c r="BBP61" s="110"/>
      <c r="BBQ61" s="110"/>
      <c r="BBR61" s="110"/>
      <c r="BBS61" s="110"/>
      <c r="BBT61" s="110"/>
      <c r="BBU61" s="110"/>
      <c r="BBV61" s="110"/>
      <c r="BBW61" s="110"/>
      <c r="BBX61" s="110"/>
      <c r="BBY61" s="110"/>
      <c r="BBZ61" s="110"/>
      <c r="BCA61" s="110"/>
      <c r="BCB61" s="110"/>
      <c r="BCC61" s="110"/>
      <c r="BCD61" s="110"/>
      <c r="BCE61" s="110"/>
      <c r="BCF61" s="110"/>
      <c r="BCG61" s="110"/>
      <c r="BCH61" s="110"/>
      <c r="BCI61" s="110"/>
      <c r="BCJ61" s="110"/>
      <c r="BCK61" s="110"/>
      <c r="BCL61" s="110"/>
      <c r="BCM61" s="110"/>
      <c r="BCN61" s="110"/>
      <c r="BCO61" s="110"/>
      <c r="BCP61" s="110"/>
      <c r="BCQ61" s="110"/>
      <c r="BCR61" s="110"/>
      <c r="BCS61" s="110"/>
      <c r="BCT61" s="110"/>
      <c r="BCU61" s="110"/>
      <c r="BCV61" s="110"/>
      <c r="BCW61" s="110"/>
      <c r="BCX61" s="110"/>
      <c r="BCY61" s="110"/>
      <c r="BCZ61" s="110"/>
      <c r="BDA61" s="110"/>
      <c r="BDB61" s="110"/>
      <c r="BDC61" s="110"/>
      <c r="BDD61" s="110"/>
      <c r="BDE61" s="110"/>
      <c r="BDF61" s="110"/>
      <c r="BDG61" s="110"/>
      <c r="BDH61" s="110"/>
      <c r="BDI61" s="110"/>
      <c r="BDJ61" s="110"/>
      <c r="BDK61" s="110"/>
      <c r="BDL61" s="110"/>
      <c r="BDM61" s="110"/>
      <c r="BDN61" s="110"/>
      <c r="BDO61" s="110"/>
      <c r="BDP61" s="110"/>
      <c r="BDQ61" s="110"/>
      <c r="BDR61" s="110"/>
      <c r="BDS61" s="110"/>
      <c r="BDT61" s="110"/>
      <c r="BDU61" s="110"/>
      <c r="BDV61" s="110"/>
      <c r="BDW61" s="110"/>
      <c r="BDX61" s="110"/>
      <c r="BDY61" s="110"/>
      <c r="BDZ61" s="110"/>
      <c r="BEA61" s="110"/>
      <c r="BEB61" s="110"/>
      <c r="BEC61" s="110"/>
      <c r="BED61" s="110"/>
      <c r="BEE61" s="110"/>
      <c r="BEF61" s="110"/>
      <c r="BEG61" s="110"/>
      <c r="BEH61" s="110"/>
      <c r="BEI61" s="110"/>
      <c r="BEJ61" s="110"/>
      <c r="BEK61" s="110"/>
      <c r="BEL61" s="110"/>
      <c r="BEM61" s="110"/>
      <c r="BEN61" s="110"/>
      <c r="BEO61" s="110"/>
      <c r="BEP61" s="110"/>
      <c r="BEQ61" s="110"/>
      <c r="BER61" s="110"/>
      <c r="BES61" s="110"/>
      <c r="BET61" s="110"/>
      <c r="BEU61" s="110"/>
      <c r="BEV61" s="110"/>
      <c r="BEW61" s="110"/>
      <c r="BEX61" s="110"/>
      <c r="BEY61" s="110"/>
      <c r="BEZ61" s="110"/>
      <c r="BFA61" s="110"/>
      <c r="BFB61" s="110"/>
      <c r="BFC61" s="110"/>
      <c r="BFD61" s="110"/>
      <c r="BFE61" s="110"/>
      <c r="BFF61" s="110"/>
      <c r="BFG61" s="110"/>
      <c r="BFH61" s="110"/>
      <c r="BFI61" s="110"/>
      <c r="BFJ61" s="110"/>
      <c r="BFK61" s="110"/>
      <c r="BFL61" s="110"/>
      <c r="BFM61" s="110"/>
      <c r="BFN61" s="110"/>
      <c r="BFO61" s="110"/>
      <c r="BFP61" s="110"/>
      <c r="BFQ61" s="110"/>
      <c r="BFR61" s="110"/>
      <c r="BFS61" s="110"/>
      <c r="BFT61" s="110"/>
      <c r="BFU61" s="110"/>
      <c r="BFV61" s="110"/>
      <c r="BFW61" s="110"/>
      <c r="BFX61" s="110"/>
      <c r="BFY61" s="110"/>
      <c r="BFZ61" s="110"/>
      <c r="BGA61" s="110"/>
      <c r="BGB61" s="110"/>
      <c r="BGC61" s="110"/>
      <c r="BGD61" s="110"/>
      <c r="BGE61" s="110"/>
      <c r="BGF61" s="110"/>
      <c r="BGG61" s="110"/>
      <c r="BGH61" s="110"/>
      <c r="BGI61" s="110"/>
      <c r="BGJ61" s="110"/>
      <c r="BGK61" s="110"/>
      <c r="BGL61" s="110"/>
      <c r="BGM61" s="110"/>
      <c r="BGN61" s="110"/>
      <c r="BGO61" s="110"/>
      <c r="BGP61" s="110"/>
      <c r="BGQ61" s="110"/>
      <c r="BGR61" s="110"/>
      <c r="BGS61" s="110"/>
      <c r="BGT61" s="110"/>
      <c r="BGU61" s="110"/>
      <c r="BGV61" s="110"/>
      <c r="BGW61" s="110"/>
      <c r="BGX61" s="110"/>
      <c r="BGY61" s="110"/>
      <c r="BGZ61" s="110"/>
      <c r="BHA61" s="110"/>
      <c r="BHB61" s="110"/>
      <c r="BHC61" s="110"/>
      <c r="BHD61" s="110"/>
      <c r="BHE61" s="110"/>
      <c r="BHF61" s="110"/>
      <c r="BHG61" s="110"/>
      <c r="BHH61" s="110"/>
      <c r="BHI61" s="110"/>
      <c r="BHJ61" s="110"/>
      <c r="BHK61" s="110"/>
      <c r="BHL61" s="110"/>
      <c r="BHM61" s="110"/>
      <c r="BHN61" s="110"/>
      <c r="BHO61" s="110"/>
      <c r="BHP61" s="110"/>
      <c r="BHQ61" s="110"/>
      <c r="BHR61" s="110"/>
      <c r="BHS61" s="110"/>
      <c r="BHT61" s="110"/>
      <c r="BHU61" s="110"/>
      <c r="BHV61" s="110"/>
      <c r="BHW61" s="110"/>
      <c r="BHX61" s="110"/>
      <c r="BHY61" s="110"/>
      <c r="BHZ61" s="110"/>
      <c r="BIA61" s="110"/>
      <c r="BIB61" s="110"/>
      <c r="BIC61" s="110"/>
      <c r="BID61" s="110"/>
      <c r="BIE61" s="110"/>
      <c r="BIF61" s="110"/>
      <c r="BIG61" s="110"/>
      <c r="BIH61" s="110"/>
      <c r="BII61" s="110"/>
      <c r="BIJ61" s="110"/>
      <c r="BIK61" s="110"/>
      <c r="BIL61" s="110"/>
      <c r="BIM61" s="110"/>
      <c r="BIN61" s="110"/>
      <c r="BIO61" s="110"/>
      <c r="BIP61" s="110"/>
      <c r="BIQ61" s="110"/>
      <c r="BIR61" s="110"/>
      <c r="BIS61" s="110"/>
      <c r="BIT61" s="110"/>
      <c r="BIU61" s="110"/>
      <c r="BIV61" s="110"/>
      <c r="BIW61" s="110"/>
      <c r="BIX61" s="110"/>
      <c r="BIY61" s="110"/>
      <c r="BIZ61" s="110"/>
      <c r="BJA61" s="110"/>
      <c r="BJB61" s="110"/>
      <c r="BJC61" s="110"/>
      <c r="BJD61" s="110"/>
      <c r="BJE61" s="110"/>
      <c r="BJF61" s="110"/>
      <c r="BJG61" s="110"/>
      <c r="BJH61" s="110"/>
      <c r="BJI61" s="110"/>
      <c r="BJJ61" s="110"/>
      <c r="BJK61" s="110"/>
      <c r="BJL61" s="110"/>
      <c r="BJM61" s="110"/>
      <c r="BJN61" s="110"/>
      <c r="BJO61" s="110"/>
      <c r="BJP61" s="110"/>
      <c r="BJQ61" s="110"/>
      <c r="BJR61" s="110"/>
      <c r="BJS61" s="110"/>
      <c r="BJT61" s="110"/>
      <c r="BJU61" s="110"/>
      <c r="BJV61" s="110"/>
      <c r="BJW61" s="110"/>
      <c r="BJX61" s="110"/>
      <c r="BJY61" s="110"/>
      <c r="BJZ61" s="110"/>
      <c r="BKA61" s="110"/>
      <c r="BKB61" s="110"/>
      <c r="BKC61" s="110"/>
      <c r="BKD61" s="110"/>
      <c r="BKE61" s="110"/>
      <c r="BKF61" s="110"/>
      <c r="BKG61" s="110"/>
      <c r="BKH61" s="110"/>
      <c r="BKI61" s="110"/>
      <c r="BKJ61" s="110"/>
      <c r="BKK61" s="110"/>
      <c r="BKL61" s="110"/>
      <c r="BKM61" s="110"/>
      <c r="BKN61" s="110"/>
      <c r="BKO61" s="110"/>
      <c r="BKP61" s="110"/>
      <c r="BKQ61" s="110"/>
      <c r="BKR61" s="110"/>
      <c r="BKS61" s="110"/>
      <c r="BKT61" s="110"/>
      <c r="BKU61" s="110"/>
      <c r="BKV61" s="110"/>
      <c r="BKW61" s="110"/>
      <c r="BKX61" s="110"/>
      <c r="BKY61" s="110"/>
      <c r="BKZ61" s="110"/>
      <c r="BLA61" s="110"/>
      <c r="BLB61" s="110"/>
      <c r="BLC61" s="110"/>
      <c r="BLD61" s="110"/>
      <c r="BLE61" s="110"/>
      <c r="BLF61" s="110"/>
      <c r="BLG61" s="110"/>
      <c r="BLH61" s="110"/>
      <c r="BLI61" s="110"/>
      <c r="BLJ61" s="110"/>
      <c r="BLK61" s="110"/>
      <c r="BLL61" s="110"/>
      <c r="BLM61" s="110"/>
      <c r="BLN61" s="110"/>
      <c r="BLO61" s="110"/>
      <c r="BLP61" s="110"/>
      <c r="BLQ61" s="110"/>
      <c r="BLR61" s="110"/>
      <c r="BLS61" s="110"/>
      <c r="BLT61" s="110"/>
      <c r="BLU61" s="110"/>
      <c r="BLV61" s="110"/>
      <c r="BLW61" s="110"/>
      <c r="BLX61" s="110"/>
      <c r="BLY61" s="110"/>
      <c r="BLZ61" s="110"/>
      <c r="BMA61" s="110"/>
      <c r="BMB61" s="110"/>
      <c r="BMC61" s="110"/>
      <c r="BMD61" s="110"/>
      <c r="BME61" s="110"/>
      <c r="BMF61" s="110"/>
      <c r="BMG61" s="110"/>
      <c r="BMH61" s="110"/>
      <c r="BMI61" s="110"/>
      <c r="BMJ61" s="110"/>
      <c r="BMK61" s="110"/>
      <c r="BML61" s="110"/>
      <c r="BMM61" s="110"/>
      <c r="BMN61" s="110"/>
      <c r="BMO61" s="110"/>
      <c r="BMP61" s="110"/>
      <c r="BMQ61" s="110"/>
      <c r="BMR61" s="110"/>
      <c r="BMS61" s="110"/>
      <c r="BMT61" s="110"/>
      <c r="BMU61" s="110"/>
      <c r="BMV61" s="110"/>
      <c r="BMW61" s="110"/>
      <c r="BMX61" s="110"/>
      <c r="BMY61" s="110"/>
      <c r="BMZ61" s="110"/>
      <c r="BNA61" s="110"/>
      <c r="BNB61" s="110"/>
      <c r="BNC61" s="110"/>
      <c r="BND61" s="110"/>
      <c r="BNE61" s="110"/>
      <c r="BNF61" s="110"/>
      <c r="BNG61" s="110"/>
      <c r="BNH61" s="110"/>
      <c r="BNI61" s="110"/>
      <c r="BNJ61" s="110"/>
      <c r="BNK61" s="110"/>
      <c r="BNL61" s="110"/>
      <c r="BNM61" s="110"/>
      <c r="BNN61" s="110"/>
      <c r="BNO61" s="110"/>
      <c r="BNP61" s="110"/>
      <c r="BNQ61" s="110"/>
      <c r="BNR61" s="110"/>
      <c r="BNS61" s="110"/>
      <c r="BNT61" s="110"/>
      <c r="BNU61" s="110"/>
      <c r="BNV61" s="110"/>
      <c r="BNW61" s="110"/>
      <c r="BNX61" s="110"/>
      <c r="BNY61" s="110"/>
      <c r="BNZ61" s="110"/>
      <c r="BOA61" s="110"/>
      <c r="BOB61" s="110"/>
      <c r="BOC61" s="110"/>
      <c r="BOD61" s="110"/>
      <c r="BOE61" s="110"/>
      <c r="BOF61" s="110"/>
      <c r="BOG61" s="110"/>
      <c r="BOH61" s="110"/>
      <c r="BOI61" s="110"/>
      <c r="BOJ61" s="110"/>
      <c r="BOK61" s="110"/>
      <c r="BOL61" s="110"/>
      <c r="BOM61" s="110"/>
      <c r="BON61" s="110"/>
      <c r="BOO61" s="110"/>
      <c r="BOP61" s="110"/>
      <c r="BOQ61" s="110"/>
      <c r="BOR61" s="110"/>
      <c r="BOS61" s="110"/>
      <c r="BOT61" s="110"/>
      <c r="BOU61" s="110"/>
      <c r="BOV61" s="110"/>
      <c r="BOW61" s="110"/>
      <c r="BOX61" s="110"/>
      <c r="BOY61" s="110"/>
      <c r="BOZ61" s="110"/>
      <c r="BPA61" s="110"/>
      <c r="BPB61" s="110"/>
      <c r="BPC61" s="110"/>
      <c r="BPD61" s="110"/>
      <c r="BPE61" s="110"/>
      <c r="BPF61" s="110"/>
      <c r="BPG61" s="110"/>
      <c r="BPH61" s="110"/>
      <c r="BPI61" s="110"/>
      <c r="BPJ61" s="110"/>
      <c r="BPK61" s="110"/>
      <c r="BPL61" s="110"/>
      <c r="BPM61" s="110"/>
      <c r="BPN61" s="110"/>
      <c r="BPO61" s="110"/>
      <c r="BPP61" s="110"/>
      <c r="BPQ61" s="110"/>
      <c r="BPR61" s="110"/>
      <c r="BPS61" s="110"/>
      <c r="BPT61" s="110"/>
      <c r="BPU61" s="110"/>
      <c r="BPV61" s="110"/>
      <c r="BPW61" s="110"/>
      <c r="BPX61" s="110"/>
      <c r="BPY61" s="110"/>
      <c r="BPZ61" s="110"/>
      <c r="BQA61" s="110"/>
      <c r="BQB61" s="110"/>
      <c r="BQC61" s="110"/>
      <c r="BQD61" s="110"/>
      <c r="BQE61" s="110"/>
      <c r="BQF61" s="110"/>
      <c r="BQG61" s="110"/>
      <c r="BQH61" s="110"/>
      <c r="BQI61" s="110"/>
      <c r="BQJ61" s="110"/>
      <c r="BQK61" s="110"/>
      <c r="BQL61" s="110"/>
      <c r="BQM61" s="110"/>
      <c r="BQN61" s="110"/>
      <c r="BQO61" s="110"/>
      <c r="BQP61" s="110"/>
      <c r="BQQ61" s="110"/>
      <c r="BQR61" s="110"/>
      <c r="BQS61" s="110"/>
      <c r="BQT61" s="110"/>
      <c r="BQU61" s="110"/>
      <c r="BQV61" s="110"/>
      <c r="BQW61" s="110"/>
      <c r="BQX61" s="110"/>
      <c r="BQY61" s="110"/>
      <c r="BQZ61" s="110"/>
      <c r="BRA61" s="110"/>
      <c r="BRB61" s="110"/>
      <c r="BRC61" s="110"/>
      <c r="BRD61" s="110"/>
      <c r="BRE61" s="110"/>
      <c r="BRF61" s="110"/>
      <c r="BRG61" s="110"/>
      <c r="BRH61" s="110"/>
      <c r="BRI61" s="110"/>
      <c r="BRJ61" s="110"/>
      <c r="BRK61" s="110"/>
      <c r="BRL61" s="110"/>
      <c r="BRM61" s="110"/>
      <c r="BRN61" s="110"/>
      <c r="BRO61" s="110"/>
      <c r="BRP61" s="110"/>
      <c r="BRQ61" s="110"/>
      <c r="BRR61" s="110"/>
      <c r="BRS61" s="110"/>
      <c r="BRT61" s="110"/>
      <c r="BRU61" s="110"/>
      <c r="BRV61" s="110"/>
      <c r="BRW61" s="110"/>
      <c r="BRX61" s="110"/>
      <c r="BRY61" s="110"/>
      <c r="BRZ61" s="110"/>
      <c r="BSA61" s="110"/>
      <c r="BSB61" s="110"/>
      <c r="BSC61" s="110"/>
      <c r="BSD61" s="110"/>
      <c r="BSE61" s="110"/>
      <c r="BSF61" s="110"/>
      <c r="BSG61" s="110"/>
      <c r="BSH61" s="110"/>
      <c r="BSI61" s="110"/>
      <c r="BSJ61" s="110"/>
      <c r="BSK61" s="110"/>
      <c r="BSL61" s="110"/>
      <c r="BSM61" s="110"/>
      <c r="BSN61" s="110"/>
      <c r="BSO61" s="110"/>
      <c r="BSP61" s="110"/>
      <c r="BSQ61" s="110"/>
      <c r="BSR61" s="110"/>
      <c r="BSS61" s="110"/>
      <c r="BST61" s="110"/>
      <c r="BSU61" s="110"/>
      <c r="BSV61" s="110"/>
      <c r="BSW61" s="110"/>
      <c r="BSX61" s="110"/>
      <c r="BSY61" s="110"/>
      <c r="BSZ61" s="110"/>
      <c r="BTA61" s="110"/>
      <c r="BTB61" s="110"/>
      <c r="BTC61" s="110"/>
      <c r="BTD61" s="110"/>
      <c r="BTE61" s="110"/>
      <c r="BTF61" s="110"/>
      <c r="BTG61" s="110"/>
      <c r="BTH61" s="110"/>
      <c r="BTI61" s="110"/>
      <c r="BTJ61" s="110"/>
      <c r="BTK61" s="110"/>
      <c r="BTL61" s="110"/>
      <c r="BTM61" s="110"/>
      <c r="BTN61" s="110"/>
      <c r="BTO61" s="110"/>
      <c r="BTP61" s="110"/>
      <c r="BTQ61" s="110"/>
      <c r="BTR61" s="110"/>
      <c r="BTS61" s="110"/>
      <c r="BTT61" s="110"/>
      <c r="BTU61" s="110"/>
      <c r="BTV61" s="110"/>
      <c r="BTW61" s="110"/>
      <c r="BTX61" s="110"/>
      <c r="BTY61" s="110"/>
      <c r="BTZ61" s="110"/>
      <c r="BUA61" s="110"/>
      <c r="BUB61" s="110"/>
      <c r="BUC61" s="110"/>
      <c r="BUD61" s="110"/>
      <c r="BUE61" s="110"/>
      <c r="BUF61" s="110"/>
      <c r="BUG61" s="110"/>
      <c r="BUH61" s="110"/>
      <c r="BUI61" s="110"/>
      <c r="BUJ61" s="110"/>
      <c r="BUK61" s="110"/>
      <c r="BUL61" s="110"/>
      <c r="BUM61" s="110"/>
      <c r="BUN61" s="110"/>
      <c r="BUO61" s="110"/>
      <c r="BUP61" s="110"/>
      <c r="BUQ61" s="110"/>
      <c r="BUR61" s="110"/>
      <c r="BUS61" s="110"/>
      <c r="BUT61" s="110"/>
      <c r="BUU61" s="110"/>
      <c r="BUV61" s="110"/>
      <c r="BUW61" s="110"/>
      <c r="BUX61" s="110"/>
      <c r="BUY61" s="110"/>
      <c r="BUZ61" s="110"/>
      <c r="BVA61" s="110"/>
      <c r="BVB61" s="110"/>
      <c r="BVC61" s="110"/>
      <c r="BVD61" s="110"/>
      <c r="BVE61" s="110"/>
      <c r="BVF61" s="110"/>
      <c r="BVG61" s="110"/>
      <c r="BVH61" s="110"/>
      <c r="BVI61" s="110"/>
      <c r="BVJ61" s="110"/>
      <c r="BVK61" s="110"/>
      <c r="BVL61" s="110"/>
      <c r="BVM61" s="110"/>
      <c r="BVN61" s="110"/>
      <c r="BVO61" s="110"/>
      <c r="BVP61" s="110"/>
      <c r="BVQ61" s="110"/>
      <c r="BVR61" s="110"/>
      <c r="BVS61" s="110"/>
      <c r="BVT61" s="110"/>
      <c r="BVU61" s="110"/>
      <c r="BVV61" s="110"/>
      <c r="BVW61" s="110"/>
      <c r="BVX61" s="110"/>
      <c r="BVY61" s="110"/>
      <c r="BVZ61" s="110"/>
      <c r="BWA61" s="110"/>
      <c r="BWB61" s="110"/>
      <c r="BWC61" s="110"/>
      <c r="BWD61" s="110"/>
    </row>
    <row r="62" spans="1:1954" ht="16.5" x14ac:dyDescent="0.3">
      <c r="A62" s="191" t="s">
        <v>333</v>
      </c>
      <c r="B62" s="192">
        <v>175.82981148820639</v>
      </c>
      <c r="C62" s="192">
        <v>90.37173365999999</v>
      </c>
      <c r="D62" s="192">
        <v>266.20154514820643</v>
      </c>
      <c r="F62" s="185"/>
      <c r="G62" s="185"/>
      <c r="H62" s="185"/>
      <c r="J62" s="186"/>
      <c r="K62" s="186"/>
      <c r="L62" s="186"/>
    </row>
    <row r="63" spans="1:1954" ht="16.5" x14ac:dyDescent="0.3">
      <c r="A63" s="191" t="s">
        <v>334</v>
      </c>
      <c r="B63" s="192">
        <v>41.601779319999991</v>
      </c>
      <c r="C63" s="192">
        <v>61.679436240000001</v>
      </c>
      <c r="D63" s="192">
        <v>103.28121556000001</v>
      </c>
      <c r="F63" s="185"/>
      <c r="G63" s="185"/>
      <c r="H63" s="185"/>
      <c r="J63" s="186"/>
      <c r="K63" s="186"/>
      <c r="L63" s="186"/>
    </row>
    <row r="64" spans="1:1954" ht="16.5" x14ac:dyDescent="0.3">
      <c r="A64" s="191" t="s">
        <v>335</v>
      </c>
      <c r="B64" s="192">
        <v>105.24373857000002</v>
      </c>
      <c r="C64" s="192">
        <v>105.68679406999999</v>
      </c>
      <c r="D64" s="192">
        <v>210.93053264000002</v>
      </c>
      <c r="F64" s="185"/>
      <c r="G64" s="185"/>
      <c r="H64" s="185"/>
      <c r="J64" s="186"/>
      <c r="K64" s="186"/>
      <c r="L64" s="186"/>
    </row>
    <row r="65" spans="1:12" ht="17.25" thickBot="1" x14ac:dyDescent="0.35">
      <c r="A65" s="196" t="s">
        <v>336</v>
      </c>
      <c r="B65" s="197">
        <v>1105.7199939142665</v>
      </c>
      <c r="C65" s="197">
        <v>7.3036417400000007</v>
      </c>
      <c r="D65" s="197">
        <v>1113.0236356542664</v>
      </c>
      <c r="F65" s="185"/>
      <c r="G65" s="185"/>
      <c r="H65" s="185"/>
      <c r="J65" s="186"/>
      <c r="K65" s="186"/>
      <c r="L65" s="186"/>
    </row>
    <row r="66" spans="1:12" ht="15.75" thickTop="1" x14ac:dyDescent="0.25">
      <c r="A66" s="198" t="s">
        <v>337</v>
      </c>
      <c r="B66" s="199"/>
      <c r="C66" s="199"/>
      <c r="D66" s="199"/>
      <c r="J66" s="186"/>
      <c r="K66" s="186"/>
      <c r="L66" s="186"/>
    </row>
    <row r="67" spans="1:12" ht="15.75" thickBot="1" x14ac:dyDescent="0.3">
      <c r="A67" s="200"/>
      <c r="B67" s="199"/>
      <c r="C67" s="199"/>
      <c r="D67" s="87" t="s">
        <v>198</v>
      </c>
      <c r="J67" s="186"/>
      <c r="K67" s="186"/>
      <c r="L67" s="186"/>
    </row>
    <row r="68" spans="1:12" ht="18.75" thickTop="1" thickBot="1" x14ac:dyDescent="0.35">
      <c r="A68" s="201" t="s">
        <v>338</v>
      </c>
      <c r="B68" s="91" t="s">
        <v>272</v>
      </c>
      <c r="C68" s="91" t="s">
        <v>273</v>
      </c>
      <c r="D68" s="91" t="s">
        <v>274</v>
      </c>
      <c r="J68" s="186"/>
      <c r="K68" s="186"/>
      <c r="L68" s="186"/>
    </row>
    <row r="69" spans="1:12" ht="17.25" thickTop="1" x14ac:dyDescent="0.3">
      <c r="A69" s="187" t="s">
        <v>339</v>
      </c>
      <c r="B69" s="202">
        <v>1818.779684651942</v>
      </c>
      <c r="C69" s="202">
        <v>334.08381138999999</v>
      </c>
      <c r="D69" s="202">
        <v>2152.8634960419417</v>
      </c>
      <c r="F69" s="185"/>
      <c r="G69" s="203"/>
      <c r="H69" s="195"/>
      <c r="J69" s="186"/>
      <c r="K69" s="186"/>
      <c r="L69" s="186"/>
    </row>
    <row r="70" spans="1:12" ht="16.5" x14ac:dyDescent="0.3">
      <c r="A70" s="189" t="s">
        <v>340</v>
      </c>
      <c r="B70" s="204">
        <v>452.49941638999996</v>
      </c>
      <c r="C70" s="204">
        <v>161.76990547</v>
      </c>
      <c r="D70" s="204">
        <v>614.26932185999988</v>
      </c>
      <c r="F70" s="185"/>
      <c r="G70" s="203"/>
      <c r="H70" s="195"/>
      <c r="J70" s="186"/>
      <c r="K70" s="186"/>
      <c r="L70" s="186"/>
    </row>
    <row r="71" spans="1:12" ht="16.5" x14ac:dyDescent="0.3">
      <c r="A71" s="189" t="s">
        <v>341</v>
      </c>
      <c r="B71" s="204">
        <v>201.72663853999998</v>
      </c>
      <c r="C71" s="204">
        <v>2.692988E-2</v>
      </c>
      <c r="D71" s="204">
        <v>201.75356842000002</v>
      </c>
      <c r="F71" s="185"/>
      <c r="G71" s="203"/>
      <c r="H71" s="195"/>
      <c r="J71" s="186"/>
      <c r="K71" s="186"/>
      <c r="L71" s="186"/>
    </row>
    <row r="72" spans="1:12" ht="16.5" x14ac:dyDescent="0.3">
      <c r="A72" s="189" t="s">
        <v>342</v>
      </c>
      <c r="B72" s="204">
        <v>205.69837826000003</v>
      </c>
      <c r="C72" s="204">
        <v>0</v>
      </c>
      <c r="D72" s="204">
        <v>205.69837826000003</v>
      </c>
      <c r="F72" s="185"/>
      <c r="G72" s="203"/>
      <c r="H72" s="195"/>
      <c r="J72" s="186"/>
      <c r="K72" s="186"/>
      <c r="L72" s="186"/>
    </row>
    <row r="73" spans="1:12" ht="16.5" x14ac:dyDescent="0.3">
      <c r="A73" s="189" t="s">
        <v>343</v>
      </c>
      <c r="B73" s="204">
        <v>624.99385309454965</v>
      </c>
      <c r="C73" s="204">
        <v>53.969572690000007</v>
      </c>
      <c r="D73" s="204">
        <v>678.9634257845496</v>
      </c>
      <c r="F73" s="185"/>
      <c r="G73" s="203"/>
      <c r="H73" s="195"/>
      <c r="J73" s="186"/>
      <c r="K73" s="186"/>
      <c r="L73" s="186"/>
    </row>
    <row r="74" spans="1:12" ht="16.5" x14ac:dyDescent="0.3">
      <c r="A74" s="189" t="s">
        <v>344</v>
      </c>
      <c r="B74" s="204">
        <v>272.0807656473923</v>
      </c>
      <c r="C74" s="204">
        <v>9.3904507099999996</v>
      </c>
      <c r="D74" s="204">
        <v>281.47121635739234</v>
      </c>
      <c r="F74" s="185"/>
      <c r="G74" s="203"/>
      <c r="H74" s="195"/>
      <c r="J74" s="186"/>
      <c r="K74" s="186"/>
      <c r="L74" s="186"/>
    </row>
    <row r="75" spans="1:12" ht="16.5" x14ac:dyDescent="0.3">
      <c r="A75" s="189" t="s">
        <v>345</v>
      </c>
      <c r="B75" s="204">
        <v>61.78063272</v>
      </c>
      <c r="C75" s="204">
        <v>108.92695264</v>
      </c>
      <c r="D75" s="204">
        <v>170.70758536</v>
      </c>
      <c r="F75" s="185"/>
      <c r="G75" s="203"/>
      <c r="H75" s="195"/>
      <c r="J75" s="186"/>
      <c r="K75" s="186"/>
      <c r="L75" s="186"/>
    </row>
    <row r="76" spans="1:12" ht="16.5" x14ac:dyDescent="0.3">
      <c r="A76" s="187" t="s">
        <v>346</v>
      </c>
      <c r="B76" s="202">
        <v>18745.264975773323</v>
      </c>
      <c r="C76" s="202">
        <v>4261.2784773704188</v>
      </c>
      <c r="D76" s="202">
        <v>23006.543453143742</v>
      </c>
      <c r="F76" s="185"/>
      <c r="G76" s="203"/>
      <c r="H76" s="195"/>
      <c r="J76" s="186"/>
      <c r="K76" s="186"/>
      <c r="L76" s="186"/>
    </row>
    <row r="77" spans="1:12" ht="16.5" x14ac:dyDescent="0.3">
      <c r="A77" s="187" t="s">
        <v>347</v>
      </c>
      <c r="B77" s="202">
        <v>1633.7907058776889</v>
      </c>
      <c r="C77" s="202">
        <v>282.12618653999994</v>
      </c>
      <c r="D77" s="202">
        <v>1915.916892417689</v>
      </c>
      <c r="F77" s="185"/>
      <c r="G77" s="203"/>
      <c r="H77" s="195"/>
      <c r="J77" s="186"/>
      <c r="K77" s="186"/>
      <c r="L77" s="186"/>
    </row>
    <row r="78" spans="1:12" ht="16.5" x14ac:dyDescent="0.3">
      <c r="A78" s="189" t="s">
        <v>348</v>
      </c>
      <c r="B78" s="204">
        <v>165.87829864</v>
      </c>
      <c r="C78" s="204">
        <v>0.96637155000000008</v>
      </c>
      <c r="D78" s="204">
        <v>166.84467018999999</v>
      </c>
      <c r="F78" s="185"/>
      <c r="G78" s="203"/>
      <c r="H78" s="195"/>
      <c r="J78" s="186"/>
      <c r="K78" s="186"/>
      <c r="L78" s="186"/>
    </row>
    <row r="79" spans="1:12" ht="16.5" x14ac:dyDescent="0.3">
      <c r="A79" s="189" t="s">
        <v>349</v>
      </c>
      <c r="B79" s="204">
        <v>1008.980937657689</v>
      </c>
      <c r="C79" s="204">
        <v>200.50121896000002</v>
      </c>
      <c r="D79" s="204">
        <v>1209.4821566176888</v>
      </c>
      <c r="F79" s="185"/>
      <c r="G79" s="203"/>
      <c r="H79" s="195"/>
      <c r="J79" s="186"/>
      <c r="K79" s="186"/>
      <c r="L79" s="186"/>
    </row>
    <row r="80" spans="1:12" ht="16.5" x14ac:dyDescent="0.3">
      <c r="A80" s="189" t="s">
        <v>350</v>
      </c>
      <c r="B80" s="204">
        <v>105.03376712000001</v>
      </c>
      <c r="C80" s="204">
        <v>2.396386E-2</v>
      </c>
      <c r="D80" s="204">
        <v>105.05773098</v>
      </c>
      <c r="F80" s="185"/>
      <c r="G80" s="203"/>
      <c r="H80" s="195"/>
      <c r="J80" s="186"/>
      <c r="K80" s="186"/>
      <c r="L80" s="186"/>
    </row>
    <row r="81" spans="1:12" ht="16.5" x14ac:dyDescent="0.3">
      <c r="A81" s="189" t="s">
        <v>351</v>
      </c>
      <c r="B81" s="204">
        <v>5.7564882400000004</v>
      </c>
      <c r="C81" s="204">
        <v>6.6799300000000006E-3</v>
      </c>
      <c r="D81" s="204">
        <v>5.7631681700000001</v>
      </c>
      <c r="F81" s="185"/>
      <c r="G81" s="203"/>
      <c r="H81" s="195"/>
      <c r="J81" s="186"/>
      <c r="K81" s="186"/>
      <c r="L81" s="186"/>
    </row>
    <row r="82" spans="1:12" ht="16.5" x14ac:dyDescent="0.3">
      <c r="A82" s="189" t="s">
        <v>352</v>
      </c>
      <c r="B82" s="204">
        <v>86.586982719999995</v>
      </c>
      <c r="C82" s="204">
        <v>9.7842479999999996E-2</v>
      </c>
      <c r="D82" s="204">
        <v>86.684825200000006</v>
      </c>
      <c r="F82" s="185"/>
      <c r="G82" s="203"/>
      <c r="H82" s="195"/>
      <c r="J82" s="186"/>
      <c r="K82" s="186"/>
      <c r="L82" s="186"/>
    </row>
    <row r="83" spans="1:12" ht="16.5" x14ac:dyDescent="0.3">
      <c r="A83" s="189" t="s">
        <v>353</v>
      </c>
      <c r="B83" s="204">
        <v>261.55423150000001</v>
      </c>
      <c r="C83" s="204">
        <v>80.530109760000002</v>
      </c>
      <c r="D83" s="204">
        <v>342.08434126000003</v>
      </c>
      <c r="F83" s="185"/>
      <c r="G83" s="203"/>
      <c r="H83" s="195"/>
      <c r="J83" s="186"/>
      <c r="K83" s="186"/>
      <c r="L83" s="186"/>
    </row>
    <row r="84" spans="1:12" ht="16.5" x14ac:dyDescent="0.3">
      <c r="A84" s="187" t="s">
        <v>354</v>
      </c>
      <c r="B84" s="202">
        <v>2367.9549664959586</v>
      </c>
      <c r="C84" s="202">
        <v>151.89507410633922</v>
      </c>
      <c r="D84" s="202">
        <v>2519.8500406022977</v>
      </c>
      <c r="F84" s="185"/>
      <c r="G84" s="203"/>
      <c r="H84" s="195"/>
      <c r="J84" s="186"/>
      <c r="K84" s="186"/>
      <c r="L84" s="186"/>
    </row>
    <row r="85" spans="1:12" ht="16.5" x14ac:dyDescent="0.3">
      <c r="A85" s="189" t="s">
        <v>355</v>
      </c>
      <c r="B85" s="204">
        <v>1035.5080416600001</v>
      </c>
      <c r="C85" s="204">
        <v>52.64764271</v>
      </c>
      <c r="D85" s="204">
        <v>1088.1556843699998</v>
      </c>
      <c r="F85" s="185"/>
      <c r="G85" s="203"/>
      <c r="H85" s="195"/>
      <c r="J85" s="186"/>
      <c r="K85" s="186"/>
      <c r="L85" s="186"/>
    </row>
    <row r="86" spans="1:12" ht="16.5" x14ac:dyDescent="0.3">
      <c r="A86" s="189" t="s">
        <v>356</v>
      </c>
      <c r="B86" s="204">
        <v>1.4727833599999998</v>
      </c>
      <c r="C86" s="204">
        <v>7.5764178463392007</v>
      </c>
      <c r="D86" s="204">
        <v>9.0492012063391982</v>
      </c>
      <c r="F86" s="185"/>
      <c r="G86" s="203"/>
      <c r="H86" s="195"/>
      <c r="J86" s="186"/>
      <c r="K86" s="186"/>
      <c r="L86" s="186"/>
    </row>
    <row r="87" spans="1:12" ht="16.5" x14ac:dyDescent="0.3">
      <c r="A87" s="189" t="s">
        <v>357</v>
      </c>
      <c r="B87" s="204">
        <v>574.03375026755566</v>
      </c>
      <c r="C87" s="204">
        <v>79.297025969999993</v>
      </c>
      <c r="D87" s="204">
        <v>653.33077623755571</v>
      </c>
      <c r="F87" s="185"/>
      <c r="G87" s="203"/>
      <c r="H87" s="195"/>
      <c r="J87" s="186"/>
      <c r="K87" s="186"/>
      <c r="L87" s="186"/>
    </row>
    <row r="88" spans="1:12" ht="16.5" x14ac:dyDescent="0.3">
      <c r="A88" s="189" t="s">
        <v>358</v>
      </c>
      <c r="B88" s="204">
        <v>71.004763030000007</v>
      </c>
      <c r="C88" s="204">
        <v>0.24699454000000001</v>
      </c>
      <c r="D88" s="204">
        <v>71.251757569999995</v>
      </c>
      <c r="F88" s="185"/>
      <c r="G88" s="203"/>
      <c r="H88" s="195"/>
      <c r="J88" s="186"/>
      <c r="K88" s="186"/>
      <c r="L88" s="186"/>
    </row>
    <row r="89" spans="1:12" ht="16.5" x14ac:dyDescent="0.3">
      <c r="A89" s="189" t="s">
        <v>359</v>
      </c>
      <c r="B89" s="204">
        <v>121.98384311143313</v>
      </c>
      <c r="C89" s="204">
        <v>3.85689E-3</v>
      </c>
      <c r="D89" s="204">
        <v>121.98770000143314</v>
      </c>
      <c r="F89" s="185"/>
      <c r="G89" s="203"/>
      <c r="H89" s="195"/>
      <c r="J89" s="186"/>
      <c r="K89" s="186"/>
      <c r="L89" s="186"/>
    </row>
    <row r="90" spans="1:12" ht="16.5" x14ac:dyDescent="0.3">
      <c r="A90" s="189" t="s">
        <v>360</v>
      </c>
      <c r="B90" s="204">
        <v>563.95178506697027</v>
      </c>
      <c r="C90" s="204">
        <v>12.123136150000001</v>
      </c>
      <c r="D90" s="204">
        <v>576.07492121697021</v>
      </c>
      <c r="F90" s="185"/>
      <c r="G90" s="203"/>
      <c r="H90" s="195"/>
      <c r="J90" s="186"/>
      <c r="K90" s="186"/>
      <c r="L90" s="186"/>
    </row>
    <row r="91" spans="1:12" ht="16.5" x14ac:dyDescent="0.3">
      <c r="A91" s="187" t="s">
        <v>361</v>
      </c>
      <c r="B91" s="202">
        <v>806.54127430999995</v>
      </c>
      <c r="C91" s="202">
        <v>286.78798592999999</v>
      </c>
      <c r="D91" s="202">
        <v>1093.3292602399999</v>
      </c>
      <c r="F91" s="185"/>
      <c r="G91" s="203"/>
      <c r="H91" s="195"/>
      <c r="J91" s="186"/>
      <c r="K91" s="186"/>
      <c r="L91" s="186"/>
    </row>
    <row r="92" spans="1:12" ht="16.5" x14ac:dyDescent="0.3">
      <c r="A92" s="189" t="s">
        <v>362</v>
      </c>
      <c r="B92" s="204">
        <v>141.29891526</v>
      </c>
      <c r="C92" s="204">
        <v>0</v>
      </c>
      <c r="D92" s="204">
        <v>141.29891526</v>
      </c>
      <c r="F92" s="185"/>
      <c r="G92" s="203"/>
      <c r="H92" s="195"/>
      <c r="J92" s="186"/>
      <c r="K92" s="186"/>
      <c r="L92" s="186"/>
    </row>
    <row r="93" spans="1:12" ht="16.5" x14ac:dyDescent="0.3">
      <c r="A93" s="189" t="s">
        <v>363</v>
      </c>
      <c r="B93" s="204">
        <v>206.33295270999997</v>
      </c>
      <c r="C93" s="204">
        <v>0</v>
      </c>
      <c r="D93" s="204">
        <v>206.33295270999997</v>
      </c>
      <c r="F93" s="185"/>
      <c r="G93" s="203"/>
      <c r="H93" s="195"/>
      <c r="J93" s="186"/>
      <c r="K93" s="186"/>
      <c r="L93" s="186"/>
    </row>
    <row r="94" spans="1:12" ht="16.5" x14ac:dyDescent="0.3">
      <c r="A94" s="189" t="s">
        <v>364</v>
      </c>
      <c r="B94" s="204">
        <v>71.348546319999997</v>
      </c>
      <c r="C94" s="204">
        <v>286.32786197000001</v>
      </c>
      <c r="D94" s="204">
        <v>357.67640828999998</v>
      </c>
      <c r="F94" s="185"/>
      <c r="G94" s="203"/>
      <c r="H94" s="195"/>
      <c r="J94" s="186"/>
      <c r="K94" s="186"/>
      <c r="L94" s="186"/>
    </row>
    <row r="95" spans="1:12" ht="16.5" x14ac:dyDescent="0.3">
      <c r="A95" s="189" t="s">
        <v>365</v>
      </c>
      <c r="B95" s="204">
        <v>294.09189737000003</v>
      </c>
      <c r="C95" s="204">
        <v>0.46012396</v>
      </c>
      <c r="D95" s="204">
        <v>294.55202133</v>
      </c>
      <c r="F95" s="185"/>
      <c r="G95" s="203"/>
      <c r="H95" s="195"/>
      <c r="J95" s="186"/>
      <c r="K95" s="186"/>
      <c r="L95" s="186"/>
    </row>
    <row r="96" spans="1:12" ht="16.5" x14ac:dyDescent="0.3">
      <c r="A96" s="189" t="s">
        <v>366</v>
      </c>
      <c r="B96" s="204">
        <v>93.468962650000009</v>
      </c>
      <c r="C96" s="204">
        <v>0</v>
      </c>
      <c r="D96" s="204">
        <v>93.468962650000009</v>
      </c>
      <c r="F96" s="185"/>
      <c r="G96" s="203"/>
      <c r="H96" s="195"/>
      <c r="J96" s="186"/>
      <c r="K96" s="186"/>
      <c r="L96" s="186"/>
    </row>
    <row r="97" spans="1:12" ht="16.5" x14ac:dyDescent="0.3">
      <c r="A97" s="187" t="s">
        <v>367</v>
      </c>
      <c r="B97" s="202">
        <v>1168.2856033400001</v>
      </c>
      <c r="C97" s="202">
        <v>440.73608388999997</v>
      </c>
      <c r="D97" s="202">
        <v>1609.0216872299998</v>
      </c>
      <c r="F97" s="185"/>
      <c r="G97" s="203"/>
      <c r="H97" s="195"/>
      <c r="J97" s="186"/>
      <c r="K97" s="186"/>
      <c r="L97" s="186"/>
    </row>
    <row r="98" spans="1:12" ht="16.5" x14ac:dyDescent="0.3">
      <c r="A98" s="189" t="s">
        <v>368</v>
      </c>
      <c r="B98" s="204">
        <v>1033.99312384</v>
      </c>
      <c r="C98" s="204">
        <v>18.27076396</v>
      </c>
      <c r="D98" s="204">
        <v>1052.2638878</v>
      </c>
      <c r="F98" s="185"/>
      <c r="G98" s="203"/>
      <c r="H98" s="195"/>
      <c r="J98" s="186"/>
      <c r="K98" s="186"/>
      <c r="L98" s="186"/>
    </row>
    <row r="99" spans="1:12" ht="16.5" x14ac:dyDescent="0.3">
      <c r="A99" s="189" t="s">
        <v>369</v>
      </c>
      <c r="B99" s="204">
        <v>134.29247949999996</v>
      </c>
      <c r="C99" s="204">
        <v>422.46531993000002</v>
      </c>
      <c r="D99" s="204">
        <v>556.75779943000009</v>
      </c>
      <c r="F99" s="185"/>
      <c r="G99" s="203"/>
      <c r="H99" s="195"/>
      <c r="J99" s="186"/>
      <c r="K99" s="186"/>
      <c r="L99" s="186"/>
    </row>
    <row r="100" spans="1:12" ht="16.5" x14ac:dyDescent="0.3">
      <c r="A100" s="187" t="s">
        <v>370</v>
      </c>
      <c r="B100" s="202">
        <v>1354.18487074</v>
      </c>
      <c r="C100" s="202">
        <v>13.415293270000999</v>
      </c>
      <c r="D100" s="202">
        <v>1367.600164010001</v>
      </c>
      <c r="F100" s="185"/>
      <c r="G100" s="203"/>
      <c r="H100" s="195"/>
      <c r="J100" s="186"/>
      <c r="K100" s="186"/>
      <c r="L100" s="186"/>
    </row>
    <row r="101" spans="1:12" ht="16.5" x14ac:dyDescent="0.3">
      <c r="A101" s="189" t="s">
        <v>371</v>
      </c>
      <c r="B101" s="204">
        <v>289.22493763</v>
      </c>
      <c r="C101" s="204">
        <v>13.382719450001002</v>
      </c>
      <c r="D101" s="204">
        <v>302.60765708000099</v>
      </c>
      <c r="F101" s="185"/>
      <c r="G101" s="203"/>
      <c r="H101" s="195"/>
      <c r="J101" s="186"/>
      <c r="K101" s="186"/>
      <c r="L101" s="186"/>
    </row>
    <row r="102" spans="1:12" ht="16.5" x14ac:dyDescent="0.3">
      <c r="A102" s="189" t="s">
        <v>372</v>
      </c>
      <c r="B102" s="204">
        <v>20.724422130000001</v>
      </c>
      <c r="C102" s="204">
        <v>0</v>
      </c>
      <c r="D102" s="204">
        <v>20.724422130000001</v>
      </c>
      <c r="F102" s="185"/>
      <c r="G102" s="203"/>
      <c r="H102" s="195"/>
      <c r="J102" s="186"/>
      <c r="K102" s="186"/>
      <c r="L102" s="186"/>
    </row>
    <row r="103" spans="1:12" ht="16.5" x14ac:dyDescent="0.3">
      <c r="A103" s="189" t="s">
        <v>373</v>
      </c>
      <c r="B103" s="204">
        <v>77.19132049000001</v>
      </c>
      <c r="C103" s="204">
        <v>1.4984100000000001E-3</v>
      </c>
      <c r="D103" s="204">
        <v>77.192818900000006</v>
      </c>
      <c r="F103" s="185"/>
      <c r="G103" s="203"/>
      <c r="H103" s="195"/>
      <c r="J103" s="186"/>
      <c r="K103" s="186"/>
      <c r="L103" s="186"/>
    </row>
    <row r="104" spans="1:12" ht="16.5" x14ac:dyDescent="0.3">
      <c r="A104" s="189" t="s">
        <v>374</v>
      </c>
      <c r="B104" s="204">
        <v>967.04419049000001</v>
      </c>
      <c r="C104" s="204">
        <v>3.1075410000000001E-2</v>
      </c>
      <c r="D104" s="204">
        <v>967.07526589999998</v>
      </c>
      <c r="F104" s="185"/>
      <c r="G104" s="203"/>
      <c r="H104" s="195"/>
      <c r="J104" s="186"/>
      <c r="K104" s="186"/>
      <c r="L104" s="186"/>
    </row>
    <row r="105" spans="1:12" ht="16.5" x14ac:dyDescent="0.3">
      <c r="A105" s="187" t="s">
        <v>375</v>
      </c>
      <c r="B105" s="202">
        <v>549.55307598630839</v>
      </c>
      <c r="C105" s="202">
        <v>10.904921369999538</v>
      </c>
      <c r="D105" s="202">
        <v>560.45799735630783</v>
      </c>
      <c r="F105" s="185"/>
      <c r="G105" s="203"/>
      <c r="H105" s="195"/>
      <c r="J105" s="186"/>
      <c r="K105" s="186"/>
      <c r="L105" s="186"/>
    </row>
    <row r="106" spans="1:12" ht="16.5" x14ac:dyDescent="0.3">
      <c r="A106" s="189" t="s">
        <v>376</v>
      </c>
      <c r="B106" s="204">
        <v>47.361151360000001</v>
      </c>
      <c r="C106" s="204">
        <v>3.3708050000000003E-2</v>
      </c>
      <c r="D106" s="204">
        <v>47.394859409999995</v>
      </c>
      <c r="F106" s="185"/>
      <c r="G106" s="203"/>
      <c r="H106" s="195"/>
      <c r="J106" s="186"/>
      <c r="K106" s="186"/>
      <c r="L106" s="186"/>
    </row>
    <row r="107" spans="1:12" ht="16.5" x14ac:dyDescent="0.3">
      <c r="A107" s="189" t="s">
        <v>377</v>
      </c>
      <c r="B107" s="204">
        <v>181.72689954631167</v>
      </c>
      <c r="C107" s="204">
        <v>6.4577259799999993</v>
      </c>
      <c r="D107" s="204">
        <v>188.18462552631166</v>
      </c>
      <c r="F107" s="185"/>
      <c r="G107" s="203"/>
      <c r="H107" s="195"/>
      <c r="J107" s="186"/>
      <c r="K107" s="186"/>
      <c r="L107" s="186"/>
    </row>
    <row r="108" spans="1:12" ht="17.25" thickBot="1" x14ac:dyDescent="0.35">
      <c r="A108" s="189" t="s">
        <v>378</v>
      </c>
      <c r="B108" s="204">
        <v>320.46502507999662</v>
      </c>
      <c r="C108" s="204">
        <v>4.4134873399995405</v>
      </c>
      <c r="D108" s="204">
        <v>324.87851241999618</v>
      </c>
      <c r="F108" s="185"/>
      <c r="G108" s="203"/>
      <c r="H108" s="195"/>
      <c r="J108" s="186"/>
      <c r="K108" s="186"/>
      <c r="L108" s="186"/>
    </row>
    <row r="109" spans="1:12" ht="16.5" x14ac:dyDescent="0.3">
      <c r="A109" s="205" t="s">
        <v>379</v>
      </c>
      <c r="B109" s="206">
        <v>114760.614719531</v>
      </c>
      <c r="C109" s="207">
        <v>4449.006207547447</v>
      </c>
      <c r="D109" s="207">
        <v>119209.62092707849</v>
      </c>
      <c r="F109" s="208"/>
      <c r="G109" s="203"/>
      <c r="H109" s="195"/>
      <c r="J109" s="186"/>
      <c r="K109" s="186"/>
      <c r="L109" s="186"/>
    </row>
    <row r="110" spans="1:12" ht="16.5" x14ac:dyDescent="0.3">
      <c r="A110" s="191" t="s">
        <v>380</v>
      </c>
      <c r="B110" s="209">
        <v>78183.251290194676</v>
      </c>
      <c r="C110" s="210">
        <v>1533.2693403839198</v>
      </c>
      <c r="D110" s="210">
        <v>79716.520630578612</v>
      </c>
      <c r="F110" s="208"/>
      <c r="G110" s="203"/>
      <c r="H110" s="195"/>
      <c r="J110" s="186"/>
      <c r="K110" s="186"/>
      <c r="L110" s="186"/>
    </row>
    <row r="111" spans="1:12" ht="16.5" x14ac:dyDescent="0.3">
      <c r="A111" s="183" t="s">
        <v>381</v>
      </c>
      <c r="B111" s="211">
        <v>29110.954106475187</v>
      </c>
      <c r="C111" s="212">
        <v>5410.6426143656645</v>
      </c>
      <c r="D111" s="212">
        <v>34521.596720840847</v>
      </c>
      <c r="F111" s="208"/>
      <c r="G111" s="203"/>
      <c r="H111" s="195"/>
      <c r="J111" s="186"/>
      <c r="K111" s="186"/>
      <c r="L111" s="186"/>
    </row>
    <row r="112" spans="1:12" ht="17.25" thickBot="1" x14ac:dyDescent="0.35">
      <c r="A112" s="183" t="s">
        <v>382</v>
      </c>
      <c r="B112" s="211">
        <v>1635.3329728800002</v>
      </c>
      <c r="C112" s="212">
        <v>1333.02654207</v>
      </c>
      <c r="D112" s="212">
        <v>2968.3595149499997</v>
      </c>
      <c r="F112" s="208"/>
      <c r="G112" s="203"/>
      <c r="H112" s="195"/>
      <c r="J112" s="186"/>
      <c r="K112" s="186"/>
      <c r="L112" s="186"/>
    </row>
    <row r="113" spans="1:12" ht="16.5" x14ac:dyDescent="0.3">
      <c r="A113" s="213" t="s">
        <v>383</v>
      </c>
      <c r="B113" s="214">
        <v>962.48141788999999</v>
      </c>
      <c r="C113" s="215">
        <v>34463.218472439963</v>
      </c>
      <c r="D113" s="215">
        <v>35425.699890329961</v>
      </c>
      <c r="F113" s="208"/>
      <c r="G113" s="203"/>
      <c r="H113" s="195"/>
      <c r="J113" s="186"/>
      <c r="K113" s="186"/>
      <c r="L113" s="186"/>
    </row>
    <row r="114" spans="1:12" ht="16.5" x14ac:dyDescent="0.3">
      <c r="A114" s="187" t="s">
        <v>384</v>
      </c>
      <c r="B114" s="211">
        <v>438.31935448298015</v>
      </c>
      <c r="C114" s="212">
        <v>23802.947076824421</v>
      </c>
      <c r="D114" s="212">
        <v>24241.266431307398</v>
      </c>
      <c r="F114" s="208"/>
      <c r="G114" s="203"/>
      <c r="H114" s="195"/>
      <c r="J114" s="186"/>
      <c r="K114" s="186"/>
      <c r="L114" s="186"/>
    </row>
    <row r="115" spans="1:12" ht="17.25" thickBot="1" x14ac:dyDescent="0.35">
      <c r="A115" s="216" t="s">
        <v>385</v>
      </c>
      <c r="B115" s="217">
        <v>5.8931669999999998E-2</v>
      </c>
      <c r="C115" s="218">
        <v>4663.9475516778639</v>
      </c>
      <c r="D115" s="218">
        <v>4664.0064833478646</v>
      </c>
      <c r="F115" s="208"/>
      <c r="G115" s="203"/>
      <c r="H115" s="195"/>
      <c r="J115" s="186"/>
      <c r="K115" s="186"/>
      <c r="L115" s="186"/>
    </row>
    <row r="116" spans="1:12" ht="18" thickTop="1" thickBot="1" x14ac:dyDescent="0.35">
      <c r="A116" s="219" t="s">
        <v>386</v>
      </c>
      <c r="B116" s="220">
        <v>261132.69961668571</v>
      </c>
      <c r="C116" s="221">
        <v>131330.68690589996</v>
      </c>
      <c r="D116" s="221">
        <v>392463.3865225857</v>
      </c>
      <c r="F116" s="195"/>
      <c r="G116" s="203"/>
      <c r="H116" s="195"/>
      <c r="J116" s="186"/>
      <c r="K116" s="186"/>
      <c r="L116" s="186"/>
    </row>
    <row r="117" spans="1:12" ht="21" customHeight="1" thickTop="1" thickBot="1" x14ac:dyDescent="0.35">
      <c r="A117" s="219" t="s">
        <v>387</v>
      </c>
      <c r="B117" s="220">
        <v>259731.83991264272</v>
      </c>
      <c r="C117" s="221">
        <v>68400.573804957705</v>
      </c>
      <c r="D117" s="221">
        <v>328132.41371760046</v>
      </c>
      <c r="F117" s="195"/>
      <c r="G117" s="203"/>
      <c r="H117" s="195"/>
      <c r="J117" s="186"/>
      <c r="K117" s="186"/>
      <c r="L117" s="186"/>
    </row>
    <row r="118" spans="1:12" ht="21" customHeight="1" thickTop="1" x14ac:dyDescent="0.25">
      <c r="A118" s="3698" t="s">
        <v>172</v>
      </c>
      <c r="B118" s="3698"/>
      <c r="C118" s="3698"/>
      <c r="D118" s="3698"/>
    </row>
    <row r="119" spans="1:12" ht="76.5" customHeight="1" x14ac:dyDescent="0.25">
      <c r="A119" s="3698" t="s">
        <v>906</v>
      </c>
      <c r="B119" s="3698"/>
      <c r="C119" s="3698"/>
      <c r="D119" s="3698"/>
    </row>
    <row r="120" spans="1:12" ht="29.45" customHeight="1" x14ac:dyDescent="0.25">
      <c r="A120" s="3698" t="s">
        <v>388</v>
      </c>
      <c r="B120" s="3698"/>
      <c r="C120" s="3698"/>
      <c r="D120" s="3698"/>
    </row>
    <row r="121" spans="1:12" ht="20.25" customHeight="1" x14ac:dyDescent="0.25">
      <c r="A121" s="102" t="s">
        <v>389</v>
      </c>
      <c r="B121" s="102"/>
      <c r="C121" s="102"/>
      <c r="D121" s="102"/>
    </row>
    <row r="122" spans="1:12" ht="15" customHeight="1" x14ac:dyDescent="0.25">
      <c r="A122" s="222" t="s">
        <v>390</v>
      </c>
      <c r="B122" s="102"/>
      <c r="C122" s="102"/>
      <c r="D122" s="102"/>
    </row>
    <row r="123" spans="1:12" ht="15" customHeight="1" x14ac:dyDescent="0.25">
      <c r="A123" s="222" t="s">
        <v>391</v>
      </c>
      <c r="B123" s="102"/>
      <c r="C123" s="102"/>
      <c r="D123" s="102"/>
    </row>
    <row r="124" spans="1:12" x14ac:dyDescent="0.25">
      <c r="A124" s="103" t="s">
        <v>134</v>
      </c>
      <c r="B124" s="102"/>
      <c r="C124" s="102"/>
      <c r="D124" s="102"/>
    </row>
    <row r="128" spans="1:12" x14ac:dyDescent="0.25">
      <c r="D128" s="223"/>
    </row>
    <row r="129" spans="4:4" x14ac:dyDescent="0.25">
      <c r="D129" s="223"/>
    </row>
  </sheetData>
  <mergeCells count="4">
    <mergeCell ref="A1:D1"/>
    <mergeCell ref="A118:D118"/>
    <mergeCell ref="A119:D119"/>
    <mergeCell ref="A120:D120"/>
  </mergeCells>
  <pageMargins left="0.75" right="0.75" top="0.75" bottom="0.75" header="0.3" footer="0"/>
  <pageSetup paperSize="9" scale="10" fitToHeight="0" orientation="portrait" r:id="rId1"/>
  <headerFooter alignWithMargins="0"/>
  <rowBreaks count="1" manualBreakCount="1">
    <brk id="6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BYC128"/>
  <sheetViews>
    <sheetView zoomScale="70" zoomScaleNormal="70" zoomScaleSheetLayoutView="70" workbookViewId="0">
      <selection activeCell="A119" sqref="A119:AF119"/>
    </sheetView>
  </sheetViews>
  <sheetFormatPr defaultColWidth="74.28515625" defaultRowHeight="14.25" x14ac:dyDescent="0.25"/>
  <cols>
    <col min="1" max="1" width="97.85546875" style="104" customWidth="1"/>
    <col min="2" max="5" width="17.7109375" style="104" hidden="1" customWidth="1"/>
    <col min="6" max="6" width="12.7109375" style="104" hidden="1" customWidth="1"/>
    <col min="7" max="7" width="17.7109375" style="104" hidden="1" customWidth="1"/>
    <col min="8" max="8" width="12.140625" style="104" hidden="1" customWidth="1"/>
    <col min="9" max="9" width="9.140625" style="104" hidden="1" customWidth="1"/>
    <col min="10" max="10" width="11.5703125" style="104" hidden="1" customWidth="1"/>
    <col min="11" max="15" width="17.7109375" style="104" hidden="1" customWidth="1"/>
    <col min="16" max="21" width="12.7109375" style="104" hidden="1" customWidth="1"/>
    <col min="22" max="34" width="12.7109375" style="104" customWidth="1"/>
    <col min="35" max="16384" width="74.28515625" style="104"/>
  </cols>
  <sheetData>
    <row r="1" spans="1:34" s="228" customFormat="1" ht="20.45" customHeight="1" x14ac:dyDescent="0.35">
      <c r="A1" s="224" t="s">
        <v>1030</v>
      </c>
      <c r="B1" s="227"/>
    </row>
    <row r="2" spans="1:34" ht="16.5" customHeight="1" thickBot="1" x14ac:dyDescent="0.35">
      <c r="A2" s="224"/>
      <c r="B2" s="224"/>
      <c r="C2" s="87"/>
      <c r="D2" s="87"/>
      <c r="E2" s="87"/>
      <c r="F2" s="87"/>
      <c r="G2" s="87"/>
      <c r="H2" s="87"/>
      <c r="I2" s="87"/>
      <c r="J2" s="86"/>
      <c r="K2" s="86"/>
      <c r="L2" s="86"/>
      <c r="M2" s="86"/>
      <c r="N2" s="86"/>
      <c r="O2" s="86"/>
      <c r="P2" s="86"/>
      <c r="Q2" s="86"/>
      <c r="R2" s="86"/>
      <c r="S2" s="86"/>
      <c r="T2" s="86"/>
      <c r="U2" s="86"/>
      <c r="V2" s="86"/>
      <c r="W2" s="86"/>
      <c r="X2" s="86"/>
      <c r="Y2" s="86"/>
      <c r="Z2" s="86"/>
      <c r="AA2" s="86"/>
      <c r="AB2" s="86"/>
      <c r="AC2" s="86"/>
      <c r="AD2" s="86"/>
      <c r="AE2" s="86"/>
      <c r="AF2" s="86"/>
      <c r="AG2" s="86"/>
      <c r="AH2" s="86" t="s">
        <v>8</v>
      </c>
    </row>
    <row r="3" spans="1:34" s="84" customFormat="1" ht="19.5" customHeight="1" thickTop="1" thickBot="1" x14ac:dyDescent="0.35">
      <c r="A3" s="229"/>
      <c r="B3" s="230">
        <v>43404</v>
      </c>
      <c r="C3" s="230">
        <v>43434</v>
      </c>
      <c r="D3" s="231">
        <v>43465</v>
      </c>
      <c r="E3" s="231" t="s">
        <v>392</v>
      </c>
      <c r="F3" s="231">
        <v>43524</v>
      </c>
      <c r="G3" s="231">
        <v>43555</v>
      </c>
      <c r="H3" s="231">
        <v>43585</v>
      </c>
      <c r="I3" s="231">
        <v>43616</v>
      </c>
      <c r="J3" s="231">
        <v>43646</v>
      </c>
      <c r="K3" s="231">
        <v>43677</v>
      </c>
      <c r="L3" s="231">
        <v>43708</v>
      </c>
      <c r="M3" s="231">
        <v>43738</v>
      </c>
      <c r="N3" s="231">
        <v>43769</v>
      </c>
      <c r="O3" s="231">
        <v>43799</v>
      </c>
      <c r="P3" s="231">
        <v>43830</v>
      </c>
      <c r="Q3" s="231">
        <v>43861</v>
      </c>
      <c r="R3" s="231">
        <v>43890</v>
      </c>
      <c r="S3" s="231">
        <v>43921</v>
      </c>
      <c r="T3" s="231">
        <v>43951</v>
      </c>
      <c r="U3" s="231">
        <v>43982</v>
      </c>
      <c r="V3" s="231">
        <v>44012</v>
      </c>
      <c r="W3" s="231">
        <v>44043</v>
      </c>
      <c r="X3" s="231">
        <v>44074</v>
      </c>
      <c r="Y3" s="231">
        <v>44104</v>
      </c>
      <c r="Z3" s="231">
        <v>44135</v>
      </c>
      <c r="AA3" s="231">
        <v>44165</v>
      </c>
      <c r="AB3" s="231">
        <v>44196</v>
      </c>
      <c r="AC3" s="231">
        <v>44227</v>
      </c>
      <c r="AD3" s="231">
        <v>44255</v>
      </c>
      <c r="AE3" s="231">
        <v>44286</v>
      </c>
      <c r="AF3" s="231">
        <v>44316</v>
      </c>
      <c r="AG3" s="231">
        <v>44347</v>
      </c>
      <c r="AH3" s="231">
        <v>44377</v>
      </c>
    </row>
    <row r="4" spans="1:34" s="84" customFormat="1" ht="17.25" x14ac:dyDescent="0.3">
      <c r="A4" s="183" t="s">
        <v>338</v>
      </c>
      <c r="B4" s="232">
        <v>158112.37067189105</v>
      </c>
      <c r="C4" s="233">
        <v>158320.13562407048</v>
      </c>
      <c r="D4" s="234">
        <v>151131.10224633795</v>
      </c>
      <c r="E4" s="234">
        <v>148881.68553278878</v>
      </c>
      <c r="F4" s="234">
        <v>148336.22842182399</v>
      </c>
      <c r="G4" s="234">
        <v>149963.55860127389</v>
      </c>
      <c r="H4" s="234">
        <v>148616.39742200274</v>
      </c>
      <c r="I4" s="234">
        <v>148893.79751813624</v>
      </c>
      <c r="J4" s="234">
        <v>149691.62734699284</v>
      </c>
      <c r="K4" s="234">
        <v>148883.18300449962</v>
      </c>
      <c r="L4" s="234">
        <v>148253.70404718886</v>
      </c>
      <c r="M4" s="234">
        <v>148561.01673122763</v>
      </c>
      <c r="N4" s="234">
        <v>150395.53940851861</v>
      </c>
      <c r="O4" s="234">
        <v>152687.58841738536</v>
      </c>
      <c r="P4" s="234">
        <v>151334.36098302665</v>
      </c>
      <c r="Q4" s="234">
        <v>150905.87884313759</v>
      </c>
      <c r="R4" s="234">
        <v>150058</v>
      </c>
      <c r="S4" s="234">
        <v>152210.45181760873</v>
      </c>
      <c r="T4" s="234">
        <v>153286.94938511332</v>
      </c>
      <c r="U4" s="234">
        <v>154646.96500343311</v>
      </c>
      <c r="V4" s="234">
        <v>157854.04823070139</v>
      </c>
      <c r="W4" s="234">
        <v>159153.37434033523</v>
      </c>
      <c r="X4" s="234">
        <v>160420.64620032659</v>
      </c>
      <c r="Y4" s="234">
        <v>161499.62602871121</v>
      </c>
      <c r="Z4" s="234">
        <v>162486.6830556659</v>
      </c>
      <c r="AA4" s="234">
        <v>167576.00513014413</v>
      </c>
      <c r="AB4" s="234">
        <v>168595.85604853008</v>
      </c>
      <c r="AC4" s="234">
        <v>169837.77760487146</v>
      </c>
      <c r="AD4" s="234">
        <v>172862.86382340864</v>
      </c>
      <c r="AE4" s="234">
        <v>170582.39782994482</v>
      </c>
      <c r="AF4" s="234">
        <v>171384.73097060563</v>
      </c>
      <c r="AG4" s="234">
        <v>172069.08260150393</v>
      </c>
      <c r="AH4" s="234">
        <v>171432.8365547311</v>
      </c>
    </row>
    <row r="5" spans="1:34" s="84" customFormat="1" ht="15.95" customHeight="1" x14ac:dyDescent="0.3">
      <c r="A5" s="187" t="s">
        <v>276</v>
      </c>
      <c r="B5" s="235">
        <v>15576.720441735975</v>
      </c>
      <c r="C5" s="236">
        <v>15540.190394506337</v>
      </c>
      <c r="D5" s="237">
        <v>12608.086206315449</v>
      </c>
      <c r="E5" s="237">
        <v>12610.683690823673</v>
      </c>
      <c r="F5" s="237">
        <v>12925.407147584547</v>
      </c>
      <c r="G5" s="237">
        <v>13487.573664522839</v>
      </c>
      <c r="H5" s="237">
        <v>12700.661383249408</v>
      </c>
      <c r="I5" s="237">
        <v>12031.199488007072</v>
      </c>
      <c r="J5" s="237">
        <v>13679.396906016911</v>
      </c>
      <c r="K5" s="237">
        <v>13332.843052937007</v>
      </c>
      <c r="L5" s="237">
        <v>10781.954731402247</v>
      </c>
      <c r="M5" s="237">
        <v>11003.852303175619</v>
      </c>
      <c r="N5" s="237">
        <v>11245.588278228455</v>
      </c>
      <c r="O5" s="237">
        <v>12022.075158580581</v>
      </c>
      <c r="P5" s="237">
        <v>12715.217938644248</v>
      </c>
      <c r="Q5" s="237">
        <v>12400.767148230645</v>
      </c>
      <c r="R5" s="237">
        <v>11827</v>
      </c>
      <c r="S5" s="237">
        <v>11654.773365073392</v>
      </c>
      <c r="T5" s="237">
        <v>12358.412645208115</v>
      </c>
      <c r="U5" s="237">
        <v>11779.796828219285</v>
      </c>
      <c r="V5" s="237">
        <v>11840.446828736243</v>
      </c>
      <c r="W5" s="237">
        <v>11795.068358482355</v>
      </c>
      <c r="X5" s="237">
        <v>12202.367681125599</v>
      </c>
      <c r="Y5" s="237">
        <v>12810.534010299541</v>
      </c>
      <c r="Z5" s="237">
        <v>13517.592354476701</v>
      </c>
      <c r="AA5" s="237">
        <v>13758.089355246102</v>
      </c>
      <c r="AB5" s="237">
        <v>14294.257467494117</v>
      </c>
      <c r="AC5" s="237">
        <v>14142.478694260764</v>
      </c>
      <c r="AD5" s="237">
        <v>14031.897639671233</v>
      </c>
      <c r="AE5" s="237">
        <v>13866.671178547085</v>
      </c>
      <c r="AF5" s="237">
        <v>12391.305264490837</v>
      </c>
      <c r="AG5" s="237">
        <v>12413.929944406342</v>
      </c>
      <c r="AH5" s="237">
        <v>12211.575252877976</v>
      </c>
    </row>
    <row r="6" spans="1:34" s="84" customFormat="1" ht="14.25" customHeight="1" x14ac:dyDescent="0.3">
      <c r="A6" s="189" t="s">
        <v>277</v>
      </c>
      <c r="B6" s="238">
        <v>15248.908082765975</v>
      </c>
      <c r="C6" s="239">
        <v>15212.300362836339</v>
      </c>
      <c r="D6" s="240">
        <v>12375.72555597545</v>
      </c>
      <c r="E6" s="240">
        <v>12372.025075703674</v>
      </c>
      <c r="F6" s="240">
        <v>12683.155936684547</v>
      </c>
      <c r="G6" s="240">
        <v>13279.036058362839</v>
      </c>
      <c r="H6" s="240">
        <v>12515.745676589408</v>
      </c>
      <c r="I6" s="240">
        <v>11876.128953857073</v>
      </c>
      <c r="J6" s="240">
        <v>13526.16715426691</v>
      </c>
      <c r="K6" s="240">
        <v>13169.09310590701</v>
      </c>
      <c r="L6" s="240">
        <v>10574.215116472247</v>
      </c>
      <c r="M6" s="240">
        <v>10787.08771386562</v>
      </c>
      <c r="N6" s="240">
        <v>11014.361423828455</v>
      </c>
      <c r="O6" s="240">
        <v>11773.844156060581</v>
      </c>
      <c r="P6" s="240">
        <v>12496.177144704247</v>
      </c>
      <c r="Q6" s="240">
        <v>12157.156862200645</v>
      </c>
      <c r="R6" s="240">
        <v>11652</v>
      </c>
      <c r="S6" s="240">
        <v>11421.373264373393</v>
      </c>
      <c r="T6" s="240">
        <v>12113.207947678115</v>
      </c>
      <c r="U6" s="240">
        <v>11518.056444919286</v>
      </c>
      <c r="V6" s="240">
        <v>11612.956607816242</v>
      </c>
      <c r="W6" s="240">
        <v>11514.838624442356</v>
      </c>
      <c r="X6" s="240">
        <v>11918.545530205602</v>
      </c>
      <c r="Y6" s="240">
        <v>12540.429039779541</v>
      </c>
      <c r="Z6" s="240">
        <v>13243.465201396702</v>
      </c>
      <c r="AA6" s="240">
        <v>13492.9116105961</v>
      </c>
      <c r="AB6" s="240">
        <v>14006.312355614116</v>
      </c>
      <c r="AC6" s="240">
        <v>13868.304175930767</v>
      </c>
      <c r="AD6" s="240">
        <v>13746.765890681232</v>
      </c>
      <c r="AE6" s="240">
        <v>13589.047080617087</v>
      </c>
      <c r="AF6" s="240">
        <v>12135.696001110839</v>
      </c>
      <c r="AG6" s="240">
        <v>12180.121267196342</v>
      </c>
      <c r="AH6" s="240">
        <v>11945.851003167976</v>
      </c>
    </row>
    <row r="7" spans="1:34" s="84" customFormat="1" ht="14.25" customHeight="1" x14ac:dyDescent="0.3">
      <c r="A7" s="191" t="s">
        <v>393</v>
      </c>
      <c r="B7" s="241">
        <v>10142.518363032874</v>
      </c>
      <c r="C7" s="242">
        <v>9132.525898003676</v>
      </c>
      <c r="D7" s="243">
        <v>6514.7588661074124</v>
      </c>
      <c r="E7" s="243">
        <v>7104.3473943749559</v>
      </c>
      <c r="F7" s="243">
        <v>7447.9463858439431</v>
      </c>
      <c r="G7" s="243">
        <v>7610.8977286097534</v>
      </c>
      <c r="H7" s="243">
        <v>7559.083962414391</v>
      </c>
      <c r="I7" s="243">
        <v>7472.4793075996195</v>
      </c>
      <c r="J7" s="243">
        <v>9217.4126923283966</v>
      </c>
      <c r="K7" s="243">
        <v>8612.0989339277985</v>
      </c>
      <c r="L7" s="243">
        <v>6736.9022043578034</v>
      </c>
      <c r="M7" s="243">
        <v>7131.4393199056831</v>
      </c>
      <c r="N7" s="243">
        <v>7086.7746024860435</v>
      </c>
      <c r="O7" s="243">
        <v>7347.2397823158035</v>
      </c>
      <c r="P7" s="243">
        <v>7608.6292370237543</v>
      </c>
      <c r="Q7" s="243">
        <v>7388.6737709027193</v>
      </c>
      <c r="R7" s="243">
        <v>7234</v>
      </c>
      <c r="S7" s="243">
        <v>7172.8665835284519</v>
      </c>
      <c r="T7" s="243">
        <v>7522.0749078418148</v>
      </c>
      <c r="U7" s="243">
        <v>7639.0863278819252</v>
      </c>
      <c r="V7" s="243">
        <v>8146.2760868747291</v>
      </c>
      <c r="W7" s="243">
        <v>7930.8638374594257</v>
      </c>
      <c r="X7" s="243">
        <v>7942.5835820172233</v>
      </c>
      <c r="Y7" s="243">
        <v>7988.7346072278297</v>
      </c>
      <c r="Z7" s="243">
        <v>8496.3028302571092</v>
      </c>
      <c r="AA7" s="243">
        <v>8539.3345460747078</v>
      </c>
      <c r="AB7" s="243">
        <v>9177.4575893191522</v>
      </c>
      <c r="AC7" s="243">
        <v>9149.4924704179175</v>
      </c>
      <c r="AD7" s="243">
        <v>9461.2985910816315</v>
      </c>
      <c r="AE7" s="243">
        <v>9503.9642327065922</v>
      </c>
      <c r="AF7" s="243">
        <v>8467.1477880762886</v>
      </c>
      <c r="AG7" s="243">
        <v>8105.378790520138</v>
      </c>
      <c r="AH7" s="243">
        <v>8010.6899953802758</v>
      </c>
    </row>
    <row r="8" spans="1:34" s="84" customFormat="1" ht="14.25" customHeight="1" x14ac:dyDescent="0.3">
      <c r="A8" s="191" t="s">
        <v>394</v>
      </c>
      <c r="B8" s="241">
        <v>5106.3897197331016</v>
      </c>
      <c r="C8" s="242">
        <v>6079.7744648326607</v>
      </c>
      <c r="D8" s="243">
        <v>5860.966689868038</v>
      </c>
      <c r="E8" s="243">
        <v>5267.6776813287161</v>
      </c>
      <c r="F8" s="243">
        <v>5235.2095508406046</v>
      </c>
      <c r="G8" s="243">
        <v>5668.1383297530865</v>
      </c>
      <c r="H8" s="243">
        <v>4956.6617141750157</v>
      </c>
      <c r="I8" s="243">
        <v>4403.6496462574532</v>
      </c>
      <c r="J8" s="243">
        <v>4308.7544619385135</v>
      </c>
      <c r="K8" s="243">
        <v>4556.9941719792096</v>
      </c>
      <c r="L8" s="243">
        <v>3837.3129121144434</v>
      </c>
      <c r="M8" s="243">
        <v>3655.648393959937</v>
      </c>
      <c r="N8" s="243">
        <v>3927.5868213424092</v>
      </c>
      <c r="O8" s="243">
        <v>4426.604373744779</v>
      </c>
      <c r="P8" s="243">
        <v>4887.5479076804922</v>
      </c>
      <c r="Q8" s="243">
        <v>4768.4830912979232</v>
      </c>
      <c r="R8" s="243">
        <v>4418</v>
      </c>
      <c r="S8" s="243">
        <v>4248.506680844941</v>
      </c>
      <c r="T8" s="243">
        <v>4591.1330398362998</v>
      </c>
      <c r="U8" s="243">
        <v>3878.9701170373605</v>
      </c>
      <c r="V8" s="243">
        <v>3466.680520941512</v>
      </c>
      <c r="W8" s="243">
        <v>3583.9747869829298</v>
      </c>
      <c r="X8" s="243">
        <v>3975.9619481883747</v>
      </c>
      <c r="Y8" s="243">
        <v>4551.6944325517125</v>
      </c>
      <c r="Z8" s="243">
        <v>4747.1623711395932</v>
      </c>
      <c r="AA8" s="243">
        <v>4953.5770645213925</v>
      </c>
      <c r="AB8" s="243">
        <v>4828.8547662949641</v>
      </c>
      <c r="AC8" s="243">
        <v>4718.8117055128496</v>
      </c>
      <c r="AD8" s="243">
        <v>4285.4672995996034</v>
      </c>
      <c r="AE8" s="243">
        <v>4085.0828479104939</v>
      </c>
      <c r="AF8" s="243">
        <v>3668.5482130345476</v>
      </c>
      <c r="AG8" s="243">
        <v>4074.7424766762028</v>
      </c>
      <c r="AH8" s="243">
        <v>3935.1610077877012</v>
      </c>
    </row>
    <row r="9" spans="1:34" s="84" customFormat="1" ht="14.25" customHeight="1" x14ac:dyDescent="0.3">
      <c r="A9" s="189" t="s">
        <v>280</v>
      </c>
      <c r="B9" s="238">
        <v>218.81794346000001</v>
      </c>
      <c r="C9" s="239">
        <v>217.00304772999999</v>
      </c>
      <c r="D9" s="240">
        <v>121.86799941</v>
      </c>
      <c r="E9" s="240">
        <v>118.47014707999999</v>
      </c>
      <c r="F9" s="240">
        <v>117.00411534999999</v>
      </c>
      <c r="G9" s="240">
        <v>107.99553382000001</v>
      </c>
      <c r="H9" s="240">
        <v>84.937684050000001</v>
      </c>
      <c r="I9" s="240">
        <v>87.643909960000002</v>
      </c>
      <c r="J9" s="240">
        <v>79.691854429999992</v>
      </c>
      <c r="K9" s="240">
        <v>78.057045410000001</v>
      </c>
      <c r="L9" s="240">
        <v>78.423064319999995</v>
      </c>
      <c r="M9" s="240">
        <v>75.988557029999996</v>
      </c>
      <c r="N9" s="240">
        <v>74.905010779999998</v>
      </c>
      <c r="O9" s="240">
        <v>95.039392509999985</v>
      </c>
      <c r="P9" s="240">
        <v>72.20683004</v>
      </c>
      <c r="Q9" s="240">
        <v>98.372661289999996</v>
      </c>
      <c r="R9" s="240">
        <v>84</v>
      </c>
      <c r="S9" s="240">
        <v>75.715235369999988</v>
      </c>
      <c r="T9" s="240">
        <v>85.978274780000007</v>
      </c>
      <c r="U9" s="240">
        <v>75.415730659999994</v>
      </c>
      <c r="V9" s="240">
        <v>80.726506329999992</v>
      </c>
      <c r="W9" s="240">
        <v>77.974801929999998</v>
      </c>
      <c r="X9" s="240">
        <v>79.990629319999996</v>
      </c>
      <c r="Y9" s="240">
        <v>80.75723318</v>
      </c>
      <c r="Z9" s="240">
        <v>76.001433560000009</v>
      </c>
      <c r="AA9" s="240">
        <v>74.083997789999998</v>
      </c>
      <c r="AB9" s="240">
        <v>81.625961539999992</v>
      </c>
      <c r="AC9" s="240">
        <v>64.441153780000008</v>
      </c>
      <c r="AD9" s="240">
        <v>67.874240629999989</v>
      </c>
      <c r="AE9" s="240">
        <v>72.549834099999998</v>
      </c>
      <c r="AF9" s="240">
        <v>47.861601749999998</v>
      </c>
      <c r="AG9" s="240">
        <v>46.163787149999997</v>
      </c>
      <c r="AH9" s="240">
        <v>39.118973189999998</v>
      </c>
    </row>
    <row r="10" spans="1:34" s="84" customFormat="1" ht="14.25" customHeight="1" x14ac:dyDescent="0.3">
      <c r="A10" s="189" t="s">
        <v>281</v>
      </c>
      <c r="B10" s="238">
        <v>108.99441551000001</v>
      </c>
      <c r="C10" s="239">
        <v>110.88698393999999</v>
      </c>
      <c r="D10" s="240">
        <v>110.49265093</v>
      </c>
      <c r="E10" s="240">
        <v>120.18846804000002</v>
      </c>
      <c r="F10" s="240">
        <v>125.24709555000001</v>
      </c>
      <c r="G10" s="240">
        <v>100.54207234000002</v>
      </c>
      <c r="H10" s="240">
        <v>99.978022609999996</v>
      </c>
      <c r="I10" s="240">
        <v>67.426624189999998</v>
      </c>
      <c r="J10" s="240">
        <v>73.537897319999999</v>
      </c>
      <c r="K10" s="240">
        <v>85.692901620000001</v>
      </c>
      <c r="L10" s="240">
        <v>129.31655061000001</v>
      </c>
      <c r="M10" s="240">
        <v>140.77603228000001</v>
      </c>
      <c r="N10" s="240">
        <v>156.32184362000001</v>
      </c>
      <c r="O10" s="240">
        <v>153.19161000999998</v>
      </c>
      <c r="P10" s="240">
        <v>146.83396390000001</v>
      </c>
      <c r="Q10" s="240">
        <v>145.23762473999997</v>
      </c>
      <c r="R10" s="240">
        <v>91</v>
      </c>
      <c r="S10" s="240">
        <v>157.68486532999998</v>
      </c>
      <c r="T10" s="240">
        <v>159.22642275000001</v>
      </c>
      <c r="U10" s="240">
        <v>186.32465263999998</v>
      </c>
      <c r="V10" s="240">
        <v>146.76371459000001</v>
      </c>
      <c r="W10" s="240">
        <v>202.25493211000003</v>
      </c>
      <c r="X10" s="240">
        <v>203.8315216</v>
      </c>
      <c r="Y10" s="240">
        <v>189.34773733999998</v>
      </c>
      <c r="Z10" s="240">
        <v>198.12571951999999</v>
      </c>
      <c r="AA10" s="240">
        <v>191.09374685999995</v>
      </c>
      <c r="AB10" s="240">
        <v>206.31915033999999</v>
      </c>
      <c r="AC10" s="240">
        <v>209.73336455</v>
      </c>
      <c r="AD10" s="240">
        <v>217.25750835999997</v>
      </c>
      <c r="AE10" s="240">
        <v>205.07426382999998</v>
      </c>
      <c r="AF10" s="240">
        <v>207.74766162999998</v>
      </c>
      <c r="AG10" s="240">
        <v>187.64489005999999</v>
      </c>
      <c r="AH10" s="240">
        <v>226.60527652000002</v>
      </c>
    </row>
    <row r="11" spans="1:34" s="224" customFormat="1" ht="15.95" customHeight="1" x14ac:dyDescent="0.3">
      <c r="A11" s="187" t="s">
        <v>282</v>
      </c>
      <c r="B11" s="235">
        <v>46.78068837</v>
      </c>
      <c r="C11" s="236">
        <v>46.253067969999996</v>
      </c>
      <c r="D11" s="237">
        <v>45.738551770000001</v>
      </c>
      <c r="E11" s="237">
        <v>45.235207109999997</v>
      </c>
      <c r="F11" s="237">
        <v>44.715972039999997</v>
      </c>
      <c r="G11" s="237">
        <v>44.217266020000004</v>
      </c>
      <c r="H11" s="237">
        <v>43.708316170000003</v>
      </c>
      <c r="I11" s="237">
        <v>43.204010420000003</v>
      </c>
      <c r="J11" s="237">
        <v>42.689947739999994</v>
      </c>
      <c r="K11" s="237">
        <v>0.10134737999999999</v>
      </c>
      <c r="L11" s="237">
        <v>1.54262616</v>
      </c>
      <c r="M11" s="237">
        <v>1.3345721199999998</v>
      </c>
      <c r="N11" s="237">
        <v>2.08886818</v>
      </c>
      <c r="O11" s="237">
        <v>1.91670644</v>
      </c>
      <c r="P11" s="237">
        <v>2.1180915599999994</v>
      </c>
      <c r="Q11" s="237">
        <v>1.7728799</v>
      </c>
      <c r="R11" s="237">
        <v>2</v>
      </c>
      <c r="S11" s="237">
        <v>2.1371951199999999</v>
      </c>
      <c r="T11" s="237">
        <v>2.1541849399999999</v>
      </c>
      <c r="U11" s="237">
        <v>2.0021408199999997</v>
      </c>
      <c r="V11" s="237">
        <v>2.11590795</v>
      </c>
      <c r="W11" s="237">
        <v>2.1219770099999997</v>
      </c>
      <c r="X11" s="237">
        <v>2.1363432100000002</v>
      </c>
      <c r="Y11" s="237">
        <v>2.1504089999999998</v>
      </c>
      <c r="Z11" s="237">
        <v>2.1650823099999998</v>
      </c>
      <c r="AA11" s="237">
        <v>2.2737708599999999</v>
      </c>
      <c r="AB11" s="237">
        <v>2.2504919900000004</v>
      </c>
      <c r="AC11" s="237">
        <v>2.2670240000000002</v>
      </c>
      <c r="AD11" s="237">
        <v>2.2869962000000004</v>
      </c>
      <c r="AE11" s="237">
        <v>2.30494332</v>
      </c>
      <c r="AF11" s="237">
        <v>0.81232177000000005</v>
      </c>
      <c r="AG11" s="237">
        <v>1.3217221499999998</v>
      </c>
      <c r="AH11" s="237">
        <v>1.86552451</v>
      </c>
    </row>
    <row r="12" spans="1:34" s="224" customFormat="1" ht="15.95" customHeight="1" x14ac:dyDescent="0.3">
      <c r="A12" s="187" t="s">
        <v>283</v>
      </c>
      <c r="B12" s="235">
        <v>22876.844872821352</v>
      </c>
      <c r="C12" s="236">
        <v>22906.131681845905</v>
      </c>
      <c r="D12" s="237">
        <v>22717.413743283916</v>
      </c>
      <c r="E12" s="237">
        <v>22783.962305745543</v>
      </c>
      <c r="F12" s="237">
        <v>22035.616435129999</v>
      </c>
      <c r="G12" s="237">
        <v>22810.249160305873</v>
      </c>
      <c r="H12" s="237">
        <v>22491.822245968186</v>
      </c>
      <c r="I12" s="237">
        <v>22994.384426489883</v>
      </c>
      <c r="J12" s="237">
        <v>21316.68678281848</v>
      </c>
      <c r="K12" s="237">
        <v>21475.533027094014</v>
      </c>
      <c r="L12" s="237">
        <v>20800.794300217956</v>
      </c>
      <c r="M12" s="237">
        <v>20379.948837976892</v>
      </c>
      <c r="N12" s="237">
        <v>20377.523695492771</v>
      </c>
      <c r="O12" s="237">
        <v>20474.449334142366</v>
      </c>
      <c r="P12" s="237">
        <v>20769.895746274982</v>
      </c>
      <c r="Q12" s="237">
        <v>21047.005710265115</v>
      </c>
      <c r="R12" s="237">
        <v>20714</v>
      </c>
      <c r="S12" s="237">
        <v>20923.781789139342</v>
      </c>
      <c r="T12" s="237">
        <v>21194.211315989363</v>
      </c>
      <c r="U12" s="237">
        <v>22158.855892786225</v>
      </c>
      <c r="V12" s="237">
        <v>22356.790943245567</v>
      </c>
      <c r="W12" s="237">
        <v>21761.923995715617</v>
      </c>
      <c r="X12" s="237">
        <v>21413.412493664033</v>
      </c>
      <c r="Y12" s="237">
        <v>20327.555801014802</v>
      </c>
      <c r="Z12" s="237">
        <v>20466.218986647262</v>
      </c>
      <c r="AA12" s="237">
        <v>20582.572873174249</v>
      </c>
      <c r="AB12" s="237">
        <v>20485.440475909862</v>
      </c>
      <c r="AC12" s="237">
        <v>21342.512195115847</v>
      </c>
      <c r="AD12" s="237">
        <v>20576.105258317908</v>
      </c>
      <c r="AE12" s="237">
        <v>19826.213305778248</v>
      </c>
      <c r="AF12" s="237">
        <v>19944.956740838621</v>
      </c>
      <c r="AG12" s="237">
        <v>19823.839065634133</v>
      </c>
      <c r="AH12" s="237">
        <v>19930.893898488954</v>
      </c>
    </row>
    <row r="13" spans="1:34" s="84" customFormat="1" ht="14.25" customHeight="1" x14ac:dyDescent="0.3">
      <c r="A13" s="189" t="s">
        <v>284</v>
      </c>
      <c r="B13" s="238">
        <v>6078.6116408922389</v>
      </c>
      <c r="C13" s="239">
        <v>6383.342836509979</v>
      </c>
      <c r="D13" s="240">
        <v>6775.9082574406111</v>
      </c>
      <c r="E13" s="240">
        <v>6132.4288020331314</v>
      </c>
      <c r="F13" s="240">
        <v>6010.2163219069162</v>
      </c>
      <c r="G13" s="240">
        <v>6286.2604282572256</v>
      </c>
      <c r="H13" s="240">
        <v>5656.1059444064849</v>
      </c>
      <c r="I13" s="240">
        <v>5686.0613108936923</v>
      </c>
      <c r="J13" s="240">
        <v>4421.4409081122985</v>
      </c>
      <c r="K13" s="240">
        <v>4411.8598819493118</v>
      </c>
      <c r="L13" s="240">
        <v>4108.5726855317889</v>
      </c>
      <c r="M13" s="240">
        <v>3699.0401551199284</v>
      </c>
      <c r="N13" s="240">
        <v>3948.6478992943134</v>
      </c>
      <c r="O13" s="240">
        <v>2.5</v>
      </c>
      <c r="P13" s="240">
        <v>4206.8079111032339</v>
      </c>
      <c r="Q13" s="240">
        <v>4379.0598858899466</v>
      </c>
      <c r="R13" s="240">
        <v>4130</v>
      </c>
      <c r="S13" s="240">
        <v>4198.9157072211674</v>
      </c>
      <c r="T13" s="240">
        <v>3959.9156203974294</v>
      </c>
      <c r="U13" s="240">
        <v>3925.6137307151175</v>
      </c>
      <c r="V13" s="240">
        <v>4136.7391998347366</v>
      </c>
      <c r="W13" s="240">
        <v>3670.220663352969</v>
      </c>
      <c r="X13" s="240">
        <v>3588.2060598763619</v>
      </c>
      <c r="Y13" s="240">
        <v>3119.1330819948921</v>
      </c>
      <c r="Z13" s="240">
        <v>3496.2799695135363</v>
      </c>
      <c r="AA13" s="240">
        <v>3878.5078825964147</v>
      </c>
      <c r="AB13" s="240">
        <v>3680.8321270041838</v>
      </c>
      <c r="AC13" s="240">
        <v>4307.6608531595666</v>
      </c>
      <c r="AD13" s="240">
        <v>3983.6111208895823</v>
      </c>
      <c r="AE13" s="240">
        <v>3326.3516301685509</v>
      </c>
      <c r="AF13" s="240">
        <v>4058.0882914427848</v>
      </c>
      <c r="AG13" s="240">
        <v>3762.9226344178601</v>
      </c>
      <c r="AH13" s="240">
        <v>3960.6297760774323</v>
      </c>
    </row>
    <row r="14" spans="1:34" s="84" customFormat="1" ht="14.25" customHeight="1" x14ac:dyDescent="0.3">
      <c r="A14" s="191" t="s">
        <v>395</v>
      </c>
      <c r="B14" s="241">
        <v>1725.0367880000003</v>
      </c>
      <c r="C14" s="242">
        <v>1722.82356682</v>
      </c>
      <c r="D14" s="243">
        <v>1776.88906658</v>
      </c>
      <c r="E14" s="243">
        <v>1790.3594569300001</v>
      </c>
      <c r="F14" s="243">
        <v>1579.6892615100001</v>
      </c>
      <c r="G14" s="243">
        <v>1859.69548545</v>
      </c>
      <c r="H14" s="243">
        <v>1342.5706088100003</v>
      </c>
      <c r="I14" s="243">
        <v>1378.0966122799998</v>
      </c>
      <c r="J14" s="243">
        <v>1584.7408102300001</v>
      </c>
      <c r="K14" s="243">
        <v>1611.2656958945913</v>
      </c>
      <c r="L14" s="243">
        <v>1500.4376187945215</v>
      </c>
      <c r="M14" s="243">
        <v>1438.0123258799999</v>
      </c>
      <c r="N14" s="243">
        <v>1608.6824826813868</v>
      </c>
      <c r="O14" s="243">
        <v>1615.6773392640102</v>
      </c>
      <c r="P14" s="243">
        <v>1475.2839567400001</v>
      </c>
      <c r="Q14" s="243">
        <v>1689.3565262197392</v>
      </c>
      <c r="R14" s="243">
        <v>1498</v>
      </c>
      <c r="S14" s="243">
        <v>1630.4447456788339</v>
      </c>
      <c r="T14" s="243">
        <v>1262.3194005451253</v>
      </c>
      <c r="U14" s="243">
        <v>1202.68203206</v>
      </c>
      <c r="V14" s="243">
        <v>1416.8444053978569</v>
      </c>
      <c r="W14" s="243">
        <v>885.98997534</v>
      </c>
      <c r="X14" s="243">
        <v>1018.1102124499999</v>
      </c>
      <c r="Y14" s="243">
        <v>649.81515833000003</v>
      </c>
      <c r="Z14" s="243">
        <v>982.00521029021013</v>
      </c>
      <c r="AA14" s="243">
        <v>1479.6137718346615</v>
      </c>
      <c r="AB14" s="243">
        <v>1239.22106904</v>
      </c>
      <c r="AC14" s="243">
        <v>1825.8866424431985</v>
      </c>
      <c r="AD14" s="243">
        <v>1428.2243009475346</v>
      </c>
      <c r="AE14" s="243">
        <v>1079.4864690631086</v>
      </c>
      <c r="AF14" s="243">
        <v>1789.1254256732004</v>
      </c>
      <c r="AG14" s="243">
        <v>1457.4911570997649</v>
      </c>
      <c r="AH14" s="243">
        <v>1275.522717782929</v>
      </c>
    </row>
    <row r="15" spans="1:34" s="84" customFormat="1" ht="14.25" customHeight="1" x14ac:dyDescent="0.3">
      <c r="A15" s="191" t="s">
        <v>396</v>
      </c>
      <c r="B15" s="241">
        <v>3176.0777133534057</v>
      </c>
      <c r="C15" s="242">
        <v>3475.1179721951153</v>
      </c>
      <c r="D15" s="243">
        <v>3566.2145212584096</v>
      </c>
      <c r="E15" s="243">
        <v>3009.11249481</v>
      </c>
      <c r="F15" s="243">
        <v>3042.2449606999999</v>
      </c>
      <c r="G15" s="243">
        <v>3050.9457545699997</v>
      </c>
      <c r="H15" s="243">
        <v>3031.0000445400001</v>
      </c>
      <c r="I15" s="243">
        <v>2842.6563902399998</v>
      </c>
      <c r="J15" s="243">
        <v>1107.8326978499999</v>
      </c>
      <c r="K15" s="243">
        <v>1080.9332879900001</v>
      </c>
      <c r="L15" s="243">
        <v>1072.44033603</v>
      </c>
      <c r="M15" s="243">
        <v>904.35903862999999</v>
      </c>
      <c r="N15" s="243">
        <v>1053.0871796700001</v>
      </c>
      <c r="O15" s="243">
        <v>1154.9171173299999</v>
      </c>
      <c r="P15" s="243">
        <v>1115.0446303199999</v>
      </c>
      <c r="Q15" s="243">
        <v>1130.99991507</v>
      </c>
      <c r="R15" s="243">
        <v>1111</v>
      </c>
      <c r="S15" s="243">
        <v>1144.5932108900001</v>
      </c>
      <c r="T15" s="243">
        <v>1142.4622516400002</v>
      </c>
      <c r="U15" s="243">
        <v>1202.4434004699999</v>
      </c>
      <c r="V15" s="243">
        <v>1227.34561016</v>
      </c>
      <c r="W15" s="243">
        <v>1230.1435072000002</v>
      </c>
      <c r="X15" s="243">
        <v>995.18506174000004</v>
      </c>
      <c r="Y15" s="243">
        <v>986.17920735999996</v>
      </c>
      <c r="Z15" s="243">
        <v>975.62341738999999</v>
      </c>
      <c r="AA15" s="243">
        <v>879.03069530000005</v>
      </c>
      <c r="AB15" s="243">
        <v>817.75854204000007</v>
      </c>
      <c r="AC15" s="243">
        <v>879.5938533499999</v>
      </c>
      <c r="AD15" s="243">
        <v>857.60273500999995</v>
      </c>
      <c r="AE15" s="243">
        <v>849.16135096000005</v>
      </c>
      <c r="AF15" s="243">
        <v>863.54133297999999</v>
      </c>
      <c r="AG15" s="243">
        <v>841.56044501999997</v>
      </c>
      <c r="AH15" s="243">
        <v>863.22616200999983</v>
      </c>
    </row>
    <row r="16" spans="1:34" s="84" customFormat="1" ht="14.25" customHeight="1" x14ac:dyDescent="0.3">
      <c r="A16" s="191" t="s">
        <v>397</v>
      </c>
      <c r="B16" s="241">
        <v>1177.4971395388332</v>
      </c>
      <c r="C16" s="242">
        <v>1185.401297494865</v>
      </c>
      <c r="D16" s="243">
        <v>1432.8046696022006</v>
      </c>
      <c r="E16" s="243">
        <v>1332.9568502931313</v>
      </c>
      <c r="F16" s="243">
        <v>1388.2820996969165</v>
      </c>
      <c r="G16" s="243">
        <v>1375.6191882372257</v>
      </c>
      <c r="H16" s="243">
        <v>1282.5352910564843</v>
      </c>
      <c r="I16" s="243">
        <v>1465.308308373691</v>
      </c>
      <c r="J16" s="243">
        <v>1728.8674000322997</v>
      </c>
      <c r="K16" s="243">
        <v>1719.6608980647213</v>
      </c>
      <c r="L16" s="243">
        <v>1535.6947307072674</v>
      </c>
      <c r="M16" s="243">
        <v>1356.6687906099285</v>
      </c>
      <c r="N16" s="243">
        <v>1286.8782369429268</v>
      </c>
      <c r="O16" s="243">
        <v>1435.7913854839649</v>
      </c>
      <c r="P16" s="243">
        <v>1616.4793240432343</v>
      </c>
      <c r="Q16" s="243">
        <v>1558.7034446002078</v>
      </c>
      <c r="R16" s="243">
        <v>1522</v>
      </c>
      <c r="S16" s="243">
        <v>1423.8777506523338</v>
      </c>
      <c r="T16" s="243">
        <v>1555.1339682123037</v>
      </c>
      <c r="U16" s="243">
        <v>1520.4882981851169</v>
      </c>
      <c r="V16" s="243">
        <v>1492.5491842768797</v>
      </c>
      <c r="W16" s="243">
        <v>1554.0871808129691</v>
      </c>
      <c r="X16" s="243">
        <v>1574.910785686362</v>
      </c>
      <c r="Y16" s="243">
        <v>1483.1387163048921</v>
      </c>
      <c r="Z16" s="243">
        <v>1538.6513418333266</v>
      </c>
      <c r="AA16" s="243">
        <v>1519.8634154617532</v>
      </c>
      <c r="AB16" s="243">
        <v>1623.8525159241838</v>
      </c>
      <c r="AC16" s="243">
        <v>1602.1803573663683</v>
      </c>
      <c r="AD16" s="243">
        <v>1697.7840849320478</v>
      </c>
      <c r="AE16" s="243">
        <v>1397.703810145442</v>
      </c>
      <c r="AF16" s="243">
        <v>1405.4215327895843</v>
      </c>
      <c r="AG16" s="243">
        <v>1463.8710322980949</v>
      </c>
      <c r="AH16" s="243">
        <v>1821.880896284503</v>
      </c>
    </row>
    <row r="17" spans="1:34" s="84" customFormat="1" ht="14.25" customHeight="1" x14ac:dyDescent="0.3">
      <c r="A17" s="189" t="s">
        <v>288</v>
      </c>
      <c r="B17" s="238">
        <v>1242.3605788899999</v>
      </c>
      <c r="C17" s="239">
        <v>1119.7909658900001</v>
      </c>
      <c r="D17" s="240">
        <v>1219.5887337899999</v>
      </c>
      <c r="E17" s="240">
        <v>1205.0318490299999</v>
      </c>
      <c r="F17" s="240">
        <v>1114.8822148799998</v>
      </c>
      <c r="G17" s="240">
        <v>1022.9489218599999</v>
      </c>
      <c r="H17" s="240">
        <v>963.67748205000009</v>
      </c>
      <c r="I17" s="240">
        <v>994.24992150000003</v>
      </c>
      <c r="J17" s="240">
        <v>995.26922568000009</v>
      </c>
      <c r="K17" s="240">
        <v>967.84829107999997</v>
      </c>
      <c r="L17" s="240">
        <v>1070.1400984100001</v>
      </c>
      <c r="M17" s="240">
        <v>1091.6310350399999</v>
      </c>
      <c r="N17" s="240">
        <v>1018.14515743</v>
      </c>
      <c r="O17" s="240">
        <v>1014.26371525</v>
      </c>
      <c r="P17" s="240">
        <v>1206.4256972599999</v>
      </c>
      <c r="Q17" s="240">
        <v>1142.26866492</v>
      </c>
      <c r="R17" s="240">
        <v>1160</v>
      </c>
      <c r="S17" s="240">
        <v>1132.4526343699999</v>
      </c>
      <c r="T17" s="240">
        <v>1133.9696202800001</v>
      </c>
      <c r="U17" s="240">
        <v>1610.92555967</v>
      </c>
      <c r="V17" s="240">
        <v>1652.4288111300002</v>
      </c>
      <c r="W17" s="240">
        <v>1735.22777455</v>
      </c>
      <c r="X17" s="240">
        <v>1623.5030842900001</v>
      </c>
      <c r="Y17" s="240">
        <v>1612.7692425099997</v>
      </c>
      <c r="Z17" s="240">
        <v>1671.2897117699999</v>
      </c>
      <c r="AA17" s="240">
        <v>1709.3666813299999</v>
      </c>
      <c r="AB17" s="240">
        <v>1771.0809322599998</v>
      </c>
      <c r="AC17" s="240">
        <v>1321.5454435100003</v>
      </c>
      <c r="AD17" s="240">
        <v>1221.1996142799999</v>
      </c>
      <c r="AE17" s="240">
        <v>1194.2932031199998</v>
      </c>
      <c r="AF17" s="240">
        <v>1172.91865424</v>
      </c>
      <c r="AG17" s="240">
        <v>1468.9547484699997</v>
      </c>
      <c r="AH17" s="240">
        <v>1031.4220510499999</v>
      </c>
    </row>
    <row r="18" spans="1:34" s="84" customFormat="1" ht="14.25" customHeight="1" x14ac:dyDescent="0.3">
      <c r="A18" s="189" t="s">
        <v>289</v>
      </c>
      <c r="B18" s="238">
        <v>4229.7205462498723</v>
      </c>
      <c r="C18" s="239">
        <v>4455.6878373370328</v>
      </c>
      <c r="D18" s="240">
        <v>4374.3895707233651</v>
      </c>
      <c r="E18" s="240">
        <v>4408.2245502178785</v>
      </c>
      <c r="F18" s="240">
        <v>4138.9636685304858</v>
      </c>
      <c r="G18" s="240">
        <v>4084.3540800230476</v>
      </c>
      <c r="H18" s="240">
        <v>4337.758950214472</v>
      </c>
      <c r="I18" s="240">
        <v>4473.7411919807128</v>
      </c>
      <c r="J18" s="240">
        <v>4654.3956163357207</v>
      </c>
      <c r="K18" s="240">
        <v>4457.1722176075245</v>
      </c>
      <c r="L18" s="240">
        <v>4195.9461102864034</v>
      </c>
      <c r="M18" s="240">
        <v>4394.2962205617278</v>
      </c>
      <c r="N18" s="240">
        <v>4336.2013813324347</v>
      </c>
      <c r="O18" s="240">
        <v>4314.2660385786003</v>
      </c>
      <c r="P18" s="240">
        <v>4329.5444639107609</v>
      </c>
      <c r="Q18" s="240">
        <v>4193.7084447155557</v>
      </c>
      <c r="R18" s="240">
        <v>4221</v>
      </c>
      <c r="S18" s="240">
        <v>4310.6691213025915</v>
      </c>
      <c r="T18" s="240">
        <v>4307.3330999204463</v>
      </c>
      <c r="U18" s="240">
        <v>4424.5394130307905</v>
      </c>
      <c r="V18" s="240">
        <v>5331.1274565806898</v>
      </c>
      <c r="W18" s="240">
        <v>5049.9616380103607</v>
      </c>
      <c r="X18" s="240">
        <v>4876.7150374924431</v>
      </c>
      <c r="Y18" s="240">
        <v>4630.69563299745</v>
      </c>
      <c r="Z18" s="240">
        <v>4510.5822406330417</v>
      </c>
      <c r="AA18" s="240">
        <v>4249.0455094329127</v>
      </c>
      <c r="AB18" s="240">
        <v>4355.4373395983475</v>
      </c>
      <c r="AC18" s="240">
        <v>4652.2998507771372</v>
      </c>
      <c r="AD18" s="240">
        <v>4533.148081154166</v>
      </c>
      <c r="AE18" s="240">
        <v>4339.8679415419283</v>
      </c>
      <c r="AF18" s="240">
        <v>4323.0249599417866</v>
      </c>
      <c r="AG18" s="240">
        <v>4014.8453678888236</v>
      </c>
      <c r="AH18" s="240">
        <v>4885.4995963288648</v>
      </c>
    </row>
    <row r="19" spans="1:34" s="84" customFormat="1" ht="14.25" customHeight="1" x14ac:dyDescent="0.3">
      <c r="A19" s="189" t="s">
        <v>290</v>
      </c>
      <c r="B19" s="238">
        <v>3867.1722109085736</v>
      </c>
      <c r="C19" s="239">
        <v>3468.3520114851744</v>
      </c>
      <c r="D19" s="240">
        <v>3845.3640947085337</v>
      </c>
      <c r="E19" s="240">
        <v>4506.3717713640299</v>
      </c>
      <c r="F19" s="240">
        <v>4156.1185299868093</v>
      </c>
      <c r="G19" s="240">
        <v>4874.9489634155716</v>
      </c>
      <c r="H19" s="240">
        <v>5103.767642483378</v>
      </c>
      <c r="I19" s="240">
        <v>5180.0443989327996</v>
      </c>
      <c r="J19" s="240">
        <v>4669.8718503498167</v>
      </c>
      <c r="K19" s="240">
        <v>4648.9491262937026</v>
      </c>
      <c r="L19" s="240">
        <v>4255.9811450746301</v>
      </c>
      <c r="M19" s="240">
        <v>4267.2758404023334</v>
      </c>
      <c r="N19" s="240">
        <v>4306.4053038333077</v>
      </c>
      <c r="O19" s="240">
        <v>4280.2622501001824</v>
      </c>
      <c r="P19" s="240">
        <v>4424.144963899188</v>
      </c>
      <c r="Q19" s="240">
        <v>4576.5304332888345</v>
      </c>
      <c r="R19" s="240">
        <v>4481</v>
      </c>
      <c r="S19" s="240">
        <v>4421.8787081477039</v>
      </c>
      <c r="T19" s="240">
        <v>4505.5874133246571</v>
      </c>
      <c r="U19" s="240">
        <v>4517.5237652070291</v>
      </c>
      <c r="V19" s="240">
        <v>3898.7498491183937</v>
      </c>
      <c r="W19" s="240">
        <v>4260.51095651789</v>
      </c>
      <c r="X19" s="240">
        <v>4183.2092286491934</v>
      </c>
      <c r="Y19" s="240">
        <v>4143.7984874161666</v>
      </c>
      <c r="Z19" s="240">
        <v>3976.5258816251153</v>
      </c>
      <c r="AA19" s="240">
        <v>4083.3867484695534</v>
      </c>
      <c r="AB19" s="240">
        <v>3873.1719450175101</v>
      </c>
      <c r="AC19" s="240">
        <v>3919.1010242315915</v>
      </c>
      <c r="AD19" s="240">
        <v>3772.9752353857057</v>
      </c>
      <c r="AE19" s="240">
        <v>3734.7843278296909</v>
      </c>
      <c r="AF19" s="240">
        <v>3570.6073195487347</v>
      </c>
      <c r="AG19" s="240">
        <v>3648.7141790464057</v>
      </c>
      <c r="AH19" s="240">
        <v>2835.3915778771839</v>
      </c>
    </row>
    <row r="20" spans="1:34" s="84" customFormat="1" ht="14.25" customHeight="1" x14ac:dyDescent="0.3">
      <c r="A20" s="189" t="s">
        <v>291</v>
      </c>
      <c r="B20" s="238">
        <v>83.196141819999994</v>
      </c>
      <c r="C20" s="239">
        <v>81.037084640000003</v>
      </c>
      <c r="D20" s="240">
        <v>73.032870300000013</v>
      </c>
      <c r="E20" s="240">
        <v>76.869256370000002</v>
      </c>
      <c r="F20" s="240">
        <v>78.956993309999987</v>
      </c>
      <c r="G20" s="240">
        <v>78.850167289999987</v>
      </c>
      <c r="H20" s="240">
        <v>78.151786900000005</v>
      </c>
      <c r="I20" s="240">
        <v>78.386525719999995</v>
      </c>
      <c r="J20" s="240">
        <v>77.506032919999996</v>
      </c>
      <c r="K20" s="240">
        <v>77.08219862</v>
      </c>
      <c r="L20" s="240">
        <v>75.42341424</v>
      </c>
      <c r="M20" s="240">
        <v>91.218464690000005</v>
      </c>
      <c r="N20" s="240">
        <v>87.597761610000006</v>
      </c>
      <c r="O20" s="240">
        <v>86.821140990000004</v>
      </c>
      <c r="P20" s="240">
        <v>79.039404180000005</v>
      </c>
      <c r="Q20" s="240">
        <v>84.24307196985167</v>
      </c>
      <c r="R20" s="240">
        <v>83</v>
      </c>
      <c r="S20" s="240">
        <v>87.196371358703558</v>
      </c>
      <c r="T20" s="240">
        <v>91.441989010591641</v>
      </c>
      <c r="U20" s="240">
        <v>95.817957239242418</v>
      </c>
      <c r="V20" s="240">
        <v>96.250162440261477</v>
      </c>
      <c r="W20" s="240">
        <v>94.083536912562991</v>
      </c>
      <c r="X20" s="240">
        <v>94.120247305293233</v>
      </c>
      <c r="Y20" s="240">
        <v>91.724816472637997</v>
      </c>
      <c r="Z20" s="240">
        <v>89.696599243432757</v>
      </c>
      <c r="AA20" s="240">
        <v>92.674417337510732</v>
      </c>
      <c r="AB20" s="240">
        <v>89.247441594929199</v>
      </c>
      <c r="AC20" s="240">
        <v>90.9309004737961</v>
      </c>
      <c r="AD20" s="240">
        <v>87.649376710249541</v>
      </c>
      <c r="AE20" s="240">
        <v>93.157300471261351</v>
      </c>
      <c r="AF20" s="240">
        <v>92.17474723494044</v>
      </c>
      <c r="AG20" s="240">
        <v>97.641083686941002</v>
      </c>
      <c r="AH20" s="240">
        <v>97.893538970244649</v>
      </c>
    </row>
    <row r="21" spans="1:34" s="84" customFormat="1" ht="14.25" customHeight="1" x14ac:dyDescent="0.3">
      <c r="A21" s="189" t="s">
        <v>292</v>
      </c>
      <c r="B21" s="238">
        <v>400.38090321000004</v>
      </c>
      <c r="C21" s="239">
        <v>410.66323342999999</v>
      </c>
      <c r="D21" s="240">
        <v>392.38208213000001</v>
      </c>
      <c r="E21" s="240">
        <v>387.82736387</v>
      </c>
      <c r="F21" s="240">
        <v>377.62592584999999</v>
      </c>
      <c r="G21" s="240">
        <v>417.83049287</v>
      </c>
      <c r="H21" s="240">
        <v>444.06592860999996</v>
      </c>
      <c r="I21" s="240">
        <v>410.81464686999999</v>
      </c>
      <c r="J21" s="240">
        <v>430.52824489</v>
      </c>
      <c r="K21" s="240">
        <v>421.50478228999998</v>
      </c>
      <c r="L21" s="240">
        <v>391.79311030000002</v>
      </c>
      <c r="M21" s="240">
        <v>376.45245233670443</v>
      </c>
      <c r="N21" s="240">
        <v>393.83915668905638</v>
      </c>
      <c r="O21" s="240">
        <v>387.2275920406197</v>
      </c>
      <c r="P21" s="240">
        <v>392.48585547728908</v>
      </c>
      <c r="Q21" s="240">
        <v>390.82576552999996</v>
      </c>
      <c r="R21" s="240">
        <v>386</v>
      </c>
      <c r="S21" s="240">
        <v>373.16780619000002</v>
      </c>
      <c r="T21" s="240">
        <v>375.91464095999999</v>
      </c>
      <c r="U21" s="240">
        <v>361.63456731999992</v>
      </c>
      <c r="V21" s="240">
        <v>373.21190694000001</v>
      </c>
      <c r="W21" s="240">
        <v>371.62551945463207</v>
      </c>
      <c r="X21" s="240">
        <v>355.26735303000004</v>
      </c>
      <c r="Y21" s="240">
        <v>357.76716299999998</v>
      </c>
      <c r="Z21" s="240">
        <v>350.30581903000001</v>
      </c>
      <c r="AA21" s="240">
        <v>351.68098092000002</v>
      </c>
      <c r="AB21" s="240">
        <v>335.85760622999999</v>
      </c>
      <c r="AC21" s="240">
        <v>334.11758202999999</v>
      </c>
      <c r="AD21" s="240">
        <v>328.34563918999999</v>
      </c>
      <c r="AE21" s="240">
        <v>326.22141292999999</v>
      </c>
      <c r="AF21" s="240">
        <v>323.50019253999994</v>
      </c>
      <c r="AG21" s="240">
        <v>329.13286773000004</v>
      </c>
      <c r="AH21" s="240">
        <v>661.42085534135447</v>
      </c>
    </row>
    <row r="22" spans="1:34" s="84" customFormat="1" ht="14.25" customHeight="1" x14ac:dyDescent="0.3">
      <c r="A22" s="189" t="s">
        <v>293</v>
      </c>
      <c r="B22" s="238">
        <v>333.65016684000005</v>
      </c>
      <c r="C22" s="239">
        <v>324.00079281000001</v>
      </c>
      <c r="D22" s="240">
        <v>322.00790444</v>
      </c>
      <c r="E22" s="240">
        <v>334.69484829999993</v>
      </c>
      <c r="F22" s="240">
        <v>316.44682889999996</v>
      </c>
      <c r="G22" s="240">
        <v>315.58043707999997</v>
      </c>
      <c r="H22" s="240">
        <v>300.88405795</v>
      </c>
      <c r="I22" s="240">
        <v>298.10813186000001</v>
      </c>
      <c r="J22" s="240">
        <v>307.09242761000002</v>
      </c>
      <c r="K22" s="240">
        <v>303.30483466999999</v>
      </c>
      <c r="L22" s="240">
        <v>305.15772965999997</v>
      </c>
      <c r="M22" s="240">
        <v>310.01842177999998</v>
      </c>
      <c r="N22" s="240">
        <v>306.04808545000003</v>
      </c>
      <c r="O22" s="240">
        <v>301.94202794000006</v>
      </c>
      <c r="P22" s="240">
        <v>300.31185769000001</v>
      </c>
      <c r="Q22" s="240">
        <v>300.07041323000004</v>
      </c>
      <c r="R22" s="240">
        <v>300</v>
      </c>
      <c r="S22" s="240">
        <v>293.70825810000002</v>
      </c>
      <c r="T22" s="240">
        <v>307.06374877999997</v>
      </c>
      <c r="U22" s="240">
        <v>298.83154076</v>
      </c>
      <c r="V22" s="240">
        <v>304.16911948000001</v>
      </c>
      <c r="W22" s="240">
        <v>302.69976207999997</v>
      </c>
      <c r="X22" s="240">
        <v>308.40265185999999</v>
      </c>
      <c r="Y22" s="240">
        <v>319.09152877999998</v>
      </c>
      <c r="Z22" s="240">
        <v>315.35703437000001</v>
      </c>
      <c r="AA22" s="240">
        <v>332.70589798000003</v>
      </c>
      <c r="AB22" s="240">
        <v>335.59059232999999</v>
      </c>
      <c r="AC22" s="240">
        <v>339.82611185000002</v>
      </c>
      <c r="AD22" s="240">
        <v>334.40456871000004</v>
      </c>
      <c r="AE22" s="240">
        <v>330.77559348</v>
      </c>
      <c r="AF22" s="240">
        <v>334.56168934999994</v>
      </c>
      <c r="AG22" s="240">
        <v>335.77430985000001</v>
      </c>
      <c r="AH22" s="240">
        <v>345.80028882000005</v>
      </c>
    </row>
    <row r="23" spans="1:34" s="84" customFormat="1" ht="14.25" customHeight="1" x14ac:dyDescent="0.3">
      <c r="A23" s="189" t="s">
        <v>294</v>
      </c>
      <c r="B23" s="238">
        <v>819.15063880999992</v>
      </c>
      <c r="C23" s="239">
        <v>813.9239457299999</v>
      </c>
      <c r="D23" s="240">
        <v>761.18280902000004</v>
      </c>
      <c r="E23" s="240">
        <v>798.11122834000003</v>
      </c>
      <c r="F23" s="240">
        <v>820.46825586</v>
      </c>
      <c r="G23" s="240">
        <v>809.50641272000007</v>
      </c>
      <c r="H23" s="240">
        <v>952.28130765999992</v>
      </c>
      <c r="I23" s="240">
        <v>1037.2983909000002</v>
      </c>
      <c r="J23" s="240">
        <v>924.7377262</v>
      </c>
      <c r="K23" s="240">
        <v>924.85220308000009</v>
      </c>
      <c r="L23" s="240">
        <v>1068.22160506</v>
      </c>
      <c r="M23" s="240">
        <v>900.77370840999993</v>
      </c>
      <c r="N23" s="240">
        <v>862.55206397000006</v>
      </c>
      <c r="O23" s="240">
        <v>970.22267800999998</v>
      </c>
      <c r="P23" s="240">
        <v>980.01943155999993</v>
      </c>
      <c r="Q23" s="240">
        <v>1027.8606714599998</v>
      </c>
      <c r="R23" s="240">
        <v>1005</v>
      </c>
      <c r="S23" s="240">
        <v>1001.4657449000001</v>
      </c>
      <c r="T23" s="240">
        <v>1026.3092262099999</v>
      </c>
      <c r="U23" s="240">
        <v>997.18161326999996</v>
      </c>
      <c r="V23" s="240">
        <v>1161.6102916</v>
      </c>
      <c r="W23" s="240">
        <v>1208.8139528800002</v>
      </c>
      <c r="X23" s="240">
        <v>1114.8445689800001</v>
      </c>
      <c r="Y23" s="240">
        <v>943.46657939000011</v>
      </c>
      <c r="Z23" s="240">
        <v>923.44903344000011</v>
      </c>
      <c r="AA23" s="240">
        <v>960.70653858000003</v>
      </c>
      <c r="AB23" s="240">
        <v>975.46560435999993</v>
      </c>
      <c r="AC23" s="240">
        <v>962.69443050000007</v>
      </c>
      <c r="AD23" s="240">
        <v>940.17083474000003</v>
      </c>
      <c r="AE23" s="240">
        <v>953.89191760000006</v>
      </c>
      <c r="AF23" s="240">
        <v>849.37232495000001</v>
      </c>
      <c r="AG23" s="240">
        <v>925.61690224000006</v>
      </c>
      <c r="AH23" s="240">
        <v>999.86623367999994</v>
      </c>
    </row>
    <row r="24" spans="1:34" s="84" customFormat="1" ht="14.25" customHeight="1" x14ac:dyDescent="0.3">
      <c r="A24" s="189" t="s">
        <v>295</v>
      </c>
      <c r="B24" s="238">
        <v>316.322108657792</v>
      </c>
      <c r="C24" s="239">
        <v>329.83400566622799</v>
      </c>
      <c r="D24" s="240">
        <v>328.82386541898234</v>
      </c>
      <c r="E24" s="240">
        <v>288.92747685357301</v>
      </c>
      <c r="F24" s="240">
        <v>297.60643552781801</v>
      </c>
      <c r="G24" s="240">
        <v>274.78990367903197</v>
      </c>
      <c r="H24" s="240">
        <v>232.25281177196499</v>
      </c>
      <c r="I24" s="240">
        <v>215.85580234999998</v>
      </c>
      <c r="J24" s="240">
        <v>270.55026740999995</v>
      </c>
      <c r="K24" s="240">
        <v>412.78336480000002</v>
      </c>
      <c r="L24" s="240">
        <v>439.05687697000002</v>
      </c>
      <c r="M24" s="240">
        <v>397.98593277999998</v>
      </c>
      <c r="N24" s="240">
        <v>392.72267174000001</v>
      </c>
      <c r="O24" s="240">
        <v>365.86556158999997</v>
      </c>
      <c r="P24" s="240">
        <v>360.49704569000005</v>
      </c>
      <c r="Q24" s="240">
        <v>333.87989443999999</v>
      </c>
      <c r="R24" s="240">
        <v>265</v>
      </c>
      <c r="S24" s="240">
        <v>233.08548512000002</v>
      </c>
      <c r="T24" s="240">
        <v>233.87251876999997</v>
      </c>
      <c r="U24" s="240">
        <v>246.14880077999996</v>
      </c>
      <c r="V24" s="240">
        <v>274.38839985999999</v>
      </c>
      <c r="W24" s="240">
        <v>269.99899392999998</v>
      </c>
      <c r="X24" s="240">
        <v>308.10617583000004</v>
      </c>
      <c r="Y24" s="240">
        <v>311.73857556000002</v>
      </c>
      <c r="Z24" s="240">
        <v>361.26342997</v>
      </c>
      <c r="AA24" s="240">
        <v>165.45958906000001</v>
      </c>
      <c r="AB24" s="240">
        <v>164.84583219999999</v>
      </c>
      <c r="AC24" s="240">
        <v>169.32376494068401</v>
      </c>
      <c r="AD24" s="240">
        <v>165.25885530000002</v>
      </c>
      <c r="AE24" s="240">
        <v>195.63800273999999</v>
      </c>
      <c r="AF24" s="240">
        <v>120.30267911</v>
      </c>
      <c r="AG24" s="240">
        <v>172.38404954999999</v>
      </c>
      <c r="AH24" s="240">
        <v>216.94805981999997</v>
      </c>
    </row>
    <row r="25" spans="1:34" s="84" customFormat="1" ht="14.25" customHeight="1" x14ac:dyDescent="0.3">
      <c r="A25" s="189" t="s">
        <v>296</v>
      </c>
      <c r="B25" s="238">
        <v>339.74995690827518</v>
      </c>
      <c r="C25" s="239">
        <v>336.07308984144777</v>
      </c>
      <c r="D25" s="240">
        <v>312.33110838218147</v>
      </c>
      <c r="E25" s="240">
        <v>323.87251306425935</v>
      </c>
      <c r="F25" s="240">
        <v>325.74970419112208</v>
      </c>
      <c r="G25" s="240">
        <v>340.74335615731485</v>
      </c>
      <c r="H25" s="240">
        <v>343.99057994488589</v>
      </c>
      <c r="I25" s="240">
        <v>359.68408638670871</v>
      </c>
      <c r="J25" s="240">
        <v>375.79061612513016</v>
      </c>
      <c r="K25" s="240">
        <v>377.63436830075801</v>
      </c>
      <c r="L25" s="240">
        <v>325.21134568532898</v>
      </c>
      <c r="M25" s="240">
        <v>330.64563557879796</v>
      </c>
      <c r="N25" s="240">
        <v>318.72365983366694</v>
      </c>
      <c r="O25" s="240">
        <v>333.72414783369385</v>
      </c>
      <c r="P25" s="240">
        <v>319.75517576274768</v>
      </c>
      <c r="Q25" s="240">
        <v>364.50889356035066</v>
      </c>
      <c r="R25" s="240">
        <v>361</v>
      </c>
      <c r="S25" s="240">
        <v>388.6810778861672</v>
      </c>
      <c r="T25" s="240">
        <v>392.67018187750637</v>
      </c>
      <c r="U25" s="240">
        <v>403.46613841151265</v>
      </c>
      <c r="V25" s="240">
        <v>415.46652127741356</v>
      </c>
      <c r="W25" s="240">
        <v>392.71105489239608</v>
      </c>
      <c r="X25" s="240">
        <v>391.45674535790943</v>
      </c>
      <c r="Y25" s="240">
        <v>414.68995819974066</v>
      </c>
      <c r="Z25" s="240">
        <v>392.8854775694457</v>
      </c>
      <c r="AA25" s="240">
        <v>407.44487627070794</v>
      </c>
      <c r="AB25" s="240">
        <v>401.13678008144944</v>
      </c>
      <c r="AC25" s="240">
        <v>426.50741612760044</v>
      </c>
      <c r="AD25" s="240">
        <v>410.57825537490515</v>
      </c>
      <c r="AE25" s="240">
        <v>403.1650070702554</v>
      </c>
      <c r="AF25" s="240">
        <v>356.23387488138343</v>
      </c>
      <c r="AG25" s="240">
        <v>358.30955133898698</v>
      </c>
      <c r="AH25" s="240">
        <v>375.14243412391329</v>
      </c>
    </row>
    <row r="26" spans="1:34" s="84" customFormat="1" ht="14.25" customHeight="1" x14ac:dyDescent="0.3">
      <c r="A26" s="189" t="s">
        <v>297</v>
      </c>
      <c r="B26" s="238">
        <v>559.74435507999999</v>
      </c>
      <c r="C26" s="239">
        <v>567.97843852999995</v>
      </c>
      <c r="D26" s="240">
        <v>566.43445328999996</v>
      </c>
      <c r="E26" s="240">
        <v>592.53280693000011</v>
      </c>
      <c r="F26" s="240">
        <v>606.91017834000002</v>
      </c>
      <c r="G26" s="240">
        <v>586.13380057999996</v>
      </c>
      <c r="H26" s="240">
        <v>551.03562126999998</v>
      </c>
      <c r="I26" s="240">
        <v>558.24415569000007</v>
      </c>
      <c r="J26" s="240">
        <v>552.17721347000008</v>
      </c>
      <c r="K26" s="240">
        <v>594.68816377999997</v>
      </c>
      <c r="L26" s="240">
        <v>656.86030676999997</v>
      </c>
      <c r="M26" s="240">
        <v>781.28752398000006</v>
      </c>
      <c r="N26" s="240">
        <v>604.41323811999996</v>
      </c>
      <c r="O26" s="240">
        <v>556.34389186999999</v>
      </c>
      <c r="P26" s="240">
        <v>582.97242534999998</v>
      </c>
      <c r="Q26" s="240">
        <v>560.09235255999999</v>
      </c>
      <c r="R26" s="240">
        <v>550</v>
      </c>
      <c r="S26" s="240">
        <v>567.31413845000009</v>
      </c>
      <c r="T26" s="240">
        <v>605.10463958271987</v>
      </c>
      <c r="U26" s="240">
        <v>732.46142781455808</v>
      </c>
      <c r="V26" s="240">
        <v>261.12719960999999</v>
      </c>
      <c r="W26" s="240">
        <v>149.22425698517483</v>
      </c>
      <c r="X26" s="240">
        <v>180.94108703312861</v>
      </c>
      <c r="Y26" s="240">
        <v>161.14286075000001</v>
      </c>
      <c r="Z26" s="240">
        <v>283.12305816999998</v>
      </c>
      <c r="AA26" s="240">
        <v>217.25296251999998</v>
      </c>
      <c r="AB26" s="240">
        <v>233.38515776</v>
      </c>
      <c r="AC26" s="240">
        <v>198.40357336000002</v>
      </c>
      <c r="AD26" s="240">
        <v>209.25257168000002</v>
      </c>
      <c r="AE26" s="240">
        <v>372.71046114000001</v>
      </c>
      <c r="AF26" s="240">
        <v>373.43279496999997</v>
      </c>
      <c r="AG26" s="240">
        <v>212.49760719999998</v>
      </c>
      <c r="AH26" s="240">
        <v>343.26896398000002</v>
      </c>
    </row>
    <row r="27" spans="1:34" s="84" customFormat="1" ht="14.25" customHeight="1" x14ac:dyDescent="0.3">
      <c r="A27" s="189" t="s">
        <v>298</v>
      </c>
      <c r="B27" s="238">
        <v>833.50649227281542</v>
      </c>
      <c r="C27" s="239">
        <v>841.30422192732647</v>
      </c>
      <c r="D27" s="240">
        <v>691.91160113675335</v>
      </c>
      <c r="E27" s="240">
        <v>656.75944985319143</v>
      </c>
      <c r="F27" s="240">
        <v>648.67455009601258</v>
      </c>
      <c r="G27" s="240">
        <v>609.05982854839101</v>
      </c>
      <c r="H27" s="240">
        <v>628.72422069463391</v>
      </c>
      <c r="I27" s="240">
        <v>648.54890347686558</v>
      </c>
      <c r="J27" s="240">
        <v>690.82715339329422</v>
      </c>
      <c r="K27" s="240">
        <v>692.1521478530384</v>
      </c>
      <c r="L27" s="240">
        <v>674.61966462483667</v>
      </c>
      <c r="M27" s="240">
        <v>617.95525200655982</v>
      </c>
      <c r="N27" s="240">
        <v>635.1178525839498</v>
      </c>
      <c r="O27" s="240">
        <v>657.01031845356158</v>
      </c>
      <c r="P27" s="240">
        <v>615.48075812874504</v>
      </c>
      <c r="Q27" s="240">
        <v>655.14559743774078</v>
      </c>
      <c r="R27" s="240">
        <v>687</v>
      </c>
      <c r="S27" s="240">
        <v>606.89926688964636</v>
      </c>
      <c r="T27" s="240">
        <v>630.18877683260405</v>
      </c>
      <c r="U27" s="240">
        <v>795.4512021760911</v>
      </c>
      <c r="V27" s="240">
        <v>905.10828126677086</v>
      </c>
      <c r="W27" s="240">
        <v>800.97051340460303</v>
      </c>
      <c r="X27" s="240">
        <v>751.78964369388257</v>
      </c>
      <c r="Y27" s="240">
        <v>697.22061565675165</v>
      </c>
      <c r="Z27" s="240">
        <v>678.14773429394484</v>
      </c>
      <c r="AA27" s="240">
        <v>658.3311326716356</v>
      </c>
      <c r="AB27" s="240">
        <v>705.96826520681998</v>
      </c>
      <c r="AC27" s="240">
        <v>817.8514120771847</v>
      </c>
      <c r="AD27" s="240">
        <v>755.46871009748861</v>
      </c>
      <c r="AE27" s="240">
        <v>791.05599208211856</v>
      </c>
      <c r="AF27" s="240">
        <v>831.01006004389978</v>
      </c>
      <c r="AG27" s="240">
        <v>950.0995076153738</v>
      </c>
      <c r="AH27" s="240">
        <v>920.44731534457731</v>
      </c>
    </row>
    <row r="28" spans="1:34" s="84" customFormat="1" ht="14.25" customHeight="1" x14ac:dyDescent="0.3">
      <c r="A28" s="189" t="s">
        <v>299</v>
      </c>
      <c r="B28" s="238">
        <v>87.38332321</v>
      </c>
      <c r="C28" s="239">
        <v>92.124331899999987</v>
      </c>
      <c r="D28" s="240">
        <v>123.51049855000001</v>
      </c>
      <c r="E28" s="240">
        <v>137.42891609999998</v>
      </c>
      <c r="F28" s="240">
        <v>152.90128025999999</v>
      </c>
      <c r="G28" s="240">
        <v>149.89991172000001</v>
      </c>
      <c r="H28" s="240">
        <v>157.61707473000001</v>
      </c>
      <c r="I28" s="240">
        <v>156.38652171999999</v>
      </c>
      <c r="J28" s="240">
        <v>128.54908674000001</v>
      </c>
      <c r="K28" s="240">
        <v>156.65959336</v>
      </c>
      <c r="L28" s="240">
        <v>146.58147668000001</v>
      </c>
      <c r="M28" s="240">
        <v>144.49985734000001</v>
      </c>
      <c r="N28" s="240">
        <v>143.60162674</v>
      </c>
      <c r="O28" s="240">
        <v>143.69573987000001</v>
      </c>
      <c r="P28" s="240">
        <v>154.02697394999998</v>
      </c>
      <c r="Q28" s="240">
        <v>152.74422759999999</v>
      </c>
      <c r="R28" s="240">
        <v>153</v>
      </c>
      <c r="S28" s="240">
        <v>144.53948808999999</v>
      </c>
      <c r="T28" s="240">
        <v>184.63162151999998</v>
      </c>
      <c r="U28" s="240">
        <v>181.44145553000001</v>
      </c>
      <c r="V28" s="240">
        <v>181.41013572</v>
      </c>
      <c r="W28" s="240">
        <v>178.62319919999999</v>
      </c>
      <c r="X28" s="240">
        <v>173.54896812000001</v>
      </c>
      <c r="Y28" s="240">
        <v>167.39142636000003</v>
      </c>
      <c r="Z28" s="240">
        <v>165.31401724</v>
      </c>
      <c r="AA28" s="240">
        <v>169.03413457999997</v>
      </c>
      <c r="AB28" s="240">
        <v>172.65960849999999</v>
      </c>
      <c r="AC28" s="240">
        <v>172.13071686000001</v>
      </c>
      <c r="AD28" s="240">
        <v>168.72288069000001</v>
      </c>
      <c r="AE28" s="240">
        <v>166.3534827</v>
      </c>
      <c r="AF28" s="240">
        <v>177.59643699</v>
      </c>
      <c r="AG28" s="240">
        <v>172.43206867000001</v>
      </c>
      <c r="AH28" s="240">
        <v>181.87372097032141</v>
      </c>
    </row>
    <row r="29" spans="1:34" s="84" customFormat="1" ht="14.25" customHeight="1" x14ac:dyDescent="0.3">
      <c r="A29" s="189" t="s">
        <v>300</v>
      </c>
      <c r="B29" s="238">
        <v>49.351418439999996</v>
      </c>
      <c r="C29" s="239">
        <v>56.968977409999994</v>
      </c>
      <c r="D29" s="240">
        <v>55.254341109999999</v>
      </c>
      <c r="E29" s="240">
        <v>58.532932199999998</v>
      </c>
      <c r="F29" s="240">
        <v>70.874071120000011</v>
      </c>
      <c r="G29" s="240">
        <v>67.71442691</v>
      </c>
      <c r="H29" s="240">
        <v>64.503831890000001</v>
      </c>
      <c r="I29" s="240">
        <v>63.240576920000002</v>
      </c>
      <c r="J29" s="240">
        <v>66.030917549999998</v>
      </c>
      <c r="K29" s="240">
        <v>61.834631810000005</v>
      </c>
      <c r="L29" s="240">
        <v>66.308124120000002</v>
      </c>
      <c r="M29" s="240">
        <v>67.267227429999991</v>
      </c>
      <c r="N29" s="240">
        <v>61.617121299999994</v>
      </c>
      <c r="O29" s="240">
        <v>64.604371010000008</v>
      </c>
      <c r="P29" s="240">
        <v>61.587329759999996</v>
      </c>
      <c r="Q29" s="240">
        <v>65.283209970000001</v>
      </c>
      <c r="R29" s="240">
        <v>66</v>
      </c>
      <c r="S29" s="240">
        <v>66.482621870000003</v>
      </c>
      <c r="T29" s="240">
        <v>66.235029480000009</v>
      </c>
      <c r="U29" s="240">
        <v>80.238375290000008</v>
      </c>
      <c r="V29" s="240">
        <v>74.276867230000008</v>
      </c>
      <c r="W29" s="240">
        <v>76.469721629999995</v>
      </c>
      <c r="X29" s="240">
        <v>73.658043289999995</v>
      </c>
      <c r="Y29" s="240">
        <v>75.088947099999999</v>
      </c>
      <c r="Z29" s="240">
        <v>76.55729101</v>
      </c>
      <c r="AA29" s="240">
        <v>73.233166280000006</v>
      </c>
      <c r="AB29" s="240">
        <v>71.821610030000002</v>
      </c>
      <c r="AC29" s="240">
        <v>177.52053437999999</v>
      </c>
      <c r="AD29" s="240">
        <v>241.43283415999997</v>
      </c>
      <c r="AE29" s="240">
        <v>309.21357705679475</v>
      </c>
      <c r="AF29" s="240">
        <v>307.90707666897697</v>
      </c>
      <c r="AG29" s="240">
        <v>312.82163893339401</v>
      </c>
      <c r="AH29" s="240">
        <v>307.52941555999996</v>
      </c>
    </row>
    <row r="30" spans="1:34" s="84" customFormat="1" ht="14.25" customHeight="1" x14ac:dyDescent="0.3">
      <c r="A30" s="189" t="s">
        <v>301</v>
      </c>
      <c r="B30" s="238">
        <v>232.24800708402432</v>
      </c>
      <c r="C30" s="239">
        <v>236.89997812657256</v>
      </c>
      <c r="D30" s="240">
        <v>155.33619553566015</v>
      </c>
      <c r="E30" s="240">
        <v>159.02526079782984</v>
      </c>
      <c r="F30" s="240">
        <v>161.0461840571096</v>
      </c>
      <c r="G30" s="240">
        <v>170.0730113944941</v>
      </c>
      <c r="H30" s="240">
        <v>168.69707656795234</v>
      </c>
      <c r="I30" s="240">
        <v>170.31354667525056</v>
      </c>
      <c r="J30" s="240">
        <v>165.72861467651782</v>
      </c>
      <c r="K30" s="240">
        <v>177.32184930055081</v>
      </c>
      <c r="L30" s="240">
        <v>177.21381510315783</v>
      </c>
      <c r="M30" s="240">
        <v>177.76429893965428</v>
      </c>
      <c r="N30" s="240">
        <v>162.76269990384938</v>
      </c>
      <c r="O30" s="240">
        <v>173.74811567376162</v>
      </c>
      <c r="P30" s="240">
        <v>172.3926509571167</v>
      </c>
      <c r="Q30" s="240">
        <v>168.78911487620908</v>
      </c>
      <c r="R30" s="240">
        <v>168</v>
      </c>
      <c r="S30" s="240">
        <v>165.81955963365348</v>
      </c>
      <c r="T30" s="240">
        <v>172.65578083279806</v>
      </c>
      <c r="U30" s="240">
        <v>171.05372096796077</v>
      </c>
      <c r="V30" s="240">
        <v>179.98187521576898</v>
      </c>
      <c r="W30" s="240">
        <v>167.62238342323562</v>
      </c>
      <c r="X30" s="240">
        <v>176.68696670547402</v>
      </c>
      <c r="Y30" s="240">
        <v>177.79855865933601</v>
      </c>
      <c r="Z30" s="240">
        <v>179.02330748105538</v>
      </c>
      <c r="AA30" s="240">
        <v>192.28740082581299</v>
      </c>
      <c r="AB30" s="240">
        <v>195.9906193907417</v>
      </c>
      <c r="AC30" s="240">
        <v>199.80122097419047</v>
      </c>
      <c r="AD30" s="240">
        <v>194.96468683742296</v>
      </c>
      <c r="AE30" s="240">
        <v>199.48986652670206</v>
      </c>
      <c r="AF30" s="240">
        <v>197.37840407987952</v>
      </c>
      <c r="AG30" s="240">
        <v>203.73069087194003</v>
      </c>
      <c r="AH30" s="240">
        <v>211.39668345034417</v>
      </c>
    </row>
    <row r="31" spans="1:34" s="84" customFormat="1" ht="14.25" customHeight="1" x14ac:dyDescent="0.3">
      <c r="A31" s="189" t="s">
        <v>302</v>
      </c>
      <c r="B31" s="238">
        <v>3230.0342495977602</v>
      </c>
      <c r="C31" s="239">
        <v>3218.2046796121431</v>
      </c>
      <c r="D31" s="240">
        <v>2549.733782647832</v>
      </c>
      <c r="E31" s="240">
        <v>2546.2805320916564</v>
      </c>
      <c r="F31" s="240">
        <v>2591.5767472937246</v>
      </c>
      <c r="G31" s="240">
        <v>2555.2174021808</v>
      </c>
      <c r="H31" s="240">
        <v>2341.448229344413</v>
      </c>
      <c r="I31" s="240">
        <v>2495.0202469738551</v>
      </c>
      <c r="J31" s="240">
        <v>2416.4817196857025</v>
      </c>
      <c r="K31" s="240">
        <v>2475.5624878991252</v>
      </c>
      <c r="L31" s="240">
        <v>2553.4547408918083</v>
      </c>
      <c r="M31" s="240">
        <v>2443.2690099611818</v>
      </c>
      <c r="N31" s="240">
        <v>2512.4539900121945</v>
      </c>
      <c r="O31" s="240">
        <v>2334.4046708339729</v>
      </c>
      <c r="P31" s="240">
        <v>2301.7514699758999</v>
      </c>
      <c r="Q31" s="240">
        <v>2371.1760330166267</v>
      </c>
      <c r="R31" s="240">
        <v>2421</v>
      </c>
      <c r="S31" s="240">
        <v>2632.2736654197101</v>
      </c>
      <c r="T31" s="240">
        <v>2893.2568198606136</v>
      </c>
      <c r="U31" s="240">
        <v>3018.6173414539244</v>
      </c>
      <c r="V31" s="240">
        <v>2824.7128540815297</v>
      </c>
      <c r="W31" s="240">
        <v>2752.4154248217947</v>
      </c>
      <c r="X31" s="240">
        <v>2934.1157131203481</v>
      </c>
      <c r="Y31" s="240">
        <v>2826.8698706678297</v>
      </c>
      <c r="Z31" s="240">
        <v>2720.7414304784961</v>
      </c>
      <c r="AA31" s="240">
        <v>2769.119411646388</v>
      </c>
      <c r="AB31" s="240">
        <v>2855.1837544445448</v>
      </c>
      <c r="AC31" s="240">
        <v>2972.858478924602</v>
      </c>
      <c r="AD31" s="240">
        <v>2951.5037959691249</v>
      </c>
      <c r="AE31" s="240">
        <v>2813.8505441023071</v>
      </c>
      <c r="AF31" s="240">
        <v>2584.3250944478195</v>
      </c>
      <c r="AG31" s="240">
        <v>2592.2228062221889</v>
      </c>
      <c r="AH31" s="240">
        <v>2384.0991754347133</v>
      </c>
    </row>
    <row r="32" spans="1:34" s="244" customFormat="1" ht="14.25" customHeight="1" x14ac:dyDescent="0.3">
      <c r="A32" s="191" t="s">
        <v>398</v>
      </c>
      <c r="B32" s="241">
        <v>88.875228341647372</v>
      </c>
      <c r="C32" s="242">
        <v>86.649312866544122</v>
      </c>
      <c r="D32" s="243">
        <v>70.236069420571184</v>
      </c>
      <c r="E32" s="243">
        <v>71.702774887692726</v>
      </c>
      <c r="F32" s="243">
        <v>84.990014276098364</v>
      </c>
      <c r="G32" s="243">
        <v>91.589489450657823</v>
      </c>
      <c r="H32" s="243">
        <v>99.257090999422047</v>
      </c>
      <c r="I32" s="243">
        <v>102.71513394557824</v>
      </c>
      <c r="J32" s="243">
        <v>112.05350500484994</v>
      </c>
      <c r="K32" s="243">
        <v>114.98332421343321</v>
      </c>
      <c r="L32" s="243">
        <v>110.78934517029171</v>
      </c>
      <c r="M32" s="243">
        <v>112.2925087541191</v>
      </c>
      <c r="N32" s="243">
        <v>112.67959711964258</v>
      </c>
      <c r="O32" s="243">
        <v>118.50720089942888</v>
      </c>
      <c r="P32" s="243">
        <v>111.58684494304715</v>
      </c>
      <c r="Q32" s="243">
        <v>111.47795916445058</v>
      </c>
      <c r="R32" s="243">
        <v>110</v>
      </c>
      <c r="S32" s="243">
        <v>113.91276786207312</v>
      </c>
      <c r="T32" s="243">
        <v>120.24448197495649</v>
      </c>
      <c r="U32" s="243">
        <v>125.55189421148526</v>
      </c>
      <c r="V32" s="243">
        <v>115.93258462827421</v>
      </c>
      <c r="W32" s="243">
        <v>120.41746014284315</v>
      </c>
      <c r="X32" s="243">
        <v>128.19148324526739</v>
      </c>
      <c r="Y32" s="243">
        <v>132.2572070763355</v>
      </c>
      <c r="Z32" s="243">
        <v>150.43400726715171</v>
      </c>
      <c r="AA32" s="243">
        <v>141.28261079303192</v>
      </c>
      <c r="AB32" s="243">
        <v>126.34783821265708</v>
      </c>
      <c r="AC32" s="243">
        <v>134.12556007000001</v>
      </c>
      <c r="AD32" s="243">
        <v>134.2868876769414</v>
      </c>
      <c r="AE32" s="243">
        <v>132.63945347999999</v>
      </c>
      <c r="AF32" s="243">
        <v>132.92439068000002</v>
      </c>
      <c r="AG32" s="243">
        <v>127.72964743999999</v>
      </c>
      <c r="AH32" s="243">
        <v>131.02673114697473</v>
      </c>
    </row>
    <row r="33" spans="1:34" s="244" customFormat="1" ht="14.25" customHeight="1" x14ac:dyDescent="0.3">
      <c r="A33" s="191" t="s">
        <v>399</v>
      </c>
      <c r="B33" s="241">
        <v>3141.1590212561132</v>
      </c>
      <c r="C33" s="242">
        <v>3131.5553667455988</v>
      </c>
      <c r="D33" s="243">
        <v>2479.4977132272606</v>
      </c>
      <c r="E33" s="243">
        <v>2474.5777572039633</v>
      </c>
      <c r="F33" s="243">
        <v>2506.5867330176256</v>
      </c>
      <c r="G33" s="243">
        <v>2463.6279127301423</v>
      </c>
      <c r="H33" s="243">
        <v>2242.1911383449906</v>
      </c>
      <c r="I33" s="243">
        <v>2392.3051130282774</v>
      </c>
      <c r="J33" s="243">
        <v>2304.4282146808528</v>
      </c>
      <c r="K33" s="243">
        <v>2360.579163685692</v>
      </c>
      <c r="L33" s="243">
        <v>2442.6653957215167</v>
      </c>
      <c r="M33" s="243">
        <v>2330.9765012070629</v>
      </c>
      <c r="N33" s="243">
        <v>2399.7743928925515</v>
      </c>
      <c r="O33" s="243">
        <v>2215.897469934544</v>
      </c>
      <c r="P33" s="243">
        <v>2190.1646250328531</v>
      </c>
      <c r="Q33" s="243">
        <v>2259.6980738521765</v>
      </c>
      <c r="R33" s="243">
        <v>2311</v>
      </c>
      <c r="S33" s="243">
        <v>2518.3608975576371</v>
      </c>
      <c r="T33" s="243">
        <v>2773.0123378856574</v>
      </c>
      <c r="U33" s="243">
        <v>2893.0654472424385</v>
      </c>
      <c r="V33" s="243">
        <v>2708.7802694532552</v>
      </c>
      <c r="W33" s="243">
        <v>2631.9979646789511</v>
      </c>
      <c r="X33" s="243">
        <v>2805.9242298750801</v>
      </c>
      <c r="Y33" s="243">
        <v>2694.6126635914943</v>
      </c>
      <c r="Z33" s="243">
        <v>2570.3074232113449</v>
      </c>
      <c r="AA33" s="243">
        <v>2627.8368008533562</v>
      </c>
      <c r="AB33" s="243">
        <v>2728.8359162318879</v>
      </c>
      <c r="AC33" s="243">
        <v>2838.7329188546023</v>
      </c>
      <c r="AD33" s="243">
        <v>2817.2169082921828</v>
      </c>
      <c r="AE33" s="243">
        <v>2681.211090622307</v>
      </c>
      <c r="AF33" s="243">
        <v>2451.4007037678193</v>
      </c>
      <c r="AG33" s="243">
        <v>2464.4931587821893</v>
      </c>
      <c r="AH33" s="243">
        <v>2253.072444287739</v>
      </c>
    </row>
    <row r="34" spans="1:34" s="84" customFormat="1" ht="14.25" customHeight="1" x14ac:dyDescent="0.3">
      <c r="A34" s="189" t="s">
        <v>305</v>
      </c>
      <c r="B34" s="238">
        <v>174.26213394999999</v>
      </c>
      <c r="C34" s="239">
        <v>169.94525100000001</v>
      </c>
      <c r="D34" s="240">
        <v>170.22157465999999</v>
      </c>
      <c r="E34" s="240">
        <v>171.04274833000002</v>
      </c>
      <c r="F34" s="240">
        <v>166.59854501999996</v>
      </c>
      <c r="G34" s="240">
        <v>166.33761561999998</v>
      </c>
      <c r="H34" s="240">
        <v>166.85969947999999</v>
      </c>
      <c r="I34" s="240">
        <v>168.38606764000002</v>
      </c>
      <c r="J34" s="240">
        <v>169.70916166999999</v>
      </c>
      <c r="K34" s="240">
        <v>314.32288439999996</v>
      </c>
      <c r="L34" s="240">
        <v>290.25205081000001</v>
      </c>
      <c r="M34" s="240">
        <v>288.56780162000001</v>
      </c>
      <c r="N34" s="240">
        <v>286.67402564999998</v>
      </c>
      <c r="O34" s="240">
        <v>283.66123202</v>
      </c>
      <c r="P34" s="240">
        <v>282.65233161999993</v>
      </c>
      <c r="Q34" s="240">
        <v>280.81903579999994</v>
      </c>
      <c r="R34" s="240">
        <v>277</v>
      </c>
      <c r="S34" s="240">
        <v>299.23213419000001</v>
      </c>
      <c r="T34" s="240">
        <v>308.06058834999999</v>
      </c>
      <c r="U34" s="240">
        <v>297.90928314999996</v>
      </c>
      <c r="V34" s="240">
        <v>286.03201186000001</v>
      </c>
      <c r="W34" s="240">
        <v>280.74464366999996</v>
      </c>
      <c r="X34" s="240">
        <v>278.8409190299999</v>
      </c>
      <c r="Y34" s="240">
        <v>277.16845549999999</v>
      </c>
      <c r="Z34" s="240">
        <v>275.6769508091981</v>
      </c>
      <c r="AA34" s="240">
        <v>272.3355426733109</v>
      </c>
      <c r="AB34" s="240">
        <v>267.7652599013345</v>
      </c>
      <c r="AC34" s="240">
        <v>279.93888093949772</v>
      </c>
      <c r="AD34" s="240">
        <v>277.41819714926521</v>
      </c>
      <c r="AE34" s="240">
        <v>275.39304521864005</v>
      </c>
      <c r="AF34" s="240">
        <v>272.5221403984126</v>
      </c>
      <c r="AG34" s="240">
        <v>265.73905190222001</v>
      </c>
      <c r="AH34" s="240">
        <v>172.26421165999997</v>
      </c>
    </row>
    <row r="35" spans="1:34" s="224" customFormat="1" ht="15.95" customHeight="1" x14ac:dyDescent="0.3">
      <c r="A35" s="187" t="s">
        <v>306</v>
      </c>
      <c r="B35" s="235">
        <v>4225.5645835439354</v>
      </c>
      <c r="C35" s="236">
        <v>4432.3012075969773</v>
      </c>
      <c r="D35" s="237">
        <v>4396.7565108091512</v>
      </c>
      <c r="E35" s="237">
        <v>4426.212174799999</v>
      </c>
      <c r="F35" s="237">
        <v>4101.97838916</v>
      </c>
      <c r="G35" s="237">
        <v>4174.1479624354015</v>
      </c>
      <c r="H35" s="237">
        <v>4247.4528030194288</v>
      </c>
      <c r="I35" s="237">
        <v>4320.4216664188079</v>
      </c>
      <c r="J35" s="237">
        <v>4728.7522135699674</v>
      </c>
      <c r="K35" s="237">
        <v>4520.2165262899989</v>
      </c>
      <c r="L35" s="237">
        <v>4546.6219040100004</v>
      </c>
      <c r="M35" s="237">
        <v>4533.70067604</v>
      </c>
      <c r="N35" s="237">
        <v>4590.8406842900004</v>
      </c>
      <c r="O35" s="237">
        <v>4678.4419705953896</v>
      </c>
      <c r="P35" s="237">
        <v>4277.7751985000004</v>
      </c>
      <c r="Q35" s="237">
        <v>4244.1533262900002</v>
      </c>
      <c r="R35" s="237">
        <v>4122</v>
      </c>
      <c r="S35" s="237">
        <v>4232.5560896300003</v>
      </c>
      <c r="T35" s="237">
        <v>4219.01135591</v>
      </c>
      <c r="U35" s="237">
        <v>4281.8670578699994</v>
      </c>
      <c r="V35" s="237">
        <v>4279.0573688999993</v>
      </c>
      <c r="W35" s="237">
        <v>3427.60200132</v>
      </c>
      <c r="X35" s="237">
        <v>3535.21343905</v>
      </c>
      <c r="Y35" s="237">
        <v>3472.0559644599994</v>
      </c>
      <c r="Z35" s="237">
        <v>3497.0838096800003</v>
      </c>
      <c r="AA35" s="237">
        <v>3490.74283943</v>
      </c>
      <c r="AB35" s="237">
        <v>3334.4851762000008</v>
      </c>
      <c r="AC35" s="237">
        <v>3486.9955894</v>
      </c>
      <c r="AD35" s="237">
        <v>3517.0039046500001</v>
      </c>
      <c r="AE35" s="237">
        <v>3407.0515097200005</v>
      </c>
      <c r="AF35" s="237">
        <v>3848.7142355699998</v>
      </c>
      <c r="AG35" s="237">
        <v>3896.2692322899998</v>
      </c>
      <c r="AH35" s="237">
        <v>3805.4816707799996</v>
      </c>
    </row>
    <row r="36" spans="1:34" s="224" customFormat="1" ht="15.95" customHeight="1" x14ac:dyDescent="0.3">
      <c r="A36" s="405" t="s">
        <v>307</v>
      </c>
      <c r="B36" s="235">
        <v>262.93256024999999</v>
      </c>
      <c r="C36" s="236">
        <v>266.0313554</v>
      </c>
      <c r="D36" s="237">
        <v>126.44644856000001</v>
      </c>
      <c r="E36" s="237">
        <v>127.12447191</v>
      </c>
      <c r="F36" s="237">
        <v>136.69527812999999</v>
      </c>
      <c r="G36" s="237">
        <v>123.61457903</v>
      </c>
      <c r="H36" s="237">
        <v>134.44196633999999</v>
      </c>
      <c r="I36" s="237">
        <v>126.76625395000001</v>
      </c>
      <c r="J36" s="237">
        <v>127.03377569</v>
      </c>
      <c r="K36" s="237">
        <v>126.65461569999999</v>
      </c>
      <c r="L36" s="237">
        <v>121.09022164</v>
      </c>
      <c r="M36" s="237">
        <v>122.97682979999999</v>
      </c>
      <c r="N36" s="237">
        <v>128.11106566000001</v>
      </c>
      <c r="O36" s="237">
        <v>121.28410835000001</v>
      </c>
      <c r="P36" s="237">
        <v>130.16506996999999</v>
      </c>
      <c r="Q36" s="237">
        <v>131.93561353999999</v>
      </c>
      <c r="R36" s="237">
        <v>133</v>
      </c>
      <c r="S36" s="237">
        <v>133.77664871000002</v>
      </c>
      <c r="T36" s="237">
        <v>122.9786556</v>
      </c>
      <c r="U36" s="237">
        <v>122.85177211999999</v>
      </c>
      <c r="V36" s="237">
        <v>115.41674755</v>
      </c>
      <c r="W36" s="237">
        <v>122.13057759</v>
      </c>
      <c r="X36" s="237">
        <v>122.73562763000001</v>
      </c>
      <c r="Y36" s="237">
        <v>120.67620619000002</v>
      </c>
      <c r="Z36" s="237">
        <v>121.34374518000001</v>
      </c>
      <c r="AA36" s="237">
        <v>120.62778673000001</v>
      </c>
      <c r="AB36" s="237">
        <v>125.21032073000001</v>
      </c>
      <c r="AC36" s="237">
        <v>128.41911939000002</v>
      </c>
      <c r="AD36" s="237">
        <v>120.02354565</v>
      </c>
      <c r="AE36" s="237">
        <v>119.96826439</v>
      </c>
      <c r="AF36" s="237">
        <v>101.59989892999999</v>
      </c>
      <c r="AG36" s="237">
        <v>102.87450053999999</v>
      </c>
      <c r="AH36" s="237">
        <v>96.403493270000013</v>
      </c>
    </row>
    <row r="37" spans="1:34" s="84" customFormat="1" ht="15.95" customHeight="1" x14ac:dyDescent="0.3">
      <c r="A37" s="187" t="s">
        <v>308</v>
      </c>
      <c r="B37" s="235">
        <v>20514.697427252864</v>
      </c>
      <c r="C37" s="236">
        <v>20582.986135484152</v>
      </c>
      <c r="D37" s="237">
        <v>19592.077157690699</v>
      </c>
      <c r="E37" s="237">
        <v>19124.796855768956</v>
      </c>
      <c r="F37" s="237">
        <v>18963.432834036874</v>
      </c>
      <c r="G37" s="237">
        <v>19145.609206298966</v>
      </c>
      <c r="H37" s="237">
        <v>18721.723219670825</v>
      </c>
      <c r="I37" s="237">
        <v>18835.753371323153</v>
      </c>
      <c r="J37" s="237">
        <v>17811.697299219817</v>
      </c>
      <c r="K37" s="237">
        <v>17880.613500888634</v>
      </c>
      <c r="L37" s="237">
        <v>18150.231736064412</v>
      </c>
      <c r="M37" s="237">
        <v>18195.411330878786</v>
      </c>
      <c r="N37" s="237">
        <v>18781.217082907759</v>
      </c>
      <c r="O37" s="237">
        <v>18920.313146261939</v>
      </c>
      <c r="P37" s="237">
        <v>19203.65139726863</v>
      </c>
      <c r="Q37" s="237">
        <v>19157.819770174294</v>
      </c>
      <c r="R37" s="237">
        <v>19053</v>
      </c>
      <c r="S37" s="237">
        <v>18615.932342449494</v>
      </c>
      <c r="T37" s="237">
        <v>18830.840921983632</v>
      </c>
      <c r="U37" s="237">
        <v>18777.247378054926</v>
      </c>
      <c r="V37" s="237">
        <v>19263.663829807563</v>
      </c>
      <c r="W37" s="237">
        <v>19295.925314018899</v>
      </c>
      <c r="X37" s="237">
        <v>19371.84695555257</v>
      </c>
      <c r="Y37" s="237">
        <v>19598.736441756319</v>
      </c>
      <c r="Z37" s="237">
        <v>19248.650015813269</v>
      </c>
      <c r="AA37" s="237">
        <v>19708.938539322367</v>
      </c>
      <c r="AB37" s="237">
        <v>19574.137837698243</v>
      </c>
      <c r="AC37" s="237">
        <v>19761.934965774857</v>
      </c>
      <c r="AD37" s="237">
        <v>20163.914732075787</v>
      </c>
      <c r="AE37" s="237">
        <v>20223.982932000858</v>
      </c>
      <c r="AF37" s="237">
        <v>16257.279474246496</v>
      </c>
      <c r="AG37" s="237">
        <v>16264.649258187288</v>
      </c>
      <c r="AH37" s="237">
        <v>16682.981880455038</v>
      </c>
    </row>
    <row r="38" spans="1:34" s="84" customFormat="1" ht="15.95" customHeight="1" x14ac:dyDescent="0.3">
      <c r="A38" s="189" t="s">
        <v>309</v>
      </c>
      <c r="B38" s="238">
        <v>16926.746389027503</v>
      </c>
      <c r="C38" s="239">
        <v>17086.730593019303</v>
      </c>
      <c r="D38" s="240">
        <v>16824.198223946747</v>
      </c>
      <c r="E38" s="240">
        <v>16391.616807716731</v>
      </c>
      <c r="F38" s="240">
        <v>16173.722264163471</v>
      </c>
      <c r="G38" s="240">
        <v>16320.051185616439</v>
      </c>
      <c r="H38" s="240">
        <v>15761.096158093624</v>
      </c>
      <c r="I38" s="240">
        <v>15863.856278539177</v>
      </c>
      <c r="J38" s="240">
        <v>14824.200528306101</v>
      </c>
      <c r="K38" s="240">
        <v>14934.363876270745</v>
      </c>
      <c r="L38" s="240">
        <v>15160.402095913529</v>
      </c>
      <c r="M38" s="240">
        <v>15188.376263776881</v>
      </c>
      <c r="N38" s="240">
        <v>15581.18162135608</v>
      </c>
      <c r="O38" s="240">
        <v>15725.969213260883</v>
      </c>
      <c r="P38" s="240">
        <v>15916.880657407952</v>
      </c>
      <c r="Q38" s="240">
        <v>15976.086062642604</v>
      </c>
      <c r="R38" s="240">
        <v>15915</v>
      </c>
      <c r="S38" s="240">
        <v>15479.948853297001</v>
      </c>
      <c r="T38" s="240">
        <v>15591.786194870421</v>
      </c>
      <c r="U38" s="240">
        <v>15708.533160753765</v>
      </c>
      <c r="V38" s="240">
        <v>16200.40004454271</v>
      </c>
      <c r="W38" s="240">
        <v>16226.181823167926</v>
      </c>
      <c r="X38" s="240">
        <v>16247.245115736696</v>
      </c>
      <c r="Y38" s="240">
        <v>16414.202209122162</v>
      </c>
      <c r="Z38" s="240">
        <v>16404.738259177979</v>
      </c>
      <c r="AA38" s="240">
        <v>16400.783642513372</v>
      </c>
      <c r="AB38" s="240">
        <v>16393.681439383545</v>
      </c>
      <c r="AC38" s="240">
        <v>16545.676230133748</v>
      </c>
      <c r="AD38" s="240">
        <v>16753.812065550424</v>
      </c>
      <c r="AE38" s="240">
        <v>16770.459570921379</v>
      </c>
      <c r="AF38" s="240">
        <v>13230.925516082492</v>
      </c>
      <c r="AG38" s="240">
        <v>13344.436415691818</v>
      </c>
      <c r="AH38" s="240">
        <v>13728.762079424427</v>
      </c>
    </row>
    <row r="39" spans="1:34" s="84" customFormat="1" ht="15.95" customHeight="1" x14ac:dyDescent="0.3">
      <c r="A39" s="191" t="s">
        <v>400</v>
      </c>
      <c r="B39" s="241">
        <v>5547.6330026325222</v>
      </c>
      <c r="C39" s="242">
        <v>5525.5353169534656</v>
      </c>
      <c r="D39" s="243">
        <v>5545.0787436808378</v>
      </c>
      <c r="E39" s="243">
        <v>5473.2524255038206</v>
      </c>
      <c r="F39" s="243">
        <v>5382.2363842120194</v>
      </c>
      <c r="G39" s="243">
        <v>5366.1213646804927</v>
      </c>
      <c r="H39" s="243">
        <v>5169.7213248716162</v>
      </c>
      <c r="I39" s="243">
        <v>5206.3056006588095</v>
      </c>
      <c r="J39" s="243">
        <v>5031.9307972084189</v>
      </c>
      <c r="K39" s="243">
        <v>5050.8090378503912</v>
      </c>
      <c r="L39" s="243">
        <v>5070.3262172612631</v>
      </c>
      <c r="M39" s="243">
        <v>5033.1747395908242</v>
      </c>
      <c r="N39" s="243">
        <v>5264.5758037586338</v>
      </c>
      <c r="O39" s="243">
        <v>5196.9636420992329</v>
      </c>
      <c r="P39" s="243">
        <v>5329.9421425126484</v>
      </c>
      <c r="Q39" s="243">
        <v>5253.0664618984956</v>
      </c>
      <c r="R39" s="243">
        <v>5275</v>
      </c>
      <c r="S39" s="243">
        <v>5112.177273906681</v>
      </c>
      <c r="T39" s="243">
        <v>5235.867363676979</v>
      </c>
      <c r="U39" s="243">
        <v>5276.6610225893855</v>
      </c>
      <c r="V39" s="243">
        <v>5383.7044889640256</v>
      </c>
      <c r="W39" s="243">
        <v>5493.9111888461712</v>
      </c>
      <c r="X39" s="243">
        <v>5537.4457415982433</v>
      </c>
      <c r="Y39" s="243">
        <v>5552.664864989837</v>
      </c>
      <c r="Z39" s="243">
        <v>5509.1200033650302</v>
      </c>
      <c r="AA39" s="243">
        <v>5647.8616525155767</v>
      </c>
      <c r="AB39" s="243">
        <v>5597.4719777886794</v>
      </c>
      <c r="AC39" s="243">
        <v>5700.528986254797</v>
      </c>
      <c r="AD39" s="243">
        <v>5838.1240978159922</v>
      </c>
      <c r="AE39" s="243">
        <v>5917.0980745434017</v>
      </c>
      <c r="AF39" s="243">
        <v>5382.5595130784304</v>
      </c>
      <c r="AG39" s="243">
        <v>5440.7149972235266</v>
      </c>
      <c r="AH39" s="243">
        <v>5534.3230162324562</v>
      </c>
    </row>
    <row r="40" spans="1:34" s="84" customFormat="1" ht="15.95" customHeight="1" x14ac:dyDescent="0.3">
      <c r="A40" s="191" t="s">
        <v>401</v>
      </c>
      <c r="B40" s="241">
        <v>11379.11338639498</v>
      </c>
      <c r="C40" s="242">
        <v>11561.195276065839</v>
      </c>
      <c r="D40" s="243">
        <v>11279.119480265912</v>
      </c>
      <c r="E40" s="243">
        <v>10918.364382212912</v>
      </c>
      <c r="F40" s="243">
        <v>10791.485879951451</v>
      </c>
      <c r="G40" s="243">
        <v>10953.929820935948</v>
      </c>
      <c r="H40" s="243">
        <v>10591.374833222011</v>
      </c>
      <c r="I40" s="243">
        <v>10657.550677880368</v>
      </c>
      <c r="J40" s="243">
        <v>9792.2697310976819</v>
      </c>
      <c r="K40" s="243">
        <v>9883.5548384203503</v>
      </c>
      <c r="L40" s="243">
        <v>10090.075878652266</v>
      </c>
      <c r="M40" s="243">
        <v>10155.201524186055</v>
      </c>
      <c r="N40" s="243">
        <v>10316.605817597447</v>
      </c>
      <c r="O40" s="243">
        <v>10529.005571161651</v>
      </c>
      <c r="P40" s="243">
        <v>10586.938514895304</v>
      </c>
      <c r="Q40" s="243">
        <v>10723.019600744108</v>
      </c>
      <c r="R40" s="243">
        <v>10640</v>
      </c>
      <c r="S40" s="243">
        <v>10367.771579390319</v>
      </c>
      <c r="T40" s="243">
        <v>10355.918831193443</v>
      </c>
      <c r="U40" s="243">
        <v>10431.872138164379</v>
      </c>
      <c r="V40" s="243">
        <v>10816.695555578683</v>
      </c>
      <c r="W40" s="243">
        <v>10732.270634321754</v>
      </c>
      <c r="X40" s="243">
        <v>10709.799374138451</v>
      </c>
      <c r="Y40" s="243">
        <v>10861.537344132325</v>
      </c>
      <c r="Z40" s="243">
        <v>10895.618255812949</v>
      </c>
      <c r="AA40" s="243">
        <v>10752.921989997794</v>
      </c>
      <c r="AB40" s="243">
        <v>10796.209461594864</v>
      </c>
      <c r="AC40" s="243">
        <v>10845.147243878951</v>
      </c>
      <c r="AD40" s="243">
        <v>10915.687967734428</v>
      </c>
      <c r="AE40" s="243">
        <v>10853.361496377978</v>
      </c>
      <c r="AF40" s="243">
        <v>7848.3660030040637</v>
      </c>
      <c r="AG40" s="243">
        <v>7903.7214184682898</v>
      </c>
      <c r="AH40" s="243">
        <v>8194.4390631919705</v>
      </c>
    </row>
    <row r="41" spans="1:34" s="84" customFormat="1" ht="15.95" customHeight="1" x14ac:dyDescent="0.3">
      <c r="A41" s="191" t="s">
        <v>402</v>
      </c>
      <c r="B41" s="241">
        <v>604.70406859917057</v>
      </c>
      <c r="C41" s="242">
        <v>563.59862104000013</v>
      </c>
      <c r="D41" s="243">
        <v>568.23353265434571</v>
      </c>
      <c r="E41" s="243">
        <v>305.37615929795066</v>
      </c>
      <c r="F41" s="243">
        <v>311.05110519000004</v>
      </c>
      <c r="G41" s="243">
        <v>329.99597535999999</v>
      </c>
      <c r="H41" s="243">
        <v>333.27278352999997</v>
      </c>
      <c r="I41" s="243">
        <v>350.01529484000002</v>
      </c>
      <c r="J41" s="243">
        <v>362.84055194999996</v>
      </c>
      <c r="K41" s="243">
        <v>432.56326203999998</v>
      </c>
      <c r="L41" s="243">
        <v>449.38266777999996</v>
      </c>
      <c r="M41" s="243">
        <v>439.21782592000005</v>
      </c>
      <c r="N41" s="243">
        <v>533.90300703999992</v>
      </c>
      <c r="O41" s="243">
        <v>658.95539973000007</v>
      </c>
      <c r="P41" s="243">
        <v>685.80204063148517</v>
      </c>
      <c r="Q41" s="243">
        <v>795.03191497</v>
      </c>
      <c r="R41" s="243">
        <v>895</v>
      </c>
      <c r="S41" s="243">
        <v>952.21339017000003</v>
      </c>
      <c r="T41" s="243">
        <v>1035.8890396900001</v>
      </c>
      <c r="U41" s="243">
        <v>1046.01588502</v>
      </c>
      <c r="V41" s="243">
        <v>1055.7465982200001</v>
      </c>
      <c r="W41" s="243">
        <v>1061.9708716</v>
      </c>
      <c r="X41" s="243">
        <v>1061.893186886587</v>
      </c>
      <c r="Y41" s="243">
        <v>1050.6443903299999</v>
      </c>
      <c r="Z41" s="243">
        <v>1074.77617725</v>
      </c>
      <c r="AA41" s="243">
        <v>1064.57169118</v>
      </c>
      <c r="AB41" s="243">
        <v>1018.86147976</v>
      </c>
      <c r="AC41" s="243">
        <v>1045.6936880799999</v>
      </c>
      <c r="AD41" s="243">
        <v>1168.5988150000001</v>
      </c>
      <c r="AE41" s="243">
        <v>1140.2712662026768</v>
      </c>
      <c r="AF41" s="243">
        <v>256.70362799082835</v>
      </c>
      <c r="AG41" s="243">
        <v>266.49388824072099</v>
      </c>
      <c r="AH41" s="243">
        <v>223.68704477563793</v>
      </c>
    </row>
    <row r="42" spans="1:34" s="84" customFormat="1" ht="15.95" customHeight="1" x14ac:dyDescent="0.3">
      <c r="A42" s="191" t="s">
        <v>403</v>
      </c>
      <c r="B42" s="241">
        <v>541.03363950999994</v>
      </c>
      <c r="C42" s="242">
        <v>576.44278122277478</v>
      </c>
      <c r="D42" s="243">
        <v>562.18400341000006</v>
      </c>
      <c r="E42" s="243">
        <v>573.32986420999987</v>
      </c>
      <c r="F42" s="243">
        <v>533.50475608223269</v>
      </c>
      <c r="G42" s="243">
        <v>540.93574581588518</v>
      </c>
      <c r="H42" s="243">
        <v>537.37526410248449</v>
      </c>
      <c r="I42" s="243">
        <v>585.42459783781942</v>
      </c>
      <c r="J42" s="243">
        <v>578.44172612207808</v>
      </c>
      <c r="K42" s="243">
        <v>597.6905099692882</v>
      </c>
      <c r="L42" s="243">
        <v>595.19557956644303</v>
      </c>
      <c r="M42" s="243">
        <v>593.3595501358235</v>
      </c>
      <c r="N42" s="243">
        <v>578.80578683749195</v>
      </c>
      <c r="O42" s="243">
        <v>579.20292626381979</v>
      </c>
      <c r="P42" s="243">
        <v>544.87890609999988</v>
      </c>
      <c r="Q42" s="243">
        <v>520.15817269508602</v>
      </c>
      <c r="R42" s="243">
        <v>519</v>
      </c>
      <c r="S42" s="243">
        <v>519.61132175552552</v>
      </c>
      <c r="T42" s="243">
        <v>518.24605141999996</v>
      </c>
      <c r="U42" s="243">
        <v>519.37279023381211</v>
      </c>
      <c r="V42" s="243">
        <v>518.82724315084556</v>
      </c>
      <c r="W42" s="243">
        <v>515.54428565435342</v>
      </c>
      <c r="X42" s="243">
        <v>506.53341483999998</v>
      </c>
      <c r="Y42" s="243">
        <v>475.34433618950908</v>
      </c>
      <c r="Z42" s="243">
        <v>487.60651655295072</v>
      </c>
      <c r="AA42" s="243">
        <v>475.77608634779659</v>
      </c>
      <c r="AB42" s="243">
        <v>470.57660997486465</v>
      </c>
      <c r="AC42" s="243">
        <v>467.64874115895213</v>
      </c>
      <c r="AD42" s="243">
        <v>477.29435425442881</v>
      </c>
      <c r="AE42" s="243">
        <v>463.62486541530075</v>
      </c>
      <c r="AF42" s="243">
        <v>419.26746592323531</v>
      </c>
      <c r="AG42" s="243">
        <v>415.56385497756901</v>
      </c>
      <c r="AH42" s="243">
        <v>436.19360459633259</v>
      </c>
    </row>
    <row r="43" spans="1:34" s="84" customFormat="1" ht="15.95" customHeight="1" x14ac:dyDescent="0.3">
      <c r="A43" s="191" t="s">
        <v>404</v>
      </c>
      <c r="B43" s="241">
        <v>7644.65529013581</v>
      </c>
      <c r="C43" s="242">
        <v>7859.5540654330625</v>
      </c>
      <c r="D43" s="243">
        <v>8040.4188842915664</v>
      </c>
      <c r="E43" s="243">
        <v>7950.8074390849606</v>
      </c>
      <c r="F43" s="243">
        <v>7791.4703820592204</v>
      </c>
      <c r="G43" s="243">
        <v>7884.5130949300628</v>
      </c>
      <c r="H43" s="243">
        <v>7533.0482422695259</v>
      </c>
      <c r="I43" s="243">
        <v>7474.0907761825501</v>
      </c>
      <c r="J43" s="243">
        <v>6527.1066424556038</v>
      </c>
      <c r="K43" s="243">
        <v>6491.7929509810629</v>
      </c>
      <c r="L43" s="243">
        <v>6609.1405694658224</v>
      </c>
      <c r="M43" s="243">
        <v>6593.6275960802313</v>
      </c>
      <c r="N43" s="243">
        <v>6627.5356670099536</v>
      </c>
      <c r="O43" s="243">
        <v>6663.1363475178305</v>
      </c>
      <c r="P43" s="243">
        <v>6730.1857777038185</v>
      </c>
      <c r="Q43" s="243">
        <v>6693.5800052190225</v>
      </c>
      <c r="R43" s="243">
        <v>6614</v>
      </c>
      <c r="S43" s="243">
        <v>6312.5734521247941</v>
      </c>
      <c r="T43" s="243">
        <v>6290.8405402813714</v>
      </c>
      <c r="U43" s="243">
        <v>6319.9423759805668</v>
      </c>
      <c r="V43" s="243">
        <v>6501.6059078978378</v>
      </c>
      <c r="W43" s="243">
        <v>6283.0373566210574</v>
      </c>
      <c r="X43" s="243">
        <v>6321.2176163318645</v>
      </c>
      <c r="Y43" s="243">
        <v>6569.574184092814</v>
      </c>
      <c r="Z43" s="243">
        <v>6679.3915356000007</v>
      </c>
      <c r="AA43" s="243">
        <v>6531.4101480499994</v>
      </c>
      <c r="AB43" s="243">
        <v>6619.3328580299985</v>
      </c>
      <c r="AC43" s="243">
        <v>6656.8428500699993</v>
      </c>
      <c r="AD43" s="243">
        <v>6558.718665620001</v>
      </c>
      <c r="AE43" s="243">
        <v>6596.2985792999998</v>
      </c>
      <c r="AF43" s="243">
        <v>4795.4408988700006</v>
      </c>
      <c r="AG43" s="243">
        <v>4876.1784608400012</v>
      </c>
      <c r="AH43" s="243">
        <v>5315.1187448700011</v>
      </c>
    </row>
    <row r="44" spans="1:34" s="84" customFormat="1" ht="15.95" customHeight="1" x14ac:dyDescent="0.3">
      <c r="A44" s="191" t="s">
        <v>405</v>
      </c>
      <c r="B44" s="241">
        <v>2588.7203881499995</v>
      </c>
      <c r="C44" s="242">
        <v>2561.5998083699997</v>
      </c>
      <c r="D44" s="243">
        <v>2108.2830599099998</v>
      </c>
      <c r="E44" s="243">
        <v>2088.8509196199998</v>
      </c>
      <c r="F44" s="243">
        <v>2155.4596366199999</v>
      </c>
      <c r="G44" s="243">
        <v>2198.48500483</v>
      </c>
      <c r="H44" s="243">
        <v>2187.6785433200002</v>
      </c>
      <c r="I44" s="243">
        <v>2248.0200090200005</v>
      </c>
      <c r="J44" s="243">
        <v>2323.88081057</v>
      </c>
      <c r="K44" s="243">
        <v>2361.5081154299996</v>
      </c>
      <c r="L44" s="243">
        <v>2436.3570618400004</v>
      </c>
      <c r="M44" s="243">
        <v>2528.9965520499995</v>
      </c>
      <c r="N44" s="243">
        <v>2576.3613567100001</v>
      </c>
      <c r="O44" s="243">
        <v>2627.7108976499999</v>
      </c>
      <c r="P44" s="243">
        <v>2626.0717904599996</v>
      </c>
      <c r="Q44" s="243">
        <v>2714.2495078599995</v>
      </c>
      <c r="R44" s="243">
        <v>2613</v>
      </c>
      <c r="S44" s="243">
        <v>2583.3734153399996</v>
      </c>
      <c r="T44" s="243">
        <v>2510.9431998020732</v>
      </c>
      <c r="U44" s="243">
        <v>2546.5410869300003</v>
      </c>
      <c r="V44" s="243">
        <v>2740.5158063099998</v>
      </c>
      <c r="W44" s="243">
        <v>2871.7181204463441</v>
      </c>
      <c r="X44" s="243">
        <v>2820.1551560799999</v>
      </c>
      <c r="Y44" s="243">
        <v>2765.9744335199998</v>
      </c>
      <c r="Z44" s="243">
        <v>2653.84402641</v>
      </c>
      <c r="AA44" s="243">
        <v>2681.1640644200002</v>
      </c>
      <c r="AB44" s="243">
        <v>2687.4385138300004</v>
      </c>
      <c r="AC44" s="243">
        <v>2674.96196457</v>
      </c>
      <c r="AD44" s="243">
        <v>2711.0761328599997</v>
      </c>
      <c r="AE44" s="243">
        <v>2653.16678546</v>
      </c>
      <c r="AF44" s="243">
        <v>2376.9540102199999</v>
      </c>
      <c r="AG44" s="243">
        <v>2345.48521441</v>
      </c>
      <c r="AH44" s="243">
        <v>2219.4396689499999</v>
      </c>
    </row>
    <row r="45" spans="1:34" s="84" customFormat="1" ht="15.95" customHeight="1" x14ac:dyDescent="0.3">
      <c r="A45" s="189" t="s">
        <v>316</v>
      </c>
      <c r="B45" s="238">
        <v>1577.3254320911904</v>
      </c>
      <c r="C45" s="239">
        <v>1567.6778143766389</v>
      </c>
      <c r="D45" s="240">
        <v>989.40731985540538</v>
      </c>
      <c r="E45" s="240">
        <v>1014.9886873834777</v>
      </c>
      <c r="F45" s="240">
        <v>1006.6127516360677</v>
      </c>
      <c r="G45" s="240">
        <v>1026.117176043176</v>
      </c>
      <c r="H45" s="240">
        <v>1197.3982447687715</v>
      </c>
      <c r="I45" s="240">
        <v>1209.3480740123662</v>
      </c>
      <c r="J45" s="240">
        <v>1187.4819223591267</v>
      </c>
      <c r="K45" s="240">
        <v>1076.3861449511887</v>
      </c>
      <c r="L45" s="240">
        <v>1075.9430810561782</v>
      </c>
      <c r="M45" s="240">
        <v>938.1763768898993</v>
      </c>
      <c r="N45" s="240">
        <v>1072.8344975321259</v>
      </c>
      <c r="O45" s="240">
        <v>1052.8422423723005</v>
      </c>
      <c r="P45" s="240">
        <v>1169.9335506883444</v>
      </c>
      <c r="Q45" s="240">
        <v>1101.5580602314622</v>
      </c>
      <c r="R45" s="240">
        <v>1154</v>
      </c>
      <c r="S45" s="240">
        <v>1175.0307780293031</v>
      </c>
      <c r="T45" s="240">
        <v>1173.6110045025721</v>
      </c>
      <c r="U45" s="240">
        <v>1110.4309155356725</v>
      </c>
      <c r="V45" s="240">
        <v>1112.409945813014</v>
      </c>
      <c r="W45" s="240">
        <v>1042.4053388891207</v>
      </c>
      <c r="X45" s="240">
        <v>1104.2233279689553</v>
      </c>
      <c r="Y45" s="240">
        <v>1160.0875274910779</v>
      </c>
      <c r="Z45" s="240">
        <v>1084.8258779099249</v>
      </c>
      <c r="AA45" s="240">
        <v>1164.1025963229752</v>
      </c>
      <c r="AB45" s="240">
        <v>1094.7002172899281</v>
      </c>
      <c r="AC45" s="240">
        <v>1058.1601646040829</v>
      </c>
      <c r="AD45" s="240">
        <v>1126.3713257262916</v>
      </c>
      <c r="AE45" s="240">
        <v>1215.0945300966689</v>
      </c>
      <c r="AF45" s="240">
        <v>1289.2457959971543</v>
      </c>
      <c r="AG45" s="240">
        <v>1360.591053880536</v>
      </c>
      <c r="AH45" s="240">
        <v>1182.5473848221727</v>
      </c>
    </row>
    <row r="46" spans="1:34" s="84" customFormat="1" ht="15.95" customHeight="1" x14ac:dyDescent="0.3">
      <c r="A46" s="189" t="s">
        <v>317</v>
      </c>
      <c r="B46" s="238">
        <v>2010.6256061341708</v>
      </c>
      <c r="C46" s="239">
        <v>1928.5777280882135</v>
      </c>
      <c r="D46" s="240">
        <v>1778.4716138885456</v>
      </c>
      <c r="E46" s="240">
        <v>1718.1913606687465</v>
      </c>
      <c r="F46" s="240">
        <v>1783.0978182373346</v>
      </c>
      <c r="G46" s="240">
        <v>1799.4408446393488</v>
      </c>
      <c r="H46" s="240">
        <v>1763.2288168084287</v>
      </c>
      <c r="I46" s="240">
        <v>1762.5490187716098</v>
      </c>
      <c r="J46" s="240">
        <v>1800.014848554591</v>
      </c>
      <c r="K46" s="240">
        <v>1869.8634796667004</v>
      </c>
      <c r="L46" s="240">
        <v>1913.8865590947046</v>
      </c>
      <c r="M46" s="240">
        <v>2068.8586902120023</v>
      </c>
      <c r="N46" s="240">
        <v>2127.2009640195542</v>
      </c>
      <c r="O46" s="240">
        <v>2141.5016906287542</v>
      </c>
      <c r="P46" s="240">
        <v>2116.8371891723364</v>
      </c>
      <c r="Q46" s="240">
        <v>2080.1756473002297</v>
      </c>
      <c r="R46" s="240">
        <v>1985</v>
      </c>
      <c r="S46" s="240">
        <v>1960.9527111231871</v>
      </c>
      <c r="T46" s="240">
        <v>2065.4437226106361</v>
      </c>
      <c r="U46" s="240">
        <v>1958.2833017654916</v>
      </c>
      <c r="V46" s="240">
        <v>1950.8538394518362</v>
      </c>
      <c r="W46" s="240">
        <v>2027.3381519618492</v>
      </c>
      <c r="X46" s="240">
        <v>2020.3785118469191</v>
      </c>
      <c r="Y46" s="240">
        <v>2024.4467051430759</v>
      </c>
      <c r="Z46" s="240">
        <v>1759.0858787253662</v>
      </c>
      <c r="AA46" s="240">
        <v>2144.0523004860211</v>
      </c>
      <c r="AB46" s="240">
        <v>2085.756181024768</v>
      </c>
      <c r="AC46" s="240">
        <v>2158.0985710370242</v>
      </c>
      <c r="AD46" s="240">
        <v>2283.7313407990755</v>
      </c>
      <c r="AE46" s="240">
        <v>2238.4288309828089</v>
      </c>
      <c r="AF46" s="240">
        <v>1737.1081621668504</v>
      </c>
      <c r="AG46" s="240">
        <v>1559.6217886149341</v>
      </c>
      <c r="AH46" s="240">
        <v>1771.6724162084367</v>
      </c>
    </row>
    <row r="47" spans="1:34" s="84" customFormat="1" ht="15.95" customHeight="1" x14ac:dyDescent="0.3">
      <c r="A47" s="187" t="s">
        <v>318</v>
      </c>
      <c r="B47" s="235">
        <v>23962.633695209064</v>
      </c>
      <c r="C47" s="236">
        <v>24253.146530139755</v>
      </c>
      <c r="D47" s="237">
        <v>22800.160001165212</v>
      </c>
      <c r="E47" s="237">
        <v>22621.234766486712</v>
      </c>
      <c r="F47" s="237">
        <v>23389.722091938071</v>
      </c>
      <c r="G47" s="237">
        <v>23346.371980791162</v>
      </c>
      <c r="H47" s="237">
        <v>22817.496019220376</v>
      </c>
      <c r="I47" s="237">
        <v>23178.002699930086</v>
      </c>
      <c r="J47" s="237">
        <v>23971.517592841905</v>
      </c>
      <c r="K47" s="237">
        <v>23284.87831428822</v>
      </c>
      <c r="L47" s="237">
        <v>23802.841502894935</v>
      </c>
      <c r="M47" s="237">
        <v>24760.823204534339</v>
      </c>
      <c r="N47" s="237">
        <v>24801.656489212259</v>
      </c>
      <c r="O47" s="237">
        <v>25174.410240200858</v>
      </c>
      <c r="P47" s="237">
        <v>22318.089768967991</v>
      </c>
      <c r="Q47" s="237">
        <v>22803.325770057323</v>
      </c>
      <c r="R47" s="237">
        <v>23253</v>
      </c>
      <c r="S47" s="237">
        <v>23216.983513130173</v>
      </c>
      <c r="T47" s="237">
        <v>22544.429520658217</v>
      </c>
      <c r="U47" s="237">
        <v>22895.872969374883</v>
      </c>
      <c r="V47" s="237">
        <v>23332.370542887045</v>
      </c>
      <c r="W47" s="237">
        <v>23271.385900812889</v>
      </c>
      <c r="X47" s="237">
        <v>22730.821508621761</v>
      </c>
      <c r="Y47" s="237">
        <v>23575.808224288397</v>
      </c>
      <c r="Z47" s="237">
        <v>22974.972795542497</v>
      </c>
      <c r="AA47" s="237">
        <v>23500.886108985596</v>
      </c>
      <c r="AB47" s="237">
        <v>22845.650407360085</v>
      </c>
      <c r="AC47" s="237">
        <v>23325.926005267804</v>
      </c>
      <c r="AD47" s="237">
        <v>22877.96102159363</v>
      </c>
      <c r="AE47" s="237">
        <v>23115.584469075129</v>
      </c>
      <c r="AF47" s="237">
        <v>23331.805042445496</v>
      </c>
      <c r="AG47" s="237">
        <v>22871.533465243185</v>
      </c>
      <c r="AH47" s="237">
        <v>22526.044200875978</v>
      </c>
    </row>
    <row r="48" spans="1:34" s="84" customFormat="1" ht="14.25" customHeight="1" x14ac:dyDescent="0.3">
      <c r="A48" s="189" t="s">
        <v>319</v>
      </c>
      <c r="B48" s="238">
        <v>3778.0475328846037</v>
      </c>
      <c r="C48" s="239">
        <v>4064.7016525571407</v>
      </c>
      <c r="D48" s="240">
        <v>3713.2344964130989</v>
      </c>
      <c r="E48" s="240">
        <v>3815.747709788589</v>
      </c>
      <c r="F48" s="240">
        <v>3887.0825125679053</v>
      </c>
      <c r="G48" s="240">
        <v>3810.713366604135</v>
      </c>
      <c r="H48" s="240">
        <v>3812.2124472141954</v>
      </c>
      <c r="I48" s="240">
        <v>3738.5891830179071</v>
      </c>
      <c r="J48" s="240">
        <v>3617.3107827808426</v>
      </c>
      <c r="K48" s="240">
        <v>3681.502133249031</v>
      </c>
      <c r="L48" s="240">
        <v>3779.543497020034</v>
      </c>
      <c r="M48" s="240">
        <v>3714.528285114252</v>
      </c>
      <c r="N48" s="240">
        <v>3484.5717649994776</v>
      </c>
      <c r="O48" s="240">
        <v>3753.3973432598509</v>
      </c>
      <c r="P48" s="240">
        <v>3814.1415699260692</v>
      </c>
      <c r="Q48" s="240">
        <v>3918.9055441391852</v>
      </c>
      <c r="R48" s="240">
        <v>4008</v>
      </c>
      <c r="S48" s="240">
        <v>4149.2853312686757</v>
      </c>
      <c r="T48" s="240">
        <v>4355.8316604087013</v>
      </c>
      <c r="U48" s="240">
        <v>4635.3719877647209</v>
      </c>
      <c r="V48" s="240">
        <v>4053.2150431282748</v>
      </c>
      <c r="W48" s="240">
        <v>3986.4212496552295</v>
      </c>
      <c r="X48" s="240">
        <v>3584.7152183370163</v>
      </c>
      <c r="Y48" s="240">
        <v>3694.1439067072897</v>
      </c>
      <c r="Z48" s="240">
        <v>3451.2235143735711</v>
      </c>
      <c r="AA48" s="240">
        <v>3441.3422304398055</v>
      </c>
      <c r="AB48" s="240">
        <v>3514.8360819092013</v>
      </c>
      <c r="AC48" s="240">
        <v>3536.1794166795898</v>
      </c>
      <c r="AD48" s="240">
        <v>3393.1163390955239</v>
      </c>
      <c r="AE48" s="240">
        <v>3673.8412776304808</v>
      </c>
      <c r="AF48" s="240">
        <v>3986.2497655155144</v>
      </c>
      <c r="AG48" s="240">
        <v>3572.4802392227907</v>
      </c>
      <c r="AH48" s="240">
        <v>3515.3768409270401</v>
      </c>
    </row>
    <row r="49" spans="1:34" s="84" customFormat="1" ht="14.25" customHeight="1" x14ac:dyDescent="0.3">
      <c r="A49" s="189" t="s">
        <v>320</v>
      </c>
      <c r="B49" s="238">
        <v>12263.928715429061</v>
      </c>
      <c r="C49" s="239">
        <v>12228.271117473751</v>
      </c>
      <c r="D49" s="240">
        <v>12371.716636078914</v>
      </c>
      <c r="E49" s="240">
        <v>12353.493117937285</v>
      </c>
      <c r="F49" s="240">
        <v>12774.849182351081</v>
      </c>
      <c r="G49" s="240">
        <v>12794.54387487189</v>
      </c>
      <c r="H49" s="240">
        <v>12485.006800516465</v>
      </c>
      <c r="I49" s="240">
        <v>12723.745819182981</v>
      </c>
      <c r="J49" s="240">
        <v>13507.188684761388</v>
      </c>
      <c r="K49" s="240">
        <v>12845.015455620198</v>
      </c>
      <c r="L49" s="240">
        <v>13136.365336421499</v>
      </c>
      <c r="M49" s="240">
        <v>13807.620299238864</v>
      </c>
      <c r="N49" s="240">
        <v>14210.798280712072</v>
      </c>
      <c r="O49" s="240">
        <v>14071.793664156963</v>
      </c>
      <c r="P49" s="240">
        <v>11908.607755565188</v>
      </c>
      <c r="Q49" s="240">
        <v>12507.527912061738</v>
      </c>
      <c r="R49" s="240">
        <v>12539</v>
      </c>
      <c r="S49" s="240">
        <v>12796.362858232404</v>
      </c>
      <c r="T49" s="240">
        <v>11749.916344107991</v>
      </c>
      <c r="U49" s="240">
        <v>11795.534474368897</v>
      </c>
      <c r="V49" s="240">
        <v>12779.425594003713</v>
      </c>
      <c r="W49" s="240">
        <v>12723.125656962784</v>
      </c>
      <c r="X49" s="240">
        <v>12602.487237214076</v>
      </c>
      <c r="Y49" s="240">
        <v>13187.436041511872</v>
      </c>
      <c r="Z49" s="240">
        <v>12797.394517105782</v>
      </c>
      <c r="AA49" s="240">
        <v>13116.2049636011</v>
      </c>
      <c r="AB49" s="240">
        <v>12511.912683659613</v>
      </c>
      <c r="AC49" s="240">
        <v>12868.750130713448</v>
      </c>
      <c r="AD49" s="240">
        <v>12298.072143251817</v>
      </c>
      <c r="AE49" s="240">
        <v>12334.948448863137</v>
      </c>
      <c r="AF49" s="240">
        <v>12248.494450126886</v>
      </c>
      <c r="AG49" s="240">
        <v>12207.502319564059</v>
      </c>
      <c r="AH49" s="240">
        <v>11879.312819921577</v>
      </c>
    </row>
    <row r="50" spans="1:34" s="84" customFormat="1" ht="14.25" customHeight="1" x14ac:dyDescent="0.3">
      <c r="A50" s="189" t="s">
        <v>321</v>
      </c>
      <c r="B50" s="238">
        <v>7920.6574468953968</v>
      </c>
      <c r="C50" s="239">
        <v>7960.1737601088635</v>
      </c>
      <c r="D50" s="240">
        <v>6715.2088686731986</v>
      </c>
      <c r="E50" s="240">
        <v>6451.993938760842</v>
      </c>
      <c r="F50" s="240">
        <v>6727.7903970190791</v>
      </c>
      <c r="G50" s="240">
        <v>6741.1147393151341</v>
      </c>
      <c r="H50" s="240">
        <v>6520.2767714897118</v>
      </c>
      <c r="I50" s="240">
        <v>6715.6676977292027</v>
      </c>
      <c r="J50" s="240">
        <v>6847.0181252996717</v>
      </c>
      <c r="K50" s="240">
        <v>6758.3607254189938</v>
      </c>
      <c r="L50" s="240">
        <v>6886.9326694533984</v>
      </c>
      <c r="M50" s="240">
        <v>7238.6746201812211</v>
      </c>
      <c r="N50" s="240">
        <v>7106.2864435007068</v>
      </c>
      <c r="O50" s="240">
        <v>7349.2192327840448</v>
      </c>
      <c r="P50" s="240">
        <v>6595.3404434767344</v>
      </c>
      <c r="Q50" s="240">
        <v>6376.8923138563996</v>
      </c>
      <c r="R50" s="240">
        <v>6706</v>
      </c>
      <c r="S50" s="240">
        <v>6271.3353236290932</v>
      </c>
      <c r="T50" s="240">
        <v>6438.6815161415288</v>
      </c>
      <c r="U50" s="240">
        <v>6464.9665072412663</v>
      </c>
      <c r="V50" s="240">
        <v>6499.7299057550563</v>
      </c>
      <c r="W50" s="240">
        <v>6561.8389941948717</v>
      </c>
      <c r="X50" s="240">
        <v>6543.6190530706672</v>
      </c>
      <c r="Y50" s="240">
        <v>6694.2282760692369</v>
      </c>
      <c r="Z50" s="240">
        <v>6726.3547640631432</v>
      </c>
      <c r="AA50" s="240">
        <v>6943.3389149446921</v>
      </c>
      <c r="AB50" s="240">
        <v>6818.901641791268</v>
      </c>
      <c r="AC50" s="240">
        <v>6920.9964578747677</v>
      </c>
      <c r="AD50" s="240">
        <v>7186.7725392462953</v>
      </c>
      <c r="AE50" s="240">
        <v>7106.7947425815146</v>
      </c>
      <c r="AF50" s="240">
        <v>7097.0608268030965</v>
      </c>
      <c r="AG50" s="240">
        <v>7091.550906456333</v>
      </c>
      <c r="AH50" s="240">
        <v>7131.3545400273597</v>
      </c>
    </row>
    <row r="51" spans="1:34" s="84" customFormat="1" ht="15.95" customHeight="1" x14ac:dyDescent="0.3">
      <c r="A51" s="187" t="s">
        <v>322</v>
      </c>
      <c r="B51" s="235">
        <v>3193.6182486182147</v>
      </c>
      <c r="C51" s="236">
        <v>3199.1898550946503</v>
      </c>
      <c r="D51" s="237">
        <v>3064.0438195343104</v>
      </c>
      <c r="E51" s="237">
        <v>3071.7787922107809</v>
      </c>
      <c r="F51" s="237">
        <v>3046.4291142759284</v>
      </c>
      <c r="G51" s="237">
        <v>3099.3553457032644</v>
      </c>
      <c r="H51" s="237">
        <v>3095.0157402864834</v>
      </c>
      <c r="I51" s="237">
        <v>3033.4509475174395</v>
      </c>
      <c r="J51" s="237">
        <v>3042.1115722111017</v>
      </c>
      <c r="K51" s="237">
        <v>3059.8191339619698</v>
      </c>
      <c r="L51" s="237">
        <v>2961.9841797336262</v>
      </c>
      <c r="M51" s="237">
        <v>3166.1356544781488</v>
      </c>
      <c r="N51" s="237">
        <v>3226.1688876011081</v>
      </c>
      <c r="O51" s="237">
        <v>3365.2447596454126</v>
      </c>
      <c r="P51" s="237">
        <v>3070.1268158295575</v>
      </c>
      <c r="Q51" s="237">
        <v>3022.6021884599277</v>
      </c>
      <c r="R51" s="237">
        <v>3068</v>
      </c>
      <c r="S51" s="237">
        <v>3436.9295564398603</v>
      </c>
      <c r="T51" s="237">
        <v>3419.0168021311579</v>
      </c>
      <c r="U51" s="237">
        <v>3434.9386686287125</v>
      </c>
      <c r="V51" s="237">
        <v>4052.0900823642855</v>
      </c>
      <c r="W51" s="237">
        <v>4046.3098990749504</v>
      </c>
      <c r="X51" s="237">
        <v>4214.1137555310333</v>
      </c>
      <c r="Y51" s="237">
        <v>4397.3966398147104</v>
      </c>
      <c r="Z51" s="237">
        <v>4440.5219854017441</v>
      </c>
      <c r="AA51" s="237">
        <v>4374.6212744014529</v>
      </c>
      <c r="AB51" s="237">
        <v>4396.7778437849438</v>
      </c>
      <c r="AC51" s="237">
        <v>4462.0133609771565</v>
      </c>
      <c r="AD51" s="237">
        <v>4463.5963724999028</v>
      </c>
      <c r="AE51" s="237">
        <v>5628.8182832054827</v>
      </c>
      <c r="AF51" s="237">
        <v>5801.0709944900091</v>
      </c>
      <c r="AG51" s="237">
        <v>5909.3444782406159</v>
      </c>
      <c r="AH51" s="237">
        <v>5653.2245831068612</v>
      </c>
    </row>
    <row r="52" spans="1:34" s="84" customFormat="1" ht="14.25" customHeight="1" x14ac:dyDescent="0.3">
      <c r="A52" s="189" t="s">
        <v>323</v>
      </c>
      <c r="B52" s="238">
        <v>931.74069313286134</v>
      </c>
      <c r="C52" s="239">
        <v>956.38414498215411</v>
      </c>
      <c r="D52" s="240">
        <v>904.36691607397006</v>
      </c>
      <c r="E52" s="240">
        <v>877.10285545696729</v>
      </c>
      <c r="F52" s="240">
        <v>900.13671493227548</v>
      </c>
      <c r="G52" s="240">
        <v>903.40365967742946</v>
      </c>
      <c r="H52" s="240">
        <v>891.81884526841509</v>
      </c>
      <c r="I52" s="240">
        <v>888.3609584289668</v>
      </c>
      <c r="J52" s="240">
        <v>899.40024615560105</v>
      </c>
      <c r="K52" s="240">
        <v>906.41783080522941</v>
      </c>
      <c r="L52" s="240">
        <v>924.36979917421604</v>
      </c>
      <c r="M52" s="240">
        <v>971.11004101187928</v>
      </c>
      <c r="N52" s="240">
        <v>969.34085172377047</v>
      </c>
      <c r="O52" s="240">
        <v>968.51089699748297</v>
      </c>
      <c r="P52" s="240">
        <v>754.76534295986914</v>
      </c>
      <c r="Q52" s="240">
        <v>756.23571423451961</v>
      </c>
      <c r="R52" s="240">
        <v>765</v>
      </c>
      <c r="S52" s="240">
        <v>799.04656767286986</v>
      </c>
      <c r="T52" s="240">
        <v>797.03063591445164</v>
      </c>
      <c r="U52" s="240">
        <v>796.18205182591078</v>
      </c>
      <c r="V52" s="240">
        <v>804.76959730603619</v>
      </c>
      <c r="W52" s="240">
        <v>809.95964548155939</v>
      </c>
      <c r="X52" s="240">
        <v>827.1854671951578</v>
      </c>
      <c r="Y52" s="240">
        <v>839.55787589723764</v>
      </c>
      <c r="Z52" s="240">
        <v>850.47815099669958</v>
      </c>
      <c r="AA52" s="240">
        <v>831.31688328500218</v>
      </c>
      <c r="AB52" s="240">
        <v>835.58216850195652</v>
      </c>
      <c r="AC52" s="240">
        <v>887.21233198378968</v>
      </c>
      <c r="AD52" s="240">
        <v>876.90425548074768</v>
      </c>
      <c r="AE52" s="240">
        <v>869.19589696581352</v>
      </c>
      <c r="AF52" s="240">
        <v>838.21358359184637</v>
      </c>
      <c r="AG52" s="240">
        <v>830.02942606536294</v>
      </c>
      <c r="AH52" s="240">
        <v>906.21682989214037</v>
      </c>
    </row>
    <row r="53" spans="1:34" s="84" customFormat="1" ht="14.25" customHeight="1" x14ac:dyDescent="0.3">
      <c r="A53" s="189" t="s">
        <v>324</v>
      </c>
      <c r="B53" s="238">
        <v>673.07615951976766</v>
      </c>
      <c r="C53" s="239">
        <v>664.92876795315544</v>
      </c>
      <c r="D53" s="240">
        <v>635.61867838635669</v>
      </c>
      <c r="E53" s="240">
        <v>644.0768055446714</v>
      </c>
      <c r="F53" s="240">
        <v>632.01370877152624</v>
      </c>
      <c r="G53" s="240">
        <v>641.97427811443754</v>
      </c>
      <c r="H53" s="240">
        <v>646.50582361246643</v>
      </c>
      <c r="I53" s="240">
        <v>643.46943274109663</v>
      </c>
      <c r="J53" s="240">
        <v>651.85286605231465</v>
      </c>
      <c r="K53" s="240">
        <v>659.82571557327822</v>
      </c>
      <c r="L53" s="240">
        <v>603.25033425315246</v>
      </c>
      <c r="M53" s="240">
        <v>720.0352246370071</v>
      </c>
      <c r="N53" s="240">
        <v>721.29055107587646</v>
      </c>
      <c r="O53" s="240">
        <v>725.74306001474963</v>
      </c>
      <c r="P53" s="240">
        <v>716.94814714231836</v>
      </c>
      <c r="Q53" s="240">
        <v>724.68100282113937</v>
      </c>
      <c r="R53" s="240">
        <v>742</v>
      </c>
      <c r="S53" s="240">
        <v>744.50525392426277</v>
      </c>
      <c r="T53" s="240">
        <v>747.31269842050051</v>
      </c>
      <c r="U53" s="240">
        <v>732.98168773121779</v>
      </c>
      <c r="V53" s="240">
        <v>745.36967961141215</v>
      </c>
      <c r="W53" s="240">
        <v>730.02005163323906</v>
      </c>
      <c r="X53" s="240">
        <v>718.15130837814343</v>
      </c>
      <c r="Y53" s="240">
        <v>691.7013046138336</v>
      </c>
      <c r="Z53" s="240">
        <v>685.0627606815367</v>
      </c>
      <c r="AA53" s="240">
        <v>681.88988024754042</v>
      </c>
      <c r="AB53" s="240">
        <v>697.61683736661871</v>
      </c>
      <c r="AC53" s="240">
        <v>692.47302946835089</v>
      </c>
      <c r="AD53" s="240">
        <v>677.25192175199129</v>
      </c>
      <c r="AE53" s="240">
        <v>683.72304247071474</v>
      </c>
      <c r="AF53" s="240">
        <v>676.75663200130941</v>
      </c>
      <c r="AG53" s="240">
        <v>674.58605196830501</v>
      </c>
      <c r="AH53" s="240">
        <v>203.78764681485731</v>
      </c>
    </row>
    <row r="54" spans="1:34" s="84" customFormat="1" ht="14.25" customHeight="1" x14ac:dyDescent="0.3">
      <c r="A54" s="189" t="s">
        <v>325</v>
      </c>
      <c r="B54" s="238">
        <v>139.65703707699197</v>
      </c>
      <c r="C54" s="239">
        <v>120.9114110071244</v>
      </c>
      <c r="D54" s="240">
        <v>120.6073428149967</v>
      </c>
      <c r="E54" s="240">
        <v>119.72234537652031</v>
      </c>
      <c r="F54" s="240">
        <v>108.33100608397578</v>
      </c>
      <c r="G54" s="240">
        <v>102.29587852789648</v>
      </c>
      <c r="H54" s="240">
        <v>104.98387100341948</v>
      </c>
      <c r="I54" s="240">
        <v>90.235445539025605</v>
      </c>
      <c r="J54" s="240">
        <v>84.733542670379592</v>
      </c>
      <c r="K54" s="240">
        <v>85.880616461360802</v>
      </c>
      <c r="L54" s="240">
        <v>68.001508737365384</v>
      </c>
      <c r="M54" s="240">
        <v>15.818908462301982</v>
      </c>
      <c r="N54" s="240">
        <v>10.936683393666391</v>
      </c>
      <c r="O54" s="240">
        <v>10.188169602354559</v>
      </c>
      <c r="P54" s="240">
        <v>9.8832286462264403</v>
      </c>
      <c r="Q54" s="240">
        <v>10.15950174950056</v>
      </c>
      <c r="R54" s="240">
        <v>9</v>
      </c>
      <c r="S54" s="240">
        <v>13.55448541</v>
      </c>
      <c r="T54" s="240">
        <v>13.540187450000001</v>
      </c>
      <c r="U54" s="240">
        <v>13.010514179999999</v>
      </c>
      <c r="V54" s="240">
        <v>12.320105330000001</v>
      </c>
      <c r="W54" s="240">
        <v>14.242809110000001</v>
      </c>
      <c r="X54" s="240">
        <v>16.500537510000001</v>
      </c>
      <c r="Y54" s="240">
        <v>16.04048719</v>
      </c>
      <c r="Z54" s="240">
        <v>16.58963236</v>
      </c>
      <c r="AA54" s="240">
        <v>17.080637249999999</v>
      </c>
      <c r="AB54" s="240">
        <v>14.19248617</v>
      </c>
      <c r="AC54" s="240">
        <v>13.42879634</v>
      </c>
      <c r="AD54" s="240">
        <v>13.505448880000001</v>
      </c>
      <c r="AE54" s="240">
        <v>1189.2859798099998</v>
      </c>
      <c r="AF54" s="240">
        <v>1192.36864831</v>
      </c>
      <c r="AG54" s="240">
        <v>1188.6167286099999</v>
      </c>
      <c r="AH54" s="240">
        <v>1221.5165414200001</v>
      </c>
    </row>
    <row r="55" spans="1:34" s="84" customFormat="1" ht="14.25" customHeight="1" x14ac:dyDescent="0.3">
      <c r="A55" s="189" t="s">
        <v>326</v>
      </c>
      <c r="B55" s="238">
        <v>1437.7176323685937</v>
      </c>
      <c r="C55" s="239">
        <v>1446.4975108722165</v>
      </c>
      <c r="D55" s="240">
        <v>1397.9948982689866</v>
      </c>
      <c r="E55" s="240">
        <v>1427.7053431526222</v>
      </c>
      <c r="F55" s="240">
        <v>1402.3395918181502</v>
      </c>
      <c r="G55" s="240">
        <v>1448.5171796035008</v>
      </c>
      <c r="H55" s="240">
        <v>1446.5939971721825</v>
      </c>
      <c r="I55" s="240">
        <v>1408.5941680183503</v>
      </c>
      <c r="J55" s="240">
        <v>1403.1444127628065</v>
      </c>
      <c r="K55" s="240">
        <v>1405.0588653221012</v>
      </c>
      <c r="L55" s="240">
        <v>1363.6750576288928</v>
      </c>
      <c r="M55" s="240">
        <v>1455.5937054469607</v>
      </c>
      <c r="N55" s="240">
        <v>1520.6214259177946</v>
      </c>
      <c r="O55" s="240">
        <v>1656.0148037608255</v>
      </c>
      <c r="P55" s="240">
        <v>1585.7384394811438</v>
      </c>
      <c r="Q55" s="240">
        <v>1528.9532153847681</v>
      </c>
      <c r="R55" s="240">
        <v>1547</v>
      </c>
      <c r="S55" s="240">
        <v>1874.4884151027275</v>
      </c>
      <c r="T55" s="240">
        <v>1847.847536796206</v>
      </c>
      <c r="U55" s="240">
        <v>1882.8610698715843</v>
      </c>
      <c r="V55" s="240">
        <v>2478.9354204068372</v>
      </c>
      <c r="W55" s="240">
        <v>2483.1073268101518</v>
      </c>
      <c r="X55" s="240">
        <v>2643.4664268277329</v>
      </c>
      <c r="Y55" s="240">
        <v>2841.6763496236385</v>
      </c>
      <c r="Z55" s="240">
        <v>2879.5402452835074</v>
      </c>
      <c r="AA55" s="240">
        <v>2842.2757180489098</v>
      </c>
      <c r="AB55" s="240">
        <v>2847.7298031063679</v>
      </c>
      <c r="AC55" s="240">
        <v>2867.5156658050159</v>
      </c>
      <c r="AD55" s="240">
        <v>2893.5350098071631</v>
      </c>
      <c r="AE55" s="240">
        <v>2884.3982391289537</v>
      </c>
      <c r="AF55" s="240">
        <v>3092.2744912168532</v>
      </c>
      <c r="AG55" s="240">
        <v>3214.6302101869478</v>
      </c>
      <c r="AH55" s="240">
        <v>3319.294620839863</v>
      </c>
    </row>
    <row r="56" spans="1:34" s="84" customFormat="1" ht="14.25" customHeight="1" x14ac:dyDescent="0.3">
      <c r="A56" s="189" t="s">
        <v>327</v>
      </c>
      <c r="B56" s="238">
        <v>11.426726519999999</v>
      </c>
      <c r="C56" s="239">
        <v>10.468020280000001</v>
      </c>
      <c r="D56" s="240">
        <v>5.45598399</v>
      </c>
      <c r="E56" s="240">
        <v>3.1714426800000002</v>
      </c>
      <c r="F56" s="240">
        <v>3.60809267</v>
      </c>
      <c r="G56" s="240">
        <v>3.1643497799999998</v>
      </c>
      <c r="H56" s="240">
        <v>5.1132032300000008</v>
      </c>
      <c r="I56" s="240">
        <v>2.7909427899999999</v>
      </c>
      <c r="J56" s="240">
        <v>2.9805045699999999</v>
      </c>
      <c r="K56" s="240">
        <v>2.6361058000000002</v>
      </c>
      <c r="L56" s="240">
        <v>2.6874799399999998</v>
      </c>
      <c r="M56" s="240">
        <v>3.57777492</v>
      </c>
      <c r="N56" s="240">
        <v>3.9793754899999998</v>
      </c>
      <c r="O56" s="240">
        <v>4.7878292700000005</v>
      </c>
      <c r="P56" s="240">
        <v>2.7916576000000002</v>
      </c>
      <c r="Q56" s="240">
        <v>2.5727542699999999</v>
      </c>
      <c r="R56" s="240">
        <v>4</v>
      </c>
      <c r="S56" s="240">
        <v>5.3348343300000014</v>
      </c>
      <c r="T56" s="240">
        <v>13.285743550000001</v>
      </c>
      <c r="U56" s="240">
        <v>9.9033450199999997</v>
      </c>
      <c r="V56" s="240">
        <v>10.695279710000001</v>
      </c>
      <c r="W56" s="240">
        <v>8.9800660400000005</v>
      </c>
      <c r="X56" s="240">
        <v>8.8100156199999997</v>
      </c>
      <c r="Y56" s="240">
        <v>8.4206224899999995</v>
      </c>
      <c r="Z56" s="240">
        <v>8.8511960799999994</v>
      </c>
      <c r="AA56" s="240">
        <v>2.0581555700000003</v>
      </c>
      <c r="AB56" s="240">
        <v>1.6565486400000002</v>
      </c>
      <c r="AC56" s="240">
        <v>1.3835373800000001</v>
      </c>
      <c r="AD56" s="240">
        <v>2.3997365799999999</v>
      </c>
      <c r="AE56" s="240">
        <v>2.2151248300000002</v>
      </c>
      <c r="AF56" s="240">
        <v>1.4576393700000001</v>
      </c>
      <c r="AG56" s="240">
        <v>1.48206141</v>
      </c>
      <c r="AH56" s="240">
        <v>2.4089441399999996</v>
      </c>
    </row>
    <row r="57" spans="1:34" s="84" customFormat="1" ht="15.95" customHeight="1" x14ac:dyDescent="0.3">
      <c r="A57" s="187" t="s">
        <v>328</v>
      </c>
      <c r="B57" s="235">
        <v>38790.150709270143</v>
      </c>
      <c r="C57" s="236">
        <v>38439.363678269285</v>
      </c>
      <c r="D57" s="237">
        <v>38425.15141115641</v>
      </c>
      <c r="E57" s="237">
        <v>37458.873942421837</v>
      </c>
      <c r="F57" s="237">
        <v>37384.294059947548</v>
      </c>
      <c r="G57" s="237">
        <v>37260.823240504069</v>
      </c>
      <c r="H57" s="237">
        <v>37296.186375046404</v>
      </c>
      <c r="I57" s="237">
        <v>37848.702449556651</v>
      </c>
      <c r="J57" s="237">
        <v>37576.815314067702</v>
      </c>
      <c r="K57" s="237">
        <v>37802.894062558211</v>
      </c>
      <c r="L57" s="237">
        <v>38451.151052079018</v>
      </c>
      <c r="M57" s="237">
        <v>37943.771475520036</v>
      </c>
      <c r="N57" s="237">
        <v>38682.93301931017</v>
      </c>
      <c r="O57" s="237">
        <v>38802.894411246547</v>
      </c>
      <c r="P57" s="237">
        <v>39236.836205219035</v>
      </c>
      <c r="Q57" s="237">
        <v>38654.599878715468</v>
      </c>
      <c r="R57" s="237">
        <v>38034</v>
      </c>
      <c r="S57" s="237">
        <v>39195.497280352283</v>
      </c>
      <c r="T57" s="237">
        <v>39885.37547009113</v>
      </c>
      <c r="U57" s="237">
        <v>40837.520229209695</v>
      </c>
      <c r="V57" s="237">
        <v>41818.610427558546</v>
      </c>
      <c r="W57" s="237">
        <v>44108.965633215215</v>
      </c>
      <c r="X57" s="237">
        <v>45252.19514917746</v>
      </c>
      <c r="Y57" s="237">
        <v>46013.467429506396</v>
      </c>
      <c r="Z57" s="237">
        <v>46550.509845701628</v>
      </c>
      <c r="AA57" s="237">
        <v>50069.326890158933</v>
      </c>
      <c r="AB57" s="237">
        <v>51149.231236305932</v>
      </c>
      <c r="AC57" s="237">
        <v>51239.200645928715</v>
      </c>
      <c r="AD57" s="237">
        <v>52154.503054167668</v>
      </c>
      <c r="AE57" s="237">
        <v>52130.46134844159</v>
      </c>
      <c r="AF57" s="237">
        <v>55402.770106956894</v>
      </c>
      <c r="AG57" s="237">
        <v>56963.092427654839</v>
      </c>
      <c r="AH57" s="237">
        <v>56298.783059324312</v>
      </c>
    </row>
    <row r="58" spans="1:34" s="84" customFormat="1" ht="15.95" customHeight="1" x14ac:dyDescent="0.3">
      <c r="A58" s="189" t="s">
        <v>329</v>
      </c>
      <c r="B58" s="238">
        <v>37942.748229120654</v>
      </c>
      <c r="C58" s="239">
        <v>37573.073082295617</v>
      </c>
      <c r="D58" s="240">
        <v>37627.832906042779</v>
      </c>
      <c r="E58" s="240">
        <v>36667.753718648251</v>
      </c>
      <c r="F58" s="240">
        <v>36588.660721203334</v>
      </c>
      <c r="G58" s="240">
        <v>36464.419702185187</v>
      </c>
      <c r="H58" s="240">
        <v>36522.28629161456</v>
      </c>
      <c r="I58" s="240">
        <v>37066.11077454593</v>
      </c>
      <c r="J58" s="240">
        <v>36782.077236660567</v>
      </c>
      <c r="K58" s="240">
        <v>37032.272596530172</v>
      </c>
      <c r="L58" s="240">
        <v>37691.755071905485</v>
      </c>
      <c r="M58" s="240">
        <v>37166.97672109781</v>
      </c>
      <c r="N58" s="240">
        <v>37876.357662039518</v>
      </c>
      <c r="O58" s="240">
        <v>37971.767224939184</v>
      </c>
      <c r="P58" s="240">
        <v>38398.727954893737</v>
      </c>
      <c r="Q58" s="240">
        <v>37868.57710401791</v>
      </c>
      <c r="R58" s="240">
        <v>37230</v>
      </c>
      <c r="S58" s="240">
        <v>38387.537625487457</v>
      </c>
      <c r="T58" s="240">
        <v>38992.61805293239</v>
      </c>
      <c r="U58" s="240">
        <v>39928.218580961257</v>
      </c>
      <c r="V58" s="240">
        <v>40967.941442010022</v>
      </c>
      <c r="W58" s="240">
        <v>43230.539231426956</v>
      </c>
      <c r="X58" s="240">
        <v>44330.401085975114</v>
      </c>
      <c r="Y58" s="240">
        <v>45036.726454541778</v>
      </c>
      <c r="Z58" s="240">
        <v>45569.791467802053</v>
      </c>
      <c r="AA58" s="240">
        <v>49087.529399987579</v>
      </c>
      <c r="AB58" s="240">
        <v>50091.129614651785</v>
      </c>
      <c r="AC58" s="240">
        <v>50170.006206108243</v>
      </c>
      <c r="AD58" s="240">
        <v>51084.543879989353</v>
      </c>
      <c r="AE58" s="240">
        <v>51004.081241595195</v>
      </c>
      <c r="AF58" s="240">
        <v>54290.991234458968</v>
      </c>
      <c r="AG58" s="240">
        <v>55884.637217288771</v>
      </c>
      <c r="AH58" s="240">
        <v>55185.759423670046</v>
      </c>
    </row>
    <row r="59" spans="1:34" s="84" customFormat="1" ht="14.25" customHeight="1" x14ac:dyDescent="0.3">
      <c r="A59" s="191" t="s">
        <v>406</v>
      </c>
      <c r="B59" s="241">
        <v>32563.626778492904</v>
      </c>
      <c r="C59" s="242">
        <v>32169.589062586208</v>
      </c>
      <c r="D59" s="243">
        <v>32315.189260816154</v>
      </c>
      <c r="E59" s="243">
        <v>31458.993750506866</v>
      </c>
      <c r="F59" s="243">
        <v>31371.41715080967</v>
      </c>
      <c r="G59" s="243">
        <v>31371.90847568664</v>
      </c>
      <c r="H59" s="243">
        <v>31420.173784893286</v>
      </c>
      <c r="I59" s="243">
        <v>31661.192400787109</v>
      </c>
      <c r="J59" s="243">
        <v>31881.813088923805</v>
      </c>
      <c r="K59" s="243">
        <v>32149.469728256867</v>
      </c>
      <c r="L59" s="243">
        <v>32720.33581976399</v>
      </c>
      <c r="M59" s="243">
        <v>32128.001168065304</v>
      </c>
      <c r="N59" s="243">
        <v>32808.811969940318</v>
      </c>
      <c r="O59" s="243">
        <v>32920.127830838246</v>
      </c>
      <c r="P59" s="243">
        <v>33238.504580495865</v>
      </c>
      <c r="Q59" s="243">
        <v>33233.507670538202</v>
      </c>
      <c r="R59" s="243">
        <v>32545</v>
      </c>
      <c r="S59" s="243">
        <v>33492.981966193707</v>
      </c>
      <c r="T59" s="243">
        <v>33970.895782680222</v>
      </c>
      <c r="U59" s="243">
        <v>34837.538790905593</v>
      </c>
      <c r="V59" s="243">
        <v>35757.028684142453</v>
      </c>
      <c r="W59" s="243">
        <v>37834.615381906602</v>
      </c>
      <c r="X59" s="243">
        <v>38930.478227132095</v>
      </c>
      <c r="Y59" s="243">
        <v>39612.77394355178</v>
      </c>
      <c r="Z59" s="243">
        <v>40249.967271679765</v>
      </c>
      <c r="AA59" s="243">
        <v>43603.147724212598</v>
      </c>
      <c r="AB59" s="243">
        <v>44741.221968635837</v>
      </c>
      <c r="AC59" s="243">
        <v>44866.072043531691</v>
      </c>
      <c r="AD59" s="243">
        <v>45709.922577010337</v>
      </c>
      <c r="AE59" s="243">
        <v>45636.774759882232</v>
      </c>
      <c r="AF59" s="243">
        <v>48927.602798757383</v>
      </c>
      <c r="AG59" s="243">
        <v>50189.87942189406</v>
      </c>
      <c r="AH59" s="243">
        <v>49012.90204925873</v>
      </c>
    </row>
    <row r="60" spans="1:34" s="99" customFormat="1" ht="14.25" customHeight="1" x14ac:dyDescent="0.3">
      <c r="A60" s="191" t="s">
        <v>407</v>
      </c>
      <c r="B60" s="241">
        <v>4091.3265444442704</v>
      </c>
      <c r="C60" s="242">
        <v>4094.8410224426734</v>
      </c>
      <c r="D60" s="243">
        <v>4178.5445180746656</v>
      </c>
      <c r="E60" s="243">
        <v>4059.8245084814512</v>
      </c>
      <c r="F60" s="243">
        <v>4042.5361965900056</v>
      </c>
      <c r="G60" s="243">
        <v>3968.7089165724178</v>
      </c>
      <c r="H60" s="243">
        <v>3946.4214012248708</v>
      </c>
      <c r="I60" s="243">
        <v>4218.7275567465831</v>
      </c>
      <c r="J60" s="243">
        <v>3765.4603284280843</v>
      </c>
      <c r="K60" s="243">
        <v>3756.4534485963936</v>
      </c>
      <c r="L60" s="243">
        <v>3849.7753649237966</v>
      </c>
      <c r="M60" s="243">
        <v>3951.6345083856545</v>
      </c>
      <c r="N60" s="243">
        <v>4019.1359824620868</v>
      </c>
      <c r="O60" s="243">
        <v>4002.9136739227934</v>
      </c>
      <c r="P60" s="243">
        <v>4108.8525092024993</v>
      </c>
      <c r="Q60" s="243">
        <v>3836.7131549344504</v>
      </c>
      <c r="R60" s="243">
        <v>3890</v>
      </c>
      <c r="S60" s="243">
        <v>4088.7023783590444</v>
      </c>
      <c r="T60" s="243">
        <v>4209.179365229018</v>
      </c>
      <c r="U60" s="243">
        <v>4272.9827907280587</v>
      </c>
      <c r="V60" s="243">
        <v>4382.2186662337645</v>
      </c>
      <c r="W60" s="243">
        <v>4554.9830848540296</v>
      </c>
      <c r="X60" s="243">
        <v>4557.9572982158343</v>
      </c>
      <c r="Y60" s="243">
        <v>4583.1894298155385</v>
      </c>
      <c r="Z60" s="243">
        <v>4484.735021896272</v>
      </c>
      <c r="AA60" s="243">
        <v>4639.9698721760706</v>
      </c>
      <c r="AB60" s="243">
        <v>4501.7338889366347</v>
      </c>
      <c r="AC60" s="243">
        <v>4459.4328219289418</v>
      </c>
      <c r="AD60" s="243">
        <v>4525.6962189623318</v>
      </c>
      <c r="AE60" s="243">
        <v>4524.8978818810365</v>
      </c>
      <c r="AF60" s="243">
        <v>4672.8660211370543</v>
      </c>
      <c r="AG60" s="243">
        <v>4987.3766756182094</v>
      </c>
      <c r="AH60" s="243">
        <v>5383.9218563031136</v>
      </c>
    </row>
    <row r="61" spans="1:34" s="99" customFormat="1" ht="14.25" customHeight="1" x14ac:dyDescent="0.3">
      <c r="A61" s="191" t="s">
        <v>408</v>
      </c>
      <c r="B61" s="241">
        <v>446.40088808999997</v>
      </c>
      <c r="C61" s="242">
        <v>442.69404897000004</v>
      </c>
      <c r="D61" s="243">
        <v>417.28972320999998</v>
      </c>
      <c r="E61" s="243">
        <v>415.27088543000002</v>
      </c>
      <c r="F61" s="243">
        <v>400.51761098000003</v>
      </c>
      <c r="G61" s="243">
        <v>370.73095796999996</v>
      </c>
      <c r="H61" s="243">
        <v>371.19765808</v>
      </c>
      <c r="I61" s="243">
        <v>371.54005065999996</v>
      </c>
      <c r="J61" s="243">
        <v>360.06386327000001</v>
      </c>
      <c r="K61" s="243">
        <v>342.38548840999999</v>
      </c>
      <c r="L61" s="243">
        <v>336.58438227000005</v>
      </c>
      <c r="M61" s="243">
        <v>335.47961348000001</v>
      </c>
      <c r="N61" s="243">
        <v>338.68282826999996</v>
      </c>
      <c r="O61" s="243">
        <v>339.22045931999997</v>
      </c>
      <c r="P61" s="243">
        <v>323.40930238999999</v>
      </c>
      <c r="Q61" s="243">
        <v>320.12834788999999</v>
      </c>
      <c r="R61" s="243">
        <v>321</v>
      </c>
      <c r="S61" s="243">
        <v>328.67185695000001</v>
      </c>
      <c r="T61" s="243">
        <v>333.37914519999998</v>
      </c>
      <c r="U61" s="243">
        <v>335.33499198999999</v>
      </c>
      <c r="V61" s="243">
        <v>343.20719116000004</v>
      </c>
      <c r="W61" s="243">
        <v>344.29939209999998</v>
      </c>
      <c r="X61" s="243">
        <v>345.58627528</v>
      </c>
      <c r="Y61" s="243">
        <v>346.61794798</v>
      </c>
      <c r="Z61" s="243">
        <v>344.00177431999998</v>
      </c>
      <c r="AA61" s="243">
        <v>352.35199759999995</v>
      </c>
      <c r="AB61" s="243">
        <v>356.25432298000004</v>
      </c>
      <c r="AC61" s="243">
        <v>355.6671154</v>
      </c>
      <c r="AD61" s="243">
        <v>360.11429085000003</v>
      </c>
      <c r="AE61" s="243">
        <v>363.29069435000002</v>
      </c>
      <c r="AF61" s="243">
        <v>208.36589733</v>
      </c>
      <c r="AG61" s="243">
        <v>207.15191831999999</v>
      </c>
      <c r="AH61" s="243">
        <v>208.52222476</v>
      </c>
    </row>
    <row r="62" spans="1:34" s="84" customFormat="1" ht="14.25" customHeight="1" x14ac:dyDescent="0.3">
      <c r="A62" s="191" t="s">
        <v>409</v>
      </c>
      <c r="B62" s="241">
        <v>254.09193336347906</v>
      </c>
      <c r="C62" s="242">
        <v>258.04751187673565</v>
      </c>
      <c r="D62" s="243">
        <v>263.53905661195387</v>
      </c>
      <c r="E62" s="243">
        <v>262.72029219993908</v>
      </c>
      <c r="F62" s="243">
        <v>283.72282319365189</v>
      </c>
      <c r="G62" s="243">
        <v>256.37098233613625</v>
      </c>
      <c r="H62" s="243">
        <v>260.60478383640361</v>
      </c>
      <c r="I62" s="243">
        <v>257.25928732223906</v>
      </c>
      <c r="J62" s="243">
        <v>258.30163045867329</v>
      </c>
      <c r="K62" s="243">
        <v>258.8464993869182</v>
      </c>
      <c r="L62" s="243">
        <v>262.10011084769599</v>
      </c>
      <c r="M62" s="243">
        <v>261.77859388685215</v>
      </c>
      <c r="N62" s="243">
        <v>223.87726388712827</v>
      </c>
      <c r="O62" s="243">
        <v>225.11753823813945</v>
      </c>
      <c r="P62" s="243">
        <v>225.3428865353782</v>
      </c>
      <c r="Q62" s="243">
        <v>223.04373734524944</v>
      </c>
      <c r="R62" s="243">
        <v>221</v>
      </c>
      <c r="S62" s="243">
        <v>223.54349638471018</v>
      </c>
      <c r="T62" s="243">
        <v>225.15408614315399</v>
      </c>
      <c r="U62" s="243">
        <v>228.08340947760612</v>
      </c>
      <c r="V62" s="243">
        <v>230.16335569380286</v>
      </c>
      <c r="W62" s="243">
        <v>234.87010481632132</v>
      </c>
      <c r="X62" s="243">
        <v>235.87197582719224</v>
      </c>
      <c r="Y62" s="243">
        <v>234.811948924456</v>
      </c>
      <c r="Z62" s="243">
        <v>236.09845994601582</v>
      </c>
      <c r="AA62" s="243">
        <v>237.70791748890747</v>
      </c>
      <c r="AB62" s="243">
        <v>241.17135848931554</v>
      </c>
      <c r="AC62" s="243">
        <v>240.87413736761988</v>
      </c>
      <c r="AD62" s="243">
        <v>241.72796507667596</v>
      </c>
      <c r="AE62" s="243">
        <v>239.79887504192146</v>
      </c>
      <c r="AF62" s="243">
        <v>242.25867514452415</v>
      </c>
      <c r="AG62" s="243">
        <v>244.73810918650898</v>
      </c>
      <c r="AH62" s="243">
        <v>266.20154514820643</v>
      </c>
    </row>
    <row r="63" spans="1:34" s="84" customFormat="1" ht="14.25" customHeight="1" x14ac:dyDescent="0.3">
      <c r="A63" s="191" t="s">
        <v>410</v>
      </c>
      <c r="B63" s="241">
        <v>21.52293762</v>
      </c>
      <c r="C63" s="242">
        <v>21.369805700000001</v>
      </c>
      <c r="D63" s="243">
        <v>20.896761630000004</v>
      </c>
      <c r="E63" s="243">
        <v>21.37175813</v>
      </c>
      <c r="F63" s="243">
        <v>20.831184180000001</v>
      </c>
      <c r="G63" s="243">
        <v>20.980346540000003</v>
      </c>
      <c r="H63" s="243">
        <v>21.304462140000002</v>
      </c>
      <c r="I63" s="243">
        <v>20.550004169999998</v>
      </c>
      <c r="J63" s="243">
        <v>20.454626299999997</v>
      </c>
      <c r="K63" s="243">
        <v>20.604630670000002</v>
      </c>
      <c r="L63" s="243">
        <v>20.66010189</v>
      </c>
      <c r="M63" s="243">
        <v>20.980720870000003</v>
      </c>
      <c r="N63" s="243">
        <v>21.575808630000001</v>
      </c>
      <c r="O63" s="243">
        <v>20.834974729999999</v>
      </c>
      <c r="P63" s="243">
        <v>20.494934709999995</v>
      </c>
      <c r="Q63" s="243">
        <v>20.498711910000001</v>
      </c>
      <c r="R63" s="243">
        <v>20</v>
      </c>
      <c r="S63" s="243">
        <v>19.763613299999999</v>
      </c>
      <c r="T63" s="243">
        <v>19.868413659999998</v>
      </c>
      <c r="U63" s="243">
        <v>19.385619290000001</v>
      </c>
      <c r="V63" s="243">
        <v>18.35045525</v>
      </c>
      <c r="W63" s="243">
        <v>17.887568239999997</v>
      </c>
      <c r="X63" s="243">
        <v>17.563406489999998</v>
      </c>
      <c r="Y63" s="243">
        <v>17.751320660000005</v>
      </c>
      <c r="Z63" s="243">
        <v>17.7316012</v>
      </c>
      <c r="AA63" s="243">
        <v>17.207492250000001</v>
      </c>
      <c r="AB63" s="243">
        <v>17.273380539999998</v>
      </c>
      <c r="AC63" s="243">
        <v>17.280191239999997</v>
      </c>
      <c r="AD63" s="243">
        <v>16.704248879999998</v>
      </c>
      <c r="AE63" s="243">
        <v>16.7675059</v>
      </c>
      <c r="AF63" s="243">
        <v>16.79091481</v>
      </c>
      <c r="AG63" s="243">
        <v>33.958814450000006</v>
      </c>
      <c r="AH63" s="243">
        <v>103.28121556000001</v>
      </c>
    </row>
    <row r="64" spans="1:34" s="84" customFormat="1" ht="15" customHeight="1" x14ac:dyDescent="0.3">
      <c r="A64" s="191" t="s">
        <v>411</v>
      </c>
      <c r="B64" s="241">
        <v>565.77914710999994</v>
      </c>
      <c r="C64" s="242">
        <v>586.53163071999995</v>
      </c>
      <c r="D64" s="243">
        <v>432.37358570000004</v>
      </c>
      <c r="E64" s="243">
        <v>449.57252389999996</v>
      </c>
      <c r="F64" s="243">
        <v>469.63575544999998</v>
      </c>
      <c r="G64" s="243">
        <v>475.72002307999992</v>
      </c>
      <c r="H64" s="243">
        <v>502.58420144000002</v>
      </c>
      <c r="I64" s="243">
        <v>536.84147486000006</v>
      </c>
      <c r="J64" s="243">
        <v>495.98369928</v>
      </c>
      <c r="K64" s="243">
        <v>504.51280120999996</v>
      </c>
      <c r="L64" s="243">
        <v>502.29929220999998</v>
      </c>
      <c r="M64" s="243">
        <v>469.10211640999995</v>
      </c>
      <c r="N64" s="243">
        <v>464.27380885000002</v>
      </c>
      <c r="O64" s="243">
        <v>463.55274788999998</v>
      </c>
      <c r="P64" s="243">
        <v>482.12374155999993</v>
      </c>
      <c r="Q64" s="243">
        <v>234.68548140000001</v>
      </c>
      <c r="R64" s="243">
        <v>232</v>
      </c>
      <c r="S64" s="243">
        <v>233.87431430000001</v>
      </c>
      <c r="T64" s="243">
        <v>234.14126001999998</v>
      </c>
      <c r="U64" s="243">
        <v>234.89297857</v>
      </c>
      <c r="V64" s="243">
        <v>236.97308953000001</v>
      </c>
      <c r="W64" s="243">
        <v>243.88369951000001</v>
      </c>
      <c r="X64" s="243">
        <v>242.94390303000003</v>
      </c>
      <c r="Y64" s="243">
        <v>241.58186361000003</v>
      </c>
      <c r="Z64" s="243">
        <v>237.25733875999998</v>
      </c>
      <c r="AA64" s="243">
        <v>237.14439625999998</v>
      </c>
      <c r="AB64" s="243">
        <v>233.47469507</v>
      </c>
      <c r="AC64" s="243">
        <v>230.67989663999995</v>
      </c>
      <c r="AD64" s="243">
        <v>230.37857921000003</v>
      </c>
      <c r="AE64" s="243">
        <v>222.55152454000003</v>
      </c>
      <c r="AF64" s="243">
        <v>223.10692728000001</v>
      </c>
      <c r="AG64" s="243">
        <v>221.53227781999999</v>
      </c>
      <c r="AH64" s="243">
        <v>210.93053264000002</v>
      </c>
    </row>
    <row r="65" spans="1:34" s="84" customFormat="1" ht="14.25" customHeight="1" thickBot="1" x14ac:dyDescent="0.35">
      <c r="A65" s="196" t="s">
        <v>336</v>
      </c>
      <c r="B65" s="245">
        <v>847.40248014948929</v>
      </c>
      <c r="C65" s="246">
        <v>866.290595973667</v>
      </c>
      <c r="D65" s="247">
        <v>797.31850511363166</v>
      </c>
      <c r="E65" s="247">
        <v>791.12022377357823</v>
      </c>
      <c r="F65" s="247">
        <v>795.63333874421608</v>
      </c>
      <c r="G65" s="247">
        <v>796.40353831888081</v>
      </c>
      <c r="H65" s="247">
        <v>773.900083431844</v>
      </c>
      <c r="I65" s="247">
        <v>782.59167501071829</v>
      </c>
      <c r="J65" s="247">
        <v>794.73807740713903</v>
      </c>
      <c r="K65" s="247">
        <v>770.62146602803659</v>
      </c>
      <c r="L65" s="247">
        <v>759.39598017353114</v>
      </c>
      <c r="M65" s="247">
        <v>776.79475442222497</v>
      </c>
      <c r="N65" s="247">
        <v>806.57535727064601</v>
      </c>
      <c r="O65" s="247">
        <v>831.12718630736492</v>
      </c>
      <c r="P65" s="247">
        <v>838.1082503252909</v>
      </c>
      <c r="Q65" s="247">
        <v>786.02277469756348</v>
      </c>
      <c r="R65" s="247">
        <v>804</v>
      </c>
      <c r="S65" s="247">
        <v>807.95965486482407</v>
      </c>
      <c r="T65" s="247">
        <v>892.75741715873789</v>
      </c>
      <c r="U65" s="247">
        <v>909.30164824843382</v>
      </c>
      <c r="V65" s="247">
        <v>850.66898554852628</v>
      </c>
      <c r="W65" s="247">
        <v>878.4264017882598</v>
      </c>
      <c r="X65" s="247">
        <v>921.79406320234284</v>
      </c>
      <c r="Y65" s="247">
        <v>976.74097496461945</v>
      </c>
      <c r="Z65" s="247">
        <v>980.71837789958261</v>
      </c>
      <c r="AA65" s="247">
        <v>981.79749017135885</v>
      </c>
      <c r="AB65" s="247">
        <v>1058.1016216541464</v>
      </c>
      <c r="AC65" s="247">
        <v>1069.1944398204669</v>
      </c>
      <c r="AD65" s="247">
        <v>1069.9591741783256</v>
      </c>
      <c r="AE65" s="247">
        <v>1126.3801068463974</v>
      </c>
      <c r="AF65" s="247">
        <v>1111.7788724979287</v>
      </c>
      <c r="AG65" s="247">
        <v>1078.4552103660669</v>
      </c>
      <c r="AH65" s="247">
        <v>1113.0236356542664</v>
      </c>
    </row>
    <row r="66" spans="1:34" s="84" customFormat="1" ht="18" thickTop="1" x14ac:dyDescent="0.3">
      <c r="A66" s="248" t="s">
        <v>337</v>
      </c>
      <c r="B66" s="249"/>
      <c r="C66" s="249"/>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row>
    <row r="67" spans="1:34" s="84" customFormat="1" ht="18" thickBot="1" x14ac:dyDescent="0.35">
      <c r="A67" s="248"/>
      <c r="B67" s="249"/>
      <c r="C67" s="249"/>
      <c r="D67" s="250"/>
      <c r="E67" s="250"/>
      <c r="F67" s="250"/>
      <c r="G67" s="250"/>
      <c r="H67" s="250"/>
      <c r="I67" s="250"/>
      <c r="J67" s="250"/>
      <c r="K67" s="250"/>
      <c r="L67" s="250"/>
      <c r="M67" s="88"/>
      <c r="N67" s="88"/>
      <c r="O67" s="88"/>
      <c r="P67" s="88"/>
      <c r="Q67" s="88"/>
      <c r="R67" s="88"/>
      <c r="S67" s="88"/>
      <c r="T67" s="88"/>
      <c r="U67" s="88"/>
      <c r="V67" s="88"/>
      <c r="W67" s="88"/>
      <c r="X67" s="88"/>
      <c r="Y67" s="88"/>
      <c r="Z67" s="88"/>
      <c r="AA67" s="88"/>
      <c r="AB67" s="88"/>
      <c r="AC67" s="88"/>
      <c r="AD67" s="88"/>
      <c r="AE67" s="88"/>
      <c r="AF67" s="88"/>
      <c r="AG67" s="88"/>
      <c r="AH67" s="88" t="s">
        <v>8</v>
      </c>
    </row>
    <row r="68" spans="1:34" s="84" customFormat="1" ht="21" customHeight="1" thickTop="1" thickBot="1" x14ac:dyDescent="0.35">
      <c r="A68" s="251" t="s">
        <v>338</v>
      </c>
      <c r="B68" s="252">
        <v>43404</v>
      </c>
      <c r="C68" s="252">
        <v>43434</v>
      </c>
      <c r="D68" s="253">
        <v>43465</v>
      </c>
      <c r="E68" s="225" t="s">
        <v>392</v>
      </c>
      <c r="F68" s="253">
        <v>43524</v>
      </c>
      <c r="G68" s="253">
        <v>43555</v>
      </c>
      <c r="H68" s="253">
        <v>43585</v>
      </c>
      <c r="I68" s="253">
        <v>43616</v>
      </c>
      <c r="J68" s="225">
        <v>43646</v>
      </c>
      <c r="K68" s="225">
        <v>43677</v>
      </c>
      <c r="L68" s="225">
        <v>43708</v>
      </c>
      <c r="M68" s="225">
        <v>43738</v>
      </c>
      <c r="N68" s="225">
        <v>43769</v>
      </c>
      <c r="O68" s="225">
        <v>43799</v>
      </c>
      <c r="P68" s="225">
        <v>43830</v>
      </c>
      <c r="Q68" s="225">
        <v>43861</v>
      </c>
      <c r="R68" s="254" t="s">
        <v>174</v>
      </c>
      <c r="S68" s="254" t="s">
        <v>140</v>
      </c>
      <c r="T68" s="254" t="s">
        <v>412</v>
      </c>
      <c r="U68" s="254" t="s">
        <v>141</v>
      </c>
      <c r="V68" s="254">
        <v>44012</v>
      </c>
      <c r="W68" s="254">
        <v>44043</v>
      </c>
      <c r="X68" s="254">
        <v>44074</v>
      </c>
      <c r="Y68" s="254">
        <v>44104</v>
      </c>
      <c r="Z68" s="254">
        <v>44135</v>
      </c>
      <c r="AA68" s="254">
        <v>44165</v>
      </c>
      <c r="AB68" s="254">
        <v>44196</v>
      </c>
      <c r="AC68" s="254">
        <v>44227</v>
      </c>
      <c r="AD68" s="254">
        <v>44255</v>
      </c>
      <c r="AE68" s="254">
        <v>44286</v>
      </c>
      <c r="AF68" s="254">
        <v>44316</v>
      </c>
      <c r="AG68" s="254">
        <v>44347</v>
      </c>
      <c r="AH68" s="254">
        <v>44377</v>
      </c>
    </row>
    <row r="69" spans="1:34" s="84" customFormat="1" ht="18" thickTop="1" x14ac:dyDescent="0.3">
      <c r="A69" s="187" t="s">
        <v>339</v>
      </c>
      <c r="B69" s="235">
        <v>2768.5121417164846</v>
      </c>
      <c r="C69" s="236">
        <v>2900.2070490928049</v>
      </c>
      <c r="D69" s="237">
        <v>3016.8562111851979</v>
      </c>
      <c r="E69" s="237">
        <v>2948.9768716175536</v>
      </c>
      <c r="F69" s="237">
        <v>2864.5377498028142</v>
      </c>
      <c r="G69" s="237">
        <v>2880.3809256666104</v>
      </c>
      <c r="H69" s="237">
        <v>3564.1434693661004</v>
      </c>
      <c r="I69" s="237">
        <v>3485.8303772557201</v>
      </c>
      <c r="J69" s="237">
        <v>3000.7260748703566</v>
      </c>
      <c r="K69" s="237">
        <v>3172.782385761157</v>
      </c>
      <c r="L69" s="237">
        <v>2856.5097372505261</v>
      </c>
      <c r="M69" s="237">
        <v>3001.7373633614784</v>
      </c>
      <c r="N69" s="237">
        <v>3004.4796035352379</v>
      </c>
      <c r="O69" s="237">
        <v>3239.9103726817361</v>
      </c>
      <c r="P69" s="237">
        <v>3452.1531829052497</v>
      </c>
      <c r="Q69" s="237">
        <v>3261.5227342159196</v>
      </c>
      <c r="R69" s="237">
        <v>3138</v>
      </c>
      <c r="S69" s="237">
        <v>3722.2575140118856</v>
      </c>
      <c r="T69" s="237">
        <v>3270.0816655019212</v>
      </c>
      <c r="U69" s="237">
        <v>2749.2618413770051</v>
      </c>
      <c r="V69" s="237">
        <v>2700.2238497938433</v>
      </c>
      <c r="W69" s="237">
        <v>2722.1665027899458</v>
      </c>
      <c r="X69" s="237">
        <v>2927.4645011685488</v>
      </c>
      <c r="Y69" s="237">
        <v>2325.5364759644654</v>
      </c>
      <c r="Z69" s="237">
        <v>2391.6102913618033</v>
      </c>
      <c r="AA69" s="237">
        <v>2425.9925858510219</v>
      </c>
      <c r="AB69" s="237">
        <v>2410.224351236292</v>
      </c>
      <c r="AC69" s="237">
        <v>2338.330496450666</v>
      </c>
      <c r="AD69" s="237">
        <v>2343.1582609658922</v>
      </c>
      <c r="AE69" s="237">
        <v>2365.2609550168695</v>
      </c>
      <c r="AF69" s="237">
        <v>2328.5503083919607</v>
      </c>
      <c r="AG69" s="237">
        <v>2221.0189459199746</v>
      </c>
      <c r="AH69" s="237">
        <v>2152.8634960419417</v>
      </c>
    </row>
    <row r="70" spans="1:34" s="84" customFormat="1" ht="15.75" customHeight="1" x14ac:dyDescent="0.3">
      <c r="A70" s="189" t="s">
        <v>340</v>
      </c>
      <c r="B70" s="238">
        <v>775.61798527999997</v>
      </c>
      <c r="C70" s="239">
        <v>775.1922413100001</v>
      </c>
      <c r="D70" s="240">
        <v>777.40931433000003</v>
      </c>
      <c r="E70" s="240">
        <v>767.22818126000004</v>
      </c>
      <c r="F70" s="240">
        <v>753.93314114999998</v>
      </c>
      <c r="G70" s="240">
        <v>754.63944513000001</v>
      </c>
      <c r="H70" s="240">
        <v>812.90443923999999</v>
      </c>
      <c r="I70" s="240">
        <v>807.12868035999998</v>
      </c>
      <c r="J70" s="240">
        <v>823.64883978</v>
      </c>
      <c r="K70" s="240">
        <v>859.83854622000001</v>
      </c>
      <c r="L70" s="240">
        <v>846.63696895999999</v>
      </c>
      <c r="M70" s="240">
        <v>851.21896079999999</v>
      </c>
      <c r="N70" s="240">
        <v>922.92527984999992</v>
      </c>
      <c r="O70" s="240">
        <v>923.49960835000013</v>
      </c>
      <c r="P70" s="240">
        <v>927.36373035999998</v>
      </c>
      <c r="Q70" s="240">
        <v>936.65212425000004</v>
      </c>
      <c r="R70" s="240">
        <v>938</v>
      </c>
      <c r="S70" s="240">
        <v>956.89488877999997</v>
      </c>
      <c r="T70" s="240">
        <v>969.04638056999988</v>
      </c>
      <c r="U70" s="240">
        <v>935.28331177000007</v>
      </c>
      <c r="V70" s="240">
        <v>944.80694749999998</v>
      </c>
      <c r="W70" s="240">
        <v>969.80502476000004</v>
      </c>
      <c r="X70" s="240">
        <v>976.10490385999992</v>
      </c>
      <c r="Y70" s="240">
        <v>967.20038748000002</v>
      </c>
      <c r="Z70" s="240">
        <v>925.29982473999996</v>
      </c>
      <c r="AA70" s="240">
        <v>913.79471250999995</v>
      </c>
      <c r="AB70" s="240">
        <v>920.85854840000013</v>
      </c>
      <c r="AC70" s="240">
        <v>911.88043506999998</v>
      </c>
      <c r="AD70" s="240">
        <v>901.02560799000003</v>
      </c>
      <c r="AE70" s="240">
        <v>895.25044114000002</v>
      </c>
      <c r="AF70" s="240">
        <v>890.16681334999998</v>
      </c>
      <c r="AG70" s="240">
        <v>897.86527916</v>
      </c>
      <c r="AH70" s="240">
        <v>614.26932185999988</v>
      </c>
    </row>
    <row r="71" spans="1:34" s="84" customFormat="1" ht="15.75" customHeight="1" x14ac:dyDescent="0.3">
      <c r="A71" s="255" t="s">
        <v>341</v>
      </c>
      <c r="B71" s="238">
        <v>250.5124572</v>
      </c>
      <c r="C71" s="239">
        <v>256.28397602999996</v>
      </c>
      <c r="D71" s="240">
        <v>236.71544947000001</v>
      </c>
      <c r="E71" s="240">
        <v>260.73204059</v>
      </c>
      <c r="F71" s="240">
        <v>263.65285599000003</v>
      </c>
      <c r="G71" s="240">
        <v>265.99052308999995</v>
      </c>
      <c r="H71" s="240">
        <v>271.45901932999999</v>
      </c>
      <c r="I71" s="240">
        <v>274.52494490999999</v>
      </c>
      <c r="J71" s="240">
        <v>270.72897452000007</v>
      </c>
      <c r="K71" s="240">
        <v>201.84693806000001</v>
      </c>
      <c r="L71" s="240">
        <v>208.49066536999999</v>
      </c>
      <c r="M71" s="240">
        <v>223.49361134999995</v>
      </c>
      <c r="N71" s="240">
        <v>226.54096943999997</v>
      </c>
      <c r="O71" s="240">
        <v>227.26395092999996</v>
      </c>
      <c r="P71" s="240">
        <v>207.46484647</v>
      </c>
      <c r="Q71" s="240">
        <v>207.170467</v>
      </c>
      <c r="R71" s="240">
        <v>209</v>
      </c>
      <c r="S71" s="240">
        <v>208.47990227</v>
      </c>
      <c r="T71" s="240">
        <v>208.97890383999999</v>
      </c>
      <c r="U71" s="240">
        <v>210.05846843999998</v>
      </c>
      <c r="V71" s="240">
        <v>211.92540763</v>
      </c>
      <c r="W71" s="240">
        <v>212.31438685999998</v>
      </c>
      <c r="X71" s="240">
        <v>214.15910960999994</v>
      </c>
      <c r="Y71" s="240">
        <v>209.35079618999995</v>
      </c>
      <c r="Z71" s="240">
        <v>212.48142607</v>
      </c>
      <c r="AA71" s="240">
        <v>212.87600277000001</v>
      </c>
      <c r="AB71" s="240">
        <v>211.02562740000002</v>
      </c>
      <c r="AC71" s="240">
        <v>211.64275679999997</v>
      </c>
      <c r="AD71" s="240">
        <v>210.13429385999999</v>
      </c>
      <c r="AE71" s="240">
        <v>207.88267201000002</v>
      </c>
      <c r="AF71" s="240">
        <v>208.10559496000002</v>
      </c>
      <c r="AG71" s="240">
        <v>200.28839649</v>
      </c>
      <c r="AH71" s="240">
        <v>201.75356842000002</v>
      </c>
    </row>
    <row r="72" spans="1:34" s="84" customFormat="1" ht="15.75" customHeight="1" x14ac:dyDescent="0.3">
      <c r="A72" s="189" t="s">
        <v>342</v>
      </c>
      <c r="B72" s="238">
        <v>16.73095519</v>
      </c>
      <c r="C72" s="239">
        <v>15.930482289999999</v>
      </c>
      <c r="D72" s="240">
        <v>15.904865060000001</v>
      </c>
      <c r="E72" s="240">
        <v>16.30869461</v>
      </c>
      <c r="F72" s="240">
        <v>16.558436789999998</v>
      </c>
      <c r="G72" s="240">
        <v>15.022977979999999</v>
      </c>
      <c r="H72" s="240">
        <v>14.706792650000002</v>
      </c>
      <c r="I72" s="240">
        <v>11.691440319999998</v>
      </c>
      <c r="J72" s="240">
        <v>11.593181269999999</v>
      </c>
      <c r="K72" s="240">
        <v>10.346237350000001</v>
      </c>
      <c r="L72" s="240">
        <v>10.11654311</v>
      </c>
      <c r="M72" s="240">
        <v>10.726471310000001</v>
      </c>
      <c r="N72" s="240">
        <v>9.0316912799999987</v>
      </c>
      <c r="O72" s="240">
        <v>7.2547528200000002</v>
      </c>
      <c r="P72" s="240">
        <v>133.54397635999999</v>
      </c>
      <c r="Q72" s="240">
        <v>157.0260907</v>
      </c>
      <c r="R72" s="240">
        <v>88</v>
      </c>
      <c r="S72" s="240">
        <v>72.947123330000011</v>
      </c>
      <c r="T72" s="240">
        <v>73.399406690000006</v>
      </c>
      <c r="U72" s="240">
        <v>4.7239749800000004</v>
      </c>
      <c r="V72" s="240">
        <v>10.214740599999999</v>
      </c>
      <c r="W72" s="240">
        <v>4.7047030199999993</v>
      </c>
      <c r="X72" s="240">
        <v>99.288502940000001</v>
      </c>
      <c r="Y72" s="240">
        <v>90.023444549999994</v>
      </c>
      <c r="Z72" s="240">
        <v>113.68741107</v>
      </c>
      <c r="AA72" s="240">
        <v>65.221567880000009</v>
      </c>
      <c r="AB72" s="240">
        <v>83.493815730000009</v>
      </c>
      <c r="AC72" s="240">
        <v>132.79299082</v>
      </c>
      <c r="AD72" s="240">
        <v>133.13688956999999</v>
      </c>
      <c r="AE72" s="240">
        <v>132.54700377</v>
      </c>
      <c r="AF72" s="240">
        <v>135.32533310999997</v>
      </c>
      <c r="AG72" s="240">
        <v>135.79928240000001</v>
      </c>
      <c r="AH72" s="240">
        <v>205.69837826000003</v>
      </c>
    </row>
    <row r="73" spans="1:34" s="84" customFormat="1" ht="15.75" customHeight="1" x14ac:dyDescent="0.3">
      <c r="A73" s="189" t="s">
        <v>343</v>
      </c>
      <c r="B73" s="238">
        <v>1230.9719081264843</v>
      </c>
      <c r="C73" s="239">
        <v>1237.5294444928049</v>
      </c>
      <c r="D73" s="240">
        <v>1443.7463754851981</v>
      </c>
      <c r="E73" s="240">
        <v>1374.7540298675538</v>
      </c>
      <c r="F73" s="240">
        <v>1284.1143380018973</v>
      </c>
      <c r="G73" s="240">
        <v>1278.6448935763235</v>
      </c>
      <c r="H73" s="240">
        <v>1320.5760173671995</v>
      </c>
      <c r="I73" s="240">
        <v>1233.1072665344554</v>
      </c>
      <c r="J73" s="240">
        <v>749.72287513429274</v>
      </c>
      <c r="K73" s="240">
        <v>965.48654654876452</v>
      </c>
      <c r="L73" s="240">
        <v>657.48240753681819</v>
      </c>
      <c r="M73" s="240">
        <v>791.763493759737</v>
      </c>
      <c r="N73" s="240">
        <v>706.32270960896426</v>
      </c>
      <c r="O73" s="240">
        <v>948.90263712276248</v>
      </c>
      <c r="P73" s="240">
        <v>1081.3183266424242</v>
      </c>
      <c r="Q73" s="240">
        <v>839.04314464839501</v>
      </c>
      <c r="R73" s="240">
        <v>751</v>
      </c>
      <c r="S73" s="240">
        <v>1303.4179735844784</v>
      </c>
      <c r="T73" s="240">
        <v>821.54091733659925</v>
      </c>
      <c r="U73" s="240">
        <v>407.05192002302624</v>
      </c>
      <c r="V73" s="240">
        <v>357.90057310793372</v>
      </c>
      <c r="W73" s="240">
        <v>344.02252206205941</v>
      </c>
      <c r="X73" s="240">
        <v>439.37120655332683</v>
      </c>
      <c r="Y73" s="240">
        <v>474.64055937649454</v>
      </c>
      <c r="Z73" s="240">
        <v>558.63969656531901</v>
      </c>
      <c r="AA73" s="240">
        <v>640.37252082274426</v>
      </c>
      <c r="AB73" s="240">
        <v>610.98343291747904</v>
      </c>
      <c r="AC73" s="240">
        <v>508.93171907846232</v>
      </c>
      <c r="AD73" s="240">
        <v>525.394377722066</v>
      </c>
      <c r="AE73" s="240">
        <v>688.66723014471165</v>
      </c>
      <c r="AF73" s="240">
        <v>646.97636073491788</v>
      </c>
      <c r="AG73" s="240">
        <v>537.88429022172295</v>
      </c>
      <c r="AH73" s="240">
        <v>678.9634257845496</v>
      </c>
    </row>
    <row r="74" spans="1:34" s="84" customFormat="1" ht="15.75" customHeight="1" x14ac:dyDescent="0.3">
      <c r="A74" s="189" t="s">
        <v>344</v>
      </c>
      <c r="B74" s="238">
        <v>403.84955013999996</v>
      </c>
      <c r="C74" s="239">
        <v>411.70845238999999</v>
      </c>
      <c r="D74" s="240">
        <v>348.26765365</v>
      </c>
      <c r="E74" s="240">
        <v>338.16866047000002</v>
      </c>
      <c r="F74" s="240">
        <v>348.11914607999904</v>
      </c>
      <c r="G74" s="240">
        <v>360.68007355999998</v>
      </c>
      <c r="H74" s="240">
        <v>939.17504153999994</v>
      </c>
      <c r="I74" s="240">
        <v>951.83037141000011</v>
      </c>
      <c r="J74" s="240">
        <v>954.10243352000009</v>
      </c>
      <c r="K74" s="240">
        <v>974.79302808</v>
      </c>
      <c r="L74" s="240">
        <v>973.4222116799998</v>
      </c>
      <c r="M74" s="240">
        <v>955.12761432000013</v>
      </c>
      <c r="N74" s="240">
        <v>969.61226958999987</v>
      </c>
      <c r="O74" s="240">
        <v>962.05729120000001</v>
      </c>
      <c r="P74" s="240">
        <v>931.48849087999997</v>
      </c>
      <c r="Q74" s="240">
        <v>946.77371268000002</v>
      </c>
      <c r="R74" s="240">
        <v>975</v>
      </c>
      <c r="S74" s="240">
        <v>1004.6872676600001</v>
      </c>
      <c r="T74" s="240">
        <v>1016.25949337</v>
      </c>
      <c r="U74" s="240">
        <v>1012.4168901499999</v>
      </c>
      <c r="V74" s="240">
        <v>1006.7512443200001</v>
      </c>
      <c r="W74" s="240">
        <v>1029.28300657</v>
      </c>
      <c r="X74" s="240">
        <v>1038.8996598799999</v>
      </c>
      <c r="Y74" s="240">
        <v>424.57077001000005</v>
      </c>
      <c r="Z74" s="240">
        <v>407.02997682904339</v>
      </c>
      <c r="AA74" s="240">
        <v>419.30891600991032</v>
      </c>
      <c r="AB74" s="240">
        <v>414.448663021242</v>
      </c>
      <c r="AC74" s="240">
        <v>405.6793076693678</v>
      </c>
      <c r="AD74" s="240">
        <v>405.16453012167204</v>
      </c>
      <c r="AE74" s="240">
        <v>334.36166676215828</v>
      </c>
      <c r="AF74" s="240">
        <v>283.58345293704258</v>
      </c>
      <c r="AG74" s="240">
        <v>282.268639338252</v>
      </c>
      <c r="AH74" s="240">
        <v>281.47121635739234</v>
      </c>
    </row>
    <row r="75" spans="1:34" s="84" customFormat="1" ht="15.75" customHeight="1" x14ac:dyDescent="0.3">
      <c r="A75" s="189" t="s">
        <v>345</v>
      </c>
      <c r="B75" s="238">
        <v>90.829285780000006</v>
      </c>
      <c r="C75" s="239">
        <v>203.56245257999998</v>
      </c>
      <c r="D75" s="240">
        <v>194.81255318999999</v>
      </c>
      <c r="E75" s="240">
        <v>191.78526481999998</v>
      </c>
      <c r="F75" s="240">
        <v>198.15983179091756</v>
      </c>
      <c r="G75" s="240">
        <v>205.40301233028697</v>
      </c>
      <c r="H75" s="240">
        <v>205.32215923890095</v>
      </c>
      <c r="I75" s="240">
        <v>207.5476737212646</v>
      </c>
      <c r="J75" s="240">
        <v>190.92977064606393</v>
      </c>
      <c r="K75" s="240">
        <v>160.4710895023922</v>
      </c>
      <c r="L75" s="240">
        <v>160.36094059370765</v>
      </c>
      <c r="M75" s="240">
        <v>169.4072118217411</v>
      </c>
      <c r="N75" s="240">
        <v>170.0466837662741</v>
      </c>
      <c r="O75" s="240">
        <v>170.93213225897333</v>
      </c>
      <c r="P75" s="240">
        <v>170.97381219282576</v>
      </c>
      <c r="Q75" s="240">
        <v>174.85719493752455</v>
      </c>
      <c r="R75" s="240">
        <v>177</v>
      </c>
      <c r="S75" s="240">
        <v>175.83035838740659</v>
      </c>
      <c r="T75" s="240">
        <v>180.85656369532182</v>
      </c>
      <c r="U75" s="240">
        <v>179.72727601397821</v>
      </c>
      <c r="V75" s="240">
        <v>168.62493663590971</v>
      </c>
      <c r="W75" s="240">
        <v>162.03685951788643</v>
      </c>
      <c r="X75" s="240">
        <v>159.64111832522244</v>
      </c>
      <c r="Y75" s="240">
        <v>159.75051835797021</v>
      </c>
      <c r="Z75" s="240">
        <v>174.47195608744127</v>
      </c>
      <c r="AA75" s="240">
        <v>174.41886585836721</v>
      </c>
      <c r="AB75" s="240">
        <v>169.41426376757073</v>
      </c>
      <c r="AC75" s="240">
        <v>167.40328701283622</v>
      </c>
      <c r="AD75" s="240">
        <v>168.30256170215455</v>
      </c>
      <c r="AE75" s="240">
        <v>106.55194118999999</v>
      </c>
      <c r="AF75" s="240">
        <v>164.39275329999998</v>
      </c>
      <c r="AG75" s="240">
        <v>166.91305831</v>
      </c>
      <c r="AH75" s="240">
        <v>170.70758536</v>
      </c>
    </row>
    <row r="76" spans="1:34" s="84" customFormat="1" ht="17.25" x14ac:dyDescent="0.3">
      <c r="A76" s="187" t="s">
        <v>346</v>
      </c>
      <c r="B76" s="256">
        <v>14016.483559145596</v>
      </c>
      <c r="C76" s="236">
        <v>13832.027679637218</v>
      </c>
      <c r="D76" s="237">
        <v>13054.165974237629</v>
      </c>
      <c r="E76" s="237">
        <v>12917.141639846024</v>
      </c>
      <c r="F76" s="237">
        <v>13493.708766612968</v>
      </c>
      <c r="G76" s="237">
        <v>13709.306785392579</v>
      </c>
      <c r="H76" s="237">
        <v>13387.453674932174</v>
      </c>
      <c r="I76" s="237">
        <v>13012.443493798475</v>
      </c>
      <c r="J76" s="237">
        <v>14542.993504490509</v>
      </c>
      <c r="K76" s="237">
        <v>14436.146967468307</v>
      </c>
      <c r="L76" s="237">
        <v>15641.227005508003</v>
      </c>
      <c r="M76" s="237">
        <v>15829.892703301246</v>
      </c>
      <c r="N76" s="237">
        <v>15931.26108158297</v>
      </c>
      <c r="O76" s="237">
        <v>16184.484829059378</v>
      </c>
      <c r="P76" s="237">
        <v>16271.864887986461</v>
      </c>
      <c r="Q76" s="237">
        <v>16314.31687421447</v>
      </c>
      <c r="R76" s="237">
        <v>16440</v>
      </c>
      <c r="S76" s="237">
        <v>16636.659172444968</v>
      </c>
      <c r="T76" s="237">
        <v>16844.975627926055</v>
      </c>
      <c r="U76" s="237">
        <v>16965.942705476169</v>
      </c>
      <c r="V76" s="237">
        <v>16968.417968745809</v>
      </c>
      <c r="W76" s="237">
        <v>17539.534458460559</v>
      </c>
      <c r="X76" s="237">
        <v>17649.898101594979</v>
      </c>
      <c r="Y76" s="237">
        <v>17826.183958267837</v>
      </c>
      <c r="Z76" s="237">
        <v>18082.529356959356</v>
      </c>
      <c r="AA76" s="237">
        <v>18222.323639940132</v>
      </c>
      <c r="AB76" s="237">
        <v>18524.224251554497</v>
      </c>
      <c r="AC76" s="237">
        <v>18431.175342205766</v>
      </c>
      <c r="AD76" s="237">
        <v>19071.831907100335</v>
      </c>
      <c r="AE76" s="237">
        <v>18880.962756097968</v>
      </c>
      <c r="AF76" s="237">
        <v>22755.045510936543</v>
      </c>
      <c r="AG76" s="237">
        <v>22772.414998467619</v>
      </c>
      <c r="AH76" s="237">
        <v>23006.543453143742</v>
      </c>
    </row>
    <row r="77" spans="1:34" s="84" customFormat="1" ht="17.25" x14ac:dyDescent="0.3">
      <c r="A77" s="187" t="s">
        <v>347</v>
      </c>
      <c r="B77" s="235">
        <v>3622.1856756967504</v>
      </c>
      <c r="C77" s="236">
        <v>3555.1045294714127</v>
      </c>
      <c r="D77" s="237">
        <v>3320.50109802103</v>
      </c>
      <c r="E77" s="237">
        <v>2950.9880445655831</v>
      </c>
      <c r="F77" s="237">
        <v>2395.6724086259837</v>
      </c>
      <c r="G77" s="237">
        <v>2253.7108650298223</v>
      </c>
      <c r="H77" s="237">
        <v>1916.3822133040233</v>
      </c>
      <c r="I77" s="237">
        <v>2010.9160564582783</v>
      </c>
      <c r="J77" s="237">
        <v>1890.0014816514674</v>
      </c>
      <c r="K77" s="237">
        <v>1780.9903104423838</v>
      </c>
      <c r="L77" s="237">
        <v>2091.173266460577</v>
      </c>
      <c r="M77" s="237">
        <v>1586.4483151318484</v>
      </c>
      <c r="N77" s="237">
        <v>1644.8618107349585</v>
      </c>
      <c r="O77" s="237">
        <v>1720.3215620571032</v>
      </c>
      <c r="P77" s="237">
        <v>1851.7628743980026</v>
      </c>
      <c r="Q77" s="237">
        <v>1833.1452465303403</v>
      </c>
      <c r="R77" s="237">
        <v>2019</v>
      </c>
      <c r="S77" s="237">
        <v>2034.9744039831678</v>
      </c>
      <c r="T77" s="237">
        <v>2117.933259885021</v>
      </c>
      <c r="U77" s="237">
        <v>2181.911456249989</v>
      </c>
      <c r="V77" s="237">
        <v>2489.5301849900006</v>
      </c>
      <c r="W77" s="237">
        <v>2482.6699483700017</v>
      </c>
      <c r="X77" s="237">
        <v>2373.5546708699999</v>
      </c>
      <c r="Y77" s="237">
        <v>2372.3978858407204</v>
      </c>
      <c r="Z77" s="237">
        <v>2524.1552849034756</v>
      </c>
      <c r="AA77" s="237">
        <v>2549.9535353864849</v>
      </c>
      <c r="AB77" s="237">
        <v>2586.8472115756244</v>
      </c>
      <c r="AC77" s="237">
        <v>2443.6403013104382</v>
      </c>
      <c r="AD77" s="237">
        <v>2391.0481770798319</v>
      </c>
      <c r="AE77" s="237">
        <v>2520.9265303365632</v>
      </c>
      <c r="AF77" s="237">
        <v>1947.6464616576957</v>
      </c>
      <c r="AG77" s="237">
        <v>1899.9359757000011</v>
      </c>
      <c r="AH77" s="237">
        <v>1915.916892417689</v>
      </c>
    </row>
    <row r="78" spans="1:34" s="84" customFormat="1" ht="17.25" x14ac:dyDescent="0.3">
      <c r="A78" s="189" t="s">
        <v>348</v>
      </c>
      <c r="B78" s="238">
        <v>231.01043298472894</v>
      </c>
      <c r="C78" s="239">
        <v>225.70717548470395</v>
      </c>
      <c r="D78" s="240">
        <v>228.27805297346137</v>
      </c>
      <c r="E78" s="240">
        <v>218.22555775561975</v>
      </c>
      <c r="F78" s="240">
        <v>251.05843959939892</v>
      </c>
      <c r="G78" s="240">
        <v>221.78688512952795</v>
      </c>
      <c r="H78" s="240">
        <v>370.71592675001142</v>
      </c>
      <c r="I78" s="240">
        <v>363.67530641606368</v>
      </c>
      <c r="J78" s="240">
        <v>361.05799170420983</v>
      </c>
      <c r="K78" s="240">
        <v>360.05030492434503</v>
      </c>
      <c r="L78" s="240">
        <v>358.84567154980601</v>
      </c>
      <c r="M78" s="240">
        <v>351.68800431095013</v>
      </c>
      <c r="N78" s="240">
        <v>340.92063920582518</v>
      </c>
      <c r="O78" s="240">
        <v>308.51626544419349</v>
      </c>
      <c r="P78" s="240">
        <v>321.25809224132172</v>
      </c>
      <c r="Q78" s="240">
        <v>327.48673714</v>
      </c>
      <c r="R78" s="240">
        <v>321</v>
      </c>
      <c r="S78" s="240">
        <v>315.60201279</v>
      </c>
      <c r="T78" s="240">
        <v>336.51630920999997</v>
      </c>
      <c r="U78" s="240">
        <v>327.53006358998999</v>
      </c>
      <c r="V78" s="240">
        <v>345.06032173000102</v>
      </c>
      <c r="W78" s="240">
        <v>359.07169764000201</v>
      </c>
      <c r="X78" s="240">
        <v>337.61051436000002</v>
      </c>
      <c r="Y78" s="240">
        <v>369.89224394999997</v>
      </c>
      <c r="Z78" s="240">
        <v>346.35795651000001</v>
      </c>
      <c r="AA78" s="240">
        <v>362.61148300999997</v>
      </c>
      <c r="AB78" s="240">
        <v>359.24243548000004</v>
      </c>
      <c r="AC78" s="240">
        <v>356.72122623000001</v>
      </c>
      <c r="AD78" s="240">
        <v>351.58536650000002</v>
      </c>
      <c r="AE78" s="240">
        <v>354.34890711999998</v>
      </c>
      <c r="AF78" s="240">
        <v>251.76661433999999</v>
      </c>
      <c r="AG78" s="240">
        <v>251.02053764000001</v>
      </c>
      <c r="AH78" s="240">
        <v>166.84467018999999</v>
      </c>
    </row>
    <row r="79" spans="1:34" s="84" customFormat="1" ht="17.25" x14ac:dyDescent="0.3">
      <c r="A79" s="189" t="s">
        <v>349</v>
      </c>
      <c r="B79" s="238">
        <v>2622.6922096520216</v>
      </c>
      <c r="C79" s="239">
        <v>2574.2388773567086</v>
      </c>
      <c r="D79" s="240">
        <v>2339.5853679675688</v>
      </c>
      <c r="E79" s="240">
        <v>1973.0899729699631</v>
      </c>
      <c r="F79" s="240">
        <v>1410.8610342865843</v>
      </c>
      <c r="G79" s="240">
        <v>1282.3625598002945</v>
      </c>
      <c r="H79" s="240">
        <v>1239.3539231040118</v>
      </c>
      <c r="I79" s="240">
        <v>1354.1566438222144</v>
      </c>
      <c r="J79" s="240">
        <v>1234.717400327258</v>
      </c>
      <c r="K79" s="240">
        <v>1113.9868535980386</v>
      </c>
      <c r="L79" s="240">
        <v>1413.1827343007706</v>
      </c>
      <c r="M79" s="240">
        <v>875.61388999089809</v>
      </c>
      <c r="N79" s="240">
        <v>930.61212002913305</v>
      </c>
      <c r="O79" s="240">
        <v>902.29623207290967</v>
      </c>
      <c r="P79" s="240">
        <v>1016.9366556266809</v>
      </c>
      <c r="Q79" s="240">
        <v>989.54171890034013</v>
      </c>
      <c r="R79" s="240">
        <v>1151</v>
      </c>
      <c r="S79" s="240">
        <v>1155.416708603168</v>
      </c>
      <c r="T79" s="240">
        <v>1213.6573697550209</v>
      </c>
      <c r="U79" s="240">
        <v>1199.5232335399999</v>
      </c>
      <c r="V79" s="240">
        <v>1458.9375791500001</v>
      </c>
      <c r="W79" s="240">
        <v>1430.5841434200001</v>
      </c>
      <c r="X79" s="240">
        <v>1387.5310737699999</v>
      </c>
      <c r="Y79" s="240">
        <v>1331.1593113507199</v>
      </c>
      <c r="Z79" s="240">
        <v>1510.4629502434757</v>
      </c>
      <c r="AA79" s="240">
        <v>1504.1377655364849</v>
      </c>
      <c r="AB79" s="240">
        <v>1523.6840246356248</v>
      </c>
      <c r="AC79" s="240">
        <v>1380.5523921704378</v>
      </c>
      <c r="AD79" s="240">
        <v>1398.7424254898322</v>
      </c>
      <c r="AE79" s="240">
        <v>1489.6391870865621</v>
      </c>
      <c r="AF79" s="240">
        <v>1289.6177639676951</v>
      </c>
      <c r="AG79" s="240">
        <v>1231.7581910700001</v>
      </c>
      <c r="AH79" s="240">
        <v>1209.4821566176888</v>
      </c>
    </row>
    <row r="80" spans="1:34" s="84" customFormat="1" ht="17.25" x14ac:dyDescent="0.3">
      <c r="A80" s="189" t="s">
        <v>350</v>
      </c>
      <c r="B80" s="238">
        <v>73.214730750000001</v>
      </c>
      <c r="C80" s="239">
        <v>52.620925160000006</v>
      </c>
      <c r="D80" s="240">
        <v>39.429345579999996</v>
      </c>
      <c r="E80" s="240">
        <v>40.77997079</v>
      </c>
      <c r="F80" s="240">
        <v>37.810613269999997</v>
      </c>
      <c r="G80" s="240">
        <v>53.708851609999996</v>
      </c>
      <c r="H80" s="240">
        <v>60.242617689999996</v>
      </c>
      <c r="I80" s="240">
        <v>57.767559649999995</v>
      </c>
      <c r="J80" s="240">
        <v>56.936301299999997</v>
      </c>
      <c r="K80" s="240">
        <v>52.897202150000005</v>
      </c>
      <c r="L80" s="240">
        <v>55.882452999999998</v>
      </c>
      <c r="M80" s="240">
        <v>50.552567159999995</v>
      </c>
      <c r="N80" s="240">
        <v>46.8322973</v>
      </c>
      <c r="O80" s="240">
        <v>48.286218679999998</v>
      </c>
      <c r="P80" s="240">
        <v>50.461594609999999</v>
      </c>
      <c r="Q80" s="240">
        <v>53.183537369999996</v>
      </c>
      <c r="R80" s="240">
        <v>61</v>
      </c>
      <c r="S80" s="240">
        <v>57.879829560000005</v>
      </c>
      <c r="T80" s="240">
        <v>64.041388389999995</v>
      </c>
      <c r="U80" s="240">
        <v>56.520673850000001</v>
      </c>
      <c r="V80" s="240">
        <v>62.630106600000005</v>
      </c>
      <c r="W80" s="240">
        <v>65.281049909999993</v>
      </c>
      <c r="X80" s="240">
        <v>65.37957415000001</v>
      </c>
      <c r="Y80" s="240">
        <v>67.460428329999999</v>
      </c>
      <c r="Z80" s="240">
        <v>59.823382869999996</v>
      </c>
      <c r="AA80" s="240">
        <v>67.943731070000013</v>
      </c>
      <c r="AB80" s="240">
        <v>64.565927279999997</v>
      </c>
      <c r="AC80" s="240">
        <v>63.522195549999999</v>
      </c>
      <c r="AD80" s="240">
        <v>62.420495290000005</v>
      </c>
      <c r="AE80" s="240">
        <v>65.230707409999994</v>
      </c>
      <c r="AF80" s="240">
        <v>61.087996689999997</v>
      </c>
      <c r="AG80" s="240">
        <v>68.932322150000005</v>
      </c>
      <c r="AH80" s="240">
        <v>105.05773098</v>
      </c>
    </row>
    <row r="81" spans="1:34" s="84" customFormat="1" ht="17.25" x14ac:dyDescent="0.3">
      <c r="A81" s="189" t="s">
        <v>351</v>
      </c>
      <c r="B81" s="238">
        <v>14.007833300000001</v>
      </c>
      <c r="C81" s="239">
        <v>14.670040419999998</v>
      </c>
      <c r="D81" s="240">
        <v>14.86773691</v>
      </c>
      <c r="E81" s="240">
        <v>13.50231393</v>
      </c>
      <c r="F81" s="240">
        <v>6.8043196500000001</v>
      </c>
      <c r="G81" s="240">
        <v>7.5746905600000005</v>
      </c>
      <c r="H81" s="240">
        <v>10.389419629999999</v>
      </c>
      <c r="I81" s="240">
        <v>8.524747060000001</v>
      </c>
      <c r="J81" s="240">
        <v>9.70926358</v>
      </c>
      <c r="K81" s="240">
        <v>8.8257014600000012</v>
      </c>
      <c r="L81" s="240">
        <v>9.1846387899999993</v>
      </c>
      <c r="M81" s="240">
        <v>9.0058675099999999</v>
      </c>
      <c r="N81" s="240">
        <v>6.5386222500000004</v>
      </c>
      <c r="O81" s="240">
        <v>5.1807066899999992</v>
      </c>
      <c r="P81" s="240">
        <v>8.3106228200000007</v>
      </c>
      <c r="Q81" s="240">
        <v>9.4594420699999997</v>
      </c>
      <c r="R81" s="240">
        <v>9</v>
      </c>
      <c r="S81" s="240">
        <v>10.775588490000001</v>
      </c>
      <c r="T81" s="240">
        <v>6.5230652100000004</v>
      </c>
      <c r="U81" s="240">
        <v>7.1049174500000003</v>
      </c>
      <c r="V81" s="240">
        <v>10.17810798</v>
      </c>
      <c r="W81" s="240">
        <v>10.870148940000002</v>
      </c>
      <c r="X81" s="240">
        <v>8.2667677899999994</v>
      </c>
      <c r="Y81" s="240">
        <v>4.4771826799999994</v>
      </c>
      <c r="Z81" s="240">
        <v>6.9531605000000001</v>
      </c>
      <c r="AA81" s="240">
        <v>5.7700131099999998</v>
      </c>
      <c r="AB81" s="240">
        <v>10.21300963</v>
      </c>
      <c r="AC81" s="240">
        <v>9.1596789899999997</v>
      </c>
      <c r="AD81" s="240">
        <v>6.8922611400000005</v>
      </c>
      <c r="AE81" s="240">
        <v>4.2879523800000001</v>
      </c>
      <c r="AF81" s="240">
        <v>7.22719983</v>
      </c>
      <c r="AG81" s="240">
        <v>5.4293217499999997</v>
      </c>
      <c r="AH81" s="240">
        <v>5.7631681700000001</v>
      </c>
    </row>
    <row r="82" spans="1:34" s="84" customFormat="1" ht="17.25" x14ac:dyDescent="0.3">
      <c r="A82" s="189" t="s">
        <v>352</v>
      </c>
      <c r="B82" s="238">
        <v>97.387107669999992</v>
      </c>
      <c r="C82" s="239">
        <v>90.277790120000006</v>
      </c>
      <c r="D82" s="240">
        <v>88.267082079999994</v>
      </c>
      <c r="E82" s="240">
        <v>91.098502819999993</v>
      </c>
      <c r="F82" s="240">
        <v>93.654553710000002</v>
      </c>
      <c r="G82" s="240">
        <v>92.479294870000004</v>
      </c>
      <c r="H82" s="240">
        <v>89.566909429999995</v>
      </c>
      <c r="I82" s="240">
        <v>91.146370079999997</v>
      </c>
      <c r="J82" s="240">
        <v>91.66910652</v>
      </c>
      <c r="K82" s="240">
        <v>96.310288909999997</v>
      </c>
      <c r="L82" s="240">
        <v>100.77097921000001</v>
      </c>
      <c r="M82" s="240">
        <v>100.19883498999999</v>
      </c>
      <c r="N82" s="240">
        <v>99.982802219999996</v>
      </c>
      <c r="O82" s="240">
        <v>93.321811690000004</v>
      </c>
      <c r="P82" s="240">
        <v>97.898222779999998</v>
      </c>
      <c r="Q82" s="240">
        <v>92.663571289999993</v>
      </c>
      <c r="R82" s="240">
        <v>89</v>
      </c>
      <c r="S82" s="240">
        <v>91.811482369999993</v>
      </c>
      <c r="T82" s="240">
        <v>88.294088119999998</v>
      </c>
      <c r="U82" s="240">
        <v>87.889925469999994</v>
      </c>
      <c r="V82" s="240">
        <v>81.835896050000002</v>
      </c>
      <c r="W82" s="240">
        <v>84.12332416000001</v>
      </c>
      <c r="X82" s="240">
        <v>86.241870480000003</v>
      </c>
      <c r="Y82" s="240">
        <v>85.781006120000001</v>
      </c>
      <c r="Z82" s="240">
        <v>82.486207960000002</v>
      </c>
      <c r="AA82" s="240">
        <v>81.276999539999991</v>
      </c>
      <c r="AB82" s="240">
        <v>83.902402850000016</v>
      </c>
      <c r="AC82" s="240">
        <v>82.627824230000002</v>
      </c>
      <c r="AD82" s="240">
        <v>87.478991950000008</v>
      </c>
      <c r="AE82" s="240">
        <v>85.940461219999989</v>
      </c>
      <c r="AF82" s="240">
        <v>84.587141479999985</v>
      </c>
      <c r="AG82" s="240">
        <v>90.322992249999999</v>
      </c>
      <c r="AH82" s="240">
        <v>86.684825200000006</v>
      </c>
    </row>
    <row r="83" spans="1:34" s="84" customFormat="1" ht="17.25" x14ac:dyDescent="0.3">
      <c r="A83" s="189" t="s">
        <v>353</v>
      </c>
      <c r="B83" s="238">
        <v>583.87336134000009</v>
      </c>
      <c r="C83" s="239">
        <v>597.58972093000011</v>
      </c>
      <c r="D83" s="240">
        <v>610.07351251</v>
      </c>
      <c r="E83" s="240">
        <v>614.29172630000005</v>
      </c>
      <c r="F83" s="240">
        <v>595.48344811000004</v>
      </c>
      <c r="G83" s="240">
        <v>595.79858306000006</v>
      </c>
      <c r="H83" s="240">
        <v>146.11341669999999</v>
      </c>
      <c r="I83" s="240">
        <v>135.64542943000001</v>
      </c>
      <c r="J83" s="240">
        <v>135.91141821999898</v>
      </c>
      <c r="K83" s="240">
        <v>148.91995940000001</v>
      </c>
      <c r="L83" s="240">
        <v>153.30678960999998</v>
      </c>
      <c r="M83" s="240">
        <v>199.38915117000002</v>
      </c>
      <c r="N83" s="240">
        <v>219.97532973</v>
      </c>
      <c r="O83" s="240">
        <v>362.72032748000004</v>
      </c>
      <c r="P83" s="240">
        <v>356.89768631999999</v>
      </c>
      <c r="Q83" s="240">
        <v>360.81023976</v>
      </c>
      <c r="R83" s="240">
        <v>387</v>
      </c>
      <c r="S83" s="240">
        <v>403.48878216999998</v>
      </c>
      <c r="T83" s="240">
        <v>408.90103920000001</v>
      </c>
      <c r="U83" s="240">
        <v>503.34264234999893</v>
      </c>
      <c r="V83" s="240">
        <v>530.88817347999998</v>
      </c>
      <c r="W83" s="240">
        <v>532.73958430000005</v>
      </c>
      <c r="X83" s="240">
        <v>488.52487031999999</v>
      </c>
      <c r="Y83" s="240">
        <v>513.62771340999996</v>
      </c>
      <c r="Z83" s="240">
        <v>518.07162682000001</v>
      </c>
      <c r="AA83" s="240">
        <v>528.21354312000005</v>
      </c>
      <c r="AB83" s="240">
        <v>545.23941170000001</v>
      </c>
      <c r="AC83" s="240">
        <v>551.05698413999983</v>
      </c>
      <c r="AD83" s="240">
        <v>483.92863670999998</v>
      </c>
      <c r="AE83" s="240">
        <v>521.47931512000093</v>
      </c>
      <c r="AF83" s="240">
        <v>253.35974535000102</v>
      </c>
      <c r="AG83" s="240">
        <v>252.47261084000101</v>
      </c>
      <c r="AH83" s="240">
        <v>342.08434126000003</v>
      </c>
    </row>
    <row r="84" spans="1:34" s="84" customFormat="1" ht="17.25" x14ac:dyDescent="0.3">
      <c r="A84" s="187" t="s">
        <v>354</v>
      </c>
      <c r="B84" s="235">
        <v>4750.8290667585643</v>
      </c>
      <c r="C84" s="236">
        <v>4831.7400407947416</v>
      </c>
      <c r="D84" s="237">
        <v>4735.6540993549061</v>
      </c>
      <c r="E84" s="237">
        <v>4585.674603561577</v>
      </c>
      <c r="F84" s="237">
        <v>4376.527378809762</v>
      </c>
      <c r="G84" s="237">
        <v>4430.7842093904255</v>
      </c>
      <c r="H84" s="237">
        <v>4354.7073448039109</v>
      </c>
      <c r="I84" s="237">
        <v>4399.8219113006762</v>
      </c>
      <c r="J84" s="237">
        <v>4415.2162853766877</v>
      </c>
      <c r="K84" s="237">
        <v>4416.3779241202756</v>
      </c>
      <c r="L84" s="237">
        <v>4460.767777686754</v>
      </c>
      <c r="M84" s="237">
        <v>4512.1174207604699</v>
      </c>
      <c r="N84" s="237">
        <v>4429.6594329756699</v>
      </c>
      <c r="O84" s="237">
        <v>4364.210422825382</v>
      </c>
      <c r="P84" s="237">
        <v>4394.0427824351282</v>
      </c>
      <c r="Q84" s="237">
        <v>4443.5970413757932</v>
      </c>
      <c r="R84" s="237">
        <v>4645</v>
      </c>
      <c r="S84" s="237">
        <v>4655.7270097857081</v>
      </c>
      <c r="T84" s="237">
        <v>4690.941049906417</v>
      </c>
      <c r="U84" s="237">
        <v>4699.4606518831006</v>
      </c>
      <c r="V84" s="237">
        <v>4919.1803682813079</v>
      </c>
      <c r="W84" s="237">
        <v>4877.6031592052213</v>
      </c>
      <c r="X84" s="237">
        <v>4967.3395627003329</v>
      </c>
      <c r="Y84" s="237">
        <v>4963.2101042374443</v>
      </c>
      <c r="Z84" s="237">
        <v>4902.4168744752187</v>
      </c>
      <c r="AA84" s="237">
        <v>4974.9858572523117</v>
      </c>
      <c r="AB84" s="237">
        <v>5024.9421323928482</v>
      </c>
      <c r="AC84" s="237">
        <v>4900.8671665660986</v>
      </c>
      <c r="AD84" s="237">
        <v>7180.5948444919568</v>
      </c>
      <c r="AE84" s="237">
        <v>4468.8579578013732</v>
      </c>
      <c r="AF84" s="237">
        <v>2725.5668727500952</v>
      </c>
      <c r="AG84" s="237">
        <v>2408.6953841782797</v>
      </c>
      <c r="AH84" s="237">
        <v>2519.8500406022977</v>
      </c>
    </row>
    <row r="85" spans="1:34" s="84" customFormat="1" ht="17.25" x14ac:dyDescent="0.3">
      <c r="A85" s="189" t="s">
        <v>355</v>
      </c>
      <c r="B85" s="238">
        <v>897.78639792000013</v>
      </c>
      <c r="C85" s="239">
        <v>917.90160922000007</v>
      </c>
      <c r="D85" s="240">
        <v>929.12326751000012</v>
      </c>
      <c r="E85" s="240">
        <v>884.44455290999997</v>
      </c>
      <c r="F85" s="240">
        <v>939.11635990000002</v>
      </c>
      <c r="G85" s="240">
        <v>931.02090552999994</v>
      </c>
      <c r="H85" s="240">
        <v>926.35888463000003</v>
      </c>
      <c r="I85" s="240">
        <v>964.44093307999992</v>
      </c>
      <c r="J85" s="240">
        <v>940.29080826000006</v>
      </c>
      <c r="K85" s="240">
        <v>1048.7294110799999</v>
      </c>
      <c r="L85" s="240">
        <v>1079.9360459700001</v>
      </c>
      <c r="M85" s="240">
        <v>1123.3115463299998</v>
      </c>
      <c r="N85" s="240">
        <v>1074.6192702499991</v>
      </c>
      <c r="O85" s="240">
        <v>1110.1525378400002</v>
      </c>
      <c r="P85" s="240">
        <v>1081.49816319</v>
      </c>
      <c r="Q85" s="240">
        <v>1076.6237138299998</v>
      </c>
      <c r="R85" s="240">
        <v>1218</v>
      </c>
      <c r="S85" s="240">
        <v>1222.39263082</v>
      </c>
      <c r="T85" s="240">
        <v>1195.5583256800001</v>
      </c>
      <c r="U85" s="240">
        <v>1196.19824722</v>
      </c>
      <c r="V85" s="240">
        <v>1376.1112304600001</v>
      </c>
      <c r="W85" s="240">
        <v>1193.3328509400001</v>
      </c>
      <c r="X85" s="240">
        <v>1186.94073149</v>
      </c>
      <c r="Y85" s="240">
        <v>1190.9892231299998</v>
      </c>
      <c r="Z85" s="240">
        <v>1165.1530920499999</v>
      </c>
      <c r="AA85" s="240">
        <v>1162.12527591</v>
      </c>
      <c r="AB85" s="240">
        <v>1157.8905846800001</v>
      </c>
      <c r="AC85" s="240">
        <v>1145.88509552</v>
      </c>
      <c r="AD85" s="240">
        <v>1127.1320921999998</v>
      </c>
      <c r="AE85" s="240">
        <v>1126.6541293399998</v>
      </c>
      <c r="AF85" s="240">
        <v>978.02667348</v>
      </c>
      <c r="AG85" s="240">
        <v>965.89013484999998</v>
      </c>
      <c r="AH85" s="240">
        <v>1088.1556843699998</v>
      </c>
    </row>
    <row r="86" spans="1:34" s="84" customFormat="1" ht="17.25" x14ac:dyDescent="0.3">
      <c r="A86" s="189" t="s">
        <v>356</v>
      </c>
      <c r="B86" s="238">
        <v>2.0391060699999999</v>
      </c>
      <c r="C86" s="239">
        <v>1.9495328399999998</v>
      </c>
      <c r="D86" s="240">
        <v>0.60937330000000001</v>
      </c>
      <c r="E86" s="240">
        <v>0.24278323000000002</v>
      </c>
      <c r="F86" s="240">
        <v>2.4378461200000001</v>
      </c>
      <c r="G86" s="240">
        <v>3.3579647299999995</v>
      </c>
      <c r="H86" s="240">
        <v>8.2406152600000002</v>
      </c>
      <c r="I86" s="240">
        <v>8.2135818699999987</v>
      </c>
      <c r="J86" s="240">
        <v>8.3241847999999994</v>
      </c>
      <c r="K86" s="240">
        <v>8.0739075099999997</v>
      </c>
      <c r="L86" s="240">
        <v>9.6505650500000009</v>
      </c>
      <c r="M86" s="240">
        <v>9.3797539499999996</v>
      </c>
      <c r="N86" s="240">
        <v>8.9407027100000001</v>
      </c>
      <c r="O86" s="240">
        <v>9.4153176599999995</v>
      </c>
      <c r="P86" s="240">
        <v>9.292908409999999</v>
      </c>
      <c r="Q86" s="240">
        <v>8.1952424100000005</v>
      </c>
      <c r="R86" s="240">
        <v>8</v>
      </c>
      <c r="S86" s="240">
        <v>7.7903841299999996</v>
      </c>
      <c r="T86" s="240">
        <v>8.170227370000001</v>
      </c>
      <c r="U86" s="240">
        <v>14.542499293411861</v>
      </c>
      <c r="V86" s="240">
        <v>13.58480957154778</v>
      </c>
      <c r="W86" s="240">
        <v>12.315196642884242</v>
      </c>
      <c r="X86" s="240">
        <v>11.552343434893411</v>
      </c>
      <c r="Y86" s="240">
        <v>10.8861371004704</v>
      </c>
      <c r="Z86" s="240">
        <v>9.4495369962717994</v>
      </c>
      <c r="AA86" s="240">
        <v>11.074076604701519</v>
      </c>
      <c r="AB86" s="240">
        <v>12.65968279067687</v>
      </c>
      <c r="AC86" s="240">
        <v>13.387519397334469</v>
      </c>
      <c r="AD86" s="240">
        <v>12.71391927265423</v>
      </c>
      <c r="AE86" s="240">
        <v>13.198311873263201</v>
      </c>
      <c r="AF86" s="240">
        <v>12.1830712358105</v>
      </c>
      <c r="AG86" s="240">
        <v>13.819734206644</v>
      </c>
      <c r="AH86" s="240">
        <v>9.0492012063391982</v>
      </c>
    </row>
    <row r="87" spans="1:34" s="84" customFormat="1" ht="17.25" x14ac:dyDescent="0.3">
      <c r="A87" s="189" t="s">
        <v>357</v>
      </c>
      <c r="B87" s="238">
        <v>707.36644527516864</v>
      </c>
      <c r="C87" s="239">
        <v>706.38003038496788</v>
      </c>
      <c r="D87" s="240">
        <v>699.18219595781102</v>
      </c>
      <c r="E87" s="240">
        <v>708.25280252663447</v>
      </c>
      <c r="F87" s="240">
        <v>456.89657968487762</v>
      </c>
      <c r="G87" s="240">
        <v>498.33067586753617</v>
      </c>
      <c r="H87" s="240">
        <v>433.0787094978262</v>
      </c>
      <c r="I87" s="240">
        <v>423.1654711910694</v>
      </c>
      <c r="J87" s="240">
        <v>428.4874636661707</v>
      </c>
      <c r="K87" s="240">
        <v>446.82778394838755</v>
      </c>
      <c r="L87" s="240">
        <v>432.76092661352033</v>
      </c>
      <c r="M87" s="240">
        <v>492.6050031945166</v>
      </c>
      <c r="N87" s="240">
        <v>413.99019712431567</v>
      </c>
      <c r="O87" s="240">
        <v>441.57848155735502</v>
      </c>
      <c r="P87" s="240">
        <v>462.4409699676267</v>
      </c>
      <c r="Q87" s="240">
        <v>478.34758616889172</v>
      </c>
      <c r="R87" s="240">
        <v>546</v>
      </c>
      <c r="S87" s="240">
        <v>595.33012119353941</v>
      </c>
      <c r="T87" s="240">
        <v>610.28073278052818</v>
      </c>
      <c r="U87" s="240">
        <v>608.01989650011001</v>
      </c>
      <c r="V87" s="240">
        <v>618.09235725204155</v>
      </c>
      <c r="W87" s="240">
        <v>632.61129047695567</v>
      </c>
      <c r="X87" s="240">
        <v>652.0580201764102</v>
      </c>
      <c r="Y87" s="240">
        <v>666.65363553291729</v>
      </c>
      <c r="Z87" s="240">
        <v>655.30250948392825</v>
      </c>
      <c r="AA87" s="240">
        <v>673.48121987082459</v>
      </c>
      <c r="AB87" s="240">
        <v>662.05491978533576</v>
      </c>
      <c r="AC87" s="240">
        <v>670.94200959674845</v>
      </c>
      <c r="AD87" s="240">
        <v>706.37301738191024</v>
      </c>
      <c r="AE87" s="240">
        <v>608.59577606033758</v>
      </c>
      <c r="AF87" s="240">
        <v>598.20317988900081</v>
      </c>
      <c r="AG87" s="240">
        <v>610.204797459975</v>
      </c>
      <c r="AH87" s="240">
        <v>653.33077623755571</v>
      </c>
    </row>
    <row r="88" spans="1:34" s="84" customFormat="1" ht="17.25" x14ac:dyDescent="0.3">
      <c r="A88" s="189" t="s">
        <v>358</v>
      </c>
      <c r="B88" s="238">
        <v>116.5242267</v>
      </c>
      <c r="C88" s="239">
        <v>111.94069625</v>
      </c>
      <c r="D88" s="240">
        <v>42.945483719999999</v>
      </c>
      <c r="E88" s="240">
        <v>41.503882060000002</v>
      </c>
      <c r="F88" s="240">
        <v>43.331386649999999</v>
      </c>
      <c r="G88" s="240">
        <v>39.139712029999998</v>
      </c>
      <c r="H88" s="240">
        <v>44.465784530000001</v>
      </c>
      <c r="I88" s="240">
        <v>34.77216301</v>
      </c>
      <c r="J88" s="240">
        <v>41.871732649999998</v>
      </c>
      <c r="K88" s="240">
        <v>40.050147010000003</v>
      </c>
      <c r="L88" s="240">
        <v>34.53631506</v>
      </c>
      <c r="M88" s="240">
        <v>30.986262670000002</v>
      </c>
      <c r="N88" s="240">
        <v>29.090104380000003</v>
      </c>
      <c r="O88" s="240">
        <v>37.642404509999999</v>
      </c>
      <c r="P88" s="240">
        <v>32.667780919999998</v>
      </c>
      <c r="Q88" s="240">
        <v>40.186201830000002</v>
      </c>
      <c r="R88" s="240">
        <v>36</v>
      </c>
      <c r="S88" s="240">
        <v>45.235719100000004</v>
      </c>
      <c r="T88" s="240">
        <v>34.938905720000001</v>
      </c>
      <c r="U88" s="240">
        <v>31.304904060000002</v>
      </c>
      <c r="V88" s="240">
        <v>32.392677059999997</v>
      </c>
      <c r="W88" s="240">
        <v>26.851128469999999</v>
      </c>
      <c r="X88" s="240">
        <v>24.319345529999996</v>
      </c>
      <c r="Y88" s="240">
        <v>28.003286929999998</v>
      </c>
      <c r="Z88" s="240">
        <v>28.96787011</v>
      </c>
      <c r="AA88" s="240">
        <v>33.995688350000002</v>
      </c>
      <c r="AB88" s="240">
        <v>47.240680670000003</v>
      </c>
      <c r="AC88" s="240">
        <v>41.672618499999999</v>
      </c>
      <c r="AD88" s="240">
        <v>39.068093399999995</v>
      </c>
      <c r="AE88" s="240">
        <v>40.715877879999994</v>
      </c>
      <c r="AF88" s="240">
        <v>39.51570692</v>
      </c>
      <c r="AG88" s="240">
        <v>62.474407819999996</v>
      </c>
      <c r="AH88" s="240">
        <v>71.251757569999995</v>
      </c>
    </row>
    <row r="89" spans="1:34" s="84" customFormat="1" ht="17.25" x14ac:dyDescent="0.3">
      <c r="A89" s="189" t="s">
        <v>359</v>
      </c>
      <c r="B89" s="238">
        <v>84.029160139999988</v>
      </c>
      <c r="C89" s="239">
        <v>83.32705464</v>
      </c>
      <c r="D89" s="240">
        <v>68.371613060000001</v>
      </c>
      <c r="E89" s="240">
        <v>63.012376400000008</v>
      </c>
      <c r="F89" s="240">
        <v>60.658251840000005</v>
      </c>
      <c r="G89" s="240">
        <v>63.684182999999997</v>
      </c>
      <c r="H89" s="240">
        <v>65.1529089</v>
      </c>
      <c r="I89" s="240">
        <v>63.831390180000007</v>
      </c>
      <c r="J89" s="240">
        <v>64.10505929</v>
      </c>
      <c r="K89" s="240">
        <v>67.850538880000002</v>
      </c>
      <c r="L89" s="240">
        <v>66.582431470000003</v>
      </c>
      <c r="M89" s="240">
        <v>65.568573709999995</v>
      </c>
      <c r="N89" s="240">
        <v>69.197873670000007</v>
      </c>
      <c r="O89" s="240">
        <v>65.24837488</v>
      </c>
      <c r="P89" s="240">
        <v>67.540155549999994</v>
      </c>
      <c r="Q89" s="240">
        <v>67.253084162788895</v>
      </c>
      <c r="R89" s="240">
        <v>78</v>
      </c>
      <c r="S89" s="240">
        <v>81.453596055754375</v>
      </c>
      <c r="T89" s="240">
        <v>81.485748376841514</v>
      </c>
      <c r="U89" s="240">
        <v>82.963411550539121</v>
      </c>
      <c r="V89" s="240">
        <v>82.302767367229748</v>
      </c>
      <c r="W89" s="240">
        <v>90.878742088772071</v>
      </c>
      <c r="X89" s="240">
        <v>94.821014312508083</v>
      </c>
      <c r="Y89" s="240">
        <v>93.170602958385814</v>
      </c>
      <c r="Z89" s="240">
        <v>99.327185150712339</v>
      </c>
      <c r="AA89" s="240">
        <v>105.3395488814552</v>
      </c>
      <c r="AB89" s="240">
        <v>97.391507345739754</v>
      </c>
      <c r="AC89" s="240">
        <v>95.412130496209883</v>
      </c>
      <c r="AD89" s="240">
        <v>106.7013291613605</v>
      </c>
      <c r="AE89" s="240">
        <v>99.764113206354878</v>
      </c>
      <c r="AF89" s="240">
        <v>86.877425859649662</v>
      </c>
      <c r="AG89" s="240">
        <v>86.184957540747007</v>
      </c>
      <c r="AH89" s="240">
        <v>121.98770000143314</v>
      </c>
    </row>
    <row r="90" spans="1:34" s="84" customFormat="1" ht="17.25" x14ac:dyDescent="0.3">
      <c r="A90" s="189" t="s">
        <v>360</v>
      </c>
      <c r="B90" s="238">
        <v>2943.0837306533949</v>
      </c>
      <c r="C90" s="239">
        <v>3010.2411174597742</v>
      </c>
      <c r="D90" s="240">
        <v>2995.4221658070951</v>
      </c>
      <c r="E90" s="240">
        <v>2888.2182064349427</v>
      </c>
      <c r="F90" s="240">
        <v>2874.0869546148842</v>
      </c>
      <c r="G90" s="240">
        <v>2895.2507682328892</v>
      </c>
      <c r="H90" s="240">
        <v>2877.4104419860851</v>
      </c>
      <c r="I90" s="240">
        <v>2905.3983719696075</v>
      </c>
      <c r="J90" s="240">
        <v>2932.1370367105169</v>
      </c>
      <c r="K90" s="240">
        <v>2804.8461356918879</v>
      </c>
      <c r="L90" s="240">
        <v>2837.3014935232341</v>
      </c>
      <c r="M90" s="240">
        <v>2790.2662809059534</v>
      </c>
      <c r="N90" s="240">
        <v>2833.8212848413555</v>
      </c>
      <c r="O90" s="240">
        <v>2700.173306378028</v>
      </c>
      <c r="P90" s="240">
        <v>2740.6028043975016</v>
      </c>
      <c r="Q90" s="240">
        <v>2772.9912129741128</v>
      </c>
      <c r="R90" s="240">
        <v>2760</v>
      </c>
      <c r="S90" s="240">
        <v>2703.5245584864142</v>
      </c>
      <c r="T90" s="240">
        <v>2760.5071099790466</v>
      </c>
      <c r="U90" s="240">
        <v>2766.43169325904</v>
      </c>
      <c r="V90" s="240">
        <v>2796.6965265704894</v>
      </c>
      <c r="W90" s="240">
        <v>2921.6139505866086</v>
      </c>
      <c r="X90" s="240">
        <v>2997.6481077565209</v>
      </c>
      <c r="Y90" s="240">
        <v>2973.5072185856707</v>
      </c>
      <c r="Z90" s="240">
        <v>2944.2166806843061</v>
      </c>
      <c r="AA90" s="240">
        <v>2988.9700476353305</v>
      </c>
      <c r="AB90" s="240">
        <v>3047.7047571210951</v>
      </c>
      <c r="AC90" s="240">
        <v>2933.5677930558054</v>
      </c>
      <c r="AD90" s="240">
        <v>5188.606393076032</v>
      </c>
      <c r="AE90" s="240">
        <v>2579.9297494414177</v>
      </c>
      <c r="AF90" s="240">
        <v>1010.7608153656348</v>
      </c>
      <c r="AG90" s="240">
        <v>670.12135230091405</v>
      </c>
      <c r="AH90" s="240">
        <v>576.07492121697021</v>
      </c>
    </row>
    <row r="91" spans="1:34" s="84" customFormat="1" ht="17.25" x14ac:dyDescent="0.3">
      <c r="A91" s="187" t="s">
        <v>361</v>
      </c>
      <c r="B91" s="235">
        <v>1198.9722477481389</v>
      </c>
      <c r="C91" s="236">
        <v>1206.7208284166536</v>
      </c>
      <c r="D91" s="237">
        <v>1242.0332390300002</v>
      </c>
      <c r="E91" s="237">
        <v>1220.4205975299999</v>
      </c>
      <c r="F91" s="237">
        <v>1212.8522091799998</v>
      </c>
      <c r="G91" s="237">
        <v>1207.3114739099999</v>
      </c>
      <c r="H91" s="237">
        <v>1173.5182279600001</v>
      </c>
      <c r="I91" s="237">
        <v>1177.01094644</v>
      </c>
      <c r="J91" s="237">
        <v>1183.61637952</v>
      </c>
      <c r="K91" s="237">
        <v>1191.7840735999998</v>
      </c>
      <c r="L91" s="237">
        <v>1173.4994562899999</v>
      </c>
      <c r="M91" s="237">
        <v>1162.0022747200001</v>
      </c>
      <c r="N91" s="237">
        <v>1172.1327933699999</v>
      </c>
      <c r="O91" s="237">
        <v>1161.0589610900001</v>
      </c>
      <c r="P91" s="237">
        <v>1172.8917102400001</v>
      </c>
      <c r="Q91" s="237">
        <v>1149.87555202</v>
      </c>
      <c r="R91" s="237">
        <v>1175</v>
      </c>
      <c r="S91" s="237">
        <v>1191.98213573</v>
      </c>
      <c r="T91" s="237">
        <v>1185.24509646</v>
      </c>
      <c r="U91" s="237">
        <v>1182.8907609300002</v>
      </c>
      <c r="V91" s="237">
        <v>1121.7663914000002</v>
      </c>
      <c r="W91" s="237">
        <v>1118.0905055200001</v>
      </c>
      <c r="X91" s="237">
        <v>1118.57693735</v>
      </c>
      <c r="Y91" s="237">
        <v>1122.9791891399998</v>
      </c>
      <c r="Z91" s="237">
        <v>1116.2918105199999</v>
      </c>
      <c r="AA91" s="237">
        <v>1112.4926204099997</v>
      </c>
      <c r="AB91" s="237">
        <v>1120.3092196800001</v>
      </c>
      <c r="AC91" s="237">
        <v>1100.92073813</v>
      </c>
      <c r="AD91" s="237">
        <v>1132.3158338500002</v>
      </c>
      <c r="AE91" s="237">
        <v>1139.2509441200002</v>
      </c>
      <c r="AF91" s="237">
        <v>1125.1119416199999</v>
      </c>
      <c r="AG91" s="237">
        <v>1128.0793008700002</v>
      </c>
      <c r="AH91" s="237">
        <v>1093.3292602399999</v>
      </c>
    </row>
    <row r="92" spans="1:34" s="84" customFormat="1" ht="17.25" x14ac:dyDescent="0.3">
      <c r="A92" s="189" t="s">
        <v>362</v>
      </c>
      <c r="B92" s="238">
        <v>115.27252138</v>
      </c>
      <c r="C92" s="239">
        <v>124.42809394</v>
      </c>
      <c r="D92" s="240">
        <v>112.00596852</v>
      </c>
      <c r="E92" s="240">
        <v>121.29385818</v>
      </c>
      <c r="F92" s="240">
        <v>120.70950309999999</v>
      </c>
      <c r="G92" s="240">
        <v>127.98534345</v>
      </c>
      <c r="H92" s="240">
        <v>127.03370808</v>
      </c>
      <c r="I92" s="240">
        <v>127.51675046</v>
      </c>
      <c r="J92" s="240">
        <v>128.25556170000002</v>
      </c>
      <c r="K92" s="240">
        <v>132.51207950999998</v>
      </c>
      <c r="L92" s="240">
        <v>131.72863250999998</v>
      </c>
      <c r="M92" s="240">
        <v>119.27840032</v>
      </c>
      <c r="N92" s="240">
        <v>119.68321983</v>
      </c>
      <c r="O92" s="240">
        <v>132.8970727</v>
      </c>
      <c r="P92" s="240">
        <v>133.23064553</v>
      </c>
      <c r="Q92" s="240">
        <v>131.40027744</v>
      </c>
      <c r="R92" s="240">
        <v>130</v>
      </c>
      <c r="S92" s="240">
        <v>129.70001532999999</v>
      </c>
      <c r="T92" s="240">
        <v>129.07231254000001</v>
      </c>
      <c r="U92" s="240">
        <v>127.47674846000001</v>
      </c>
      <c r="V92" s="240">
        <v>136.20900207</v>
      </c>
      <c r="W92" s="240">
        <v>139.3569641</v>
      </c>
      <c r="X92" s="240">
        <v>137.35504935</v>
      </c>
      <c r="Y92" s="240">
        <v>137.53980372999999</v>
      </c>
      <c r="Z92" s="240">
        <v>135.78806968999999</v>
      </c>
      <c r="AA92" s="240">
        <v>134.12795410999999</v>
      </c>
      <c r="AB92" s="240">
        <v>135.42150240999999</v>
      </c>
      <c r="AC92" s="240">
        <v>133.98294858</v>
      </c>
      <c r="AD92" s="240">
        <v>132.58466200999999</v>
      </c>
      <c r="AE92" s="240">
        <v>143.39203412999998</v>
      </c>
      <c r="AF92" s="240">
        <v>142.14169509000001</v>
      </c>
      <c r="AG92" s="240">
        <v>141.31797324000001</v>
      </c>
      <c r="AH92" s="240">
        <v>141.29891526</v>
      </c>
    </row>
    <row r="93" spans="1:34" s="84" customFormat="1" ht="17.25" x14ac:dyDescent="0.3">
      <c r="A93" s="189" t="s">
        <v>363</v>
      </c>
      <c r="B93" s="238">
        <v>180.67773067813889</v>
      </c>
      <c r="C93" s="239">
        <v>179.99926637665379</v>
      </c>
      <c r="D93" s="240">
        <v>203.84719863999999</v>
      </c>
      <c r="E93" s="240">
        <v>202.59770900000001</v>
      </c>
      <c r="F93" s="240">
        <v>200.85179880000001</v>
      </c>
      <c r="G93" s="240">
        <v>201.35907596999999</v>
      </c>
      <c r="H93" s="240">
        <v>200.1232143</v>
      </c>
      <c r="I93" s="240">
        <v>200.18041590999999</v>
      </c>
      <c r="J93" s="240">
        <v>199.89508910000001</v>
      </c>
      <c r="K93" s="240">
        <v>210.54515116000002</v>
      </c>
      <c r="L93" s="240">
        <v>208.25001987000002</v>
      </c>
      <c r="M93" s="240">
        <v>216.24837832999998</v>
      </c>
      <c r="N93" s="240">
        <v>229.04212312000001</v>
      </c>
      <c r="O93" s="240">
        <v>226.24812668999999</v>
      </c>
      <c r="P93" s="240">
        <v>230.65142306000001</v>
      </c>
      <c r="Q93" s="240">
        <v>193.47472622000001</v>
      </c>
      <c r="R93" s="240">
        <v>203</v>
      </c>
      <c r="S93" s="240">
        <v>211.93967125</v>
      </c>
      <c r="T93" s="240">
        <v>212.3912239</v>
      </c>
      <c r="U93" s="240">
        <v>211.93224819</v>
      </c>
      <c r="V93" s="240">
        <v>210.87296698000003</v>
      </c>
      <c r="W93" s="240">
        <v>215.06362045</v>
      </c>
      <c r="X93" s="240">
        <v>207.71581815000002</v>
      </c>
      <c r="Y93" s="240">
        <v>207.71991863</v>
      </c>
      <c r="Z93" s="240">
        <v>205.90324040000002</v>
      </c>
      <c r="AA93" s="240">
        <v>202.96397052</v>
      </c>
      <c r="AB93" s="240">
        <v>206.35035854000003</v>
      </c>
      <c r="AC93" s="240">
        <v>214.01311914999999</v>
      </c>
      <c r="AD93" s="240">
        <v>211.65633120999999</v>
      </c>
      <c r="AE93" s="240">
        <v>213.51127359999998</v>
      </c>
      <c r="AF93" s="240">
        <v>210.34707935</v>
      </c>
      <c r="AG93" s="240">
        <v>208.92850467</v>
      </c>
      <c r="AH93" s="240">
        <v>206.33295270999997</v>
      </c>
    </row>
    <row r="94" spans="1:34" s="84" customFormat="1" ht="17.25" x14ac:dyDescent="0.3">
      <c r="A94" s="189" t="s">
        <v>364</v>
      </c>
      <c r="B94" s="238">
        <v>601.0366318099999</v>
      </c>
      <c r="C94" s="239">
        <v>596.56513855999992</v>
      </c>
      <c r="D94" s="240">
        <v>603.03403987000002</v>
      </c>
      <c r="E94" s="240">
        <v>597.81503897000005</v>
      </c>
      <c r="F94" s="240">
        <v>596.96874378999996</v>
      </c>
      <c r="G94" s="240">
        <v>599.47326662</v>
      </c>
      <c r="H94" s="240">
        <v>564.21523355999989</v>
      </c>
      <c r="I94" s="240">
        <v>561.88215632000004</v>
      </c>
      <c r="J94" s="240">
        <v>560.85747159999994</v>
      </c>
      <c r="K94" s="240">
        <v>557.85522730999992</v>
      </c>
      <c r="L94" s="240">
        <v>547.69432147999999</v>
      </c>
      <c r="M94" s="240">
        <v>549.52636900999994</v>
      </c>
      <c r="N94" s="240">
        <v>537.68327481999995</v>
      </c>
      <c r="O94" s="240">
        <v>505.84393560999996</v>
      </c>
      <c r="P94" s="240">
        <v>504.73322657</v>
      </c>
      <c r="Q94" s="240">
        <v>494.19538882999996</v>
      </c>
      <c r="R94" s="240">
        <v>500</v>
      </c>
      <c r="S94" s="240">
        <v>515.77646691999996</v>
      </c>
      <c r="T94" s="240">
        <v>509.95039658000002</v>
      </c>
      <c r="U94" s="240">
        <v>514.53670518000001</v>
      </c>
      <c r="V94" s="240">
        <v>437.40131772000001</v>
      </c>
      <c r="W94" s="240">
        <v>423.66925272000003</v>
      </c>
      <c r="X94" s="240">
        <v>424.61905292999995</v>
      </c>
      <c r="Y94" s="240">
        <v>425.82399248000002</v>
      </c>
      <c r="Z94" s="240">
        <v>416.04315413</v>
      </c>
      <c r="AA94" s="240">
        <v>414.50075373000004</v>
      </c>
      <c r="AB94" s="240">
        <v>412.14656841999999</v>
      </c>
      <c r="AC94" s="240">
        <v>399.87705648999997</v>
      </c>
      <c r="AD94" s="240">
        <v>397.27758842999998</v>
      </c>
      <c r="AE94" s="240">
        <v>397.62400686000001</v>
      </c>
      <c r="AF94" s="240">
        <v>388.42959319000005</v>
      </c>
      <c r="AG94" s="240">
        <v>390.07531412999998</v>
      </c>
      <c r="AH94" s="240">
        <v>357.67640828999998</v>
      </c>
    </row>
    <row r="95" spans="1:34" s="84" customFormat="1" ht="17.25" x14ac:dyDescent="0.3">
      <c r="A95" s="189" t="s">
        <v>365</v>
      </c>
      <c r="B95" s="238">
        <v>254.99875416999996</v>
      </c>
      <c r="C95" s="239">
        <v>257.80863546</v>
      </c>
      <c r="D95" s="240">
        <v>252.28236833</v>
      </c>
      <c r="E95" s="240">
        <v>228.89098423999997</v>
      </c>
      <c r="F95" s="240">
        <v>225.10205770000002</v>
      </c>
      <c r="G95" s="240">
        <v>215.33380713</v>
      </c>
      <c r="H95" s="240">
        <v>219.57987753999998</v>
      </c>
      <c r="I95" s="240">
        <v>226.34401070000001</v>
      </c>
      <c r="J95" s="240">
        <v>232.90834913</v>
      </c>
      <c r="K95" s="240">
        <v>238.18888127999998</v>
      </c>
      <c r="L95" s="240">
        <v>232.36095010999998</v>
      </c>
      <c r="M95" s="240">
        <v>228.60931556</v>
      </c>
      <c r="N95" s="240">
        <v>235.13968419</v>
      </c>
      <c r="O95" s="240">
        <v>242.9619653</v>
      </c>
      <c r="P95" s="240">
        <v>251.59415559000001</v>
      </c>
      <c r="Q95" s="240">
        <v>243.92323575</v>
      </c>
      <c r="R95" s="240">
        <v>255</v>
      </c>
      <c r="S95" s="240">
        <v>248.00359700000001</v>
      </c>
      <c r="T95" s="240">
        <v>247.59032933999998</v>
      </c>
      <c r="U95" s="240">
        <v>239.92320131</v>
      </c>
      <c r="V95" s="240">
        <v>246.49111336000001</v>
      </c>
      <c r="W95" s="240">
        <v>249.24390212</v>
      </c>
      <c r="X95" s="240">
        <v>254.66402196000001</v>
      </c>
      <c r="Y95" s="240">
        <v>257.88521825999999</v>
      </c>
      <c r="Z95" s="240">
        <v>265.03558929000002</v>
      </c>
      <c r="AA95" s="240">
        <v>267.94706818000003</v>
      </c>
      <c r="AB95" s="240">
        <v>273.80471265000006</v>
      </c>
      <c r="AC95" s="240">
        <v>262.06457383000003</v>
      </c>
      <c r="AD95" s="240">
        <v>301.71252272000004</v>
      </c>
      <c r="AE95" s="240">
        <v>295.76698894999998</v>
      </c>
      <c r="AF95" s="240">
        <v>291.36943772000001</v>
      </c>
      <c r="AG95" s="240">
        <v>294.01260641000005</v>
      </c>
      <c r="AH95" s="240">
        <v>294.55202133</v>
      </c>
    </row>
    <row r="96" spans="1:34" s="84" customFormat="1" ht="17.25" x14ac:dyDescent="0.3">
      <c r="A96" s="189" t="s">
        <v>366</v>
      </c>
      <c r="B96" s="238">
        <v>46.986609709999996</v>
      </c>
      <c r="C96" s="239">
        <v>47.919694079999999</v>
      </c>
      <c r="D96" s="240">
        <v>70.863663670000008</v>
      </c>
      <c r="E96" s="240">
        <v>69.823007140000001</v>
      </c>
      <c r="F96" s="240">
        <v>69.220105790000005</v>
      </c>
      <c r="G96" s="240">
        <v>63.159980740000002</v>
      </c>
      <c r="H96" s="240">
        <v>62.56619448</v>
      </c>
      <c r="I96" s="240">
        <v>61.087613049999995</v>
      </c>
      <c r="J96" s="240">
        <v>61.699907989999993</v>
      </c>
      <c r="K96" s="240">
        <v>52.682734339999996</v>
      </c>
      <c r="L96" s="240">
        <v>53.465532320000001</v>
      </c>
      <c r="M96" s="240">
        <v>48.339811500000003</v>
      </c>
      <c r="N96" s="240">
        <v>50.584491410000005</v>
      </c>
      <c r="O96" s="240">
        <v>53.107860790000004</v>
      </c>
      <c r="P96" s="240">
        <v>52.68225949</v>
      </c>
      <c r="Q96" s="240">
        <v>86.88192377999998</v>
      </c>
      <c r="R96" s="240">
        <v>86</v>
      </c>
      <c r="S96" s="240">
        <v>86.56238522999999</v>
      </c>
      <c r="T96" s="240">
        <v>86.240834100000001</v>
      </c>
      <c r="U96" s="240">
        <v>89.021857789999999</v>
      </c>
      <c r="V96" s="240">
        <v>90.791991269999997</v>
      </c>
      <c r="W96" s="240">
        <v>90.756766129999988</v>
      </c>
      <c r="X96" s="240">
        <v>94.222994959999994</v>
      </c>
      <c r="Y96" s="240">
        <v>94.010256039999987</v>
      </c>
      <c r="Z96" s="240">
        <v>93.521757010000002</v>
      </c>
      <c r="AA96" s="240">
        <v>92.952873870000005</v>
      </c>
      <c r="AB96" s="240">
        <v>92.586077660000001</v>
      </c>
      <c r="AC96" s="240">
        <v>90.983040079999995</v>
      </c>
      <c r="AD96" s="240">
        <v>89.084729479999993</v>
      </c>
      <c r="AE96" s="240">
        <v>88.956640580000013</v>
      </c>
      <c r="AF96" s="240">
        <v>92.824136269999997</v>
      </c>
      <c r="AG96" s="240">
        <v>93.744902420000003</v>
      </c>
      <c r="AH96" s="240">
        <v>93.468962650000009</v>
      </c>
    </row>
    <row r="97" spans="1:2005" s="84" customFormat="1" ht="17.25" x14ac:dyDescent="0.3">
      <c r="A97" s="187" t="s">
        <v>367</v>
      </c>
      <c r="B97" s="235">
        <v>304.69558275000003</v>
      </c>
      <c r="C97" s="236">
        <v>300.37714884000002</v>
      </c>
      <c r="D97" s="237">
        <v>332.88160106999999</v>
      </c>
      <c r="E97" s="237">
        <v>319.64084076999995</v>
      </c>
      <c r="F97" s="237">
        <v>277.95334107999997</v>
      </c>
      <c r="G97" s="237">
        <v>308.66915324000001</v>
      </c>
      <c r="H97" s="237">
        <v>731.32644420000008</v>
      </c>
      <c r="I97" s="237">
        <v>730.29076631000021</v>
      </c>
      <c r="J97" s="237">
        <v>723.30159024999989</v>
      </c>
      <c r="K97" s="237">
        <v>738.39291130999993</v>
      </c>
      <c r="L97" s="237">
        <v>753.05859494000003</v>
      </c>
      <c r="M97" s="237">
        <v>730.62024424000094</v>
      </c>
      <c r="N97" s="237">
        <v>751.78762297999992</v>
      </c>
      <c r="O97" s="237">
        <v>806.84337547999996</v>
      </c>
      <c r="P97" s="237">
        <v>817.84299290000001</v>
      </c>
      <c r="Q97" s="237">
        <v>813.32287893000012</v>
      </c>
      <c r="R97" s="237">
        <v>846</v>
      </c>
      <c r="S97" s="237">
        <v>876.61261027999797</v>
      </c>
      <c r="T97" s="237">
        <v>887.51210380999999</v>
      </c>
      <c r="U97" s="237">
        <v>899.44059964999997</v>
      </c>
      <c r="V97" s="237">
        <v>912.60302328</v>
      </c>
      <c r="W97" s="237">
        <v>931.27013339999996</v>
      </c>
      <c r="X97" s="237">
        <v>940.91422799999998</v>
      </c>
      <c r="Y97" s="237">
        <v>935.83959533000007</v>
      </c>
      <c r="Z97" s="237">
        <v>1014.73653348</v>
      </c>
      <c r="AA97" s="237">
        <v>1067.1250059700001</v>
      </c>
      <c r="AB97" s="237">
        <v>1124.98194339</v>
      </c>
      <c r="AC97" s="237">
        <v>1124.0055019200001</v>
      </c>
      <c r="AD97" s="237">
        <v>1228.5926582100001</v>
      </c>
      <c r="AE97" s="237">
        <v>1242.5902098900001</v>
      </c>
      <c r="AF97" s="237">
        <v>1271.9247596100001</v>
      </c>
      <c r="AG97" s="237">
        <v>1297.7704063799999</v>
      </c>
      <c r="AH97" s="237">
        <v>1609.0216872299998</v>
      </c>
    </row>
    <row r="98" spans="1:2005" s="84" customFormat="1" ht="17.25" x14ac:dyDescent="0.3">
      <c r="A98" s="189" t="s">
        <v>368</v>
      </c>
      <c r="B98" s="238">
        <v>279.48106758000006</v>
      </c>
      <c r="C98" s="239">
        <v>273.99688928</v>
      </c>
      <c r="D98" s="240">
        <v>276.79939337000002</v>
      </c>
      <c r="E98" s="240">
        <v>264.61982850999999</v>
      </c>
      <c r="F98" s="240">
        <v>256.72105005000003</v>
      </c>
      <c r="G98" s="240">
        <v>282.05754899999999</v>
      </c>
      <c r="H98" s="240">
        <v>704.55506718999982</v>
      </c>
      <c r="I98" s="240">
        <v>708.22447202000012</v>
      </c>
      <c r="J98" s="240">
        <v>697.51944897999988</v>
      </c>
      <c r="K98" s="240">
        <v>706.57764734999989</v>
      </c>
      <c r="L98" s="240">
        <v>729.94084442999997</v>
      </c>
      <c r="M98" s="240">
        <v>710.2349762900011</v>
      </c>
      <c r="N98" s="240">
        <v>723.5777425</v>
      </c>
      <c r="O98" s="240">
        <v>726.63339428000006</v>
      </c>
      <c r="P98" s="240">
        <v>708.66899586999989</v>
      </c>
      <c r="Q98" s="240">
        <v>708.56145293000009</v>
      </c>
      <c r="R98" s="240">
        <v>706</v>
      </c>
      <c r="S98" s="240">
        <v>725.48496748999787</v>
      </c>
      <c r="T98" s="240">
        <v>723.10605453000005</v>
      </c>
      <c r="U98" s="240">
        <v>727.91141333999997</v>
      </c>
      <c r="V98" s="240">
        <v>716.15697751000005</v>
      </c>
      <c r="W98" s="240">
        <v>725.23768406000011</v>
      </c>
      <c r="X98" s="240">
        <v>702.26976203999993</v>
      </c>
      <c r="Y98" s="240">
        <v>697.32065585000009</v>
      </c>
      <c r="Z98" s="240">
        <v>752.66048079999996</v>
      </c>
      <c r="AA98" s="240">
        <v>783.77687105000007</v>
      </c>
      <c r="AB98" s="240">
        <v>808.21633487999986</v>
      </c>
      <c r="AC98" s="240">
        <v>803.66646782999987</v>
      </c>
      <c r="AD98" s="240">
        <v>820.65511430999993</v>
      </c>
      <c r="AE98" s="240">
        <v>807.4667569500001</v>
      </c>
      <c r="AF98" s="240">
        <v>806.2797477900001</v>
      </c>
      <c r="AG98" s="240">
        <v>801.09182963000001</v>
      </c>
      <c r="AH98" s="240">
        <v>1052.2638878</v>
      </c>
    </row>
    <row r="99" spans="1:2005" s="84" customFormat="1" ht="17.25" x14ac:dyDescent="0.3">
      <c r="A99" s="189" t="s">
        <v>369</v>
      </c>
      <c r="B99" s="238">
        <v>25.214515170000002</v>
      </c>
      <c r="C99" s="239">
        <v>26.380259559999999</v>
      </c>
      <c r="D99" s="240">
        <v>56.082207700000005</v>
      </c>
      <c r="E99" s="240">
        <v>55.021012259999999</v>
      </c>
      <c r="F99" s="240">
        <v>21.232291029999999</v>
      </c>
      <c r="G99" s="240">
        <v>26.611604240000002</v>
      </c>
      <c r="H99" s="240">
        <v>26.771377009999998</v>
      </c>
      <c r="I99" s="240">
        <v>22.066294289999998</v>
      </c>
      <c r="J99" s="240">
        <v>25.782141270000004</v>
      </c>
      <c r="K99" s="240">
        <v>31.815263959999999</v>
      </c>
      <c r="L99" s="240">
        <v>23.117750509999997</v>
      </c>
      <c r="M99" s="240">
        <v>20.385267950000003</v>
      </c>
      <c r="N99" s="240">
        <v>28.209880479999999</v>
      </c>
      <c r="O99" s="240">
        <v>80.209981200000001</v>
      </c>
      <c r="P99" s="240">
        <v>109.17399703</v>
      </c>
      <c r="Q99" s="240">
        <v>104.761426</v>
      </c>
      <c r="R99" s="240">
        <v>139</v>
      </c>
      <c r="S99" s="240">
        <v>151.12764279000001</v>
      </c>
      <c r="T99" s="240">
        <v>164.40604928000002</v>
      </c>
      <c r="U99" s="240">
        <v>171.52918631</v>
      </c>
      <c r="V99" s="240">
        <v>196.44604576999998</v>
      </c>
      <c r="W99" s="240">
        <v>206.03244934</v>
      </c>
      <c r="X99" s="240">
        <v>238.64446595999999</v>
      </c>
      <c r="Y99" s="240">
        <v>238.51893948000003</v>
      </c>
      <c r="Z99" s="240">
        <v>262.07605267999998</v>
      </c>
      <c r="AA99" s="240">
        <v>283.34813492000001</v>
      </c>
      <c r="AB99" s="240">
        <v>316.76560851000005</v>
      </c>
      <c r="AC99" s="240">
        <v>320.33903408999998</v>
      </c>
      <c r="AD99" s="240">
        <v>407.93754390000004</v>
      </c>
      <c r="AE99" s="240">
        <v>435.12345294000005</v>
      </c>
      <c r="AF99" s="240">
        <v>465.64501181999998</v>
      </c>
      <c r="AG99" s="240">
        <v>496.67857674999993</v>
      </c>
      <c r="AH99" s="240">
        <v>556.75779943000009</v>
      </c>
    </row>
    <row r="100" spans="1:2005" s="84" customFormat="1" ht="17.25" x14ac:dyDescent="0.3">
      <c r="A100" s="187" t="s">
        <v>370</v>
      </c>
      <c r="B100" s="235">
        <v>835.29775215000006</v>
      </c>
      <c r="C100" s="236">
        <v>812.35333787000013</v>
      </c>
      <c r="D100" s="237">
        <v>752.56871347000003</v>
      </c>
      <c r="E100" s="237">
        <v>786.68442192999998</v>
      </c>
      <c r="F100" s="237">
        <v>814.79923051000003</v>
      </c>
      <c r="G100" s="237">
        <v>803.95136647000004</v>
      </c>
      <c r="H100" s="237">
        <v>799.82639061999987</v>
      </c>
      <c r="I100" s="237">
        <v>790.25253862999796</v>
      </c>
      <c r="J100" s="237">
        <v>801.59003049</v>
      </c>
      <c r="K100" s="237">
        <v>752.73845382999787</v>
      </c>
      <c r="L100" s="237">
        <v>730.24842722999813</v>
      </c>
      <c r="M100" s="237">
        <v>753.004274479998</v>
      </c>
      <c r="N100" s="237">
        <v>751.50463206999996</v>
      </c>
      <c r="O100" s="237">
        <v>763.69488651999688</v>
      </c>
      <c r="P100" s="237">
        <v>781.24142451000012</v>
      </c>
      <c r="Q100" s="237">
        <v>770.59227351000004</v>
      </c>
      <c r="R100" s="237">
        <v>789</v>
      </c>
      <c r="S100" s="237">
        <v>823.07404320999808</v>
      </c>
      <c r="T100" s="237">
        <v>843.63391014000013</v>
      </c>
      <c r="U100" s="237">
        <v>827.72904607999999</v>
      </c>
      <c r="V100" s="237">
        <v>864.43540826999993</v>
      </c>
      <c r="W100" s="237">
        <v>836.56136473000004</v>
      </c>
      <c r="X100" s="237">
        <v>828.55314572999998</v>
      </c>
      <c r="Y100" s="237">
        <v>828.40094221000004</v>
      </c>
      <c r="Z100" s="237">
        <v>833.84795466999992</v>
      </c>
      <c r="AA100" s="237">
        <v>839.19487748000006</v>
      </c>
      <c r="AB100" s="237">
        <v>821.90183944</v>
      </c>
      <c r="AC100" s="237">
        <v>818.03174001000002</v>
      </c>
      <c r="AD100" s="237">
        <v>811.20157073999997</v>
      </c>
      <c r="AE100" s="237">
        <v>826.82049061999908</v>
      </c>
      <c r="AF100" s="237">
        <v>1156.1143723099999</v>
      </c>
      <c r="AG100" s="237">
        <v>1353.2239458999998</v>
      </c>
      <c r="AH100" s="237">
        <v>1367.600164010001</v>
      </c>
    </row>
    <row r="101" spans="1:2005" s="84" customFormat="1" ht="17.25" x14ac:dyDescent="0.3">
      <c r="A101" s="189" t="s">
        <v>371</v>
      </c>
      <c r="B101" s="238">
        <v>165.16120190000001</v>
      </c>
      <c r="C101" s="239">
        <v>146.22229801</v>
      </c>
      <c r="D101" s="240">
        <v>104.623650010001</v>
      </c>
      <c r="E101" s="240">
        <v>119.19377007999998</v>
      </c>
      <c r="F101" s="240">
        <v>133.26626752999999</v>
      </c>
      <c r="G101" s="240">
        <v>139.81103347000001</v>
      </c>
      <c r="H101" s="240">
        <v>137.90591399000002</v>
      </c>
      <c r="I101" s="240">
        <v>136.235443119998</v>
      </c>
      <c r="J101" s="240">
        <v>140.19505695999999</v>
      </c>
      <c r="K101" s="240">
        <v>137.20547023999802</v>
      </c>
      <c r="L101" s="240">
        <v>135.00425435999801</v>
      </c>
      <c r="M101" s="240">
        <v>148.47166233999801</v>
      </c>
      <c r="N101" s="240">
        <v>167.37461604000003</v>
      </c>
      <c r="O101" s="240">
        <v>179.837641209997</v>
      </c>
      <c r="P101" s="240">
        <v>188.57867988999999</v>
      </c>
      <c r="Q101" s="240">
        <v>183.00739590999999</v>
      </c>
      <c r="R101" s="240">
        <v>191</v>
      </c>
      <c r="S101" s="240">
        <v>202.99926724999801</v>
      </c>
      <c r="T101" s="240">
        <v>205.73774771999999</v>
      </c>
      <c r="U101" s="240">
        <v>203.67102519999997</v>
      </c>
      <c r="V101" s="240">
        <v>218.04534312000001</v>
      </c>
      <c r="W101" s="240">
        <v>218.12773569999999</v>
      </c>
      <c r="X101" s="240">
        <v>206.65255389000001</v>
      </c>
      <c r="Y101" s="240">
        <v>205.46024401</v>
      </c>
      <c r="Z101" s="240">
        <v>205.97520069999999</v>
      </c>
      <c r="AA101" s="240">
        <v>205.00048243000001</v>
      </c>
      <c r="AB101" s="240">
        <v>203.08415210999999</v>
      </c>
      <c r="AC101" s="240">
        <v>202.45907591000002</v>
      </c>
      <c r="AD101" s="240">
        <v>204.21699333999999</v>
      </c>
      <c r="AE101" s="240">
        <v>209.86834300000001</v>
      </c>
      <c r="AF101" s="240">
        <v>263.60019756000003</v>
      </c>
      <c r="AG101" s="240">
        <v>300.17008546000005</v>
      </c>
      <c r="AH101" s="240">
        <v>302.60765708000099</v>
      </c>
    </row>
    <row r="102" spans="1:2005" s="84" customFormat="1" ht="17.25" x14ac:dyDescent="0.3">
      <c r="A102" s="189" t="s">
        <v>372</v>
      </c>
      <c r="B102" s="238">
        <v>0.12551682</v>
      </c>
      <c r="C102" s="239">
        <v>0.12708405</v>
      </c>
      <c r="D102" s="240">
        <v>0.13283904000000002</v>
      </c>
      <c r="E102" s="240">
        <v>0.14987702</v>
      </c>
      <c r="F102" s="240">
        <v>0.12929682000000001</v>
      </c>
      <c r="G102" s="240">
        <v>0.12806745</v>
      </c>
      <c r="H102" s="240">
        <v>9.9450320000000009E-2</v>
      </c>
      <c r="I102" s="240">
        <v>0.13173287</v>
      </c>
      <c r="J102" s="240">
        <v>0.48726587999999993</v>
      </c>
      <c r="K102" s="240">
        <v>0.51146448</v>
      </c>
      <c r="L102" s="240">
        <v>0.81406307999999994</v>
      </c>
      <c r="M102" s="240">
        <v>1.47160603</v>
      </c>
      <c r="N102" s="240">
        <v>0.98125980000000002</v>
      </c>
      <c r="O102" s="240">
        <v>0.77953059999999996</v>
      </c>
      <c r="P102" s="240">
        <v>1.68442589</v>
      </c>
      <c r="Q102" s="240">
        <v>3.4493045499999999</v>
      </c>
      <c r="R102" s="240">
        <v>3</v>
      </c>
      <c r="S102" s="240">
        <v>3.3573702000000001</v>
      </c>
      <c r="T102" s="240">
        <v>3.29133546</v>
      </c>
      <c r="U102" s="240">
        <v>3.6563031600000002</v>
      </c>
      <c r="V102" s="240">
        <v>3.7617874900000001</v>
      </c>
      <c r="W102" s="240">
        <v>3.32400166</v>
      </c>
      <c r="X102" s="240">
        <v>3.6836168300000001</v>
      </c>
      <c r="Y102" s="240">
        <v>3.8405797000000002</v>
      </c>
      <c r="Z102" s="240">
        <v>3.77156738</v>
      </c>
      <c r="AA102" s="240">
        <v>3.6347839300000002</v>
      </c>
      <c r="AB102" s="240">
        <v>3.7877809300000003</v>
      </c>
      <c r="AC102" s="240">
        <v>3.0684849700000001</v>
      </c>
      <c r="AD102" s="240">
        <v>3.2121997000000002</v>
      </c>
      <c r="AE102" s="240">
        <v>3.26140461</v>
      </c>
      <c r="AF102" s="240">
        <v>6.1295883499999997</v>
      </c>
      <c r="AG102" s="240">
        <v>13.30148724</v>
      </c>
      <c r="AH102" s="240">
        <v>20.724422130000001</v>
      </c>
    </row>
    <row r="103" spans="1:2005" s="84" customFormat="1" ht="17.25" x14ac:dyDescent="0.3">
      <c r="A103" s="189" t="s">
        <v>373</v>
      </c>
      <c r="B103" s="238">
        <v>25.082215999999999</v>
      </c>
      <c r="C103" s="239">
        <v>24.348019689999997</v>
      </c>
      <c r="D103" s="240">
        <v>20.850048260000001</v>
      </c>
      <c r="E103" s="240">
        <v>20.83768431</v>
      </c>
      <c r="F103" s="240">
        <v>20.075001329999999</v>
      </c>
      <c r="G103" s="240">
        <v>19.494366289999999</v>
      </c>
      <c r="H103" s="240">
        <v>18.823532059999998</v>
      </c>
      <c r="I103" s="240">
        <v>18.39818721</v>
      </c>
      <c r="J103" s="240">
        <v>17.638744989999999</v>
      </c>
      <c r="K103" s="240">
        <v>16.975998329999999</v>
      </c>
      <c r="L103" s="240">
        <v>18.866716359999998</v>
      </c>
      <c r="M103" s="240">
        <v>21.208298489999997</v>
      </c>
      <c r="N103" s="240">
        <v>21.378376969999998</v>
      </c>
      <c r="O103" s="240">
        <v>22.12118272</v>
      </c>
      <c r="P103" s="240">
        <v>27.01073057</v>
      </c>
      <c r="Q103" s="240">
        <v>31.484494319999996</v>
      </c>
      <c r="R103" s="240">
        <v>32</v>
      </c>
      <c r="S103" s="240">
        <v>32.648077719999996</v>
      </c>
      <c r="T103" s="240">
        <v>39.811742209999998</v>
      </c>
      <c r="U103" s="240">
        <v>40.441799480000007</v>
      </c>
      <c r="V103" s="240">
        <v>44.944974729999998</v>
      </c>
      <c r="W103" s="240">
        <v>41.639250879999999</v>
      </c>
      <c r="X103" s="240">
        <v>40.435885030000001</v>
      </c>
      <c r="Y103" s="240">
        <v>44.906091549999999</v>
      </c>
      <c r="Z103" s="240">
        <v>41.892061989999995</v>
      </c>
      <c r="AA103" s="240">
        <v>50.244650139999997</v>
      </c>
      <c r="AB103" s="240">
        <v>40.726439710000001</v>
      </c>
      <c r="AC103" s="240">
        <v>38.521549690000001</v>
      </c>
      <c r="AD103" s="240">
        <v>35.590662430000002</v>
      </c>
      <c r="AE103" s="240">
        <v>31.518717139999996</v>
      </c>
      <c r="AF103" s="240">
        <v>44.5716611</v>
      </c>
      <c r="AG103" s="240">
        <v>69.42756086</v>
      </c>
      <c r="AH103" s="240">
        <v>77.192818900000006</v>
      </c>
    </row>
    <row r="104" spans="1:2005" s="84" customFormat="1" ht="17.25" x14ac:dyDescent="0.3">
      <c r="A104" s="189" t="s">
        <v>374</v>
      </c>
      <c r="B104" s="238">
        <v>644.92881743000009</v>
      </c>
      <c r="C104" s="239">
        <v>641.65593611999998</v>
      </c>
      <c r="D104" s="240">
        <v>626.96217615999899</v>
      </c>
      <c r="E104" s="240">
        <v>646.50309051999989</v>
      </c>
      <c r="F104" s="240">
        <v>661.32866483000009</v>
      </c>
      <c r="G104" s="240">
        <v>644.51789926000004</v>
      </c>
      <c r="H104" s="240">
        <v>642.99749425000005</v>
      </c>
      <c r="I104" s="240">
        <v>635.48717542999998</v>
      </c>
      <c r="J104" s="240">
        <v>643.26896266000006</v>
      </c>
      <c r="K104" s="240">
        <v>598.04552077999995</v>
      </c>
      <c r="L104" s="240">
        <v>575.56339343000002</v>
      </c>
      <c r="M104" s="240">
        <v>581.85270762000005</v>
      </c>
      <c r="N104" s="240">
        <v>561.77037926000003</v>
      </c>
      <c r="O104" s="240">
        <v>560.95653199000003</v>
      </c>
      <c r="P104" s="240">
        <v>563.9675881600001</v>
      </c>
      <c r="Q104" s="240">
        <v>552.65107872999999</v>
      </c>
      <c r="R104" s="240">
        <v>563</v>
      </c>
      <c r="S104" s="240">
        <v>584.06932803999996</v>
      </c>
      <c r="T104" s="240">
        <v>594.79308475000005</v>
      </c>
      <c r="U104" s="240">
        <v>579.95991823999998</v>
      </c>
      <c r="V104" s="240">
        <v>597.68330293000008</v>
      </c>
      <c r="W104" s="240">
        <v>573.47037649000004</v>
      </c>
      <c r="X104" s="240">
        <v>577.78108998000005</v>
      </c>
      <c r="Y104" s="240">
        <v>574.19402694999997</v>
      </c>
      <c r="Z104" s="240">
        <v>582.2091246</v>
      </c>
      <c r="AA104" s="240">
        <v>580.31496098000002</v>
      </c>
      <c r="AB104" s="240">
        <v>574.30346669000005</v>
      </c>
      <c r="AC104" s="240">
        <v>573.9826294400001</v>
      </c>
      <c r="AD104" s="240">
        <v>568.18171526999993</v>
      </c>
      <c r="AE104" s="240">
        <v>582.17202586999895</v>
      </c>
      <c r="AF104" s="240">
        <v>841.81292530000007</v>
      </c>
      <c r="AG104" s="240">
        <v>970.32481233999988</v>
      </c>
      <c r="AH104" s="240">
        <v>967.07526589999998</v>
      </c>
    </row>
    <row r="105" spans="1:2005" s="84" customFormat="1" ht="17.25" x14ac:dyDescent="0.3">
      <c r="A105" s="187" t="s">
        <v>375</v>
      </c>
      <c r="B105" s="235">
        <v>1165.4514188539367</v>
      </c>
      <c r="C105" s="236">
        <v>1216.0111036406001</v>
      </c>
      <c r="D105" s="237">
        <v>900.56745968404528</v>
      </c>
      <c r="E105" s="237">
        <v>882.25630569052203</v>
      </c>
      <c r="F105" s="237">
        <v>871.88601495949968</v>
      </c>
      <c r="G105" s="237">
        <v>877.48141656286566</v>
      </c>
      <c r="H105" s="237">
        <v>1140.5315878454251</v>
      </c>
      <c r="I105" s="237">
        <v>875.34611432997178</v>
      </c>
      <c r="J105" s="237">
        <v>837.48059616792227</v>
      </c>
      <c r="K105" s="237">
        <v>910.41639686944814</v>
      </c>
      <c r="L105" s="237">
        <v>929.00752762078093</v>
      </c>
      <c r="M105" s="237">
        <v>877.23925070873577</v>
      </c>
      <c r="N105" s="237">
        <v>873.72436038728983</v>
      </c>
      <c r="O105" s="237">
        <v>886.03417220865322</v>
      </c>
      <c r="P105" s="237">
        <v>868.68489541737688</v>
      </c>
      <c r="Q105" s="237">
        <v>855.52395670832425</v>
      </c>
      <c r="R105" s="237">
        <v>801</v>
      </c>
      <c r="S105" s="237">
        <v>856.79714811845679</v>
      </c>
      <c r="T105" s="237">
        <v>870.19579897226151</v>
      </c>
      <c r="U105" s="237">
        <v>849.37500470313785</v>
      </c>
      <c r="V105" s="237">
        <v>817.32835694117523</v>
      </c>
      <c r="W105" s="237">
        <v>814.04461061958125</v>
      </c>
      <c r="X105" s="237">
        <v>769.50209935028181</v>
      </c>
      <c r="Y105" s="237">
        <v>806.69675139054812</v>
      </c>
      <c r="Z105" s="237">
        <v>802.0363285429122</v>
      </c>
      <c r="AA105" s="237">
        <v>775.8575695454897</v>
      </c>
      <c r="AB105" s="237">
        <v>774.98384178762785</v>
      </c>
      <c r="AC105" s="237">
        <v>789.0587181633706</v>
      </c>
      <c r="AD105" s="237">
        <v>796.8280461445047</v>
      </c>
      <c r="AE105" s="237">
        <v>816.67175158365274</v>
      </c>
      <c r="AF105" s="237">
        <v>994.4566635910021</v>
      </c>
      <c r="AG105" s="237">
        <v>741.08954974160679</v>
      </c>
      <c r="AH105" s="237">
        <v>560.45799735630783</v>
      </c>
    </row>
    <row r="106" spans="1:2005" s="84" customFormat="1" ht="17.25" x14ac:dyDescent="0.3">
      <c r="A106" s="189" t="s">
        <v>376</v>
      </c>
      <c r="B106" s="238">
        <v>83.49382688999998</v>
      </c>
      <c r="C106" s="239">
        <v>83.750169050000011</v>
      </c>
      <c r="D106" s="240">
        <v>56.644757870000007</v>
      </c>
      <c r="E106" s="240">
        <v>56.589147089999997</v>
      </c>
      <c r="F106" s="240">
        <v>57.274945950000003</v>
      </c>
      <c r="G106" s="240">
        <v>55.837607980000001</v>
      </c>
      <c r="H106" s="240">
        <v>55.408039980000005</v>
      </c>
      <c r="I106" s="240">
        <v>54.496259589999994</v>
      </c>
      <c r="J106" s="240">
        <v>54.584443410000006</v>
      </c>
      <c r="K106" s="240">
        <v>55.377934479999993</v>
      </c>
      <c r="L106" s="240">
        <v>53.42491733</v>
      </c>
      <c r="M106" s="240">
        <v>41.713011109999997</v>
      </c>
      <c r="N106" s="240">
        <v>39.938761400000004</v>
      </c>
      <c r="O106" s="240">
        <v>41.232565280000003</v>
      </c>
      <c r="P106" s="240">
        <v>40.533767599999997</v>
      </c>
      <c r="Q106" s="240">
        <v>39.628145619999998</v>
      </c>
      <c r="R106" s="240">
        <v>41</v>
      </c>
      <c r="S106" s="240">
        <v>38.484270989999999</v>
      </c>
      <c r="T106" s="240">
        <v>39.372916289999999</v>
      </c>
      <c r="U106" s="240">
        <v>39.24032004</v>
      </c>
      <c r="V106" s="240">
        <v>38.878140260000002</v>
      </c>
      <c r="W106" s="240">
        <v>38.256647569999998</v>
      </c>
      <c r="X106" s="240">
        <v>27.404274659999995</v>
      </c>
      <c r="Y106" s="240">
        <v>27.283325600000001</v>
      </c>
      <c r="Z106" s="240">
        <v>26.508295589999999</v>
      </c>
      <c r="AA106" s="240">
        <v>27.150646129999998</v>
      </c>
      <c r="AB106" s="240">
        <v>26.94917994</v>
      </c>
      <c r="AC106" s="240">
        <v>26.267033060000003</v>
      </c>
      <c r="AD106" s="240">
        <v>26.115858429999999</v>
      </c>
      <c r="AE106" s="240">
        <v>25.797168249999999</v>
      </c>
      <c r="AF106" s="240">
        <v>27.092881309999999</v>
      </c>
      <c r="AG106" s="240">
        <v>45.972891570000002</v>
      </c>
      <c r="AH106" s="240">
        <v>47.394859409999995</v>
      </c>
    </row>
    <row r="107" spans="1:2005" s="84" customFormat="1" ht="17.25" x14ac:dyDescent="0.3">
      <c r="A107" s="189" t="s">
        <v>377</v>
      </c>
      <c r="B107" s="238">
        <v>498.06299753391369</v>
      </c>
      <c r="C107" s="239">
        <v>500.69022945060135</v>
      </c>
      <c r="D107" s="240">
        <v>226.98111864404731</v>
      </c>
      <c r="E107" s="240">
        <v>228.66858790052106</v>
      </c>
      <c r="F107" s="240">
        <v>229.62589953949987</v>
      </c>
      <c r="G107" s="240">
        <v>221.98971058286753</v>
      </c>
      <c r="H107" s="240">
        <v>214.4259122054242</v>
      </c>
      <c r="I107" s="240">
        <v>217.00681971997085</v>
      </c>
      <c r="J107" s="240">
        <v>214.21333299792232</v>
      </c>
      <c r="K107" s="240">
        <v>219.70989999944922</v>
      </c>
      <c r="L107" s="240">
        <v>217.38014615078097</v>
      </c>
      <c r="M107" s="240">
        <v>215.76818756873675</v>
      </c>
      <c r="N107" s="240">
        <v>212.76992380729288</v>
      </c>
      <c r="O107" s="240">
        <v>211.99073168865013</v>
      </c>
      <c r="P107" s="240">
        <v>212.89760684737499</v>
      </c>
      <c r="Q107" s="240">
        <v>221.84361746832516</v>
      </c>
      <c r="R107" s="240">
        <v>222</v>
      </c>
      <c r="S107" s="240">
        <v>218.46398277845691</v>
      </c>
      <c r="T107" s="240">
        <v>205.45989203225943</v>
      </c>
      <c r="U107" s="240">
        <v>195.10136199313806</v>
      </c>
      <c r="V107" s="240">
        <v>225.69536855117491</v>
      </c>
      <c r="W107" s="240">
        <v>231.46591397958693</v>
      </c>
      <c r="X107" s="240">
        <v>204.70076538864413</v>
      </c>
      <c r="Y107" s="240">
        <v>221.6368391205481</v>
      </c>
      <c r="Z107" s="240">
        <v>219.5298482729122</v>
      </c>
      <c r="AA107" s="240">
        <v>195.51869464548963</v>
      </c>
      <c r="AB107" s="240">
        <v>180.81893496762785</v>
      </c>
      <c r="AC107" s="240">
        <v>177.44294857337053</v>
      </c>
      <c r="AD107" s="240">
        <v>187.78620094450469</v>
      </c>
      <c r="AE107" s="240">
        <v>192.27599449366028</v>
      </c>
      <c r="AF107" s="240">
        <v>436.83508993100571</v>
      </c>
      <c r="AG107" s="240">
        <v>276.156083821609</v>
      </c>
      <c r="AH107" s="240">
        <v>188.18462552631166</v>
      </c>
    </row>
    <row r="108" spans="1:2005" s="84" customFormat="1" ht="18" thickBot="1" x14ac:dyDescent="0.35">
      <c r="A108" s="189" t="s">
        <v>378</v>
      </c>
      <c r="B108" s="238">
        <v>583.89459443002306</v>
      </c>
      <c r="C108" s="239">
        <v>631.57070513999906</v>
      </c>
      <c r="D108" s="240">
        <v>616.94158316999801</v>
      </c>
      <c r="E108" s="240">
        <v>596.99857070000098</v>
      </c>
      <c r="F108" s="240">
        <v>584.98516946999996</v>
      </c>
      <c r="G108" s="240">
        <v>599.65409799999793</v>
      </c>
      <c r="H108" s="240">
        <v>870.69763566000097</v>
      </c>
      <c r="I108" s="240">
        <v>603.84303502000091</v>
      </c>
      <c r="J108" s="240">
        <v>568.68281976000003</v>
      </c>
      <c r="K108" s="240">
        <v>635.32856238999898</v>
      </c>
      <c r="L108" s="240">
        <v>658.20246413999985</v>
      </c>
      <c r="M108" s="240">
        <v>619.75805202999902</v>
      </c>
      <c r="N108" s="240">
        <v>621.01567517999695</v>
      </c>
      <c r="O108" s="240">
        <v>632.81087524000316</v>
      </c>
      <c r="P108" s="240">
        <v>615.25352097000189</v>
      </c>
      <c r="Q108" s="240">
        <v>594.05219361999889</v>
      </c>
      <c r="R108" s="240">
        <v>538</v>
      </c>
      <c r="S108" s="240">
        <v>599.84889434999991</v>
      </c>
      <c r="T108" s="240">
        <v>625.36299065000208</v>
      </c>
      <c r="U108" s="240">
        <v>615.03332266999996</v>
      </c>
      <c r="V108" s="240">
        <v>552.75484813000025</v>
      </c>
      <c r="W108" s="240">
        <v>544.32204906999448</v>
      </c>
      <c r="X108" s="240">
        <v>537.39705930163768</v>
      </c>
      <c r="Y108" s="240">
        <v>557.77658666999992</v>
      </c>
      <c r="Z108" s="240">
        <v>555.99818467999989</v>
      </c>
      <c r="AA108" s="240">
        <v>553.18822877000014</v>
      </c>
      <c r="AB108" s="240">
        <v>567.21572688000003</v>
      </c>
      <c r="AC108" s="240">
        <v>585.34873653000011</v>
      </c>
      <c r="AD108" s="240">
        <v>582.92598677000001</v>
      </c>
      <c r="AE108" s="240">
        <v>598.59858883999243</v>
      </c>
      <c r="AF108" s="240">
        <v>530.5286923499965</v>
      </c>
      <c r="AG108" s="240">
        <v>418.96057434999784</v>
      </c>
      <c r="AH108" s="240">
        <v>324.87851241999618</v>
      </c>
    </row>
    <row r="109" spans="1:2005" s="84" customFormat="1" ht="17.25" x14ac:dyDescent="0.3">
      <c r="A109" s="205" t="s">
        <v>379</v>
      </c>
      <c r="B109" s="257">
        <v>101827.67731590261</v>
      </c>
      <c r="C109" s="258">
        <v>101566.34279117921</v>
      </c>
      <c r="D109" s="259">
        <v>100690.27895274188</v>
      </c>
      <c r="E109" s="259">
        <v>101155.66818200347</v>
      </c>
      <c r="F109" s="259">
        <v>102191.18482721728</v>
      </c>
      <c r="G109" s="259">
        <v>104013.00916807755</v>
      </c>
      <c r="H109" s="259">
        <v>104911.38732969725</v>
      </c>
      <c r="I109" s="259">
        <v>106184.72026019136</v>
      </c>
      <c r="J109" s="259">
        <v>107533.71357428757</v>
      </c>
      <c r="K109" s="259">
        <v>107751.81712756233</v>
      </c>
      <c r="L109" s="259">
        <v>108527.46633098245</v>
      </c>
      <c r="M109" s="259">
        <v>109795.26413277503</v>
      </c>
      <c r="N109" s="259">
        <v>110601.30367501736</v>
      </c>
      <c r="O109" s="259">
        <v>112098.32566453954</v>
      </c>
      <c r="P109" s="259">
        <v>112119.3569155748</v>
      </c>
      <c r="Q109" s="259">
        <v>112924.51598385395</v>
      </c>
      <c r="R109" s="259">
        <v>113833</v>
      </c>
      <c r="S109" s="259">
        <v>113597.39892824087</v>
      </c>
      <c r="T109" s="259">
        <v>112762.80705982607</v>
      </c>
      <c r="U109" s="259">
        <v>112526.86420953783</v>
      </c>
      <c r="V109" s="259">
        <v>112971.71263527471</v>
      </c>
      <c r="W109" s="259">
        <v>113860.25250365576</v>
      </c>
      <c r="X109" s="259">
        <v>114672.46212670382</v>
      </c>
      <c r="Y109" s="259">
        <v>115466.34448587886</v>
      </c>
      <c r="Z109" s="259">
        <v>116168.04858855253</v>
      </c>
      <c r="AA109" s="259">
        <v>116663.883886929</v>
      </c>
      <c r="AB109" s="259">
        <v>116918.85983055862</v>
      </c>
      <c r="AC109" s="259">
        <v>117606.28767179324</v>
      </c>
      <c r="AD109" s="259">
        <v>117996.72344363194</v>
      </c>
      <c r="AE109" s="259">
        <v>117018.35302388696</v>
      </c>
      <c r="AF109" s="259">
        <v>117224.37572508343</v>
      </c>
      <c r="AG109" s="259">
        <v>118568.32872566361</v>
      </c>
      <c r="AH109" s="259">
        <v>119209.62092707849</v>
      </c>
    </row>
    <row r="110" spans="1:2005" s="84" customFormat="1" ht="17.25" x14ac:dyDescent="0.3">
      <c r="A110" s="191" t="s">
        <v>413</v>
      </c>
      <c r="B110" s="260">
        <v>65454.022924167752</v>
      </c>
      <c r="C110" s="261">
        <v>65819.366004071489</v>
      </c>
      <c r="D110" s="262">
        <v>65721.019359793965</v>
      </c>
      <c r="E110" s="262">
        <v>66172.019291859862</v>
      </c>
      <c r="F110" s="262">
        <v>66587.002342734282</v>
      </c>
      <c r="G110" s="262">
        <v>67205.165347480448</v>
      </c>
      <c r="H110" s="262">
        <v>67742.764730943425</v>
      </c>
      <c r="I110" s="262">
        <v>68467.823421426408</v>
      </c>
      <c r="J110" s="262">
        <v>69082.919850680119</v>
      </c>
      <c r="K110" s="262">
        <v>69627.66103182215</v>
      </c>
      <c r="L110" s="262">
        <v>70225.773570447273</v>
      </c>
      <c r="M110" s="262">
        <v>70772.78217988777</v>
      </c>
      <c r="N110" s="262">
        <v>71530.246731485182</v>
      </c>
      <c r="O110" s="262">
        <v>71968.679674689702</v>
      </c>
      <c r="P110" s="262">
        <v>72564.117397860013</v>
      </c>
      <c r="Q110" s="262">
        <v>73103.844681200833</v>
      </c>
      <c r="R110" s="262">
        <v>73599</v>
      </c>
      <c r="S110" s="262">
        <v>73640.132001444494</v>
      </c>
      <c r="T110" s="262">
        <v>73455.999701780936</v>
      </c>
      <c r="U110" s="262">
        <v>73492.910650964259</v>
      </c>
      <c r="V110" s="262">
        <v>73925.966686795859</v>
      </c>
      <c r="W110" s="262">
        <v>74662.125246537573</v>
      </c>
      <c r="X110" s="262">
        <v>75084.85956544803</v>
      </c>
      <c r="Y110" s="262">
        <v>75684.942947643809</v>
      </c>
      <c r="Z110" s="262">
        <v>76296.857987871466</v>
      </c>
      <c r="AA110" s="262">
        <v>76968.803415005706</v>
      </c>
      <c r="AB110" s="262">
        <v>77468.719801086962</v>
      </c>
      <c r="AC110" s="262">
        <v>77748.299302734769</v>
      </c>
      <c r="AD110" s="262">
        <v>77966.406986151822</v>
      </c>
      <c r="AE110" s="262">
        <v>77970.828201750308</v>
      </c>
      <c r="AF110" s="262">
        <v>78079.099514952963</v>
      </c>
      <c r="AG110" s="262">
        <v>78585.109841408994</v>
      </c>
      <c r="AH110" s="262">
        <v>79716.520630578612</v>
      </c>
    </row>
    <row r="111" spans="1:2005" s="266" customFormat="1" ht="17.25" x14ac:dyDescent="0.3">
      <c r="A111" s="183" t="s">
        <v>381</v>
      </c>
      <c r="B111" s="263">
        <v>37926.15914899081</v>
      </c>
      <c r="C111" s="264">
        <v>38027.62136121199</v>
      </c>
      <c r="D111" s="265">
        <v>41062.730670763878</v>
      </c>
      <c r="E111" s="265">
        <v>40609.504340946616</v>
      </c>
      <c r="F111" s="265">
        <v>41031.122921827264</v>
      </c>
      <c r="G111" s="265">
        <v>40629.291774646044</v>
      </c>
      <c r="H111" s="265">
        <v>42325.239536532063</v>
      </c>
      <c r="I111" s="265">
        <v>41967.419507891565</v>
      </c>
      <c r="J111" s="265">
        <v>43046.445477026762</v>
      </c>
      <c r="K111" s="265">
        <v>42746.324673189629</v>
      </c>
      <c r="L111" s="265">
        <v>44584.86126135532</v>
      </c>
      <c r="M111" s="265">
        <v>46443.514166772125</v>
      </c>
      <c r="N111" s="265">
        <v>42586.718244732881</v>
      </c>
      <c r="O111" s="265">
        <v>42624.547351633671</v>
      </c>
      <c r="P111" s="265">
        <v>41961.010925317125</v>
      </c>
      <c r="Q111" s="265">
        <v>41412.803957008771</v>
      </c>
      <c r="R111" s="265">
        <v>43608</v>
      </c>
      <c r="S111" s="265">
        <v>44597.909221826521</v>
      </c>
      <c r="T111" s="265">
        <v>45280.240078865347</v>
      </c>
      <c r="U111" s="265">
        <v>44306.911873565674</v>
      </c>
      <c r="V111" s="265">
        <v>43520.714937338023</v>
      </c>
      <c r="W111" s="265">
        <v>43296.66099297491</v>
      </c>
      <c r="X111" s="265">
        <v>40973.322533522558</v>
      </c>
      <c r="Y111" s="265">
        <v>32645.855703825717</v>
      </c>
      <c r="Z111" s="265">
        <v>32616.494650579101</v>
      </c>
      <c r="AA111" s="265">
        <v>32853.254421667327</v>
      </c>
      <c r="AB111" s="265">
        <v>32638.816112019726</v>
      </c>
      <c r="AC111" s="265">
        <v>33445.940530395674</v>
      </c>
      <c r="AD111" s="265">
        <v>32647.155405877107</v>
      </c>
      <c r="AE111" s="265">
        <v>31964.101455423872</v>
      </c>
      <c r="AF111" s="265">
        <v>33381.393647742778</v>
      </c>
      <c r="AG111" s="265">
        <v>36683.045817680693</v>
      </c>
      <c r="AH111" s="265">
        <v>34521.596720840847</v>
      </c>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c r="LT111" s="84"/>
      <c r="LU111" s="84"/>
      <c r="LV111" s="84"/>
      <c r="LW111" s="84"/>
      <c r="LX111" s="84"/>
      <c r="LY111" s="84"/>
      <c r="LZ111" s="84"/>
      <c r="MA111" s="84"/>
      <c r="MB111" s="84"/>
      <c r="MC111" s="84"/>
      <c r="MD111" s="84"/>
      <c r="ME111" s="84"/>
      <c r="MF111" s="84"/>
      <c r="MG111" s="84"/>
      <c r="MH111" s="84"/>
      <c r="MI111" s="84"/>
      <c r="MJ111" s="84"/>
      <c r="MK111" s="84"/>
      <c r="ML111" s="84"/>
      <c r="MM111" s="84"/>
      <c r="MN111" s="84"/>
      <c r="MO111" s="84"/>
      <c r="MP111" s="84"/>
      <c r="MQ111" s="84"/>
      <c r="MR111" s="84"/>
      <c r="MS111" s="84"/>
      <c r="MT111" s="84"/>
      <c r="MU111" s="84"/>
      <c r="MV111" s="84"/>
      <c r="MW111" s="84"/>
      <c r="MX111" s="84"/>
      <c r="MY111" s="84"/>
      <c r="MZ111" s="84"/>
      <c r="NA111" s="84"/>
      <c r="NB111" s="84"/>
      <c r="NC111" s="84"/>
      <c r="ND111" s="84"/>
      <c r="NE111" s="84"/>
      <c r="NF111" s="84"/>
      <c r="NG111" s="84"/>
      <c r="NH111" s="84"/>
      <c r="NI111" s="84"/>
      <c r="NJ111" s="84"/>
      <c r="NK111" s="84"/>
      <c r="NL111" s="84"/>
      <c r="NM111" s="84"/>
      <c r="NN111" s="84"/>
      <c r="NO111" s="84"/>
      <c r="NP111" s="84"/>
      <c r="NQ111" s="84"/>
      <c r="NR111" s="84"/>
      <c r="NS111" s="84"/>
      <c r="NT111" s="84"/>
      <c r="NU111" s="84"/>
      <c r="NV111" s="84"/>
      <c r="NW111" s="84"/>
      <c r="NX111" s="84"/>
      <c r="NY111" s="84"/>
      <c r="NZ111" s="84"/>
      <c r="OA111" s="84"/>
      <c r="OB111" s="84"/>
      <c r="OC111" s="84"/>
      <c r="OD111" s="84"/>
      <c r="OE111" s="84"/>
      <c r="OF111" s="84"/>
      <c r="OG111" s="84"/>
      <c r="OH111" s="84"/>
      <c r="OI111" s="84"/>
      <c r="OJ111" s="84"/>
      <c r="OK111" s="84"/>
      <c r="OL111" s="84"/>
      <c r="OM111" s="84"/>
      <c r="ON111" s="84"/>
      <c r="OO111" s="84"/>
      <c r="OP111" s="84"/>
      <c r="OQ111" s="84"/>
      <c r="OR111" s="84"/>
      <c r="OS111" s="84"/>
      <c r="OT111" s="84"/>
      <c r="OU111" s="84"/>
      <c r="OV111" s="84"/>
      <c r="OW111" s="84"/>
      <c r="OX111" s="84"/>
      <c r="OY111" s="84"/>
      <c r="OZ111" s="84"/>
      <c r="PA111" s="84"/>
      <c r="PB111" s="84"/>
      <c r="PC111" s="84"/>
      <c r="PD111" s="84"/>
      <c r="PE111" s="84"/>
      <c r="PF111" s="84"/>
      <c r="PG111" s="84"/>
      <c r="PH111" s="84"/>
      <c r="PI111" s="84"/>
      <c r="PJ111" s="84"/>
      <c r="PK111" s="84"/>
      <c r="PL111" s="84"/>
      <c r="PM111" s="84"/>
      <c r="PN111" s="84"/>
      <c r="PO111" s="84"/>
      <c r="PP111" s="84"/>
      <c r="PQ111" s="84"/>
      <c r="PR111" s="84"/>
      <c r="PS111" s="84"/>
      <c r="PT111" s="84"/>
      <c r="PU111" s="84"/>
      <c r="PV111" s="84"/>
      <c r="PW111" s="84"/>
      <c r="PX111" s="84"/>
      <c r="PY111" s="84"/>
      <c r="PZ111" s="84"/>
      <c r="QA111" s="84"/>
      <c r="QB111" s="84"/>
      <c r="QC111" s="84"/>
      <c r="QD111" s="84"/>
      <c r="QE111" s="84"/>
      <c r="QF111" s="84"/>
      <c r="QG111" s="84"/>
      <c r="QH111" s="84"/>
      <c r="QI111" s="84"/>
      <c r="QJ111" s="84"/>
      <c r="QK111" s="84"/>
      <c r="QL111" s="84"/>
      <c r="QM111" s="84"/>
      <c r="QN111" s="84"/>
      <c r="QO111" s="84"/>
      <c r="QP111" s="84"/>
      <c r="QQ111" s="84"/>
      <c r="QR111" s="84"/>
      <c r="QS111" s="84"/>
      <c r="QT111" s="84"/>
      <c r="QU111" s="84"/>
      <c r="QV111" s="84"/>
      <c r="QW111" s="84"/>
      <c r="QX111" s="84"/>
      <c r="QY111" s="84"/>
      <c r="QZ111" s="84"/>
      <c r="RA111" s="84"/>
      <c r="RB111" s="84"/>
      <c r="RC111" s="84"/>
      <c r="RD111" s="84"/>
      <c r="RE111" s="84"/>
      <c r="RF111" s="84"/>
      <c r="RG111" s="84"/>
      <c r="RH111" s="84"/>
      <c r="RI111" s="84"/>
      <c r="RJ111" s="84"/>
      <c r="RK111" s="84"/>
      <c r="RL111" s="84"/>
      <c r="RM111" s="84"/>
      <c r="RN111" s="84"/>
      <c r="RO111" s="84"/>
      <c r="RP111" s="84"/>
      <c r="RQ111" s="84"/>
      <c r="RR111" s="84"/>
      <c r="RS111" s="84"/>
      <c r="RT111" s="84"/>
      <c r="RU111" s="84"/>
      <c r="RV111" s="84"/>
      <c r="RW111" s="84"/>
      <c r="RX111" s="84"/>
      <c r="RY111" s="84"/>
      <c r="RZ111" s="84"/>
      <c r="SA111" s="84"/>
      <c r="SB111" s="84"/>
      <c r="SC111" s="84"/>
      <c r="SD111" s="84"/>
      <c r="SE111" s="84"/>
      <c r="SF111" s="84"/>
      <c r="SG111" s="84"/>
      <c r="SH111" s="84"/>
      <c r="SI111" s="84"/>
      <c r="SJ111" s="84"/>
      <c r="SK111" s="84"/>
      <c r="SL111" s="84"/>
      <c r="SM111" s="84"/>
      <c r="SN111" s="84"/>
      <c r="SO111" s="84"/>
      <c r="SP111" s="84"/>
      <c r="SQ111" s="84"/>
      <c r="SR111" s="84"/>
      <c r="SS111" s="84"/>
      <c r="ST111" s="84"/>
      <c r="SU111" s="84"/>
      <c r="SV111" s="84"/>
      <c r="SW111" s="84"/>
      <c r="SX111" s="84"/>
      <c r="SY111" s="84"/>
      <c r="SZ111" s="84"/>
      <c r="TA111" s="84"/>
      <c r="TB111" s="84"/>
      <c r="TC111" s="84"/>
      <c r="TD111" s="84"/>
      <c r="TE111" s="84"/>
      <c r="TF111" s="84"/>
      <c r="TG111" s="84"/>
      <c r="TH111" s="84"/>
      <c r="TI111" s="84"/>
      <c r="TJ111" s="84"/>
      <c r="TK111" s="84"/>
      <c r="TL111" s="84"/>
      <c r="TM111" s="84"/>
      <c r="TN111" s="84"/>
      <c r="TO111" s="84"/>
      <c r="TP111" s="84"/>
      <c r="TQ111" s="84"/>
      <c r="TR111" s="84"/>
      <c r="TS111" s="84"/>
      <c r="TT111" s="84"/>
      <c r="TU111" s="84"/>
      <c r="TV111" s="84"/>
      <c r="TW111" s="84"/>
      <c r="TX111" s="84"/>
      <c r="TY111" s="84"/>
      <c r="TZ111" s="84"/>
      <c r="UA111" s="84"/>
      <c r="UB111" s="84"/>
      <c r="UC111" s="84"/>
      <c r="UD111" s="84"/>
      <c r="UE111" s="84"/>
      <c r="UF111" s="84"/>
      <c r="UG111" s="84"/>
      <c r="UH111" s="84"/>
      <c r="UI111" s="84"/>
      <c r="UJ111" s="84"/>
      <c r="UK111" s="84"/>
      <c r="UL111" s="84"/>
      <c r="UM111" s="84"/>
      <c r="UN111" s="84"/>
      <c r="UO111" s="84"/>
      <c r="UP111" s="84"/>
      <c r="UQ111" s="84"/>
      <c r="UR111" s="84"/>
      <c r="US111" s="84"/>
      <c r="UT111" s="84"/>
      <c r="UU111" s="84"/>
      <c r="UV111" s="84"/>
      <c r="UW111" s="84"/>
      <c r="UX111" s="84"/>
      <c r="UY111" s="84"/>
      <c r="UZ111" s="84"/>
      <c r="VA111" s="84"/>
      <c r="VB111" s="84"/>
      <c r="VC111" s="84"/>
      <c r="VD111" s="84"/>
      <c r="VE111" s="84"/>
      <c r="VF111" s="84"/>
      <c r="VG111" s="84"/>
      <c r="VH111" s="84"/>
      <c r="VI111" s="84"/>
      <c r="VJ111" s="84"/>
      <c r="VK111" s="84"/>
      <c r="VL111" s="84"/>
      <c r="VM111" s="84"/>
      <c r="VN111" s="84"/>
      <c r="VO111" s="84"/>
      <c r="VP111" s="84"/>
      <c r="VQ111" s="84"/>
      <c r="VR111" s="84"/>
      <c r="VS111" s="84"/>
      <c r="VT111" s="84"/>
      <c r="VU111" s="84"/>
      <c r="VV111" s="84"/>
      <c r="VW111" s="84"/>
      <c r="VX111" s="84"/>
      <c r="VY111" s="84"/>
      <c r="VZ111" s="84"/>
      <c r="WA111" s="84"/>
      <c r="WB111" s="84"/>
      <c r="WC111" s="84"/>
      <c r="WD111" s="84"/>
      <c r="WE111" s="84"/>
      <c r="WF111" s="84"/>
      <c r="WG111" s="84"/>
      <c r="WH111" s="84"/>
      <c r="WI111" s="84"/>
      <c r="WJ111" s="84"/>
      <c r="WK111" s="84"/>
      <c r="WL111" s="84"/>
      <c r="WM111" s="84"/>
      <c r="WN111" s="84"/>
      <c r="WO111" s="84"/>
      <c r="WP111" s="84"/>
      <c r="WQ111" s="84"/>
      <c r="WR111" s="84"/>
      <c r="WS111" s="84"/>
      <c r="WT111" s="84"/>
      <c r="WU111" s="84"/>
      <c r="WV111" s="84"/>
      <c r="WW111" s="84"/>
      <c r="WX111" s="84"/>
      <c r="WY111" s="84"/>
      <c r="WZ111" s="84"/>
      <c r="XA111" s="84"/>
      <c r="XB111" s="84"/>
      <c r="XC111" s="84"/>
      <c r="XD111" s="84"/>
      <c r="XE111" s="84"/>
      <c r="XF111" s="84"/>
      <c r="XG111" s="84"/>
      <c r="XH111" s="84"/>
      <c r="XI111" s="84"/>
      <c r="XJ111" s="84"/>
      <c r="XK111" s="84"/>
      <c r="XL111" s="84"/>
      <c r="XM111" s="84"/>
      <c r="XN111" s="84"/>
      <c r="XO111" s="84"/>
      <c r="XP111" s="84"/>
      <c r="XQ111" s="84"/>
      <c r="XR111" s="84"/>
      <c r="XS111" s="84"/>
      <c r="XT111" s="84"/>
      <c r="XU111" s="84"/>
      <c r="XV111" s="84"/>
      <c r="XW111" s="84"/>
      <c r="XX111" s="84"/>
      <c r="XY111" s="84"/>
      <c r="XZ111" s="84"/>
      <c r="YA111" s="84"/>
      <c r="YB111" s="84"/>
      <c r="YC111" s="84"/>
      <c r="YD111" s="84"/>
      <c r="YE111" s="84"/>
      <c r="YF111" s="84"/>
      <c r="YG111" s="84"/>
      <c r="YH111" s="84"/>
      <c r="YI111" s="84"/>
      <c r="YJ111" s="84"/>
      <c r="YK111" s="84"/>
      <c r="YL111" s="84"/>
      <c r="YM111" s="84"/>
      <c r="YN111" s="84"/>
      <c r="YO111" s="84"/>
      <c r="YP111" s="84"/>
      <c r="YQ111" s="84"/>
      <c r="YR111" s="84"/>
      <c r="YS111" s="84"/>
      <c r="YT111" s="84"/>
      <c r="YU111" s="84"/>
      <c r="YV111" s="84"/>
      <c r="YW111" s="84"/>
      <c r="YX111" s="84"/>
      <c r="YY111" s="84"/>
      <c r="YZ111" s="84"/>
      <c r="ZA111" s="84"/>
      <c r="ZB111" s="84"/>
      <c r="ZC111" s="84"/>
      <c r="ZD111" s="84"/>
      <c r="ZE111" s="84"/>
      <c r="ZF111" s="84"/>
      <c r="ZG111" s="84"/>
      <c r="ZH111" s="84"/>
      <c r="ZI111" s="84"/>
      <c r="ZJ111" s="84"/>
      <c r="ZK111" s="84"/>
      <c r="ZL111" s="84"/>
      <c r="ZM111" s="84"/>
      <c r="ZN111" s="84"/>
      <c r="ZO111" s="84"/>
      <c r="ZP111" s="84"/>
      <c r="ZQ111" s="84"/>
      <c r="ZR111" s="84"/>
      <c r="ZS111" s="84"/>
      <c r="ZT111" s="84"/>
      <c r="ZU111" s="84"/>
      <c r="ZV111" s="84"/>
      <c r="ZW111" s="84"/>
      <c r="ZX111" s="84"/>
      <c r="ZY111" s="84"/>
      <c r="ZZ111" s="84"/>
      <c r="AAA111" s="84"/>
      <c r="AAB111" s="84"/>
      <c r="AAC111" s="84"/>
      <c r="AAD111" s="84"/>
      <c r="AAE111" s="84"/>
      <c r="AAF111" s="84"/>
      <c r="AAG111" s="84"/>
      <c r="AAH111" s="84"/>
      <c r="AAI111" s="84"/>
      <c r="AAJ111" s="84"/>
      <c r="AAK111" s="84"/>
      <c r="AAL111" s="84"/>
      <c r="AAM111" s="84"/>
      <c r="AAN111" s="84"/>
      <c r="AAO111" s="84"/>
      <c r="AAP111" s="84"/>
      <c r="AAQ111" s="84"/>
      <c r="AAR111" s="84"/>
      <c r="AAS111" s="84"/>
      <c r="AAT111" s="84"/>
      <c r="AAU111" s="84"/>
      <c r="AAV111" s="84"/>
      <c r="AAW111" s="84"/>
      <c r="AAX111" s="84"/>
      <c r="AAY111" s="84"/>
      <c r="AAZ111" s="84"/>
      <c r="ABA111" s="84"/>
      <c r="ABB111" s="84"/>
      <c r="ABC111" s="84"/>
      <c r="ABD111" s="84"/>
      <c r="ABE111" s="84"/>
      <c r="ABF111" s="84"/>
      <c r="ABG111" s="84"/>
      <c r="ABH111" s="84"/>
      <c r="ABI111" s="84"/>
      <c r="ABJ111" s="84"/>
      <c r="ABK111" s="84"/>
      <c r="ABL111" s="84"/>
      <c r="ABM111" s="84"/>
      <c r="ABN111" s="84"/>
      <c r="ABO111" s="84"/>
      <c r="ABP111" s="84"/>
      <c r="ABQ111" s="84"/>
      <c r="ABR111" s="84"/>
      <c r="ABS111" s="84"/>
      <c r="ABT111" s="84"/>
      <c r="ABU111" s="84"/>
      <c r="ABV111" s="84"/>
      <c r="ABW111" s="84"/>
      <c r="ABX111" s="84"/>
      <c r="ABY111" s="84"/>
      <c r="ABZ111" s="84"/>
      <c r="ACA111" s="84"/>
      <c r="ACB111" s="84"/>
      <c r="ACC111" s="84"/>
      <c r="ACD111" s="84"/>
      <c r="ACE111" s="84"/>
      <c r="ACF111" s="84"/>
      <c r="ACG111" s="84"/>
      <c r="ACH111" s="84"/>
      <c r="ACI111" s="84"/>
      <c r="ACJ111" s="84"/>
      <c r="ACK111" s="84"/>
      <c r="ACL111" s="84"/>
      <c r="ACM111" s="84"/>
      <c r="ACN111" s="84"/>
      <c r="ACO111" s="84"/>
      <c r="ACP111" s="84"/>
      <c r="ACQ111" s="84"/>
      <c r="ACR111" s="84"/>
      <c r="ACS111" s="84"/>
      <c r="ACT111" s="84"/>
      <c r="ACU111" s="84"/>
      <c r="ACV111" s="84"/>
      <c r="ACW111" s="84"/>
      <c r="ACX111" s="84"/>
      <c r="ACY111" s="84"/>
      <c r="ACZ111" s="84"/>
      <c r="ADA111" s="84"/>
      <c r="ADB111" s="84"/>
      <c r="ADC111" s="84"/>
      <c r="ADD111" s="84"/>
      <c r="ADE111" s="84"/>
      <c r="ADF111" s="84"/>
      <c r="ADG111" s="84"/>
      <c r="ADH111" s="84"/>
      <c r="ADI111" s="84"/>
      <c r="ADJ111" s="84"/>
      <c r="ADK111" s="84"/>
      <c r="ADL111" s="84"/>
      <c r="ADM111" s="84"/>
      <c r="ADN111" s="84"/>
      <c r="ADO111" s="84"/>
      <c r="ADP111" s="84"/>
      <c r="ADQ111" s="84"/>
      <c r="ADR111" s="84"/>
      <c r="ADS111" s="84"/>
      <c r="ADT111" s="84"/>
      <c r="ADU111" s="84"/>
      <c r="ADV111" s="84"/>
      <c r="ADW111" s="84"/>
      <c r="ADX111" s="84"/>
      <c r="ADY111" s="84"/>
      <c r="ADZ111" s="84"/>
      <c r="AEA111" s="84"/>
      <c r="AEB111" s="84"/>
      <c r="AEC111" s="84"/>
      <c r="AED111" s="84"/>
      <c r="AEE111" s="84"/>
      <c r="AEF111" s="84"/>
      <c r="AEG111" s="84"/>
      <c r="AEH111" s="84"/>
      <c r="AEI111" s="84"/>
      <c r="AEJ111" s="84"/>
      <c r="AEK111" s="84"/>
      <c r="AEL111" s="84"/>
      <c r="AEM111" s="84"/>
      <c r="AEN111" s="84"/>
      <c r="AEO111" s="84"/>
      <c r="AEP111" s="84"/>
      <c r="AEQ111" s="84"/>
      <c r="AER111" s="84"/>
      <c r="AES111" s="84"/>
      <c r="AET111" s="84"/>
      <c r="AEU111" s="84"/>
      <c r="AEV111" s="84"/>
      <c r="AEW111" s="84"/>
      <c r="AEX111" s="84"/>
      <c r="AEY111" s="84"/>
      <c r="AEZ111" s="84"/>
      <c r="AFA111" s="84"/>
      <c r="AFB111" s="84"/>
      <c r="AFC111" s="84"/>
      <c r="AFD111" s="84"/>
      <c r="AFE111" s="84"/>
      <c r="AFF111" s="84"/>
      <c r="AFG111" s="84"/>
      <c r="AFH111" s="84"/>
      <c r="AFI111" s="84"/>
      <c r="AFJ111" s="84"/>
      <c r="AFK111" s="84"/>
      <c r="AFL111" s="84"/>
      <c r="AFM111" s="84"/>
      <c r="AFN111" s="84"/>
      <c r="AFO111" s="84"/>
      <c r="AFP111" s="84"/>
      <c r="AFQ111" s="84"/>
      <c r="AFR111" s="84"/>
      <c r="AFS111" s="84"/>
      <c r="AFT111" s="84"/>
      <c r="AFU111" s="84"/>
      <c r="AFV111" s="84"/>
      <c r="AFW111" s="84"/>
      <c r="AFX111" s="84"/>
      <c r="AFY111" s="84"/>
      <c r="AFZ111" s="84"/>
      <c r="AGA111" s="84"/>
      <c r="AGB111" s="84"/>
      <c r="AGC111" s="84"/>
      <c r="AGD111" s="84"/>
      <c r="AGE111" s="84"/>
      <c r="AGF111" s="84"/>
      <c r="AGG111" s="84"/>
      <c r="AGH111" s="84"/>
      <c r="AGI111" s="84"/>
      <c r="AGJ111" s="84"/>
      <c r="AGK111" s="84"/>
      <c r="AGL111" s="84"/>
      <c r="AGM111" s="84"/>
      <c r="AGN111" s="84"/>
      <c r="AGO111" s="84"/>
      <c r="AGP111" s="84"/>
      <c r="AGQ111" s="84"/>
      <c r="AGR111" s="84"/>
      <c r="AGS111" s="84"/>
      <c r="AGT111" s="84"/>
      <c r="AGU111" s="84"/>
      <c r="AGV111" s="84"/>
      <c r="AGW111" s="84"/>
      <c r="AGX111" s="84"/>
      <c r="AGY111" s="84"/>
      <c r="AGZ111" s="84"/>
      <c r="AHA111" s="84"/>
      <c r="AHB111" s="84"/>
      <c r="AHC111" s="84"/>
      <c r="AHD111" s="84"/>
      <c r="AHE111" s="84"/>
      <c r="AHF111" s="84"/>
      <c r="AHG111" s="84"/>
      <c r="AHH111" s="84"/>
      <c r="AHI111" s="84"/>
      <c r="AHJ111" s="84"/>
      <c r="AHK111" s="84"/>
      <c r="AHL111" s="84"/>
      <c r="AHM111" s="84"/>
      <c r="AHN111" s="84"/>
      <c r="AHO111" s="84"/>
      <c r="AHP111" s="84"/>
      <c r="AHQ111" s="84"/>
      <c r="AHR111" s="84"/>
      <c r="AHS111" s="84"/>
      <c r="AHT111" s="84"/>
      <c r="AHU111" s="84"/>
      <c r="AHV111" s="84"/>
      <c r="AHW111" s="84"/>
      <c r="AHX111" s="84"/>
      <c r="AHY111" s="84"/>
      <c r="AHZ111" s="84"/>
      <c r="AIA111" s="84"/>
      <c r="AIB111" s="84"/>
      <c r="AIC111" s="84"/>
      <c r="AID111" s="84"/>
      <c r="AIE111" s="84"/>
      <c r="AIF111" s="84"/>
      <c r="AIG111" s="84"/>
      <c r="AIH111" s="84"/>
      <c r="AII111" s="84"/>
      <c r="AIJ111" s="84"/>
      <c r="AIK111" s="84"/>
      <c r="AIL111" s="84"/>
      <c r="AIM111" s="84"/>
      <c r="AIN111" s="84"/>
      <c r="AIO111" s="84"/>
      <c r="AIP111" s="84"/>
      <c r="AIQ111" s="84"/>
      <c r="AIR111" s="84"/>
      <c r="AIS111" s="84"/>
      <c r="AIT111" s="84"/>
      <c r="AIU111" s="84"/>
      <c r="AIV111" s="84"/>
      <c r="AIW111" s="84"/>
      <c r="AIX111" s="84"/>
      <c r="AIY111" s="84"/>
      <c r="AIZ111" s="84"/>
      <c r="AJA111" s="84"/>
      <c r="AJB111" s="84"/>
      <c r="AJC111" s="84"/>
      <c r="AJD111" s="84"/>
      <c r="AJE111" s="84"/>
      <c r="AJF111" s="84"/>
      <c r="AJG111" s="84"/>
      <c r="AJH111" s="84"/>
      <c r="AJI111" s="84"/>
      <c r="AJJ111" s="84"/>
      <c r="AJK111" s="84"/>
      <c r="AJL111" s="84"/>
      <c r="AJM111" s="84"/>
      <c r="AJN111" s="84"/>
      <c r="AJO111" s="84"/>
      <c r="AJP111" s="84"/>
      <c r="AJQ111" s="84"/>
      <c r="AJR111" s="84"/>
      <c r="AJS111" s="84"/>
      <c r="AJT111" s="84"/>
      <c r="AJU111" s="84"/>
      <c r="AJV111" s="84"/>
      <c r="AJW111" s="84"/>
      <c r="AJX111" s="84"/>
      <c r="AJY111" s="84"/>
      <c r="AJZ111" s="84"/>
      <c r="AKA111" s="84"/>
      <c r="AKB111" s="84"/>
      <c r="AKC111" s="84"/>
      <c r="AKD111" s="84"/>
      <c r="AKE111" s="84"/>
      <c r="AKF111" s="84"/>
      <c r="AKG111" s="84"/>
      <c r="AKH111" s="84"/>
      <c r="AKI111" s="84"/>
      <c r="AKJ111" s="84"/>
      <c r="AKK111" s="84"/>
      <c r="AKL111" s="84"/>
      <c r="AKM111" s="84"/>
      <c r="AKN111" s="84"/>
      <c r="AKO111" s="84"/>
      <c r="AKP111" s="84"/>
      <c r="AKQ111" s="84"/>
      <c r="AKR111" s="84"/>
      <c r="AKS111" s="84"/>
      <c r="AKT111" s="84"/>
      <c r="AKU111" s="84"/>
      <c r="AKV111" s="84"/>
      <c r="AKW111" s="84"/>
      <c r="AKX111" s="84"/>
      <c r="AKY111" s="84"/>
      <c r="AKZ111" s="84"/>
      <c r="ALA111" s="84"/>
      <c r="ALB111" s="84"/>
      <c r="ALC111" s="84"/>
      <c r="ALD111" s="84"/>
      <c r="ALE111" s="84"/>
      <c r="ALF111" s="84"/>
      <c r="ALG111" s="84"/>
      <c r="ALH111" s="84"/>
      <c r="ALI111" s="84"/>
      <c r="ALJ111" s="84"/>
      <c r="ALK111" s="84"/>
      <c r="ALL111" s="84"/>
      <c r="ALM111" s="84"/>
      <c r="ALN111" s="84"/>
      <c r="ALO111" s="84"/>
      <c r="ALP111" s="84"/>
      <c r="ALQ111" s="84"/>
      <c r="ALR111" s="84"/>
      <c r="ALS111" s="84"/>
      <c r="ALT111" s="84"/>
      <c r="ALU111" s="84"/>
      <c r="ALV111" s="84"/>
      <c r="ALW111" s="84"/>
      <c r="ALX111" s="84"/>
      <c r="ALY111" s="84"/>
      <c r="ALZ111" s="84"/>
      <c r="AMA111" s="84"/>
      <c r="AMB111" s="84"/>
      <c r="AMC111" s="84"/>
      <c r="AMD111" s="84"/>
      <c r="AME111" s="84"/>
      <c r="AMF111" s="84"/>
      <c r="AMG111" s="84"/>
      <c r="AMH111" s="84"/>
      <c r="AMI111" s="84"/>
      <c r="AMJ111" s="84"/>
      <c r="AMK111" s="84"/>
      <c r="AML111" s="84"/>
      <c r="AMM111" s="84"/>
      <c r="AMN111" s="84"/>
      <c r="AMO111" s="84"/>
      <c r="AMP111" s="84"/>
      <c r="AMQ111" s="84"/>
      <c r="AMR111" s="84"/>
      <c r="AMS111" s="84"/>
      <c r="AMT111" s="84"/>
      <c r="AMU111" s="84"/>
      <c r="AMV111" s="84"/>
      <c r="AMW111" s="84"/>
      <c r="AMX111" s="84"/>
      <c r="AMY111" s="84"/>
      <c r="AMZ111" s="84"/>
      <c r="ANA111" s="84"/>
      <c r="ANB111" s="84"/>
      <c r="ANC111" s="84"/>
      <c r="AND111" s="84"/>
      <c r="ANE111" s="84"/>
      <c r="ANF111" s="84"/>
      <c r="ANG111" s="84"/>
      <c r="ANH111" s="84"/>
      <c r="ANI111" s="84"/>
      <c r="ANJ111" s="84"/>
      <c r="ANK111" s="84"/>
      <c r="ANL111" s="84"/>
      <c r="ANM111" s="84"/>
      <c r="ANN111" s="84"/>
      <c r="ANO111" s="84"/>
      <c r="ANP111" s="84"/>
      <c r="ANQ111" s="84"/>
      <c r="ANR111" s="84"/>
      <c r="ANS111" s="84"/>
      <c r="ANT111" s="84"/>
      <c r="ANU111" s="84"/>
      <c r="ANV111" s="84"/>
      <c r="ANW111" s="84"/>
      <c r="ANX111" s="84"/>
      <c r="ANY111" s="84"/>
      <c r="ANZ111" s="84"/>
      <c r="AOA111" s="84"/>
      <c r="AOB111" s="84"/>
      <c r="AOC111" s="84"/>
      <c r="AOD111" s="84"/>
      <c r="AOE111" s="84"/>
      <c r="AOF111" s="84"/>
      <c r="AOG111" s="84"/>
      <c r="AOH111" s="84"/>
      <c r="AOI111" s="84"/>
      <c r="AOJ111" s="84"/>
      <c r="AOK111" s="84"/>
      <c r="AOL111" s="84"/>
      <c r="AOM111" s="84"/>
      <c r="AON111" s="84"/>
      <c r="AOO111" s="84"/>
      <c r="AOP111" s="84"/>
      <c r="AOQ111" s="84"/>
      <c r="AOR111" s="84"/>
      <c r="AOS111" s="84"/>
      <c r="AOT111" s="84"/>
      <c r="AOU111" s="84"/>
      <c r="AOV111" s="84"/>
      <c r="AOW111" s="84"/>
      <c r="AOX111" s="84"/>
      <c r="AOY111" s="84"/>
      <c r="AOZ111" s="84"/>
      <c r="APA111" s="84"/>
      <c r="APB111" s="84"/>
      <c r="APC111" s="84"/>
      <c r="APD111" s="84"/>
      <c r="APE111" s="84"/>
      <c r="APF111" s="84"/>
      <c r="APG111" s="84"/>
      <c r="APH111" s="84"/>
      <c r="API111" s="84"/>
      <c r="APJ111" s="84"/>
      <c r="APK111" s="84"/>
      <c r="APL111" s="84"/>
      <c r="APM111" s="84"/>
      <c r="APN111" s="84"/>
      <c r="APO111" s="84"/>
      <c r="APP111" s="84"/>
      <c r="APQ111" s="84"/>
      <c r="APR111" s="84"/>
      <c r="APS111" s="84"/>
      <c r="APT111" s="84"/>
      <c r="APU111" s="84"/>
      <c r="APV111" s="84"/>
      <c r="APW111" s="84"/>
      <c r="APX111" s="84"/>
      <c r="APY111" s="84"/>
      <c r="APZ111" s="84"/>
      <c r="AQA111" s="84"/>
      <c r="AQB111" s="84"/>
      <c r="AQC111" s="84"/>
      <c r="AQD111" s="84"/>
      <c r="AQE111" s="84"/>
      <c r="AQF111" s="84"/>
      <c r="AQG111" s="84"/>
      <c r="AQH111" s="84"/>
      <c r="AQI111" s="84"/>
      <c r="AQJ111" s="84"/>
      <c r="AQK111" s="84"/>
      <c r="AQL111" s="84"/>
      <c r="AQM111" s="84"/>
      <c r="AQN111" s="84"/>
      <c r="AQO111" s="84"/>
      <c r="AQP111" s="84"/>
      <c r="AQQ111" s="84"/>
      <c r="AQR111" s="84"/>
      <c r="AQS111" s="84"/>
      <c r="AQT111" s="84"/>
      <c r="AQU111" s="84"/>
      <c r="AQV111" s="84"/>
      <c r="AQW111" s="84"/>
      <c r="AQX111" s="84"/>
      <c r="AQY111" s="84"/>
      <c r="AQZ111" s="84"/>
      <c r="ARA111" s="84"/>
      <c r="ARB111" s="84"/>
      <c r="ARC111" s="84"/>
      <c r="ARD111" s="84"/>
      <c r="ARE111" s="84"/>
      <c r="ARF111" s="84"/>
      <c r="ARG111" s="84"/>
      <c r="ARH111" s="84"/>
      <c r="ARI111" s="84"/>
      <c r="ARJ111" s="84"/>
      <c r="ARK111" s="84"/>
      <c r="ARL111" s="84"/>
      <c r="ARM111" s="84"/>
      <c r="ARN111" s="84"/>
      <c r="ARO111" s="84"/>
      <c r="ARP111" s="84"/>
      <c r="ARQ111" s="84"/>
      <c r="ARR111" s="84"/>
      <c r="ARS111" s="84"/>
      <c r="ART111" s="84"/>
      <c r="ARU111" s="84"/>
      <c r="ARV111" s="84"/>
      <c r="ARW111" s="84"/>
      <c r="ARX111" s="84"/>
      <c r="ARY111" s="84"/>
      <c r="ARZ111" s="84"/>
      <c r="ASA111" s="84"/>
      <c r="ASB111" s="84"/>
      <c r="ASC111" s="84"/>
      <c r="ASD111" s="84"/>
      <c r="ASE111" s="84"/>
      <c r="ASF111" s="84"/>
      <c r="ASG111" s="84"/>
      <c r="ASH111" s="84"/>
      <c r="ASI111" s="84"/>
      <c r="ASJ111" s="84"/>
      <c r="ASK111" s="84"/>
      <c r="ASL111" s="84"/>
      <c r="ASM111" s="84"/>
      <c r="ASN111" s="84"/>
      <c r="ASO111" s="84"/>
      <c r="ASP111" s="84"/>
      <c r="ASQ111" s="84"/>
      <c r="ASR111" s="84"/>
      <c r="ASS111" s="84"/>
      <c r="AST111" s="84"/>
      <c r="ASU111" s="84"/>
      <c r="ASV111" s="84"/>
      <c r="ASW111" s="84"/>
      <c r="ASX111" s="84"/>
      <c r="ASY111" s="84"/>
      <c r="ASZ111" s="84"/>
      <c r="ATA111" s="84"/>
      <c r="ATB111" s="84"/>
      <c r="ATC111" s="84"/>
      <c r="ATD111" s="84"/>
      <c r="ATE111" s="84"/>
      <c r="ATF111" s="84"/>
      <c r="ATG111" s="84"/>
      <c r="ATH111" s="84"/>
      <c r="ATI111" s="84"/>
      <c r="ATJ111" s="84"/>
      <c r="ATK111" s="84"/>
      <c r="ATL111" s="84"/>
      <c r="ATM111" s="84"/>
      <c r="ATN111" s="84"/>
      <c r="ATO111" s="84"/>
      <c r="ATP111" s="84"/>
      <c r="ATQ111" s="84"/>
      <c r="ATR111" s="84"/>
      <c r="ATS111" s="84"/>
      <c r="ATT111" s="84"/>
      <c r="ATU111" s="84"/>
      <c r="ATV111" s="84"/>
      <c r="ATW111" s="84"/>
      <c r="ATX111" s="84"/>
      <c r="ATY111" s="84"/>
      <c r="ATZ111" s="84"/>
      <c r="AUA111" s="84"/>
      <c r="AUB111" s="84"/>
      <c r="AUC111" s="84"/>
      <c r="AUD111" s="84"/>
      <c r="AUE111" s="84"/>
      <c r="AUF111" s="84"/>
      <c r="AUG111" s="84"/>
      <c r="AUH111" s="84"/>
      <c r="AUI111" s="84"/>
      <c r="AUJ111" s="84"/>
      <c r="AUK111" s="84"/>
      <c r="AUL111" s="84"/>
      <c r="AUM111" s="84"/>
      <c r="AUN111" s="84"/>
      <c r="AUO111" s="84"/>
      <c r="AUP111" s="84"/>
      <c r="AUQ111" s="84"/>
      <c r="AUR111" s="84"/>
      <c r="AUS111" s="84"/>
      <c r="AUT111" s="84"/>
      <c r="AUU111" s="84"/>
      <c r="AUV111" s="84"/>
      <c r="AUW111" s="84"/>
      <c r="AUX111" s="84"/>
      <c r="AUY111" s="84"/>
      <c r="AUZ111" s="84"/>
      <c r="AVA111" s="84"/>
      <c r="AVB111" s="84"/>
      <c r="AVC111" s="84"/>
      <c r="AVD111" s="84"/>
      <c r="AVE111" s="84"/>
      <c r="AVF111" s="84"/>
      <c r="AVG111" s="84"/>
      <c r="AVH111" s="84"/>
      <c r="AVI111" s="84"/>
      <c r="AVJ111" s="84"/>
      <c r="AVK111" s="84"/>
      <c r="AVL111" s="84"/>
      <c r="AVM111" s="84"/>
      <c r="AVN111" s="84"/>
      <c r="AVO111" s="84"/>
      <c r="AVP111" s="84"/>
      <c r="AVQ111" s="84"/>
      <c r="AVR111" s="84"/>
      <c r="AVS111" s="84"/>
      <c r="AVT111" s="84"/>
      <c r="AVU111" s="84"/>
      <c r="AVV111" s="84"/>
      <c r="AVW111" s="84"/>
      <c r="AVX111" s="84"/>
      <c r="AVY111" s="84"/>
      <c r="AVZ111" s="84"/>
      <c r="AWA111" s="84"/>
      <c r="AWB111" s="84"/>
      <c r="AWC111" s="84"/>
      <c r="AWD111" s="84"/>
      <c r="AWE111" s="84"/>
      <c r="AWF111" s="84"/>
      <c r="AWG111" s="84"/>
      <c r="AWH111" s="84"/>
      <c r="AWI111" s="84"/>
      <c r="AWJ111" s="84"/>
      <c r="AWK111" s="84"/>
      <c r="AWL111" s="84"/>
      <c r="AWM111" s="84"/>
      <c r="AWN111" s="84"/>
      <c r="AWO111" s="84"/>
      <c r="AWP111" s="84"/>
      <c r="AWQ111" s="84"/>
      <c r="AWR111" s="84"/>
      <c r="AWS111" s="84"/>
      <c r="AWT111" s="84"/>
      <c r="AWU111" s="84"/>
      <c r="AWV111" s="84"/>
      <c r="AWW111" s="84"/>
      <c r="AWX111" s="84"/>
      <c r="AWY111" s="84"/>
      <c r="AWZ111" s="84"/>
      <c r="AXA111" s="84"/>
      <c r="AXB111" s="84"/>
      <c r="AXC111" s="84"/>
      <c r="AXD111" s="84"/>
      <c r="AXE111" s="84"/>
      <c r="AXF111" s="84"/>
      <c r="AXG111" s="84"/>
      <c r="AXH111" s="84"/>
      <c r="AXI111" s="84"/>
      <c r="AXJ111" s="84"/>
      <c r="AXK111" s="84"/>
      <c r="AXL111" s="84"/>
      <c r="AXM111" s="84"/>
      <c r="AXN111" s="84"/>
      <c r="AXO111" s="84"/>
      <c r="AXP111" s="84"/>
      <c r="AXQ111" s="84"/>
      <c r="AXR111" s="84"/>
      <c r="AXS111" s="84"/>
      <c r="AXT111" s="84"/>
      <c r="AXU111" s="84"/>
      <c r="AXV111" s="84"/>
      <c r="AXW111" s="84"/>
      <c r="AXX111" s="84"/>
      <c r="AXY111" s="84"/>
      <c r="AXZ111" s="84"/>
      <c r="AYA111" s="84"/>
      <c r="AYB111" s="84"/>
      <c r="AYC111" s="84"/>
      <c r="AYD111" s="84"/>
      <c r="AYE111" s="84"/>
      <c r="AYF111" s="84"/>
      <c r="AYG111" s="84"/>
      <c r="AYH111" s="84"/>
      <c r="AYI111" s="84"/>
      <c r="AYJ111" s="84"/>
      <c r="AYK111" s="84"/>
      <c r="AYL111" s="84"/>
      <c r="AYM111" s="84"/>
      <c r="AYN111" s="84"/>
      <c r="AYO111" s="84"/>
      <c r="AYP111" s="84"/>
      <c r="AYQ111" s="84"/>
      <c r="AYR111" s="84"/>
      <c r="AYS111" s="84"/>
      <c r="AYT111" s="84"/>
      <c r="AYU111" s="84"/>
      <c r="AYV111" s="84"/>
      <c r="AYW111" s="84"/>
      <c r="AYX111" s="84"/>
      <c r="AYY111" s="84"/>
      <c r="AYZ111" s="84"/>
      <c r="AZA111" s="84"/>
      <c r="AZB111" s="84"/>
      <c r="AZC111" s="84"/>
      <c r="AZD111" s="84"/>
      <c r="AZE111" s="84"/>
      <c r="AZF111" s="84"/>
      <c r="AZG111" s="84"/>
      <c r="AZH111" s="84"/>
      <c r="AZI111" s="84"/>
      <c r="AZJ111" s="84"/>
      <c r="AZK111" s="84"/>
      <c r="AZL111" s="84"/>
      <c r="AZM111" s="84"/>
      <c r="AZN111" s="84"/>
      <c r="AZO111" s="84"/>
      <c r="AZP111" s="84"/>
      <c r="AZQ111" s="84"/>
      <c r="AZR111" s="84"/>
      <c r="AZS111" s="84"/>
      <c r="AZT111" s="84"/>
      <c r="AZU111" s="84"/>
      <c r="AZV111" s="84"/>
      <c r="AZW111" s="84"/>
      <c r="AZX111" s="84"/>
      <c r="AZY111" s="84"/>
      <c r="AZZ111" s="84"/>
      <c r="BAA111" s="84"/>
      <c r="BAB111" s="84"/>
      <c r="BAC111" s="84"/>
      <c r="BAD111" s="84"/>
      <c r="BAE111" s="84"/>
      <c r="BAF111" s="84"/>
      <c r="BAG111" s="84"/>
      <c r="BAH111" s="84"/>
      <c r="BAI111" s="84"/>
      <c r="BAJ111" s="84"/>
      <c r="BAK111" s="84"/>
      <c r="BAL111" s="84"/>
      <c r="BAM111" s="84"/>
      <c r="BAN111" s="84"/>
      <c r="BAO111" s="84"/>
      <c r="BAP111" s="84"/>
      <c r="BAQ111" s="84"/>
      <c r="BAR111" s="84"/>
      <c r="BAS111" s="84"/>
      <c r="BAT111" s="84"/>
      <c r="BAU111" s="84"/>
      <c r="BAV111" s="84"/>
      <c r="BAW111" s="84"/>
      <c r="BAX111" s="84"/>
      <c r="BAY111" s="84"/>
      <c r="BAZ111" s="84"/>
      <c r="BBA111" s="84"/>
      <c r="BBB111" s="84"/>
      <c r="BBC111" s="84"/>
      <c r="BBD111" s="84"/>
      <c r="BBE111" s="84"/>
      <c r="BBF111" s="84"/>
      <c r="BBG111" s="84"/>
      <c r="BBH111" s="84"/>
      <c r="BBI111" s="84"/>
      <c r="BBJ111" s="84"/>
      <c r="BBK111" s="84"/>
      <c r="BBL111" s="84"/>
      <c r="BBM111" s="84"/>
      <c r="BBN111" s="84"/>
      <c r="BBO111" s="84"/>
      <c r="BBP111" s="84"/>
      <c r="BBQ111" s="84"/>
      <c r="BBR111" s="84"/>
      <c r="BBS111" s="84"/>
      <c r="BBT111" s="84"/>
      <c r="BBU111" s="84"/>
      <c r="BBV111" s="84"/>
      <c r="BBW111" s="84"/>
      <c r="BBX111" s="84"/>
      <c r="BBY111" s="84"/>
      <c r="BBZ111" s="84"/>
      <c r="BCA111" s="84"/>
      <c r="BCB111" s="84"/>
      <c r="BCC111" s="84"/>
      <c r="BCD111" s="84"/>
      <c r="BCE111" s="84"/>
      <c r="BCF111" s="84"/>
      <c r="BCG111" s="84"/>
      <c r="BCH111" s="84"/>
      <c r="BCI111" s="84"/>
      <c r="BCJ111" s="84"/>
      <c r="BCK111" s="84"/>
      <c r="BCL111" s="84"/>
      <c r="BCM111" s="84"/>
      <c r="BCN111" s="84"/>
      <c r="BCO111" s="84"/>
      <c r="BCP111" s="84"/>
      <c r="BCQ111" s="84"/>
      <c r="BCR111" s="84"/>
      <c r="BCS111" s="84"/>
      <c r="BCT111" s="84"/>
      <c r="BCU111" s="84"/>
      <c r="BCV111" s="84"/>
      <c r="BCW111" s="84"/>
      <c r="BCX111" s="84"/>
      <c r="BCY111" s="84"/>
      <c r="BCZ111" s="84"/>
      <c r="BDA111" s="84"/>
      <c r="BDB111" s="84"/>
      <c r="BDC111" s="84"/>
      <c r="BDD111" s="84"/>
      <c r="BDE111" s="84"/>
      <c r="BDF111" s="84"/>
      <c r="BDG111" s="84"/>
      <c r="BDH111" s="84"/>
      <c r="BDI111" s="84"/>
      <c r="BDJ111" s="84"/>
      <c r="BDK111" s="84"/>
      <c r="BDL111" s="84"/>
      <c r="BDM111" s="84"/>
      <c r="BDN111" s="84"/>
      <c r="BDO111" s="84"/>
      <c r="BDP111" s="84"/>
      <c r="BDQ111" s="84"/>
      <c r="BDR111" s="84"/>
      <c r="BDS111" s="84"/>
      <c r="BDT111" s="84"/>
      <c r="BDU111" s="84"/>
      <c r="BDV111" s="84"/>
      <c r="BDW111" s="84"/>
      <c r="BDX111" s="84"/>
      <c r="BDY111" s="84"/>
      <c r="BDZ111" s="84"/>
      <c r="BEA111" s="84"/>
      <c r="BEB111" s="84"/>
      <c r="BEC111" s="84"/>
      <c r="BED111" s="84"/>
      <c r="BEE111" s="84"/>
      <c r="BEF111" s="84"/>
      <c r="BEG111" s="84"/>
      <c r="BEH111" s="84"/>
      <c r="BEI111" s="84"/>
      <c r="BEJ111" s="84"/>
      <c r="BEK111" s="84"/>
      <c r="BEL111" s="84"/>
      <c r="BEM111" s="84"/>
      <c r="BEN111" s="84"/>
      <c r="BEO111" s="84"/>
      <c r="BEP111" s="84"/>
      <c r="BEQ111" s="84"/>
      <c r="BER111" s="84"/>
      <c r="BES111" s="84"/>
      <c r="BET111" s="84"/>
      <c r="BEU111" s="84"/>
      <c r="BEV111" s="84"/>
      <c r="BEW111" s="84"/>
      <c r="BEX111" s="84"/>
      <c r="BEY111" s="84"/>
      <c r="BEZ111" s="84"/>
      <c r="BFA111" s="84"/>
      <c r="BFB111" s="84"/>
      <c r="BFC111" s="84"/>
      <c r="BFD111" s="84"/>
      <c r="BFE111" s="84"/>
      <c r="BFF111" s="84"/>
      <c r="BFG111" s="84"/>
      <c r="BFH111" s="84"/>
      <c r="BFI111" s="84"/>
      <c r="BFJ111" s="84"/>
      <c r="BFK111" s="84"/>
      <c r="BFL111" s="84"/>
      <c r="BFM111" s="84"/>
      <c r="BFN111" s="84"/>
      <c r="BFO111" s="84"/>
      <c r="BFP111" s="84"/>
      <c r="BFQ111" s="84"/>
      <c r="BFR111" s="84"/>
      <c r="BFS111" s="84"/>
      <c r="BFT111" s="84"/>
      <c r="BFU111" s="84"/>
      <c r="BFV111" s="84"/>
      <c r="BFW111" s="84"/>
      <c r="BFX111" s="84"/>
      <c r="BFY111" s="84"/>
      <c r="BFZ111" s="84"/>
      <c r="BGA111" s="84"/>
      <c r="BGB111" s="84"/>
      <c r="BGC111" s="84"/>
      <c r="BGD111" s="84"/>
      <c r="BGE111" s="84"/>
      <c r="BGF111" s="84"/>
      <c r="BGG111" s="84"/>
      <c r="BGH111" s="84"/>
      <c r="BGI111" s="84"/>
      <c r="BGJ111" s="84"/>
      <c r="BGK111" s="84"/>
      <c r="BGL111" s="84"/>
      <c r="BGM111" s="84"/>
      <c r="BGN111" s="84"/>
      <c r="BGO111" s="84"/>
      <c r="BGP111" s="84"/>
      <c r="BGQ111" s="84"/>
      <c r="BGR111" s="84"/>
      <c r="BGS111" s="84"/>
      <c r="BGT111" s="84"/>
      <c r="BGU111" s="84"/>
      <c r="BGV111" s="84"/>
      <c r="BGW111" s="84"/>
      <c r="BGX111" s="84"/>
      <c r="BGY111" s="84"/>
      <c r="BGZ111" s="84"/>
      <c r="BHA111" s="84"/>
      <c r="BHB111" s="84"/>
      <c r="BHC111" s="84"/>
      <c r="BHD111" s="84"/>
      <c r="BHE111" s="84"/>
      <c r="BHF111" s="84"/>
      <c r="BHG111" s="84"/>
      <c r="BHH111" s="84"/>
      <c r="BHI111" s="84"/>
      <c r="BHJ111" s="84"/>
      <c r="BHK111" s="84"/>
      <c r="BHL111" s="84"/>
      <c r="BHM111" s="84"/>
      <c r="BHN111" s="84"/>
      <c r="BHO111" s="84"/>
      <c r="BHP111" s="84"/>
      <c r="BHQ111" s="84"/>
      <c r="BHR111" s="84"/>
      <c r="BHS111" s="84"/>
      <c r="BHT111" s="84"/>
      <c r="BHU111" s="84"/>
      <c r="BHV111" s="84"/>
      <c r="BHW111" s="84"/>
      <c r="BHX111" s="84"/>
      <c r="BHY111" s="84"/>
      <c r="BHZ111" s="84"/>
      <c r="BIA111" s="84"/>
      <c r="BIB111" s="84"/>
      <c r="BIC111" s="84"/>
      <c r="BID111" s="84"/>
      <c r="BIE111" s="84"/>
      <c r="BIF111" s="84"/>
      <c r="BIG111" s="84"/>
      <c r="BIH111" s="84"/>
      <c r="BII111" s="84"/>
      <c r="BIJ111" s="84"/>
      <c r="BIK111" s="84"/>
      <c r="BIL111" s="84"/>
      <c r="BIM111" s="84"/>
      <c r="BIN111" s="84"/>
      <c r="BIO111" s="84"/>
      <c r="BIP111" s="84"/>
      <c r="BIQ111" s="84"/>
      <c r="BIR111" s="84"/>
      <c r="BIS111" s="84"/>
      <c r="BIT111" s="84"/>
      <c r="BIU111" s="84"/>
      <c r="BIV111" s="84"/>
      <c r="BIW111" s="84"/>
      <c r="BIX111" s="84"/>
      <c r="BIY111" s="84"/>
      <c r="BIZ111" s="84"/>
      <c r="BJA111" s="84"/>
      <c r="BJB111" s="84"/>
      <c r="BJC111" s="84"/>
      <c r="BJD111" s="84"/>
      <c r="BJE111" s="84"/>
      <c r="BJF111" s="84"/>
      <c r="BJG111" s="84"/>
      <c r="BJH111" s="84"/>
      <c r="BJI111" s="84"/>
      <c r="BJJ111" s="84"/>
      <c r="BJK111" s="84"/>
      <c r="BJL111" s="84"/>
      <c r="BJM111" s="84"/>
      <c r="BJN111" s="84"/>
      <c r="BJO111" s="84"/>
      <c r="BJP111" s="84"/>
      <c r="BJQ111" s="84"/>
      <c r="BJR111" s="84"/>
      <c r="BJS111" s="84"/>
      <c r="BJT111" s="84"/>
      <c r="BJU111" s="84"/>
      <c r="BJV111" s="84"/>
      <c r="BJW111" s="84"/>
      <c r="BJX111" s="84"/>
      <c r="BJY111" s="84"/>
      <c r="BJZ111" s="84"/>
      <c r="BKA111" s="84"/>
      <c r="BKB111" s="84"/>
      <c r="BKC111" s="84"/>
      <c r="BKD111" s="84"/>
      <c r="BKE111" s="84"/>
      <c r="BKF111" s="84"/>
      <c r="BKG111" s="84"/>
      <c r="BKH111" s="84"/>
      <c r="BKI111" s="84"/>
      <c r="BKJ111" s="84"/>
      <c r="BKK111" s="84"/>
      <c r="BKL111" s="84"/>
      <c r="BKM111" s="84"/>
      <c r="BKN111" s="84"/>
      <c r="BKO111" s="84"/>
      <c r="BKP111" s="84"/>
      <c r="BKQ111" s="84"/>
      <c r="BKR111" s="84"/>
      <c r="BKS111" s="84"/>
      <c r="BKT111" s="84"/>
      <c r="BKU111" s="84"/>
      <c r="BKV111" s="84"/>
      <c r="BKW111" s="84"/>
      <c r="BKX111" s="84"/>
      <c r="BKY111" s="84"/>
      <c r="BKZ111" s="84"/>
      <c r="BLA111" s="84"/>
      <c r="BLB111" s="84"/>
      <c r="BLC111" s="84"/>
      <c r="BLD111" s="84"/>
      <c r="BLE111" s="84"/>
      <c r="BLF111" s="84"/>
      <c r="BLG111" s="84"/>
      <c r="BLH111" s="84"/>
      <c r="BLI111" s="84"/>
      <c r="BLJ111" s="84"/>
      <c r="BLK111" s="84"/>
      <c r="BLL111" s="84"/>
      <c r="BLM111" s="84"/>
      <c r="BLN111" s="84"/>
      <c r="BLO111" s="84"/>
      <c r="BLP111" s="84"/>
      <c r="BLQ111" s="84"/>
      <c r="BLR111" s="84"/>
      <c r="BLS111" s="84"/>
      <c r="BLT111" s="84"/>
      <c r="BLU111" s="84"/>
      <c r="BLV111" s="84"/>
      <c r="BLW111" s="84"/>
      <c r="BLX111" s="84"/>
      <c r="BLY111" s="84"/>
      <c r="BLZ111" s="84"/>
      <c r="BMA111" s="84"/>
      <c r="BMB111" s="84"/>
      <c r="BMC111" s="84"/>
      <c r="BMD111" s="84"/>
      <c r="BME111" s="84"/>
      <c r="BMF111" s="84"/>
      <c r="BMG111" s="84"/>
      <c r="BMH111" s="84"/>
      <c r="BMI111" s="84"/>
      <c r="BMJ111" s="84"/>
      <c r="BMK111" s="84"/>
      <c r="BML111" s="84"/>
      <c r="BMM111" s="84"/>
      <c r="BMN111" s="84"/>
      <c r="BMO111" s="84"/>
      <c r="BMP111" s="84"/>
      <c r="BMQ111" s="84"/>
      <c r="BMR111" s="84"/>
      <c r="BMS111" s="84"/>
      <c r="BMT111" s="84"/>
      <c r="BMU111" s="84"/>
      <c r="BMV111" s="84"/>
      <c r="BMW111" s="84"/>
      <c r="BMX111" s="84"/>
      <c r="BMY111" s="84"/>
      <c r="BMZ111" s="84"/>
      <c r="BNA111" s="84"/>
      <c r="BNB111" s="84"/>
      <c r="BNC111" s="84"/>
      <c r="BND111" s="84"/>
      <c r="BNE111" s="84"/>
      <c r="BNF111" s="84"/>
      <c r="BNG111" s="84"/>
      <c r="BNH111" s="84"/>
      <c r="BNI111" s="84"/>
      <c r="BNJ111" s="84"/>
      <c r="BNK111" s="84"/>
      <c r="BNL111" s="84"/>
      <c r="BNM111" s="84"/>
      <c r="BNN111" s="84"/>
      <c r="BNO111" s="84"/>
      <c r="BNP111" s="84"/>
      <c r="BNQ111" s="84"/>
      <c r="BNR111" s="84"/>
      <c r="BNS111" s="84"/>
      <c r="BNT111" s="84"/>
      <c r="BNU111" s="84"/>
      <c r="BNV111" s="84"/>
      <c r="BNW111" s="84"/>
      <c r="BNX111" s="84"/>
      <c r="BNY111" s="84"/>
      <c r="BNZ111" s="84"/>
      <c r="BOA111" s="84"/>
      <c r="BOB111" s="84"/>
      <c r="BOC111" s="84"/>
      <c r="BOD111" s="84"/>
      <c r="BOE111" s="84"/>
      <c r="BOF111" s="84"/>
      <c r="BOG111" s="84"/>
      <c r="BOH111" s="84"/>
      <c r="BOI111" s="84"/>
      <c r="BOJ111" s="84"/>
      <c r="BOK111" s="84"/>
      <c r="BOL111" s="84"/>
      <c r="BOM111" s="84"/>
      <c r="BON111" s="84"/>
      <c r="BOO111" s="84"/>
      <c r="BOP111" s="84"/>
      <c r="BOQ111" s="84"/>
      <c r="BOR111" s="84"/>
      <c r="BOS111" s="84"/>
      <c r="BOT111" s="84"/>
      <c r="BOU111" s="84"/>
      <c r="BOV111" s="84"/>
      <c r="BOW111" s="84"/>
      <c r="BOX111" s="84"/>
      <c r="BOY111" s="84"/>
      <c r="BOZ111" s="84"/>
      <c r="BPA111" s="84"/>
      <c r="BPB111" s="84"/>
      <c r="BPC111" s="84"/>
      <c r="BPD111" s="84"/>
      <c r="BPE111" s="84"/>
      <c r="BPF111" s="84"/>
      <c r="BPG111" s="84"/>
      <c r="BPH111" s="84"/>
      <c r="BPI111" s="84"/>
      <c r="BPJ111" s="84"/>
      <c r="BPK111" s="84"/>
      <c r="BPL111" s="84"/>
      <c r="BPM111" s="84"/>
      <c r="BPN111" s="84"/>
      <c r="BPO111" s="84"/>
      <c r="BPP111" s="84"/>
      <c r="BPQ111" s="84"/>
      <c r="BPR111" s="84"/>
      <c r="BPS111" s="84"/>
      <c r="BPT111" s="84"/>
      <c r="BPU111" s="84"/>
      <c r="BPV111" s="84"/>
      <c r="BPW111" s="84"/>
      <c r="BPX111" s="84"/>
      <c r="BPY111" s="84"/>
      <c r="BPZ111" s="84"/>
      <c r="BQA111" s="84"/>
      <c r="BQB111" s="84"/>
      <c r="BQC111" s="84"/>
      <c r="BQD111" s="84"/>
      <c r="BQE111" s="84"/>
      <c r="BQF111" s="84"/>
      <c r="BQG111" s="84"/>
      <c r="BQH111" s="84"/>
      <c r="BQI111" s="84"/>
      <c r="BQJ111" s="84"/>
      <c r="BQK111" s="84"/>
      <c r="BQL111" s="84"/>
      <c r="BQM111" s="84"/>
      <c r="BQN111" s="84"/>
      <c r="BQO111" s="84"/>
      <c r="BQP111" s="84"/>
      <c r="BQQ111" s="84"/>
      <c r="BQR111" s="84"/>
      <c r="BQS111" s="84"/>
      <c r="BQT111" s="84"/>
      <c r="BQU111" s="84"/>
      <c r="BQV111" s="84"/>
      <c r="BQW111" s="84"/>
      <c r="BQX111" s="84"/>
      <c r="BQY111" s="84"/>
      <c r="BQZ111" s="84"/>
      <c r="BRA111" s="84"/>
      <c r="BRB111" s="84"/>
      <c r="BRC111" s="84"/>
      <c r="BRD111" s="84"/>
      <c r="BRE111" s="84"/>
      <c r="BRF111" s="84"/>
      <c r="BRG111" s="84"/>
      <c r="BRH111" s="84"/>
      <c r="BRI111" s="84"/>
      <c r="BRJ111" s="84"/>
      <c r="BRK111" s="84"/>
      <c r="BRL111" s="84"/>
      <c r="BRM111" s="84"/>
      <c r="BRN111" s="84"/>
      <c r="BRO111" s="84"/>
      <c r="BRP111" s="84"/>
      <c r="BRQ111" s="84"/>
      <c r="BRR111" s="84"/>
      <c r="BRS111" s="84"/>
      <c r="BRT111" s="84"/>
      <c r="BRU111" s="84"/>
      <c r="BRV111" s="84"/>
      <c r="BRW111" s="84"/>
      <c r="BRX111" s="84"/>
      <c r="BRY111" s="84"/>
      <c r="BRZ111" s="84"/>
      <c r="BSA111" s="84"/>
      <c r="BSB111" s="84"/>
      <c r="BSC111" s="84"/>
      <c r="BSD111" s="84"/>
      <c r="BSE111" s="84"/>
      <c r="BSF111" s="84"/>
      <c r="BSG111" s="84"/>
      <c r="BSH111" s="84"/>
      <c r="BSI111" s="84"/>
      <c r="BSJ111" s="84"/>
      <c r="BSK111" s="84"/>
      <c r="BSL111" s="84"/>
      <c r="BSM111" s="84"/>
      <c r="BSN111" s="84"/>
      <c r="BSO111" s="84"/>
      <c r="BSP111" s="84"/>
      <c r="BSQ111" s="84"/>
      <c r="BSR111" s="84"/>
      <c r="BSS111" s="84"/>
      <c r="BST111" s="84"/>
      <c r="BSU111" s="84"/>
      <c r="BSV111" s="84"/>
      <c r="BSW111" s="84"/>
      <c r="BSX111" s="84"/>
      <c r="BSY111" s="84"/>
      <c r="BSZ111" s="84"/>
      <c r="BTA111" s="84"/>
      <c r="BTB111" s="84"/>
      <c r="BTC111" s="84"/>
      <c r="BTD111" s="84"/>
      <c r="BTE111" s="84"/>
      <c r="BTF111" s="84"/>
      <c r="BTG111" s="84"/>
      <c r="BTH111" s="84"/>
      <c r="BTI111" s="84"/>
      <c r="BTJ111" s="84"/>
      <c r="BTK111" s="84"/>
      <c r="BTL111" s="84"/>
      <c r="BTM111" s="84"/>
      <c r="BTN111" s="84"/>
      <c r="BTO111" s="84"/>
      <c r="BTP111" s="84"/>
      <c r="BTQ111" s="84"/>
      <c r="BTR111" s="84"/>
      <c r="BTS111" s="84"/>
      <c r="BTT111" s="84"/>
      <c r="BTU111" s="84"/>
      <c r="BTV111" s="84"/>
      <c r="BTW111" s="84"/>
      <c r="BTX111" s="84"/>
      <c r="BTY111" s="84"/>
      <c r="BTZ111" s="84"/>
      <c r="BUA111" s="84"/>
      <c r="BUB111" s="84"/>
      <c r="BUC111" s="84"/>
      <c r="BUD111" s="84"/>
      <c r="BUE111" s="84"/>
      <c r="BUF111" s="84"/>
      <c r="BUG111" s="84"/>
      <c r="BUH111" s="84"/>
      <c r="BUI111" s="84"/>
      <c r="BUJ111" s="84"/>
      <c r="BUK111" s="84"/>
      <c r="BUL111" s="84"/>
      <c r="BUM111" s="84"/>
      <c r="BUN111" s="84"/>
      <c r="BUO111" s="84"/>
      <c r="BUP111" s="84"/>
      <c r="BUQ111" s="84"/>
      <c r="BUR111" s="84"/>
      <c r="BUS111" s="84"/>
      <c r="BUT111" s="84"/>
      <c r="BUU111" s="84"/>
      <c r="BUV111" s="84"/>
      <c r="BUW111" s="84"/>
      <c r="BUX111" s="84"/>
      <c r="BUY111" s="84"/>
      <c r="BUZ111" s="84"/>
      <c r="BVA111" s="84"/>
      <c r="BVB111" s="84"/>
      <c r="BVC111" s="84"/>
      <c r="BVD111" s="84"/>
      <c r="BVE111" s="84"/>
      <c r="BVF111" s="84"/>
      <c r="BVG111" s="84"/>
      <c r="BVH111" s="84"/>
      <c r="BVI111" s="84"/>
      <c r="BVJ111" s="84"/>
      <c r="BVK111" s="84"/>
      <c r="BVL111" s="84"/>
      <c r="BVM111" s="84"/>
      <c r="BVN111" s="84"/>
      <c r="BVO111" s="84"/>
      <c r="BVP111" s="84"/>
      <c r="BVQ111" s="84"/>
      <c r="BVR111" s="84"/>
      <c r="BVS111" s="84"/>
      <c r="BVT111" s="84"/>
      <c r="BVU111" s="84"/>
      <c r="BVV111" s="84"/>
      <c r="BVW111" s="84"/>
      <c r="BVX111" s="84"/>
      <c r="BVY111" s="84"/>
      <c r="BVZ111" s="84"/>
      <c r="BWA111" s="84"/>
      <c r="BWB111" s="84"/>
      <c r="BWC111" s="84"/>
      <c r="BWD111" s="84"/>
      <c r="BWE111" s="84"/>
      <c r="BWF111" s="84"/>
      <c r="BWG111" s="84"/>
      <c r="BWH111" s="84"/>
      <c r="BWI111" s="84"/>
      <c r="BWJ111" s="84"/>
      <c r="BWK111" s="84"/>
      <c r="BWL111" s="84"/>
      <c r="BWM111" s="84"/>
      <c r="BWN111" s="84"/>
      <c r="BWO111" s="84"/>
      <c r="BWP111" s="84"/>
      <c r="BWQ111" s="84"/>
      <c r="BWR111" s="84"/>
      <c r="BWS111" s="84"/>
      <c r="BWT111" s="84"/>
      <c r="BWU111" s="84"/>
      <c r="BWV111" s="84"/>
      <c r="BWW111" s="84"/>
      <c r="BWX111" s="84"/>
      <c r="BWY111" s="84"/>
      <c r="BWZ111" s="84"/>
      <c r="BXA111" s="84"/>
      <c r="BXB111" s="84"/>
      <c r="BXC111" s="84"/>
      <c r="BXD111" s="84"/>
      <c r="BXE111" s="84"/>
      <c r="BXF111" s="84"/>
      <c r="BXG111" s="84"/>
      <c r="BXH111" s="84"/>
      <c r="BXI111" s="84"/>
      <c r="BXJ111" s="84"/>
      <c r="BXK111" s="84"/>
      <c r="BXL111" s="84"/>
      <c r="BXM111" s="84"/>
      <c r="BXN111" s="84"/>
      <c r="BXO111" s="84"/>
      <c r="BXP111" s="84"/>
      <c r="BXQ111" s="84"/>
      <c r="BXR111" s="84"/>
      <c r="BXS111" s="84"/>
      <c r="BXT111" s="84"/>
      <c r="BXU111" s="84"/>
      <c r="BXV111" s="84"/>
      <c r="BXW111" s="84"/>
      <c r="BXX111" s="84"/>
      <c r="BXY111" s="84"/>
      <c r="BXZ111" s="84"/>
      <c r="BYA111" s="84"/>
      <c r="BYB111" s="84"/>
      <c r="BYC111" s="84"/>
    </row>
    <row r="112" spans="1:2005" s="267" customFormat="1" ht="18" thickBot="1" x14ac:dyDescent="0.35">
      <c r="A112" s="183" t="s">
        <v>414</v>
      </c>
      <c r="B112" s="263">
        <v>3532.9128512415114</v>
      </c>
      <c r="C112" s="264">
        <v>2748.9086945940776</v>
      </c>
      <c r="D112" s="265">
        <v>5008.3768700009841</v>
      </c>
      <c r="E112" s="265">
        <v>4361.3121378660799</v>
      </c>
      <c r="F112" s="265">
        <v>4419.7145969376297</v>
      </c>
      <c r="G112" s="265">
        <v>4455.061519959836</v>
      </c>
      <c r="H112" s="265">
        <v>4478.858752216076</v>
      </c>
      <c r="I112" s="265">
        <v>4728.3188478540005</v>
      </c>
      <c r="J112" s="265">
        <v>4260.6765690576894</v>
      </c>
      <c r="K112" s="265">
        <v>4441.562533897888</v>
      </c>
      <c r="L112" s="265">
        <v>4716.5937168909541</v>
      </c>
      <c r="M112" s="265">
        <v>4493.918329979002</v>
      </c>
      <c r="N112" s="265">
        <v>4739.2467788456452</v>
      </c>
      <c r="O112" s="265">
        <v>4212.4425018320599</v>
      </c>
      <c r="P112" s="265">
        <v>3011.8232440220172</v>
      </c>
      <c r="Q112" s="265">
        <v>2877.7070391999996</v>
      </c>
      <c r="R112" s="265">
        <v>3237</v>
      </c>
      <c r="S112" s="265">
        <v>3341.4843172599999</v>
      </c>
      <c r="T112" s="265">
        <v>3646.2824010499999</v>
      </c>
      <c r="U112" s="265">
        <v>2639.4629274499998</v>
      </c>
      <c r="V112" s="265">
        <v>2505.6514496399996</v>
      </c>
      <c r="W112" s="265">
        <v>3084.4440691099999</v>
      </c>
      <c r="X112" s="265">
        <v>2764.9529319000003</v>
      </c>
      <c r="Y112" s="265">
        <v>2481.4023879800002</v>
      </c>
      <c r="Z112" s="265">
        <v>2470.0378223300004</v>
      </c>
      <c r="AA112" s="265">
        <v>2624.8461178700004</v>
      </c>
      <c r="AB112" s="265">
        <v>2587.1946217599998</v>
      </c>
      <c r="AC112" s="265">
        <v>2972.6673074200007</v>
      </c>
      <c r="AD112" s="265">
        <v>2658.9261905299995</v>
      </c>
      <c r="AE112" s="265">
        <v>2920.2991184399998</v>
      </c>
      <c r="AF112" s="265">
        <v>3878.3389604000004</v>
      </c>
      <c r="AG112" s="265">
        <v>2980.3911409100001</v>
      </c>
      <c r="AH112" s="265">
        <v>2968.3595149499997</v>
      </c>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c r="LT112" s="84"/>
      <c r="LU112" s="84"/>
      <c r="LV112" s="84"/>
      <c r="LW112" s="84"/>
      <c r="LX112" s="84"/>
      <c r="LY112" s="84"/>
      <c r="LZ112" s="84"/>
      <c r="MA112" s="84"/>
      <c r="MB112" s="84"/>
      <c r="MC112" s="84"/>
      <c r="MD112" s="84"/>
      <c r="ME112" s="84"/>
      <c r="MF112" s="84"/>
      <c r="MG112" s="84"/>
      <c r="MH112" s="84"/>
      <c r="MI112" s="84"/>
      <c r="MJ112" s="84"/>
      <c r="MK112" s="84"/>
      <c r="ML112" s="84"/>
      <c r="MM112" s="84"/>
      <c r="MN112" s="84"/>
      <c r="MO112" s="84"/>
      <c r="MP112" s="84"/>
      <c r="MQ112" s="84"/>
      <c r="MR112" s="84"/>
      <c r="MS112" s="84"/>
      <c r="MT112" s="84"/>
      <c r="MU112" s="84"/>
      <c r="MV112" s="84"/>
      <c r="MW112" s="84"/>
      <c r="MX112" s="84"/>
      <c r="MY112" s="84"/>
      <c r="MZ112" s="84"/>
      <c r="NA112" s="84"/>
      <c r="NB112" s="84"/>
      <c r="NC112" s="84"/>
      <c r="ND112" s="84"/>
      <c r="NE112" s="84"/>
      <c r="NF112" s="84"/>
      <c r="NG112" s="84"/>
      <c r="NH112" s="84"/>
      <c r="NI112" s="84"/>
      <c r="NJ112" s="84"/>
      <c r="NK112" s="84"/>
      <c r="NL112" s="84"/>
      <c r="NM112" s="84"/>
      <c r="NN112" s="84"/>
      <c r="NO112" s="84"/>
      <c r="NP112" s="84"/>
      <c r="NQ112" s="84"/>
      <c r="NR112" s="84"/>
      <c r="NS112" s="84"/>
      <c r="NT112" s="84"/>
      <c r="NU112" s="84"/>
      <c r="NV112" s="84"/>
      <c r="NW112" s="84"/>
      <c r="NX112" s="84"/>
      <c r="NY112" s="84"/>
      <c r="NZ112" s="84"/>
      <c r="OA112" s="84"/>
      <c r="OB112" s="84"/>
      <c r="OC112" s="84"/>
      <c r="OD112" s="84"/>
      <c r="OE112" s="84"/>
      <c r="OF112" s="84"/>
      <c r="OG112" s="84"/>
      <c r="OH112" s="84"/>
      <c r="OI112" s="84"/>
      <c r="OJ112" s="84"/>
      <c r="OK112" s="84"/>
      <c r="OL112" s="84"/>
      <c r="OM112" s="84"/>
      <c r="ON112" s="84"/>
      <c r="OO112" s="84"/>
      <c r="OP112" s="84"/>
      <c r="OQ112" s="84"/>
      <c r="OR112" s="84"/>
      <c r="OS112" s="84"/>
      <c r="OT112" s="84"/>
      <c r="OU112" s="84"/>
      <c r="OV112" s="84"/>
      <c r="OW112" s="84"/>
      <c r="OX112" s="84"/>
      <c r="OY112" s="84"/>
      <c r="OZ112" s="84"/>
      <c r="PA112" s="84"/>
      <c r="PB112" s="84"/>
      <c r="PC112" s="84"/>
      <c r="PD112" s="84"/>
      <c r="PE112" s="84"/>
      <c r="PF112" s="84"/>
      <c r="PG112" s="84"/>
      <c r="PH112" s="84"/>
      <c r="PI112" s="84"/>
      <c r="PJ112" s="84"/>
      <c r="PK112" s="84"/>
      <c r="PL112" s="84"/>
      <c r="PM112" s="84"/>
      <c r="PN112" s="84"/>
      <c r="PO112" s="84"/>
      <c r="PP112" s="84"/>
      <c r="PQ112" s="84"/>
      <c r="PR112" s="84"/>
      <c r="PS112" s="84"/>
      <c r="PT112" s="84"/>
      <c r="PU112" s="84"/>
      <c r="PV112" s="84"/>
      <c r="PW112" s="84"/>
      <c r="PX112" s="84"/>
      <c r="PY112" s="84"/>
      <c r="PZ112" s="84"/>
      <c r="QA112" s="84"/>
      <c r="QB112" s="84"/>
      <c r="QC112" s="84"/>
      <c r="QD112" s="84"/>
      <c r="QE112" s="84"/>
      <c r="QF112" s="84"/>
      <c r="QG112" s="84"/>
      <c r="QH112" s="84"/>
      <c r="QI112" s="84"/>
      <c r="QJ112" s="84"/>
      <c r="QK112" s="84"/>
      <c r="QL112" s="84"/>
      <c r="QM112" s="84"/>
      <c r="QN112" s="84"/>
      <c r="QO112" s="84"/>
      <c r="QP112" s="84"/>
      <c r="QQ112" s="84"/>
      <c r="QR112" s="84"/>
      <c r="QS112" s="84"/>
      <c r="QT112" s="84"/>
      <c r="QU112" s="84"/>
      <c r="QV112" s="84"/>
      <c r="QW112" s="84"/>
      <c r="QX112" s="84"/>
      <c r="QY112" s="84"/>
      <c r="QZ112" s="84"/>
      <c r="RA112" s="84"/>
      <c r="RB112" s="84"/>
      <c r="RC112" s="84"/>
      <c r="RD112" s="84"/>
      <c r="RE112" s="84"/>
      <c r="RF112" s="84"/>
      <c r="RG112" s="84"/>
      <c r="RH112" s="84"/>
      <c r="RI112" s="84"/>
      <c r="RJ112" s="84"/>
      <c r="RK112" s="84"/>
      <c r="RL112" s="84"/>
      <c r="RM112" s="84"/>
      <c r="RN112" s="84"/>
      <c r="RO112" s="84"/>
      <c r="RP112" s="84"/>
      <c r="RQ112" s="84"/>
      <c r="RR112" s="84"/>
      <c r="RS112" s="84"/>
      <c r="RT112" s="84"/>
      <c r="RU112" s="84"/>
      <c r="RV112" s="84"/>
      <c r="RW112" s="84"/>
      <c r="RX112" s="84"/>
      <c r="RY112" s="84"/>
      <c r="RZ112" s="84"/>
      <c r="SA112" s="84"/>
      <c r="SB112" s="84"/>
      <c r="SC112" s="84"/>
      <c r="SD112" s="84"/>
      <c r="SE112" s="84"/>
      <c r="SF112" s="84"/>
      <c r="SG112" s="84"/>
      <c r="SH112" s="84"/>
      <c r="SI112" s="84"/>
      <c r="SJ112" s="84"/>
      <c r="SK112" s="84"/>
      <c r="SL112" s="84"/>
      <c r="SM112" s="84"/>
      <c r="SN112" s="84"/>
      <c r="SO112" s="84"/>
      <c r="SP112" s="84"/>
      <c r="SQ112" s="84"/>
      <c r="SR112" s="84"/>
      <c r="SS112" s="84"/>
      <c r="ST112" s="84"/>
      <c r="SU112" s="84"/>
      <c r="SV112" s="84"/>
      <c r="SW112" s="84"/>
      <c r="SX112" s="84"/>
      <c r="SY112" s="84"/>
      <c r="SZ112" s="84"/>
      <c r="TA112" s="84"/>
      <c r="TB112" s="84"/>
      <c r="TC112" s="84"/>
      <c r="TD112" s="84"/>
      <c r="TE112" s="84"/>
      <c r="TF112" s="84"/>
      <c r="TG112" s="84"/>
      <c r="TH112" s="84"/>
      <c r="TI112" s="84"/>
      <c r="TJ112" s="84"/>
      <c r="TK112" s="84"/>
      <c r="TL112" s="84"/>
      <c r="TM112" s="84"/>
      <c r="TN112" s="84"/>
      <c r="TO112" s="84"/>
      <c r="TP112" s="84"/>
      <c r="TQ112" s="84"/>
      <c r="TR112" s="84"/>
      <c r="TS112" s="84"/>
      <c r="TT112" s="84"/>
      <c r="TU112" s="84"/>
      <c r="TV112" s="84"/>
      <c r="TW112" s="84"/>
      <c r="TX112" s="84"/>
      <c r="TY112" s="84"/>
      <c r="TZ112" s="84"/>
      <c r="UA112" s="84"/>
      <c r="UB112" s="84"/>
      <c r="UC112" s="84"/>
      <c r="UD112" s="84"/>
      <c r="UE112" s="84"/>
      <c r="UF112" s="84"/>
      <c r="UG112" s="84"/>
      <c r="UH112" s="84"/>
      <c r="UI112" s="84"/>
      <c r="UJ112" s="84"/>
      <c r="UK112" s="84"/>
      <c r="UL112" s="84"/>
      <c r="UM112" s="84"/>
      <c r="UN112" s="84"/>
      <c r="UO112" s="84"/>
      <c r="UP112" s="84"/>
      <c r="UQ112" s="84"/>
      <c r="UR112" s="84"/>
      <c r="US112" s="84"/>
      <c r="UT112" s="84"/>
      <c r="UU112" s="84"/>
      <c r="UV112" s="84"/>
      <c r="UW112" s="84"/>
      <c r="UX112" s="84"/>
      <c r="UY112" s="84"/>
      <c r="UZ112" s="84"/>
      <c r="VA112" s="84"/>
      <c r="VB112" s="84"/>
      <c r="VC112" s="84"/>
      <c r="VD112" s="84"/>
      <c r="VE112" s="84"/>
      <c r="VF112" s="84"/>
      <c r="VG112" s="84"/>
      <c r="VH112" s="84"/>
      <c r="VI112" s="84"/>
      <c r="VJ112" s="84"/>
      <c r="VK112" s="84"/>
      <c r="VL112" s="84"/>
      <c r="VM112" s="84"/>
      <c r="VN112" s="84"/>
      <c r="VO112" s="84"/>
      <c r="VP112" s="84"/>
      <c r="VQ112" s="84"/>
      <c r="VR112" s="84"/>
      <c r="VS112" s="84"/>
      <c r="VT112" s="84"/>
      <c r="VU112" s="84"/>
      <c r="VV112" s="84"/>
      <c r="VW112" s="84"/>
      <c r="VX112" s="84"/>
      <c r="VY112" s="84"/>
      <c r="VZ112" s="84"/>
      <c r="WA112" s="84"/>
      <c r="WB112" s="84"/>
      <c r="WC112" s="84"/>
      <c r="WD112" s="84"/>
      <c r="WE112" s="84"/>
      <c r="WF112" s="84"/>
      <c r="WG112" s="84"/>
      <c r="WH112" s="84"/>
      <c r="WI112" s="84"/>
      <c r="WJ112" s="84"/>
      <c r="WK112" s="84"/>
      <c r="WL112" s="84"/>
      <c r="WM112" s="84"/>
      <c r="WN112" s="84"/>
      <c r="WO112" s="84"/>
      <c r="WP112" s="84"/>
      <c r="WQ112" s="84"/>
      <c r="WR112" s="84"/>
      <c r="WS112" s="84"/>
      <c r="WT112" s="84"/>
      <c r="WU112" s="84"/>
      <c r="WV112" s="84"/>
      <c r="WW112" s="84"/>
      <c r="WX112" s="84"/>
      <c r="WY112" s="84"/>
      <c r="WZ112" s="84"/>
      <c r="XA112" s="84"/>
      <c r="XB112" s="84"/>
      <c r="XC112" s="84"/>
      <c r="XD112" s="84"/>
      <c r="XE112" s="84"/>
      <c r="XF112" s="84"/>
      <c r="XG112" s="84"/>
      <c r="XH112" s="84"/>
      <c r="XI112" s="84"/>
      <c r="XJ112" s="84"/>
      <c r="XK112" s="84"/>
      <c r="XL112" s="84"/>
      <c r="XM112" s="84"/>
      <c r="XN112" s="84"/>
      <c r="XO112" s="84"/>
      <c r="XP112" s="84"/>
      <c r="XQ112" s="84"/>
      <c r="XR112" s="84"/>
      <c r="XS112" s="84"/>
      <c r="XT112" s="84"/>
      <c r="XU112" s="84"/>
      <c r="XV112" s="84"/>
      <c r="XW112" s="84"/>
      <c r="XX112" s="84"/>
      <c r="XY112" s="84"/>
      <c r="XZ112" s="84"/>
      <c r="YA112" s="84"/>
      <c r="YB112" s="84"/>
      <c r="YC112" s="84"/>
      <c r="YD112" s="84"/>
      <c r="YE112" s="84"/>
      <c r="YF112" s="84"/>
      <c r="YG112" s="84"/>
      <c r="YH112" s="84"/>
      <c r="YI112" s="84"/>
      <c r="YJ112" s="84"/>
      <c r="YK112" s="84"/>
      <c r="YL112" s="84"/>
      <c r="YM112" s="84"/>
      <c r="YN112" s="84"/>
      <c r="YO112" s="84"/>
      <c r="YP112" s="84"/>
      <c r="YQ112" s="84"/>
      <c r="YR112" s="84"/>
      <c r="YS112" s="84"/>
      <c r="YT112" s="84"/>
      <c r="YU112" s="84"/>
      <c r="YV112" s="84"/>
      <c r="YW112" s="84"/>
      <c r="YX112" s="84"/>
      <c r="YY112" s="84"/>
      <c r="YZ112" s="84"/>
      <c r="ZA112" s="84"/>
      <c r="ZB112" s="84"/>
      <c r="ZC112" s="84"/>
      <c r="ZD112" s="84"/>
      <c r="ZE112" s="84"/>
      <c r="ZF112" s="84"/>
      <c r="ZG112" s="84"/>
      <c r="ZH112" s="84"/>
      <c r="ZI112" s="84"/>
      <c r="ZJ112" s="84"/>
      <c r="ZK112" s="84"/>
      <c r="ZL112" s="84"/>
      <c r="ZM112" s="84"/>
      <c r="ZN112" s="84"/>
      <c r="ZO112" s="84"/>
      <c r="ZP112" s="84"/>
      <c r="ZQ112" s="84"/>
      <c r="ZR112" s="84"/>
      <c r="ZS112" s="84"/>
      <c r="ZT112" s="84"/>
      <c r="ZU112" s="84"/>
      <c r="ZV112" s="84"/>
      <c r="ZW112" s="84"/>
      <c r="ZX112" s="84"/>
      <c r="ZY112" s="84"/>
      <c r="ZZ112" s="84"/>
      <c r="AAA112" s="84"/>
      <c r="AAB112" s="84"/>
      <c r="AAC112" s="84"/>
      <c r="AAD112" s="84"/>
      <c r="AAE112" s="84"/>
      <c r="AAF112" s="84"/>
      <c r="AAG112" s="84"/>
      <c r="AAH112" s="84"/>
      <c r="AAI112" s="84"/>
      <c r="AAJ112" s="84"/>
      <c r="AAK112" s="84"/>
      <c r="AAL112" s="84"/>
      <c r="AAM112" s="84"/>
      <c r="AAN112" s="84"/>
      <c r="AAO112" s="84"/>
      <c r="AAP112" s="84"/>
      <c r="AAQ112" s="84"/>
      <c r="AAR112" s="84"/>
      <c r="AAS112" s="84"/>
      <c r="AAT112" s="84"/>
      <c r="AAU112" s="84"/>
      <c r="AAV112" s="84"/>
      <c r="AAW112" s="84"/>
      <c r="AAX112" s="84"/>
      <c r="AAY112" s="84"/>
      <c r="AAZ112" s="84"/>
      <c r="ABA112" s="84"/>
      <c r="ABB112" s="84"/>
      <c r="ABC112" s="84"/>
      <c r="ABD112" s="84"/>
      <c r="ABE112" s="84"/>
      <c r="ABF112" s="84"/>
      <c r="ABG112" s="84"/>
      <c r="ABH112" s="84"/>
      <c r="ABI112" s="84"/>
      <c r="ABJ112" s="84"/>
      <c r="ABK112" s="84"/>
      <c r="ABL112" s="84"/>
      <c r="ABM112" s="84"/>
      <c r="ABN112" s="84"/>
      <c r="ABO112" s="84"/>
      <c r="ABP112" s="84"/>
      <c r="ABQ112" s="84"/>
      <c r="ABR112" s="84"/>
      <c r="ABS112" s="84"/>
      <c r="ABT112" s="84"/>
      <c r="ABU112" s="84"/>
      <c r="ABV112" s="84"/>
      <c r="ABW112" s="84"/>
      <c r="ABX112" s="84"/>
      <c r="ABY112" s="84"/>
      <c r="ABZ112" s="84"/>
      <c r="ACA112" s="84"/>
      <c r="ACB112" s="84"/>
      <c r="ACC112" s="84"/>
      <c r="ACD112" s="84"/>
      <c r="ACE112" s="84"/>
      <c r="ACF112" s="84"/>
      <c r="ACG112" s="84"/>
      <c r="ACH112" s="84"/>
      <c r="ACI112" s="84"/>
      <c r="ACJ112" s="84"/>
      <c r="ACK112" s="84"/>
      <c r="ACL112" s="84"/>
      <c r="ACM112" s="84"/>
      <c r="ACN112" s="84"/>
      <c r="ACO112" s="84"/>
      <c r="ACP112" s="84"/>
      <c r="ACQ112" s="84"/>
      <c r="ACR112" s="84"/>
      <c r="ACS112" s="84"/>
      <c r="ACT112" s="84"/>
      <c r="ACU112" s="84"/>
      <c r="ACV112" s="84"/>
      <c r="ACW112" s="84"/>
      <c r="ACX112" s="84"/>
      <c r="ACY112" s="84"/>
      <c r="ACZ112" s="84"/>
      <c r="ADA112" s="84"/>
      <c r="ADB112" s="84"/>
      <c r="ADC112" s="84"/>
      <c r="ADD112" s="84"/>
      <c r="ADE112" s="84"/>
      <c r="ADF112" s="84"/>
      <c r="ADG112" s="84"/>
      <c r="ADH112" s="84"/>
      <c r="ADI112" s="84"/>
      <c r="ADJ112" s="84"/>
      <c r="ADK112" s="84"/>
      <c r="ADL112" s="84"/>
      <c r="ADM112" s="84"/>
      <c r="ADN112" s="84"/>
      <c r="ADO112" s="84"/>
      <c r="ADP112" s="84"/>
      <c r="ADQ112" s="84"/>
      <c r="ADR112" s="84"/>
      <c r="ADS112" s="84"/>
      <c r="ADT112" s="84"/>
      <c r="ADU112" s="84"/>
      <c r="ADV112" s="84"/>
      <c r="ADW112" s="84"/>
      <c r="ADX112" s="84"/>
      <c r="ADY112" s="84"/>
      <c r="ADZ112" s="84"/>
      <c r="AEA112" s="84"/>
      <c r="AEB112" s="84"/>
      <c r="AEC112" s="84"/>
      <c r="AED112" s="84"/>
      <c r="AEE112" s="84"/>
      <c r="AEF112" s="84"/>
      <c r="AEG112" s="84"/>
      <c r="AEH112" s="84"/>
      <c r="AEI112" s="84"/>
      <c r="AEJ112" s="84"/>
      <c r="AEK112" s="84"/>
      <c r="AEL112" s="84"/>
      <c r="AEM112" s="84"/>
      <c r="AEN112" s="84"/>
      <c r="AEO112" s="84"/>
      <c r="AEP112" s="84"/>
      <c r="AEQ112" s="84"/>
      <c r="AER112" s="84"/>
      <c r="AES112" s="84"/>
      <c r="AET112" s="84"/>
      <c r="AEU112" s="84"/>
      <c r="AEV112" s="84"/>
      <c r="AEW112" s="84"/>
      <c r="AEX112" s="84"/>
      <c r="AEY112" s="84"/>
      <c r="AEZ112" s="84"/>
      <c r="AFA112" s="84"/>
      <c r="AFB112" s="84"/>
      <c r="AFC112" s="84"/>
      <c r="AFD112" s="84"/>
      <c r="AFE112" s="84"/>
      <c r="AFF112" s="84"/>
      <c r="AFG112" s="84"/>
      <c r="AFH112" s="84"/>
      <c r="AFI112" s="84"/>
      <c r="AFJ112" s="84"/>
      <c r="AFK112" s="84"/>
      <c r="AFL112" s="84"/>
      <c r="AFM112" s="84"/>
      <c r="AFN112" s="84"/>
      <c r="AFO112" s="84"/>
      <c r="AFP112" s="84"/>
      <c r="AFQ112" s="84"/>
      <c r="AFR112" s="84"/>
      <c r="AFS112" s="84"/>
      <c r="AFT112" s="84"/>
      <c r="AFU112" s="84"/>
      <c r="AFV112" s="84"/>
      <c r="AFW112" s="84"/>
      <c r="AFX112" s="84"/>
      <c r="AFY112" s="84"/>
      <c r="AFZ112" s="84"/>
      <c r="AGA112" s="84"/>
      <c r="AGB112" s="84"/>
      <c r="AGC112" s="84"/>
      <c r="AGD112" s="84"/>
      <c r="AGE112" s="84"/>
      <c r="AGF112" s="84"/>
      <c r="AGG112" s="84"/>
      <c r="AGH112" s="84"/>
      <c r="AGI112" s="84"/>
      <c r="AGJ112" s="84"/>
      <c r="AGK112" s="84"/>
      <c r="AGL112" s="84"/>
      <c r="AGM112" s="84"/>
      <c r="AGN112" s="84"/>
      <c r="AGO112" s="84"/>
      <c r="AGP112" s="84"/>
      <c r="AGQ112" s="84"/>
      <c r="AGR112" s="84"/>
      <c r="AGS112" s="84"/>
      <c r="AGT112" s="84"/>
      <c r="AGU112" s="84"/>
      <c r="AGV112" s="84"/>
      <c r="AGW112" s="84"/>
      <c r="AGX112" s="84"/>
      <c r="AGY112" s="84"/>
      <c r="AGZ112" s="84"/>
      <c r="AHA112" s="84"/>
      <c r="AHB112" s="84"/>
      <c r="AHC112" s="84"/>
      <c r="AHD112" s="84"/>
      <c r="AHE112" s="84"/>
      <c r="AHF112" s="84"/>
      <c r="AHG112" s="84"/>
      <c r="AHH112" s="84"/>
      <c r="AHI112" s="84"/>
      <c r="AHJ112" s="84"/>
      <c r="AHK112" s="84"/>
      <c r="AHL112" s="84"/>
      <c r="AHM112" s="84"/>
      <c r="AHN112" s="84"/>
      <c r="AHO112" s="84"/>
      <c r="AHP112" s="84"/>
      <c r="AHQ112" s="84"/>
      <c r="AHR112" s="84"/>
      <c r="AHS112" s="84"/>
      <c r="AHT112" s="84"/>
      <c r="AHU112" s="84"/>
      <c r="AHV112" s="84"/>
      <c r="AHW112" s="84"/>
      <c r="AHX112" s="84"/>
      <c r="AHY112" s="84"/>
      <c r="AHZ112" s="84"/>
      <c r="AIA112" s="84"/>
      <c r="AIB112" s="84"/>
      <c r="AIC112" s="84"/>
      <c r="AID112" s="84"/>
      <c r="AIE112" s="84"/>
      <c r="AIF112" s="84"/>
      <c r="AIG112" s="84"/>
      <c r="AIH112" s="84"/>
      <c r="AII112" s="84"/>
      <c r="AIJ112" s="84"/>
      <c r="AIK112" s="84"/>
      <c r="AIL112" s="84"/>
      <c r="AIM112" s="84"/>
      <c r="AIN112" s="84"/>
      <c r="AIO112" s="84"/>
      <c r="AIP112" s="84"/>
      <c r="AIQ112" s="84"/>
      <c r="AIR112" s="84"/>
      <c r="AIS112" s="84"/>
      <c r="AIT112" s="84"/>
      <c r="AIU112" s="84"/>
      <c r="AIV112" s="84"/>
      <c r="AIW112" s="84"/>
      <c r="AIX112" s="84"/>
      <c r="AIY112" s="84"/>
      <c r="AIZ112" s="84"/>
      <c r="AJA112" s="84"/>
      <c r="AJB112" s="84"/>
      <c r="AJC112" s="84"/>
      <c r="AJD112" s="84"/>
      <c r="AJE112" s="84"/>
      <c r="AJF112" s="84"/>
      <c r="AJG112" s="84"/>
      <c r="AJH112" s="84"/>
      <c r="AJI112" s="84"/>
      <c r="AJJ112" s="84"/>
      <c r="AJK112" s="84"/>
      <c r="AJL112" s="84"/>
      <c r="AJM112" s="84"/>
      <c r="AJN112" s="84"/>
      <c r="AJO112" s="84"/>
      <c r="AJP112" s="84"/>
      <c r="AJQ112" s="84"/>
      <c r="AJR112" s="84"/>
      <c r="AJS112" s="84"/>
      <c r="AJT112" s="84"/>
      <c r="AJU112" s="84"/>
      <c r="AJV112" s="84"/>
      <c r="AJW112" s="84"/>
      <c r="AJX112" s="84"/>
      <c r="AJY112" s="84"/>
      <c r="AJZ112" s="84"/>
      <c r="AKA112" s="84"/>
      <c r="AKB112" s="84"/>
      <c r="AKC112" s="84"/>
      <c r="AKD112" s="84"/>
      <c r="AKE112" s="84"/>
      <c r="AKF112" s="84"/>
      <c r="AKG112" s="84"/>
      <c r="AKH112" s="84"/>
      <c r="AKI112" s="84"/>
      <c r="AKJ112" s="84"/>
      <c r="AKK112" s="84"/>
      <c r="AKL112" s="84"/>
      <c r="AKM112" s="84"/>
      <c r="AKN112" s="84"/>
      <c r="AKO112" s="84"/>
      <c r="AKP112" s="84"/>
      <c r="AKQ112" s="84"/>
      <c r="AKR112" s="84"/>
      <c r="AKS112" s="84"/>
      <c r="AKT112" s="84"/>
      <c r="AKU112" s="84"/>
      <c r="AKV112" s="84"/>
      <c r="AKW112" s="84"/>
      <c r="AKX112" s="84"/>
      <c r="AKY112" s="84"/>
      <c r="AKZ112" s="84"/>
      <c r="ALA112" s="84"/>
      <c r="ALB112" s="84"/>
      <c r="ALC112" s="84"/>
      <c r="ALD112" s="84"/>
      <c r="ALE112" s="84"/>
      <c r="ALF112" s="84"/>
      <c r="ALG112" s="84"/>
      <c r="ALH112" s="84"/>
      <c r="ALI112" s="84"/>
      <c r="ALJ112" s="84"/>
      <c r="ALK112" s="84"/>
      <c r="ALL112" s="84"/>
      <c r="ALM112" s="84"/>
      <c r="ALN112" s="84"/>
      <c r="ALO112" s="84"/>
      <c r="ALP112" s="84"/>
      <c r="ALQ112" s="84"/>
      <c r="ALR112" s="84"/>
      <c r="ALS112" s="84"/>
      <c r="ALT112" s="84"/>
      <c r="ALU112" s="84"/>
      <c r="ALV112" s="84"/>
      <c r="ALW112" s="84"/>
      <c r="ALX112" s="84"/>
      <c r="ALY112" s="84"/>
      <c r="ALZ112" s="84"/>
      <c r="AMA112" s="84"/>
      <c r="AMB112" s="84"/>
      <c r="AMC112" s="84"/>
      <c r="AMD112" s="84"/>
      <c r="AME112" s="84"/>
      <c r="AMF112" s="84"/>
      <c r="AMG112" s="84"/>
      <c r="AMH112" s="84"/>
      <c r="AMI112" s="84"/>
      <c r="AMJ112" s="84"/>
      <c r="AMK112" s="84"/>
      <c r="AML112" s="84"/>
      <c r="AMM112" s="84"/>
      <c r="AMN112" s="84"/>
      <c r="AMO112" s="84"/>
      <c r="AMP112" s="84"/>
      <c r="AMQ112" s="84"/>
      <c r="AMR112" s="84"/>
      <c r="AMS112" s="84"/>
      <c r="AMT112" s="84"/>
      <c r="AMU112" s="84"/>
      <c r="AMV112" s="84"/>
      <c r="AMW112" s="84"/>
      <c r="AMX112" s="84"/>
      <c r="AMY112" s="84"/>
      <c r="AMZ112" s="84"/>
      <c r="ANA112" s="84"/>
      <c r="ANB112" s="84"/>
      <c r="ANC112" s="84"/>
      <c r="AND112" s="84"/>
      <c r="ANE112" s="84"/>
      <c r="ANF112" s="84"/>
      <c r="ANG112" s="84"/>
      <c r="ANH112" s="84"/>
      <c r="ANI112" s="84"/>
      <c r="ANJ112" s="84"/>
      <c r="ANK112" s="84"/>
      <c r="ANL112" s="84"/>
      <c r="ANM112" s="84"/>
      <c r="ANN112" s="84"/>
      <c r="ANO112" s="84"/>
      <c r="ANP112" s="84"/>
      <c r="ANQ112" s="84"/>
      <c r="ANR112" s="84"/>
      <c r="ANS112" s="84"/>
      <c r="ANT112" s="84"/>
      <c r="ANU112" s="84"/>
      <c r="ANV112" s="84"/>
      <c r="ANW112" s="84"/>
      <c r="ANX112" s="84"/>
      <c r="ANY112" s="84"/>
      <c r="ANZ112" s="84"/>
      <c r="AOA112" s="84"/>
      <c r="AOB112" s="84"/>
      <c r="AOC112" s="84"/>
      <c r="AOD112" s="84"/>
      <c r="AOE112" s="84"/>
      <c r="AOF112" s="84"/>
      <c r="AOG112" s="84"/>
      <c r="AOH112" s="84"/>
      <c r="AOI112" s="84"/>
      <c r="AOJ112" s="84"/>
      <c r="AOK112" s="84"/>
      <c r="AOL112" s="84"/>
      <c r="AOM112" s="84"/>
      <c r="AON112" s="84"/>
      <c r="AOO112" s="84"/>
      <c r="AOP112" s="84"/>
      <c r="AOQ112" s="84"/>
      <c r="AOR112" s="84"/>
      <c r="AOS112" s="84"/>
      <c r="AOT112" s="84"/>
      <c r="AOU112" s="84"/>
      <c r="AOV112" s="84"/>
      <c r="AOW112" s="84"/>
      <c r="AOX112" s="84"/>
      <c r="AOY112" s="84"/>
      <c r="AOZ112" s="84"/>
      <c r="APA112" s="84"/>
      <c r="APB112" s="84"/>
      <c r="APC112" s="84"/>
      <c r="APD112" s="84"/>
      <c r="APE112" s="84"/>
      <c r="APF112" s="84"/>
      <c r="APG112" s="84"/>
      <c r="APH112" s="84"/>
      <c r="API112" s="84"/>
      <c r="APJ112" s="84"/>
      <c r="APK112" s="84"/>
      <c r="APL112" s="84"/>
      <c r="APM112" s="84"/>
      <c r="APN112" s="84"/>
      <c r="APO112" s="84"/>
      <c r="APP112" s="84"/>
      <c r="APQ112" s="84"/>
      <c r="APR112" s="84"/>
      <c r="APS112" s="84"/>
      <c r="APT112" s="84"/>
      <c r="APU112" s="84"/>
      <c r="APV112" s="84"/>
      <c r="APW112" s="84"/>
      <c r="APX112" s="84"/>
      <c r="APY112" s="84"/>
      <c r="APZ112" s="84"/>
      <c r="AQA112" s="84"/>
      <c r="AQB112" s="84"/>
      <c r="AQC112" s="84"/>
      <c r="AQD112" s="84"/>
      <c r="AQE112" s="84"/>
      <c r="AQF112" s="84"/>
      <c r="AQG112" s="84"/>
      <c r="AQH112" s="84"/>
      <c r="AQI112" s="84"/>
      <c r="AQJ112" s="84"/>
      <c r="AQK112" s="84"/>
      <c r="AQL112" s="84"/>
      <c r="AQM112" s="84"/>
      <c r="AQN112" s="84"/>
      <c r="AQO112" s="84"/>
      <c r="AQP112" s="84"/>
      <c r="AQQ112" s="84"/>
      <c r="AQR112" s="84"/>
      <c r="AQS112" s="84"/>
      <c r="AQT112" s="84"/>
      <c r="AQU112" s="84"/>
      <c r="AQV112" s="84"/>
      <c r="AQW112" s="84"/>
      <c r="AQX112" s="84"/>
      <c r="AQY112" s="84"/>
      <c r="AQZ112" s="84"/>
      <c r="ARA112" s="84"/>
      <c r="ARB112" s="84"/>
      <c r="ARC112" s="84"/>
      <c r="ARD112" s="84"/>
      <c r="ARE112" s="84"/>
      <c r="ARF112" s="84"/>
      <c r="ARG112" s="84"/>
      <c r="ARH112" s="84"/>
      <c r="ARI112" s="84"/>
      <c r="ARJ112" s="84"/>
      <c r="ARK112" s="84"/>
      <c r="ARL112" s="84"/>
      <c r="ARM112" s="84"/>
      <c r="ARN112" s="84"/>
      <c r="ARO112" s="84"/>
      <c r="ARP112" s="84"/>
      <c r="ARQ112" s="84"/>
      <c r="ARR112" s="84"/>
      <c r="ARS112" s="84"/>
      <c r="ART112" s="84"/>
      <c r="ARU112" s="84"/>
      <c r="ARV112" s="84"/>
      <c r="ARW112" s="84"/>
      <c r="ARX112" s="84"/>
      <c r="ARY112" s="84"/>
      <c r="ARZ112" s="84"/>
      <c r="ASA112" s="84"/>
      <c r="ASB112" s="84"/>
      <c r="ASC112" s="84"/>
      <c r="ASD112" s="84"/>
      <c r="ASE112" s="84"/>
      <c r="ASF112" s="84"/>
      <c r="ASG112" s="84"/>
      <c r="ASH112" s="84"/>
      <c r="ASI112" s="84"/>
      <c r="ASJ112" s="84"/>
      <c r="ASK112" s="84"/>
      <c r="ASL112" s="84"/>
      <c r="ASM112" s="84"/>
      <c r="ASN112" s="84"/>
      <c r="ASO112" s="84"/>
      <c r="ASP112" s="84"/>
      <c r="ASQ112" s="84"/>
      <c r="ASR112" s="84"/>
      <c r="ASS112" s="84"/>
      <c r="AST112" s="84"/>
      <c r="ASU112" s="84"/>
      <c r="ASV112" s="84"/>
      <c r="ASW112" s="84"/>
      <c r="ASX112" s="84"/>
      <c r="ASY112" s="84"/>
      <c r="ASZ112" s="84"/>
      <c r="ATA112" s="84"/>
      <c r="ATB112" s="84"/>
      <c r="ATC112" s="84"/>
      <c r="ATD112" s="84"/>
      <c r="ATE112" s="84"/>
      <c r="ATF112" s="84"/>
      <c r="ATG112" s="84"/>
      <c r="ATH112" s="84"/>
      <c r="ATI112" s="84"/>
      <c r="ATJ112" s="84"/>
      <c r="ATK112" s="84"/>
      <c r="ATL112" s="84"/>
      <c r="ATM112" s="84"/>
      <c r="ATN112" s="84"/>
      <c r="ATO112" s="84"/>
      <c r="ATP112" s="84"/>
      <c r="ATQ112" s="84"/>
      <c r="ATR112" s="84"/>
      <c r="ATS112" s="84"/>
      <c r="ATT112" s="84"/>
      <c r="ATU112" s="84"/>
      <c r="ATV112" s="84"/>
      <c r="ATW112" s="84"/>
      <c r="ATX112" s="84"/>
      <c r="ATY112" s="84"/>
      <c r="ATZ112" s="84"/>
      <c r="AUA112" s="84"/>
      <c r="AUB112" s="84"/>
      <c r="AUC112" s="84"/>
      <c r="AUD112" s="84"/>
      <c r="AUE112" s="84"/>
      <c r="AUF112" s="84"/>
      <c r="AUG112" s="84"/>
      <c r="AUH112" s="84"/>
      <c r="AUI112" s="84"/>
      <c r="AUJ112" s="84"/>
      <c r="AUK112" s="84"/>
      <c r="AUL112" s="84"/>
      <c r="AUM112" s="84"/>
      <c r="AUN112" s="84"/>
      <c r="AUO112" s="84"/>
      <c r="AUP112" s="84"/>
      <c r="AUQ112" s="84"/>
      <c r="AUR112" s="84"/>
      <c r="AUS112" s="84"/>
      <c r="AUT112" s="84"/>
      <c r="AUU112" s="84"/>
      <c r="AUV112" s="84"/>
      <c r="AUW112" s="84"/>
      <c r="AUX112" s="84"/>
      <c r="AUY112" s="84"/>
      <c r="AUZ112" s="84"/>
      <c r="AVA112" s="84"/>
      <c r="AVB112" s="84"/>
      <c r="AVC112" s="84"/>
      <c r="AVD112" s="84"/>
      <c r="AVE112" s="84"/>
      <c r="AVF112" s="84"/>
      <c r="AVG112" s="84"/>
      <c r="AVH112" s="84"/>
      <c r="AVI112" s="84"/>
      <c r="AVJ112" s="84"/>
      <c r="AVK112" s="84"/>
      <c r="AVL112" s="84"/>
      <c r="AVM112" s="84"/>
      <c r="AVN112" s="84"/>
      <c r="AVO112" s="84"/>
      <c r="AVP112" s="84"/>
      <c r="AVQ112" s="84"/>
      <c r="AVR112" s="84"/>
      <c r="AVS112" s="84"/>
      <c r="AVT112" s="84"/>
      <c r="AVU112" s="84"/>
      <c r="AVV112" s="84"/>
      <c r="AVW112" s="84"/>
      <c r="AVX112" s="84"/>
      <c r="AVY112" s="84"/>
      <c r="AVZ112" s="84"/>
      <c r="AWA112" s="84"/>
      <c r="AWB112" s="84"/>
      <c r="AWC112" s="84"/>
      <c r="AWD112" s="84"/>
      <c r="AWE112" s="84"/>
      <c r="AWF112" s="84"/>
      <c r="AWG112" s="84"/>
      <c r="AWH112" s="84"/>
      <c r="AWI112" s="84"/>
      <c r="AWJ112" s="84"/>
      <c r="AWK112" s="84"/>
      <c r="AWL112" s="84"/>
      <c r="AWM112" s="84"/>
      <c r="AWN112" s="84"/>
      <c r="AWO112" s="84"/>
      <c r="AWP112" s="84"/>
      <c r="AWQ112" s="84"/>
      <c r="AWR112" s="84"/>
      <c r="AWS112" s="84"/>
      <c r="AWT112" s="84"/>
      <c r="AWU112" s="84"/>
      <c r="AWV112" s="84"/>
      <c r="AWW112" s="84"/>
      <c r="AWX112" s="84"/>
      <c r="AWY112" s="84"/>
      <c r="AWZ112" s="84"/>
      <c r="AXA112" s="84"/>
      <c r="AXB112" s="84"/>
      <c r="AXC112" s="84"/>
      <c r="AXD112" s="84"/>
      <c r="AXE112" s="84"/>
      <c r="AXF112" s="84"/>
      <c r="AXG112" s="84"/>
      <c r="AXH112" s="84"/>
      <c r="AXI112" s="84"/>
      <c r="AXJ112" s="84"/>
      <c r="AXK112" s="84"/>
      <c r="AXL112" s="84"/>
      <c r="AXM112" s="84"/>
      <c r="AXN112" s="84"/>
      <c r="AXO112" s="84"/>
      <c r="AXP112" s="84"/>
      <c r="AXQ112" s="84"/>
      <c r="AXR112" s="84"/>
      <c r="AXS112" s="84"/>
      <c r="AXT112" s="84"/>
      <c r="AXU112" s="84"/>
      <c r="AXV112" s="84"/>
      <c r="AXW112" s="84"/>
      <c r="AXX112" s="84"/>
      <c r="AXY112" s="84"/>
      <c r="AXZ112" s="84"/>
      <c r="AYA112" s="84"/>
      <c r="AYB112" s="84"/>
      <c r="AYC112" s="84"/>
      <c r="AYD112" s="84"/>
      <c r="AYE112" s="84"/>
      <c r="AYF112" s="84"/>
      <c r="AYG112" s="84"/>
      <c r="AYH112" s="84"/>
      <c r="AYI112" s="84"/>
      <c r="AYJ112" s="84"/>
      <c r="AYK112" s="84"/>
      <c r="AYL112" s="84"/>
      <c r="AYM112" s="84"/>
      <c r="AYN112" s="84"/>
      <c r="AYO112" s="84"/>
      <c r="AYP112" s="84"/>
      <c r="AYQ112" s="84"/>
      <c r="AYR112" s="84"/>
      <c r="AYS112" s="84"/>
      <c r="AYT112" s="84"/>
      <c r="AYU112" s="84"/>
      <c r="AYV112" s="84"/>
      <c r="AYW112" s="84"/>
      <c r="AYX112" s="84"/>
      <c r="AYY112" s="84"/>
      <c r="AYZ112" s="84"/>
      <c r="AZA112" s="84"/>
      <c r="AZB112" s="84"/>
      <c r="AZC112" s="84"/>
      <c r="AZD112" s="84"/>
      <c r="AZE112" s="84"/>
      <c r="AZF112" s="84"/>
      <c r="AZG112" s="84"/>
      <c r="AZH112" s="84"/>
      <c r="AZI112" s="84"/>
      <c r="AZJ112" s="84"/>
      <c r="AZK112" s="84"/>
      <c r="AZL112" s="84"/>
      <c r="AZM112" s="84"/>
      <c r="AZN112" s="84"/>
      <c r="AZO112" s="84"/>
      <c r="AZP112" s="84"/>
      <c r="AZQ112" s="84"/>
      <c r="AZR112" s="84"/>
      <c r="AZS112" s="84"/>
      <c r="AZT112" s="84"/>
      <c r="AZU112" s="84"/>
      <c r="AZV112" s="84"/>
      <c r="AZW112" s="84"/>
      <c r="AZX112" s="84"/>
      <c r="AZY112" s="84"/>
      <c r="AZZ112" s="84"/>
      <c r="BAA112" s="84"/>
      <c r="BAB112" s="84"/>
      <c r="BAC112" s="84"/>
      <c r="BAD112" s="84"/>
      <c r="BAE112" s="84"/>
      <c r="BAF112" s="84"/>
      <c r="BAG112" s="84"/>
      <c r="BAH112" s="84"/>
      <c r="BAI112" s="84"/>
      <c r="BAJ112" s="84"/>
      <c r="BAK112" s="84"/>
      <c r="BAL112" s="84"/>
      <c r="BAM112" s="84"/>
      <c r="BAN112" s="84"/>
      <c r="BAO112" s="84"/>
      <c r="BAP112" s="84"/>
      <c r="BAQ112" s="84"/>
      <c r="BAR112" s="84"/>
      <c r="BAS112" s="84"/>
      <c r="BAT112" s="84"/>
      <c r="BAU112" s="84"/>
      <c r="BAV112" s="84"/>
      <c r="BAW112" s="84"/>
      <c r="BAX112" s="84"/>
      <c r="BAY112" s="84"/>
      <c r="BAZ112" s="84"/>
      <c r="BBA112" s="84"/>
      <c r="BBB112" s="84"/>
      <c r="BBC112" s="84"/>
      <c r="BBD112" s="84"/>
      <c r="BBE112" s="84"/>
      <c r="BBF112" s="84"/>
      <c r="BBG112" s="84"/>
      <c r="BBH112" s="84"/>
      <c r="BBI112" s="84"/>
      <c r="BBJ112" s="84"/>
      <c r="BBK112" s="84"/>
      <c r="BBL112" s="84"/>
      <c r="BBM112" s="84"/>
      <c r="BBN112" s="84"/>
      <c r="BBO112" s="84"/>
      <c r="BBP112" s="84"/>
      <c r="BBQ112" s="84"/>
      <c r="BBR112" s="84"/>
      <c r="BBS112" s="84"/>
      <c r="BBT112" s="84"/>
      <c r="BBU112" s="84"/>
      <c r="BBV112" s="84"/>
      <c r="BBW112" s="84"/>
      <c r="BBX112" s="84"/>
      <c r="BBY112" s="84"/>
      <c r="BBZ112" s="84"/>
      <c r="BCA112" s="84"/>
      <c r="BCB112" s="84"/>
      <c r="BCC112" s="84"/>
      <c r="BCD112" s="84"/>
      <c r="BCE112" s="84"/>
      <c r="BCF112" s="84"/>
      <c r="BCG112" s="84"/>
      <c r="BCH112" s="84"/>
      <c r="BCI112" s="84"/>
      <c r="BCJ112" s="84"/>
      <c r="BCK112" s="84"/>
      <c r="BCL112" s="84"/>
      <c r="BCM112" s="84"/>
      <c r="BCN112" s="84"/>
      <c r="BCO112" s="84"/>
      <c r="BCP112" s="84"/>
      <c r="BCQ112" s="84"/>
      <c r="BCR112" s="84"/>
      <c r="BCS112" s="84"/>
      <c r="BCT112" s="84"/>
      <c r="BCU112" s="84"/>
      <c r="BCV112" s="84"/>
      <c r="BCW112" s="84"/>
      <c r="BCX112" s="84"/>
      <c r="BCY112" s="84"/>
      <c r="BCZ112" s="84"/>
      <c r="BDA112" s="84"/>
      <c r="BDB112" s="84"/>
      <c r="BDC112" s="84"/>
      <c r="BDD112" s="84"/>
      <c r="BDE112" s="84"/>
      <c r="BDF112" s="84"/>
      <c r="BDG112" s="84"/>
      <c r="BDH112" s="84"/>
      <c r="BDI112" s="84"/>
      <c r="BDJ112" s="84"/>
      <c r="BDK112" s="84"/>
      <c r="BDL112" s="84"/>
      <c r="BDM112" s="84"/>
      <c r="BDN112" s="84"/>
      <c r="BDO112" s="84"/>
      <c r="BDP112" s="84"/>
      <c r="BDQ112" s="84"/>
      <c r="BDR112" s="84"/>
      <c r="BDS112" s="84"/>
      <c r="BDT112" s="84"/>
      <c r="BDU112" s="84"/>
      <c r="BDV112" s="84"/>
      <c r="BDW112" s="84"/>
      <c r="BDX112" s="84"/>
      <c r="BDY112" s="84"/>
      <c r="BDZ112" s="84"/>
      <c r="BEA112" s="84"/>
      <c r="BEB112" s="84"/>
      <c r="BEC112" s="84"/>
      <c r="BED112" s="84"/>
      <c r="BEE112" s="84"/>
      <c r="BEF112" s="84"/>
      <c r="BEG112" s="84"/>
      <c r="BEH112" s="84"/>
      <c r="BEI112" s="84"/>
      <c r="BEJ112" s="84"/>
      <c r="BEK112" s="84"/>
      <c r="BEL112" s="84"/>
      <c r="BEM112" s="84"/>
      <c r="BEN112" s="84"/>
      <c r="BEO112" s="84"/>
      <c r="BEP112" s="84"/>
      <c r="BEQ112" s="84"/>
      <c r="BER112" s="84"/>
      <c r="BES112" s="84"/>
      <c r="BET112" s="84"/>
      <c r="BEU112" s="84"/>
      <c r="BEV112" s="84"/>
      <c r="BEW112" s="84"/>
      <c r="BEX112" s="84"/>
      <c r="BEY112" s="84"/>
      <c r="BEZ112" s="84"/>
      <c r="BFA112" s="84"/>
      <c r="BFB112" s="84"/>
      <c r="BFC112" s="84"/>
      <c r="BFD112" s="84"/>
      <c r="BFE112" s="84"/>
      <c r="BFF112" s="84"/>
      <c r="BFG112" s="84"/>
      <c r="BFH112" s="84"/>
      <c r="BFI112" s="84"/>
      <c r="BFJ112" s="84"/>
      <c r="BFK112" s="84"/>
      <c r="BFL112" s="84"/>
      <c r="BFM112" s="84"/>
      <c r="BFN112" s="84"/>
      <c r="BFO112" s="84"/>
      <c r="BFP112" s="84"/>
      <c r="BFQ112" s="84"/>
      <c r="BFR112" s="84"/>
      <c r="BFS112" s="84"/>
      <c r="BFT112" s="84"/>
      <c r="BFU112" s="84"/>
      <c r="BFV112" s="84"/>
      <c r="BFW112" s="84"/>
      <c r="BFX112" s="84"/>
      <c r="BFY112" s="84"/>
      <c r="BFZ112" s="84"/>
      <c r="BGA112" s="84"/>
      <c r="BGB112" s="84"/>
      <c r="BGC112" s="84"/>
      <c r="BGD112" s="84"/>
      <c r="BGE112" s="84"/>
      <c r="BGF112" s="84"/>
      <c r="BGG112" s="84"/>
      <c r="BGH112" s="84"/>
      <c r="BGI112" s="84"/>
      <c r="BGJ112" s="84"/>
      <c r="BGK112" s="84"/>
      <c r="BGL112" s="84"/>
      <c r="BGM112" s="84"/>
      <c r="BGN112" s="84"/>
      <c r="BGO112" s="84"/>
      <c r="BGP112" s="84"/>
      <c r="BGQ112" s="84"/>
      <c r="BGR112" s="84"/>
      <c r="BGS112" s="84"/>
      <c r="BGT112" s="84"/>
      <c r="BGU112" s="84"/>
      <c r="BGV112" s="84"/>
      <c r="BGW112" s="84"/>
      <c r="BGX112" s="84"/>
      <c r="BGY112" s="84"/>
      <c r="BGZ112" s="84"/>
      <c r="BHA112" s="84"/>
      <c r="BHB112" s="84"/>
      <c r="BHC112" s="84"/>
      <c r="BHD112" s="84"/>
      <c r="BHE112" s="84"/>
      <c r="BHF112" s="84"/>
      <c r="BHG112" s="84"/>
      <c r="BHH112" s="84"/>
      <c r="BHI112" s="84"/>
      <c r="BHJ112" s="84"/>
      <c r="BHK112" s="84"/>
      <c r="BHL112" s="84"/>
      <c r="BHM112" s="84"/>
      <c r="BHN112" s="84"/>
      <c r="BHO112" s="84"/>
      <c r="BHP112" s="84"/>
      <c r="BHQ112" s="84"/>
      <c r="BHR112" s="84"/>
      <c r="BHS112" s="84"/>
      <c r="BHT112" s="84"/>
      <c r="BHU112" s="84"/>
      <c r="BHV112" s="84"/>
      <c r="BHW112" s="84"/>
      <c r="BHX112" s="84"/>
      <c r="BHY112" s="84"/>
      <c r="BHZ112" s="84"/>
      <c r="BIA112" s="84"/>
      <c r="BIB112" s="84"/>
      <c r="BIC112" s="84"/>
      <c r="BID112" s="84"/>
      <c r="BIE112" s="84"/>
      <c r="BIF112" s="84"/>
      <c r="BIG112" s="84"/>
      <c r="BIH112" s="84"/>
      <c r="BII112" s="84"/>
      <c r="BIJ112" s="84"/>
      <c r="BIK112" s="84"/>
      <c r="BIL112" s="84"/>
      <c r="BIM112" s="84"/>
      <c r="BIN112" s="84"/>
      <c r="BIO112" s="84"/>
      <c r="BIP112" s="84"/>
      <c r="BIQ112" s="84"/>
      <c r="BIR112" s="84"/>
      <c r="BIS112" s="84"/>
      <c r="BIT112" s="84"/>
      <c r="BIU112" s="84"/>
      <c r="BIV112" s="84"/>
      <c r="BIW112" s="84"/>
      <c r="BIX112" s="84"/>
      <c r="BIY112" s="84"/>
      <c r="BIZ112" s="84"/>
      <c r="BJA112" s="84"/>
      <c r="BJB112" s="84"/>
      <c r="BJC112" s="84"/>
      <c r="BJD112" s="84"/>
      <c r="BJE112" s="84"/>
      <c r="BJF112" s="84"/>
      <c r="BJG112" s="84"/>
      <c r="BJH112" s="84"/>
      <c r="BJI112" s="84"/>
      <c r="BJJ112" s="84"/>
      <c r="BJK112" s="84"/>
      <c r="BJL112" s="84"/>
      <c r="BJM112" s="84"/>
      <c r="BJN112" s="84"/>
      <c r="BJO112" s="84"/>
      <c r="BJP112" s="84"/>
      <c r="BJQ112" s="84"/>
      <c r="BJR112" s="84"/>
      <c r="BJS112" s="84"/>
      <c r="BJT112" s="84"/>
      <c r="BJU112" s="84"/>
      <c r="BJV112" s="84"/>
      <c r="BJW112" s="84"/>
      <c r="BJX112" s="84"/>
      <c r="BJY112" s="84"/>
      <c r="BJZ112" s="84"/>
      <c r="BKA112" s="84"/>
      <c r="BKB112" s="84"/>
      <c r="BKC112" s="84"/>
      <c r="BKD112" s="84"/>
      <c r="BKE112" s="84"/>
      <c r="BKF112" s="84"/>
      <c r="BKG112" s="84"/>
      <c r="BKH112" s="84"/>
      <c r="BKI112" s="84"/>
      <c r="BKJ112" s="84"/>
      <c r="BKK112" s="84"/>
      <c r="BKL112" s="84"/>
      <c r="BKM112" s="84"/>
      <c r="BKN112" s="84"/>
      <c r="BKO112" s="84"/>
      <c r="BKP112" s="84"/>
      <c r="BKQ112" s="84"/>
      <c r="BKR112" s="84"/>
      <c r="BKS112" s="84"/>
      <c r="BKT112" s="84"/>
      <c r="BKU112" s="84"/>
      <c r="BKV112" s="84"/>
      <c r="BKW112" s="84"/>
      <c r="BKX112" s="84"/>
      <c r="BKY112" s="84"/>
      <c r="BKZ112" s="84"/>
      <c r="BLA112" s="84"/>
      <c r="BLB112" s="84"/>
      <c r="BLC112" s="84"/>
      <c r="BLD112" s="84"/>
      <c r="BLE112" s="84"/>
      <c r="BLF112" s="84"/>
      <c r="BLG112" s="84"/>
      <c r="BLH112" s="84"/>
      <c r="BLI112" s="84"/>
      <c r="BLJ112" s="84"/>
      <c r="BLK112" s="84"/>
      <c r="BLL112" s="84"/>
      <c r="BLM112" s="84"/>
      <c r="BLN112" s="84"/>
      <c r="BLO112" s="84"/>
      <c r="BLP112" s="84"/>
      <c r="BLQ112" s="84"/>
      <c r="BLR112" s="84"/>
      <c r="BLS112" s="84"/>
      <c r="BLT112" s="84"/>
      <c r="BLU112" s="84"/>
      <c r="BLV112" s="84"/>
      <c r="BLW112" s="84"/>
      <c r="BLX112" s="84"/>
      <c r="BLY112" s="84"/>
      <c r="BLZ112" s="84"/>
      <c r="BMA112" s="84"/>
      <c r="BMB112" s="84"/>
      <c r="BMC112" s="84"/>
      <c r="BMD112" s="84"/>
      <c r="BME112" s="84"/>
      <c r="BMF112" s="84"/>
      <c r="BMG112" s="84"/>
      <c r="BMH112" s="84"/>
      <c r="BMI112" s="84"/>
      <c r="BMJ112" s="84"/>
      <c r="BMK112" s="84"/>
      <c r="BML112" s="84"/>
      <c r="BMM112" s="84"/>
      <c r="BMN112" s="84"/>
      <c r="BMO112" s="84"/>
      <c r="BMP112" s="84"/>
      <c r="BMQ112" s="84"/>
      <c r="BMR112" s="84"/>
      <c r="BMS112" s="84"/>
      <c r="BMT112" s="84"/>
      <c r="BMU112" s="84"/>
      <c r="BMV112" s="84"/>
      <c r="BMW112" s="84"/>
      <c r="BMX112" s="84"/>
      <c r="BMY112" s="84"/>
      <c r="BMZ112" s="84"/>
      <c r="BNA112" s="84"/>
      <c r="BNB112" s="84"/>
      <c r="BNC112" s="84"/>
      <c r="BND112" s="84"/>
      <c r="BNE112" s="84"/>
      <c r="BNF112" s="84"/>
      <c r="BNG112" s="84"/>
      <c r="BNH112" s="84"/>
      <c r="BNI112" s="84"/>
      <c r="BNJ112" s="84"/>
      <c r="BNK112" s="84"/>
      <c r="BNL112" s="84"/>
      <c r="BNM112" s="84"/>
      <c r="BNN112" s="84"/>
      <c r="BNO112" s="84"/>
      <c r="BNP112" s="84"/>
      <c r="BNQ112" s="84"/>
      <c r="BNR112" s="84"/>
      <c r="BNS112" s="84"/>
      <c r="BNT112" s="84"/>
      <c r="BNU112" s="84"/>
      <c r="BNV112" s="84"/>
      <c r="BNW112" s="84"/>
      <c r="BNX112" s="84"/>
      <c r="BNY112" s="84"/>
      <c r="BNZ112" s="84"/>
      <c r="BOA112" s="84"/>
      <c r="BOB112" s="84"/>
      <c r="BOC112" s="84"/>
      <c r="BOD112" s="84"/>
      <c r="BOE112" s="84"/>
      <c r="BOF112" s="84"/>
      <c r="BOG112" s="84"/>
      <c r="BOH112" s="84"/>
      <c r="BOI112" s="84"/>
      <c r="BOJ112" s="84"/>
      <c r="BOK112" s="84"/>
      <c r="BOL112" s="84"/>
      <c r="BOM112" s="84"/>
      <c r="BON112" s="84"/>
      <c r="BOO112" s="84"/>
      <c r="BOP112" s="84"/>
      <c r="BOQ112" s="84"/>
      <c r="BOR112" s="84"/>
      <c r="BOS112" s="84"/>
      <c r="BOT112" s="84"/>
      <c r="BOU112" s="84"/>
      <c r="BOV112" s="84"/>
      <c r="BOW112" s="84"/>
      <c r="BOX112" s="84"/>
      <c r="BOY112" s="84"/>
      <c r="BOZ112" s="84"/>
      <c r="BPA112" s="84"/>
      <c r="BPB112" s="84"/>
      <c r="BPC112" s="84"/>
      <c r="BPD112" s="84"/>
      <c r="BPE112" s="84"/>
      <c r="BPF112" s="84"/>
      <c r="BPG112" s="84"/>
      <c r="BPH112" s="84"/>
      <c r="BPI112" s="84"/>
      <c r="BPJ112" s="84"/>
      <c r="BPK112" s="84"/>
      <c r="BPL112" s="84"/>
      <c r="BPM112" s="84"/>
      <c r="BPN112" s="84"/>
      <c r="BPO112" s="84"/>
      <c r="BPP112" s="84"/>
      <c r="BPQ112" s="84"/>
      <c r="BPR112" s="84"/>
      <c r="BPS112" s="84"/>
      <c r="BPT112" s="84"/>
      <c r="BPU112" s="84"/>
      <c r="BPV112" s="84"/>
      <c r="BPW112" s="84"/>
      <c r="BPX112" s="84"/>
      <c r="BPY112" s="84"/>
      <c r="BPZ112" s="84"/>
      <c r="BQA112" s="84"/>
      <c r="BQB112" s="84"/>
      <c r="BQC112" s="84"/>
      <c r="BQD112" s="84"/>
      <c r="BQE112" s="84"/>
      <c r="BQF112" s="84"/>
      <c r="BQG112" s="84"/>
      <c r="BQH112" s="84"/>
      <c r="BQI112" s="84"/>
      <c r="BQJ112" s="84"/>
      <c r="BQK112" s="84"/>
      <c r="BQL112" s="84"/>
      <c r="BQM112" s="84"/>
      <c r="BQN112" s="84"/>
      <c r="BQO112" s="84"/>
      <c r="BQP112" s="84"/>
      <c r="BQQ112" s="84"/>
      <c r="BQR112" s="84"/>
      <c r="BQS112" s="84"/>
      <c r="BQT112" s="84"/>
      <c r="BQU112" s="84"/>
      <c r="BQV112" s="84"/>
      <c r="BQW112" s="84"/>
      <c r="BQX112" s="84"/>
      <c r="BQY112" s="84"/>
      <c r="BQZ112" s="84"/>
      <c r="BRA112" s="84"/>
      <c r="BRB112" s="84"/>
      <c r="BRC112" s="84"/>
      <c r="BRD112" s="84"/>
      <c r="BRE112" s="84"/>
      <c r="BRF112" s="84"/>
      <c r="BRG112" s="84"/>
      <c r="BRH112" s="84"/>
      <c r="BRI112" s="84"/>
      <c r="BRJ112" s="84"/>
      <c r="BRK112" s="84"/>
      <c r="BRL112" s="84"/>
      <c r="BRM112" s="84"/>
      <c r="BRN112" s="84"/>
      <c r="BRO112" s="84"/>
      <c r="BRP112" s="84"/>
      <c r="BRQ112" s="84"/>
      <c r="BRR112" s="84"/>
      <c r="BRS112" s="84"/>
      <c r="BRT112" s="84"/>
      <c r="BRU112" s="84"/>
      <c r="BRV112" s="84"/>
      <c r="BRW112" s="84"/>
      <c r="BRX112" s="84"/>
      <c r="BRY112" s="84"/>
      <c r="BRZ112" s="84"/>
      <c r="BSA112" s="84"/>
      <c r="BSB112" s="84"/>
      <c r="BSC112" s="84"/>
      <c r="BSD112" s="84"/>
      <c r="BSE112" s="84"/>
      <c r="BSF112" s="84"/>
      <c r="BSG112" s="84"/>
      <c r="BSH112" s="84"/>
      <c r="BSI112" s="84"/>
      <c r="BSJ112" s="84"/>
      <c r="BSK112" s="84"/>
      <c r="BSL112" s="84"/>
      <c r="BSM112" s="84"/>
      <c r="BSN112" s="84"/>
      <c r="BSO112" s="84"/>
      <c r="BSP112" s="84"/>
      <c r="BSQ112" s="84"/>
      <c r="BSR112" s="84"/>
      <c r="BSS112" s="84"/>
      <c r="BST112" s="84"/>
      <c r="BSU112" s="84"/>
      <c r="BSV112" s="84"/>
      <c r="BSW112" s="84"/>
      <c r="BSX112" s="84"/>
      <c r="BSY112" s="84"/>
      <c r="BSZ112" s="84"/>
      <c r="BTA112" s="84"/>
      <c r="BTB112" s="84"/>
      <c r="BTC112" s="84"/>
      <c r="BTD112" s="84"/>
      <c r="BTE112" s="84"/>
      <c r="BTF112" s="84"/>
      <c r="BTG112" s="84"/>
      <c r="BTH112" s="84"/>
      <c r="BTI112" s="84"/>
      <c r="BTJ112" s="84"/>
      <c r="BTK112" s="84"/>
      <c r="BTL112" s="84"/>
      <c r="BTM112" s="84"/>
      <c r="BTN112" s="84"/>
      <c r="BTO112" s="84"/>
      <c r="BTP112" s="84"/>
      <c r="BTQ112" s="84"/>
      <c r="BTR112" s="84"/>
      <c r="BTS112" s="84"/>
      <c r="BTT112" s="84"/>
      <c r="BTU112" s="84"/>
      <c r="BTV112" s="84"/>
      <c r="BTW112" s="84"/>
      <c r="BTX112" s="84"/>
      <c r="BTY112" s="84"/>
      <c r="BTZ112" s="84"/>
      <c r="BUA112" s="84"/>
      <c r="BUB112" s="84"/>
      <c r="BUC112" s="84"/>
      <c r="BUD112" s="84"/>
      <c r="BUE112" s="84"/>
      <c r="BUF112" s="84"/>
      <c r="BUG112" s="84"/>
      <c r="BUH112" s="84"/>
      <c r="BUI112" s="84"/>
      <c r="BUJ112" s="84"/>
      <c r="BUK112" s="84"/>
      <c r="BUL112" s="84"/>
      <c r="BUM112" s="84"/>
      <c r="BUN112" s="84"/>
      <c r="BUO112" s="84"/>
      <c r="BUP112" s="84"/>
      <c r="BUQ112" s="84"/>
      <c r="BUR112" s="84"/>
      <c r="BUS112" s="84"/>
      <c r="BUT112" s="84"/>
      <c r="BUU112" s="84"/>
      <c r="BUV112" s="84"/>
      <c r="BUW112" s="84"/>
      <c r="BUX112" s="84"/>
      <c r="BUY112" s="84"/>
      <c r="BUZ112" s="84"/>
      <c r="BVA112" s="84"/>
      <c r="BVB112" s="84"/>
      <c r="BVC112" s="84"/>
      <c r="BVD112" s="84"/>
      <c r="BVE112" s="84"/>
      <c r="BVF112" s="84"/>
      <c r="BVG112" s="84"/>
      <c r="BVH112" s="84"/>
      <c r="BVI112" s="84"/>
      <c r="BVJ112" s="84"/>
      <c r="BVK112" s="84"/>
      <c r="BVL112" s="84"/>
      <c r="BVM112" s="84"/>
      <c r="BVN112" s="84"/>
      <c r="BVO112" s="84"/>
      <c r="BVP112" s="84"/>
      <c r="BVQ112" s="84"/>
      <c r="BVR112" s="84"/>
      <c r="BVS112" s="84"/>
      <c r="BVT112" s="84"/>
      <c r="BVU112" s="84"/>
      <c r="BVV112" s="84"/>
      <c r="BVW112" s="84"/>
      <c r="BVX112" s="84"/>
      <c r="BVY112" s="84"/>
      <c r="BVZ112" s="84"/>
      <c r="BWA112" s="84"/>
      <c r="BWB112" s="84"/>
      <c r="BWC112" s="84"/>
      <c r="BWD112" s="84"/>
      <c r="BWE112" s="84"/>
      <c r="BWF112" s="84"/>
      <c r="BWG112" s="84"/>
      <c r="BWH112" s="84"/>
      <c r="BWI112" s="84"/>
      <c r="BWJ112" s="84"/>
      <c r="BWK112" s="84"/>
      <c r="BWL112" s="84"/>
      <c r="BWM112" s="84"/>
      <c r="BWN112" s="84"/>
      <c r="BWO112" s="84"/>
      <c r="BWP112" s="84"/>
      <c r="BWQ112" s="84"/>
      <c r="BWR112" s="84"/>
      <c r="BWS112" s="84"/>
      <c r="BWT112" s="84"/>
      <c r="BWU112" s="84"/>
      <c r="BWV112" s="84"/>
      <c r="BWW112" s="84"/>
      <c r="BWX112" s="84"/>
      <c r="BWY112" s="84"/>
      <c r="BWZ112" s="84"/>
      <c r="BXA112" s="84"/>
      <c r="BXB112" s="84"/>
      <c r="BXC112" s="84"/>
      <c r="BXD112" s="84"/>
      <c r="BXE112" s="84"/>
      <c r="BXF112" s="84"/>
      <c r="BXG112" s="84"/>
      <c r="BXH112" s="84"/>
      <c r="BXI112" s="84"/>
      <c r="BXJ112" s="84"/>
      <c r="BXK112" s="84"/>
      <c r="BXL112" s="84"/>
      <c r="BXM112" s="84"/>
      <c r="BXN112" s="84"/>
      <c r="BXO112" s="84"/>
      <c r="BXP112" s="84"/>
      <c r="BXQ112" s="84"/>
      <c r="BXR112" s="84"/>
      <c r="BXS112" s="84"/>
      <c r="BXT112" s="84"/>
      <c r="BXU112" s="84"/>
      <c r="BXV112" s="84"/>
      <c r="BXW112" s="84"/>
      <c r="BXX112" s="84"/>
      <c r="BXY112" s="84"/>
      <c r="BXZ112" s="84"/>
      <c r="BYA112" s="84"/>
      <c r="BYB112" s="84"/>
      <c r="BYC112" s="84"/>
    </row>
    <row r="113" spans="1:34" s="84" customFormat="1" ht="17.25" x14ac:dyDescent="0.3">
      <c r="A113" s="213" t="s">
        <v>383</v>
      </c>
      <c r="B113" s="268">
        <v>25452.098162304133</v>
      </c>
      <c r="C113" s="269">
        <v>26392.334263106917</v>
      </c>
      <c r="D113" s="270">
        <v>27879.821988639636</v>
      </c>
      <c r="E113" s="270">
        <v>30461.363556380435</v>
      </c>
      <c r="F113" s="270">
        <v>33206.556370015569</v>
      </c>
      <c r="G113" s="270">
        <v>27417.435279189565</v>
      </c>
      <c r="H113" s="270">
        <v>33314.539733917103</v>
      </c>
      <c r="I113" s="270">
        <v>34221.138220452791</v>
      </c>
      <c r="J113" s="270">
        <v>32796.841142713507</v>
      </c>
      <c r="K113" s="270">
        <v>36082.555985653657</v>
      </c>
      <c r="L113" s="270">
        <v>34186.378429714605</v>
      </c>
      <c r="M113" s="270">
        <v>35614.153169986115</v>
      </c>
      <c r="N113" s="270">
        <v>35814.208349307824</v>
      </c>
      <c r="O113" s="270">
        <v>36521.832872494888</v>
      </c>
      <c r="P113" s="270">
        <v>35811.819813221009</v>
      </c>
      <c r="Q113" s="270">
        <v>36231.420948894694</v>
      </c>
      <c r="R113" s="270">
        <v>41395</v>
      </c>
      <c r="S113" s="270">
        <v>38229.582101186337</v>
      </c>
      <c r="T113" s="270">
        <v>37665.309773291941</v>
      </c>
      <c r="U113" s="270">
        <v>37602.634743461647</v>
      </c>
      <c r="V113" s="270">
        <v>36031.892833520331</v>
      </c>
      <c r="W113" s="270">
        <v>36100.225848013804</v>
      </c>
      <c r="X113" s="270">
        <v>32574.326303997186</v>
      </c>
      <c r="Y113" s="270">
        <v>32130.058220190858</v>
      </c>
      <c r="Z113" s="270">
        <v>32423.860959801914</v>
      </c>
      <c r="AA113" s="270">
        <v>30809.930446247727</v>
      </c>
      <c r="AB113" s="270">
        <v>30721.750365527219</v>
      </c>
      <c r="AC113" s="270">
        <v>37375.954663755409</v>
      </c>
      <c r="AD113" s="270">
        <v>28839.093697141045</v>
      </c>
      <c r="AE113" s="270">
        <v>28537.707641981237</v>
      </c>
      <c r="AF113" s="270">
        <v>32819.983648696165</v>
      </c>
      <c r="AG113" s="270">
        <v>33231.399067193328</v>
      </c>
      <c r="AH113" s="270">
        <v>35425.699890329961</v>
      </c>
    </row>
    <row r="114" spans="1:34" s="84" customFormat="1" ht="17.25" x14ac:dyDescent="0.3">
      <c r="A114" s="187" t="s">
        <v>415</v>
      </c>
      <c r="B114" s="263">
        <v>24255.435208248742</v>
      </c>
      <c r="C114" s="264">
        <v>24909.341108679931</v>
      </c>
      <c r="D114" s="265">
        <v>25822.464193973603</v>
      </c>
      <c r="E114" s="265">
        <v>24497.074800354119</v>
      </c>
      <c r="F114" s="265">
        <v>25389.339255708241</v>
      </c>
      <c r="G114" s="265">
        <v>27624.690030171449</v>
      </c>
      <c r="H114" s="265">
        <v>26262.570966939977</v>
      </c>
      <c r="I114" s="265">
        <v>25661.436773562436</v>
      </c>
      <c r="J114" s="265">
        <v>25416.033621111725</v>
      </c>
      <c r="K114" s="265">
        <v>25055.740865629581</v>
      </c>
      <c r="L114" s="265">
        <v>28936.836933392286</v>
      </c>
      <c r="M114" s="265">
        <v>29040.394491347808</v>
      </c>
      <c r="N114" s="265">
        <v>30206.752635290501</v>
      </c>
      <c r="O114" s="265">
        <v>26613.023146541807</v>
      </c>
      <c r="P114" s="265">
        <v>30913.775075286903</v>
      </c>
      <c r="Q114" s="265">
        <v>31625.52033900157</v>
      </c>
      <c r="R114" s="265">
        <v>31061</v>
      </c>
      <c r="S114" s="265">
        <v>34031.846301889695</v>
      </c>
      <c r="T114" s="265">
        <v>40404.298701752785</v>
      </c>
      <c r="U114" s="265">
        <v>39683.892261024783</v>
      </c>
      <c r="V114" s="265">
        <v>40632.205824751181</v>
      </c>
      <c r="W114" s="265">
        <v>38729.454275623757</v>
      </c>
      <c r="X114" s="265">
        <v>38676.413872999474</v>
      </c>
      <c r="Y114" s="265">
        <v>38251.096890463632</v>
      </c>
      <c r="Z114" s="265">
        <v>35662.056777422251</v>
      </c>
      <c r="AA114" s="265">
        <v>32699.903638561413</v>
      </c>
      <c r="AB114" s="265">
        <v>30507.163362972027</v>
      </c>
      <c r="AC114" s="265">
        <v>29705.895120775658</v>
      </c>
      <c r="AD114" s="265">
        <v>27014.125952761944</v>
      </c>
      <c r="AE114" s="265">
        <v>24745.498201615545</v>
      </c>
      <c r="AF114" s="265">
        <v>26281.243859083221</v>
      </c>
      <c r="AG114" s="265">
        <v>26360.414546800872</v>
      </c>
      <c r="AH114" s="265">
        <v>24241.266431307398</v>
      </c>
    </row>
    <row r="115" spans="1:34" s="84" customFormat="1" ht="18" thickBot="1" x14ac:dyDescent="0.35">
      <c r="A115" s="216" t="s">
        <v>385</v>
      </c>
      <c r="B115" s="271">
        <v>9001.918931740167</v>
      </c>
      <c r="C115" s="272">
        <v>9220.0853788232034</v>
      </c>
      <c r="D115" s="273">
        <v>8066.5292533628299</v>
      </c>
      <c r="E115" s="273">
        <v>7844.9024899280539</v>
      </c>
      <c r="F115" s="273">
        <v>8345.0833143569525</v>
      </c>
      <c r="G115" s="273">
        <v>7043.3582612301689</v>
      </c>
      <c r="H115" s="273">
        <v>6488.9626685234362</v>
      </c>
      <c r="I115" s="273">
        <v>6494.1338326819014</v>
      </c>
      <c r="J115" s="273">
        <v>6835.3512236725137</v>
      </c>
      <c r="K115" s="273">
        <v>6802.8645135440938</v>
      </c>
      <c r="L115" s="273">
        <v>6387.6472653385799</v>
      </c>
      <c r="M115" s="273">
        <v>6243.5951531516057</v>
      </c>
      <c r="N115" s="273">
        <v>6329.13518730122</v>
      </c>
      <c r="O115" s="273">
        <v>6364.2378972829438</v>
      </c>
      <c r="P115" s="273">
        <v>5912.8337150957932</v>
      </c>
      <c r="Q115" s="273">
        <v>5653.6435636303031</v>
      </c>
      <c r="R115" s="273">
        <v>5598</v>
      </c>
      <c r="S115" s="273">
        <v>6303.2022011372655</v>
      </c>
      <c r="T115" s="273">
        <v>6659.5224278027836</v>
      </c>
      <c r="U115" s="273">
        <v>6623.4979409365942</v>
      </c>
      <c r="V115" s="273">
        <v>6054.6220464448988</v>
      </c>
      <c r="W115" s="273">
        <v>6059.3199136642424</v>
      </c>
      <c r="X115" s="273">
        <v>6466.2170134953703</v>
      </c>
      <c r="Y115" s="273">
        <v>6248.7916776727725</v>
      </c>
      <c r="Z115" s="273">
        <v>6275.5752936009994</v>
      </c>
      <c r="AA115" s="273">
        <v>6465.44678993453</v>
      </c>
      <c r="AB115" s="273">
        <v>6147.0161129987282</v>
      </c>
      <c r="AC115" s="273">
        <v>5827.7037859241254</v>
      </c>
      <c r="AD115" s="273">
        <v>5611.5918583078483</v>
      </c>
      <c r="AE115" s="273">
        <v>5078.9683253890425</v>
      </c>
      <c r="AF115" s="273">
        <v>4664.5524579250878</v>
      </c>
      <c r="AG115" s="273">
        <v>4700.3103085897746</v>
      </c>
      <c r="AH115" s="273">
        <v>4664.0064833478646</v>
      </c>
    </row>
    <row r="116" spans="1:34" s="84" customFormat="1" ht="18.75" thickTop="1" thickBot="1" x14ac:dyDescent="0.35">
      <c r="A116" s="219" t="s">
        <v>386</v>
      </c>
      <c r="B116" s="274">
        <v>360108.57229031902</v>
      </c>
      <c r="C116" s="275">
        <v>361184.7692216658</v>
      </c>
      <c r="D116" s="276">
        <v>359661.30417582073</v>
      </c>
      <c r="E116" s="276">
        <v>357811.51104026759</v>
      </c>
      <c r="F116" s="276">
        <v>362919.22970788693</v>
      </c>
      <c r="G116" s="276">
        <v>361146.40463454847</v>
      </c>
      <c r="H116" s="276">
        <v>366397.95640982868</v>
      </c>
      <c r="I116" s="276">
        <v>368150.96496077033</v>
      </c>
      <c r="J116" s="276">
        <v>369580.68895486259</v>
      </c>
      <c r="K116" s="276">
        <v>371764.04870397673</v>
      </c>
      <c r="L116" s="276">
        <v>375593.48798486305</v>
      </c>
      <c r="M116" s="276">
        <v>380191.85617523931</v>
      </c>
      <c r="N116" s="276">
        <v>380672.90427901404</v>
      </c>
      <c r="O116" s="276">
        <v>381121.99785171018</v>
      </c>
      <c r="P116" s="276">
        <v>381064.98067154427</v>
      </c>
      <c r="Q116" s="276">
        <v>381631.49067472684</v>
      </c>
      <c r="R116" s="276">
        <v>388790</v>
      </c>
      <c r="S116" s="276">
        <v>392311.87488914939</v>
      </c>
      <c r="T116" s="276">
        <v>399705.40982770221</v>
      </c>
      <c r="U116" s="276">
        <v>398030.22895940964</v>
      </c>
      <c r="V116" s="276">
        <v>399570.84795767051</v>
      </c>
      <c r="W116" s="276">
        <v>400283.7319433777</v>
      </c>
      <c r="X116" s="276">
        <v>396548.34098294505</v>
      </c>
      <c r="Y116" s="276">
        <v>388723.17539472302</v>
      </c>
      <c r="Z116" s="276">
        <v>388102.7571479528</v>
      </c>
      <c r="AA116" s="276">
        <v>389693.27043135418</v>
      </c>
      <c r="AB116" s="276">
        <v>388116.6564543664</v>
      </c>
      <c r="AC116" s="276">
        <v>396772.22668493557</v>
      </c>
      <c r="AD116" s="276">
        <v>387630.48037165852</v>
      </c>
      <c r="AE116" s="276">
        <v>380847.32559668145</v>
      </c>
      <c r="AF116" s="276">
        <v>389634.61926953634</v>
      </c>
      <c r="AG116" s="276">
        <v>394592.97220834222</v>
      </c>
      <c r="AH116" s="276">
        <v>392463.3865225857</v>
      </c>
    </row>
    <row r="117" spans="1:34" s="84" customFormat="1" ht="18.75" thickTop="1" thickBot="1" x14ac:dyDescent="0.35">
      <c r="A117" s="219" t="s">
        <v>387</v>
      </c>
      <c r="B117" s="274">
        <v>301399.11998802598</v>
      </c>
      <c r="C117" s="275">
        <v>300663.00847105571</v>
      </c>
      <c r="D117" s="276">
        <v>297892.48873984459</v>
      </c>
      <c r="E117" s="276">
        <v>295008.17019360495</v>
      </c>
      <c r="F117" s="276">
        <v>295978.2507678062</v>
      </c>
      <c r="G117" s="276">
        <v>299060.92106395727</v>
      </c>
      <c r="H117" s="276">
        <v>300331.88304044819</v>
      </c>
      <c r="I117" s="276">
        <v>301774.25613407313</v>
      </c>
      <c r="J117" s="276">
        <v>304532.46296736487</v>
      </c>
      <c r="K117" s="276">
        <v>303822.88733914943</v>
      </c>
      <c r="L117" s="276">
        <v>306082.62535641761</v>
      </c>
      <c r="M117" s="276">
        <v>309293.71336075378</v>
      </c>
      <c r="N117" s="276">
        <v>308322.80810711451</v>
      </c>
      <c r="O117" s="276">
        <v>311622.90393539058</v>
      </c>
      <c r="P117" s="276">
        <v>308426.55206794059</v>
      </c>
      <c r="Q117" s="276">
        <v>308120.9058232003</v>
      </c>
      <c r="R117" s="276">
        <v>310736</v>
      </c>
      <c r="S117" s="276">
        <v>313747.24428493611</v>
      </c>
      <c r="T117" s="276">
        <v>314976.27892485471</v>
      </c>
      <c r="U117" s="276">
        <v>314120.20401398663</v>
      </c>
      <c r="V117" s="276">
        <v>316852.12725295412</v>
      </c>
      <c r="W117" s="276">
        <v>319394.73190607585</v>
      </c>
      <c r="X117" s="276">
        <v>318831.38379245298</v>
      </c>
      <c r="Y117" s="276">
        <v>312093.22860639577</v>
      </c>
      <c r="Z117" s="276">
        <v>313741.26411712758</v>
      </c>
      <c r="AA117" s="276">
        <v>319717.98955661047</v>
      </c>
      <c r="AB117" s="276">
        <v>320740.72661286843</v>
      </c>
      <c r="AC117" s="276">
        <v>323862.67311448033</v>
      </c>
      <c r="AD117" s="276">
        <v>326165.66886344767</v>
      </c>
      <c r="AE117" s="276">
        <v>322485.15142769564</v>
      </c>
      <c r="AF117" s="276">
        <v>325868.83930383186</v>
      </c>
      <c r="AG117" s="276">
        <v>330300.84828575823</v>
      </c>
      <c r="AH117" s="276">
        <v>328132.41371760046</v>
      </c>
    </row>
    <row r="118" spans="1:34" s="394" customFormat="1" ht="21.75" customHeight="1" thickTop="1" x14ac:dyDescent="0.2">
      <c r="A118" s="502" t="s">
        <v>172</v>
      </c>
      <c r="B118" s="407"/>
      <c r="C118" s="408"/>
      <c r="D118" s="408"/>
      <c r="E118" s="408"/>
      <c r="F118" s="408"/>
      <c r="G118" s="408"/>
      <c r="H118" s="408"/>
      <c r="I118" s="408"/>
      <c r="J118" s="408"/>
      <c r="K118" s="408"/>
      <c r="L118" s="408"/>
      <c r="M118" s="408"/>
      <c r="N118" s="408"/>
      <c r="O118" s="408"/>
      <c r="P118" s="408"/>
      <c r="Q118" s="408"/>
      <c r="R118" s="408"/>
      <c r="S118" s="408"/>
      <c r="T118" s="408"/>
      <c r="U118" s="408"/>
      <c r="V118" s="408"/>
      <c r="W118" s="408"/>
      <c r="X118" s="408"/>
      <c r="Y118" s="408"/>
      <c r="Z118" s="408"/>
      <c r="AA118" s="408"/>
      <c r="AB118" s="408"/>
      <c r="AC118" s="408"/>
      <c r="AD118" s="408"/>
      <c r="AE118" s="408"/>
      <c r="AF118" s="408"/>
      <c r="AG118" s="408"/>
      <c r="AH118" s="408"/>
    </row>
    <row r="119" spans="1:34" s="409" customFormat="1" ht="36" customHeight="1" x14ac:dyDescent="0.2">
      <c r="A119" s="3699" t="s">
        <v>904</v>
      </c>
      <c r="B119" s="3699"/>
      <c r="C119" s="3699"/>
      <c r="D119" s="3699"/>
      <c r="E119" s="3699"/>
      <c r="F119" s="3699"/>
      <c r="G119" s="3699"/>
      <c r="H119" s="3699"/>
      <c r="I119" s="3699"/>
      <c r="J119" s="3699"/>
      <c r="K119" s="3699"/>
      <c r="L119" s="3699"/>
      <c r="M119" s="3699"/>
      <c r="N119" s="3699"/>
      <c r="O119" s="3699"/>
      <c r="P119" s="3699"/>
      <c r="Q119" s="3699"/>
      <c r="R119" s="3699"/>
      <c r="S119" s="3699"/>
      <c r="T119" s="3699"/>
      <c r="U119" s="3699"/>
      <c r="V119" s="3699"/>
      <c r="W119" s="3699"/>
      <c r="X119" s="3699"/>
      <c r="Y119" s="3699"/>
      <c r="Z119" s="3699"/>
      <c r="AA119" s="3699"/>
      <c r="AB119" s="3699"/>
      <c r="AC119" s="3699"/>
      <c r="AD119" s="3699"/>
      <c r="AE119" s="3699"/>
      <c r="AF119" s="3699"/>
      <c r="AG119" s="503"/>
      <c r="AH119" s="508"/>
    </row>
    <row r="120" spans="1:34" s="409" customFormat="1" ht="18.75" customHeight="1" x14ac:dyDescent="0.2">
      <c r="A120" s="410" t="s">
        <v>3246</v>
      </c>
      <c r="B120" s="410"/>
      <c r="C120" s="410"/>
      <c r="D120" s="410"/>
      <c r="E120" s="410"/>
      <c r="F120" s="410"/>
      <c r="G120" s="410"/>
      <c r="H120" s="410"/>
      <c r="I120" s="410"/>
      <c r="J120" s="410"/>
      <c r="K120" s="410"/>
      <c r="L120" s="411"/>
      <c r="M120" s="411"/>
      <c r="N120" s="411"/>
      <c r="O120" s="411"/>
      <c r="P120" s="411"/>
      <c r="Q120" s="411"/>
      <c r="R120" s="411"/>
      <c r="S120" s="411"/>
      <c r="T120" s="411"/>
      <c r="U120" s="411"/>
      <c r="V120" s="411"/>
      <c r="W120" s="411"/>
      <c r="X120" s="411"/>
      <c r="Y120" s="411"/>
      <c r="Z120" s="411"/>
      <c r="AA120" s="411"/>
      <c r="AB120" s="411"/>
      <c r="AC120" s="411"/>
      <c r="AD120" s="411"/>
      <c r="AE120" s="411"/>
      <c r="AF120" s="411"/>
      <c r="AG120" s="411"/>
      <c r="AH120" s="411"/>
    </row>
    <row r="121" spans="1:34" s="409" customFormat="1" ht="12" x14ac:dyDescent="0.2">
      <c r="A121" s="412" t="s">
        <v>905</v>
      </c>
    </row>
    <row r="122" spans="1:34" s="394" customFormat="1" ht="12" x14ac:dyDescent="0.2">
      <c r="A122" s="413" t="s">
        <v>913</v>
      </c>
    </row>
    <row r="123" spans="1:34" s="409" customFormat="1" x14ac:dyDescent="0.2">
      <c r="A123" s="412" t="s">
        <v>922</v>
      </c>
      <c r="B123" s="412"/>
      <c r="C123" s="412"/>
      <c r="D123" s="412"/>
      <c r="E123" s="412"/>
      <c r="F123" s="412"/>
      <c r="G123" s="412"/>
      <c r="H123" s="412"/>
      <c r="I123" s="412"/>
      <c r="J123" s="412"/>
      <c r="K123" s="412"/>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c r="AG123" s="406"/>
      <c r="AH123" s="406"/>
    </row>
    <row r="124" spans="1:34" s="409" customFormat="1" ht="12" x14ac:dyDescent="0.2">
      <c r="A124" s="414" t="s">
        <v>134</v>
      </c>
      <c r="B124" s="394"/>
    </row>
    <row r="127" spans="1:34" x14ac:dyDescent="0.25">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row>
    <row r="128" spans="1:34" x14ac:dyDescent="0.25">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row>
  </sheetData>
  <mergeCells count="1">
    <mergeCell ref="A119:AF119"/>
  </mergeCells>
  <hyperlinks>
    <hyperlink ref="A122" r:id="rId1" display="https://www.bom.mu/publications-statistics/statistics/monthly-statistical-bulletin/monthly-statistical-bulletin-february-2021" xr:uid="{00000000-0004-0000-1800-000000000000}"/>
  </hyperlinks>
  <pageMargins left="0.75" right="0.75" top="0.75" bottom="0.75" header="0.3" footer="0"/>
  <pageSetup paperSize="9" scale="49" fitToHeight="0" orientation="landscape" r:id="rId2"/>
  <rowBreaks count="1" manualBreakCount="1">
    <brk id="66" max="33"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fitToPage="1"/>
  </sheetPr>
  <dimension ref="A1:GN33"/>
  <sheetViews>
    <sheetView showGridLines="0" zoomScale="85" zoomScaleNormal="85" zoomScaleSheetLayoutView="85" workbookViewId="0">
      <pane xSplit="1" topLeftCell="FY1" activePane="topRight" state="frozen"/>
      <selection activeCell="K39" sqref="K39"/>
      <selection pane="topRight" activeCell="GB25" sqref="GB25"/>
    </sheetView>
  </sheetViews>
  <sheetFormatPr defaultRowHeight="16.5" x14ac:dyDescent="0.3"/>
  <cols>
    <col min="1" max="1" width="49.140625" style="284" customWidth="1"/>
    <col min="2" max="6" width="13.5703125" style="284" hidden="1" customWidth="1"/>
    <col min="7" max="15" width="14.140625" style="284" hidden="1" customWidth="1"/>
    <col min="16" max="33" width="15.140625" style="284" hidden="1" customWidth="1"/>
    <col min="34" max="34" width="14.7109375" style="284" hidden="1" customWidth="1"/>
    <col min="35" max="43" width="15.140625" style="284" hidden="1" customWidth="1"/>
    <col min="44" max="44" width="14" style="284" hidden="1" customWidth="1"/>
    <col min="45" max="45" width="15.140625" style="284" hidden="1" customWidth="1"/>
    <col min="46" max="46" width="14.140625" style="284" hidden="1" customWidth="1"/>
    <col min="47" max="50" width="13.5703125" style="284" hidden="1" customWidth="1"/>
    <col min="51" max="52" width="14.140625" style="284" hidden="1" customWidth="1"/>
    <col min="53" max="53" width="13.5703125" style="284" hidden="1" customWidth="1"/>
    <col min="54" max="54" width="13.7109375" style="284" hidden="1" customWidth="1"/>
    <col min="55" max="58" width="13.5703125" style="284" hidden="1" customWidth="1"/>
    <col min="59" max="61" width="14.140625" style="284" hidden="1" customWidth="1"/>
    <col min="62" max="68" width="13.5703125" style="284" hidden="1" customWidth="1"/>
    <col min="69" max="78" width="14.140625" style="284" hidden="1" customWidth="1"/>
    <col min="79" max="83" width="13.5703125" style="284" hidden="1" customWidth="1"/>
    <col min="84" max="84" width="14.140625" style="284" hidden="1" customWidth="1"/>
    <col min="85" max="85" width="14.28515625" style="284" hidden="1" customWidth="1"/>
    <col min="86" max="94" width="13.5703125" style="284" hidden="1" customWidth="1"/>
    <col min="95" max="106" width="12.5703125" style="284" hidden="1" customWidth="1"/>
    <col min="107" max="107" width="12.5703125" style="841" hidden="1" customWidth="1"/>
    <col min="108" max="110" width="13.42578125" style="841" hidden="1" customWidth="1"/>
    <col min="111" max="127" width="12.5703125" style="841" hidden="1" customWidth="1"/>
    <col min="128" max="128" width="12.28515625" style="841" hidden="1" customWidth="1"/>
    <col min="129" max="129" width="12.5703125" style="841" hidden="1" customWidth="1"/>
    <col min="130" max="130" width="12" style="841" hidden="1" customWidth="1"/>
    <col min="131" max="134" width="12.5703125" style="841" hidden="1" customWidth="1"/>
    <col min="135" max="138" width="12.5703125" style="284" hidden="1" customWidth="1"/>
    <col min="139" max="139" width="14.140625" style="284" hidden="1" customWidth="1"/>
    <col min="140" max="140" width="14.5703125" style="284" hidden="1" customWidth="1"/>
    <col min="141" max="141" width="13.5703125" style="284" hidden="1" customWidth="1"/>
    <col min="142" max="142" width="20.7109375" style="284" hidden="1" customWidth="1"/>
    <col min="143" max="143" width="17.5703125" style="284" hidden="1" customWidth="1"/>
    <col min="144" max="148" width="20.7109375" style="284" hidden="1" customWidth="1"/>
    <col min="149" max="159" width="14.7109375" style="932" hidden="1" customWidth="1"/>
    <col min="160" max="160" width="11.42578125" style="932" hidden="1" customWidth="1"/>
    <col min="161" max="178" width="13.140625" style="932" hidden="1" customWidth="1"/>
    <col min="179" max="179" width="13.5703125" style="932" hidden="1" customWidth="1"/>
    <col min="180" max="180" width="13.140625" style="932" hidden="1" customWidth="1"/>
    <col min="181" max="183" width="13.140625" style="932" customWidth="1"/>
    <col min="184" max="193" width="13.28515625" style="932" customWidth="1"/>
    <col min="194" max="195" width="40.7109375" style="284" bestFit="1" customWidth="1"/>
    <col min="196" max="196" width="10.140625" style="932" customWidth="1"/>
    <col min="197" max="279" width="9.140625" style="284"/>
    <col min="280" max="280" width="55.7109375" style="284" customWidth="1"/>
    <col min="281" max="372" width="9.140625" style="284" customWidth="1"/>
    <col min="373" max="374" width="9.28515625" style="284" customWidth="1"/>
    <col min="375" max="385" width="10.28515625" style="284" customWidth="1"/>
    <col min="386" max="535" width="9.140625" style="284"/>
    <col min="536" max="536" width="55.7109375" style="284" customWidth="1"/>
    <col min="537" max="628" width="9.140625" style="284" customWidth="1"/>
    <col min="629" max="630" width="9.28515625" style="284" customWidth="1"/>
    <col min="631" max="641" width="10.28515625" style="284" customWidth="1"/>
    <col min="642" max="791" width="9.140625" style="284"/>
    <col min="792" max="792" width="55.7109375" style="284" customWidth="1"/>
    <col min="793" max="884" width="9.140625" style="284" customWidth="1"/>
    <col min="885" max="886" width="9.28515625" style="284" customWidth="1"/>
    <col min="887" max="897" width="10.28515625" style="284" customWidth="1"/>
    <col min="898" max="1047" width="9.140625" style="284"/>
    <col min="1048" max="1048" width="55.7109375" style="284" customWidth="1"/>
    <col min="1049" max="1140" width="9.140625" style="284" customWidth="1"/>
    <col min="1141" max="1142" width="9.28515625" style="284" customWidth="1"/>
    <col min="1143" max="1153" width="10.28515625" style="284" customWidth="1"/>
    <col min="1154" max="1303" width="9.140625" style="284"/>
    <col min="1304" max="1304" width="55.7109375" style="284" customWidth="1"/>
    <col min="1305" max="1396" width="9.140625" style="284" customWidth="1"/>
    <col min="1397" max="1398" width="9.28515625" style="284" customWidth="1"/>
    <col min="1399" max="1409" width="10.28515625" style="284" customWidth="1"/>
    <col min="1410" max="1559" width="9.140625" style="284"/>
    <col min="1560" max="1560" width="55.7109375" style="284" customWidth="1"/>
    <col min="1561" max="1652" width="9.140625" style="284" customWidth="1"/>
    <col min="1653" max="1654" width="9.28515625" style="284" customWidth="1"/>
    <col min="1655" max="1665" width="10.28515625" style="284" customWidth="1"/>
    <col min="1666" max="1815" width="9.140625" style="284"/>
    <col min="1816" max="1816" width="55.7109375" style="284" customWidth="1"/>
    <col min="1817" max="1908" width="9.140625" style="284" customWidth="1"/>
    <col min="1909" max="1910" width="9.28515625" style="284" customWidth="1"/>
    <col min="1911" max="1921" width="10.28515625" style="284" customWidth="1"/>
    <col min="1922" max="2071" width="9.140625" style="284"/>
    <col min="2072" max="2072" width="55.7109375" style="284" customWidth="1"/>
    <col min="2073" max="2164" width="9.140625" style="284" customWidth="1"/>
    <col min="2165" max="2166" width="9.28515625" style="284" customWidth="1"/>
    <col min="2167" max="2177" width="10.28515625" style="284" customWidth="1"/>
    <col min="2178" max="2327" width="9.140625" style="284"/>
    <col min="2328" max="2328" width="55.7109375" style="284" customWidth="1"/>
    <col min="2329" max="2420" width="9.140625" style="284" customWidth="1"/>
    <col min="2421" max="2422" width="9.28515625" style="284" customWidth="1"/>
    <col min="2423" max="2433" width="10.28515625" style="284" customWidth="1"/>
    <col min="2434" max="2583" width="9.140625" style="284"/>
    <col min="2584" max="2584" width="55.7109375" style="284" customWidth="1"/>
    <col min="2585" max="2676" width="9.140625" style="284" customWidth="1"/>
    <col min="2677" max="2678" width="9.28515625" style="284" customWidth="1"/>
    <col min="2679" max="2689" width="10.28515625" style="284" customWidth="1"/>
    <col min="2690" max="2839" width="9.140625" style="284"/>
    <col min="2840" max="2840" width="55.7109375" style="284" customWidth="1"/>
    <col min="2841" max="2932" width="9.140625" style="284" customWidth="1"/>
    <col min="2933" max="2934" width="9.28515625" style="284" customWidth="1"/>
    <col min="2935" max="2945" width="10.28515625" style="284" customWidth="1"/>
    <col min="2946" max="3095" width="9.140625" style="284"/>
    <col min="3096" max="3096" width="55.7109375" style="284" customWidth="1"/>
    <col min="3097" max="3188" width="9.140625" style="284" customWidth="1"/>
    <col min="3189" max="3190" width="9.28515625" style="284" customWidth="1"/>
    <col min="3191" max="3201" width="10.28515625" style="284" customWidth="1"/>
    <col min="3202" max="3351" width="9.140625" style="284"/>
    <col min="3352" max="3352" width="55.7109375" style="284" customWidth="1"/>
    <col min="3353" max="3444" width="9.140625" style="284" customWidth="1"/>
    <col min="3445" max="3446" width="9.28515625" style="284" customWidth="1"/>
    <col min="3447" max="3457" width="10.28515625" style="284" customWidth="1"/>
    <col min="3458" max="3607" width="9.140625" style="284"/>
    <col min="3608" max="3608" width="55.7109375" style="284" customWidth="1"/>
    <col min="3609" max="3700" width="9.140625" style="284" customWidth="1"/>
    <col min="3701" max="3702" width="9.28515625" style="284" customWidth="1"/>
    <col min="3703" max="3713" width="10.28515625" style="284" customWidth="1"/>
    <col min="3714" max="3863" width="9.140625" style="284"/>
    <col min="3864" max="3864" width="55.7109375" style="284" customWidth="1"/>
    <col min="3865" max="3956" width="9.140625" style="284" customWidth="1"/>
    <col min="3957" max="3958" width="9.28515625" style="284" customWidth="1"/>
    <col min="3959" max="3969" width="10.28515625" style="284" customWidth="1"/>
    <col min="3970" max="4119" width="9.140625" style="284"/>
    <col min="4120" max="4120" width="55.7109375" style="284" customWidth="1"/>
    <col min="4121" max="4212" width="9.140625" style="284" customWidth="1"/>
    <col min="4213" max="4214" width="9.28515625" style="284" customWidth="1"/>
    <col min="4215" max="4225" width="10.28515625" style="284" customWidth="1"/>
    <col min="4226" max="4375" width="9.140625" style="284"/>
    <col min="4376" max="4376" width="55.7109375" style="284" customWidth="1"/>
    <col min="4377" max="4468" width="9.140625" style="284" customWidth="1"/>
    <col min="4469" max="4470" width="9.28515625" style="284" customWidth="1"/>
    <col min="4471" max="4481" width="10.28515625" style="284" customWidth="1"/>
    <col min="4482" max="4631" width="9.140625" style="284"/>
    <col min="4632" max="4632" width="55.7109375" style="284" customWidth="1"/>
    <col min="4633" max="4724" width="9.140625" style="284" customWidth="1"/>
    <col min="4725" max="4726" width="9.28515625" style="284" customWidth="1"/>
    <col min="4727" max="4737" width="10.28515625" style="284" customWidth="1"/>
    <col min="4738" max="4887" width="9.140625" style="284"/>
    <col min="4888" max="4888" width="55.7109375" style="284" customWidth="1"/>
    <col min="4889" max="4980" width="9.140625" style="284" customWidth="1"/>
    <col min="4981" max="4982" width="9.28515625" style="284" customWidth="1"/>
    <col min="4983" max="4993" width="10.28515625" style="284" customWidth="1"/>
    <col min="4994" max="5143" width="9.140625" style="284"/>
    <col min="5144" max="5144" width="55.7109375" style="284" customWidth="1"/>
    <col min="5145" max="5236" width="9.140625" style="284" customWidth="1"/>
    <col min="5237" max="5238" width="9.28515625" style="284" customWidth="1"/>
    <col min="5239" max="5249" width="10.28515625" style="284" customWidth="1"/>
    <col min="5250" max="5399" width="9.140625" style="284"/>
    <col min="5400" max="5400" width="55.7109375" style="284" customWidth="1"/>
    <col min="5401" max="5492" width="9.140625" style="284" customWidth="1"/>
    <col min="5493" max="5494" width="9.28515625" style="284" customWidth="1"/>
    <col min="5495" max="5505" width="10.28515625" style="284" customWidth="1"/>
    <col min="5506" max="5655" width="9.140625" style="284"/>
    <col min="5656" max="5656" width="55.7109375" style="284" customWidth="1"/>
    <col min="5657" max="5748" width="9.140625" style="284" customWidth="1"/>
    <col min="5749" max="5750" width="9.28515625" style="284" customWidth="1"/>
    <col min="5751" max="5761" width="10.28515625" style="284" customWidth="1"/>
    <col min="5762" max="5911" width="9.140625" style="284"/>
    <col min="5912" max="5912" width="55.7109375" style="284" customWidth="1"/>
    <col min="5913" max="6004" width="9.140625" style="284" customWidth="1"/>
    <col min="6005" max="6006" width="9.28515625" style="284" customWidth="1"/>
    <col min="6007" max="6017" width="10.28515625" style="284" customWidth="1"/>
    <col min="6018" max="6167" width="9.140625" style="284"/>
    <col min="6168" max="6168" width="55.7109375" style="284" customWidth="1"/>
    <col min="6169" max="6260" width="9.140625" style="284" customWidth="1"/>
    <col min="6261" max="6262" width="9.28515625" style="284" customWidth="1"/>
    <col min="6263" max="6273" width="10.28515625" style="284" customWidth="1"/>
    <col min="6274" max="6423" width="9.140625" style="284"/>
    <col min="6424" max="6424" width="55.7109375" style="284" customWidth="1"/>
    <col min="6425" max="6516" width="9.140625" style="284" customWidth="1"/>
    <col min="6517" max="6518" width="9.28515625" style="284" customWidth="1"/>
    <col min="6519" max="6529" width="10.28515625" style="284" customWidth="1"/>
    <col min="6530" max="6679" width="9.140625" style="284"/>
    <col min="6680" max="6680" width="55.7109375" style="284" customWidth="1"/>
    <col min="6681" max="6772" width="9.140625" style="284" customWidth="1"/>
    <col min="6773" max="6774" width="9.28515625" style="284" customWidth="1"/>
    <col min="6775" max="6785" width="10.28515625" style="284" customWidth="1"/>
    <col min="6786" max="6935" width="9.140625" style="284"/>
    <col min="6936" max="6936" width="55.7109375" style="284" customWidth="1"/>
    <col min="6937" max="7028" width="9.140625" style="284" customWidth="1"/>
    <col min="7029" max="7030" width="9.28515625" style="284" customWidth="1"/>
    <col min="7031" max="7041" width="10.28515625" style="284" customWidth="1"/>
    <col min="7042" max="7191" width="9.140625" style="284"/>
    <col min="7192" max="7192" width="55.7109375" style="284" customWidth="1"/>
    <col min="7193" max="7284" width="9.140625" style="284" customWidth="1"/>
    <col min="7285" max="7286" width="9.28515625" style="284" customWidth="1"/>
    <col min="7287" max="7297" width="10.28515625" style="284" customWidth="1"/>
    <col min="7298" max="7447" width="9.140625" style="284"/>
    <col min="7448" max="7448" width="55.7109375" style="284" customWidth="1"/>
    <col min="7449" max="7540" width="9.140625" style="284" customWidth="1"/>
    <col min="7541" max="7542" width="9.28515625" style="284" customWidth="1"/>
    <col min="7543" max="7553" width="10.28515625" style="284" customWidth="1"/>
    <col min="7554" max="7703" width="9.140625" style="284"/>
    <col min="7704" max="7704" width="55.7109375" style="284" customWidth="1"/>
    <col min="7705" max="7796" width="9.140625" style="284" customWidth="1"/>
    <col min="7797" max="7798" width="9.28515625" style="284" customWidth="1"/>
    <col min="7799" max="7809" width="10.28515625" style="284" customWidth="1"/>
    <col min="7810" max="7959" width="9.140625" style="284"/>
    <col min="7960" max="7960" width="55.7109375" style="284" customWidth="1"/>
    <col min="7961" max="8052" width="9.140625" style="284" customWidth="1"/>
    <col min="8053" max="8054" width="9.28515625" style="284" customWidth="1"/>
    <col min="8055" max="8065" width="10.28515625" style="284" customWidth="1"/>
    <col min="8066" max="8215" width="9.140625" style="284"/>
    <col min="8216" max="8216" width="55.7109375" style="284" customWidth="1"/>
    <col min="8217" max="8308" width="9.140625" style="284" customWidth="1"/>
    <col min="8309" max="8310" width="9.28515625" style="284" customWidth="1"/>
    <col min="8311" max="8321" width="10.28515625" style="284" customWidth="1"/>
    <col min="8322" max="8471" width="9.140625" style="284"/>
    <col min="8472" max="8472" width="55.7109375" style="284" customWidth="1"/>
    <col min="8473" max="8564" width="9.140625" style="284" customWidth="1"/>
    <col min="8565" max="8566" width="9.28515625" style="284" customWidth="1"/>
    <col min="8567" max="8577" width="10.28515625" style="284" customWidth="1"/>
    <col min="8578" max="8727" width="9.140625" style="284"/>
    <col min="8728" max="8728" width="55.7109375" style="284" customWidth="1"/>
    <col min="8729" max="8820" width="9.140625" style="284" customWidth="1"/>
    <col min="8821" max="8822" width="9.28515625" style="284" customWidth="1"/>
    <col min="8823" max="8833" width="10.28515625" style="284" customWidth="1"/>
    <col min="8834" max="8983" width="9.140625" style="284"/>
    <col min="8984" max="8984" width="55.7109375" style="284" customWidth="1"/>
    <col min="8985" max="9076" width="9.140625" style="284" customWidth="1"/>
    <col min="9077" max="9078" width="9.28515625" style="284" customWidth="1"/>
    <col min="9079" max="9089" width="10.28515625" style="284" customWidth="1"/>
    <col min="9090" max="9239" width="9.140625" style="284"/>
    <col min="9240" max="9240" width="55.7109375" style="284" customWidth="1"/>
    <col min="9241" max="9332" width="9.140625" style="284" customWidth="1"/>
    <col min="9333" max="9334" width="9.28515625" style="284" customWidth="1"/>
    <col min="9335" max="9345" width="10.28515625" style="284" customWidth="1"/>
    <col min="9346" max="9495" width="9.140625" style="284"/>
    <col min="9496" max="9496" width="55.7109375" style="284" customWidth="1"/>
    <col min="9497" max="9588" width="9.140625" style="284" customWidth="1"/>
    <col min="9589" max="9590" width="9.28515625" style="284" customWidth="1"/>
    <col min="9591" max="9601" width="10.28515625" style="284" customWidth="1"/>
    <col min="9602" max="9751" width="9.140625" style="284"/>
    <col min="9752" max="9752" width="55.7109375" style="284" customWidth="1"/>
    <col min="9753" max="9844" width="9.140625" style="284" customWidth="1"/>
    <col min="9845" max="9846" width="9.28515625" style="284" customWidth="1"/>
    <col min="9847" max="9857" width="10.28515625" style="284" customWidth="1"/>
    <col min="9858" max="10007" width="9.140625" style="284"/>
    <col min="10008" max="10008" width="55.7109375" style="284" customWidth="1"/>
    <col min="10009" max="10100" width="9.140625" style="284" customWidth="1"/>
    <col min="10101" max="10102" width="9.28515625" style="284" customWidth="1"/>
    <col min="10103" max="10113" width="10.28515625" style="284" customWidth="1"/>
    <col min="10114" max="10263" width="9.140625" style="284"/>
    <col min="10264" max="10264" width="55.7109375" style="284" customWidth="1"/>
    <col min="10265" max="10356" width="9.140625" style="284" customWidth="1"/>
    <col min="10357" max="10358" width="9.28515625" style="284" customWidth="1"/>
    <col min="10359" max="10369" width="10.28515625" style="284" customWidth="1"/>
    <col min="10370" max="10519" width="9.140625" style="284"/>
    <col min="10520" max="10520" width="55.7109375" style="284" customWidth="1"/>
    <col min="10521" max="10612" width="9.140625" style="284" customWidth="1"/>
    <col min="10613" max="10614" width="9.28515625" style="284" customWidth="1"/>
    <col min="10615" max="10625" width="10.28515625" style="284" customWidth="1"/>
    <col min="10626" max="10775" width="9.140625" style="284"/>
    <col min="10776" max="10776" width="55.7109375" style="284" customWidth="1"/>
    <col min="10777" max="10868" width="9.140625" style="284" customWidth="1"/>
    <col min="10869" max="10870" width="9.28515625" style="284" customWidth="1"/>
    <col min="10871" max="10881" width="10.28515625" style="284" customWidth="1"/>
    <col min="10882" max="11031" width="9.140625" style="284"/>
    <col min="11032" max="11032" width="55.7109375" style="284" customWidth="1"/>
    <col min="11033" max="11124" width="9.140625" style="284" customWidth="1"/>
    <col min="11125" max="11126" width="9.28515625" style="284" customWidth="1"/>
    <col min="11127" max="11137" width="10.28515625" style="284" customWidth="1"/>
    <col min="11138" max="11287" width="9.140625" style="284"/>
    <col min="11288" max="11288" width="55.7109375" style="284" customWidth="1"/>
    <col min="11289" max="11380" width="9.140625" style="284" customWidth="1"/>
    <col min="11381" max="11382" width="9.28515625" style="284" customWidth="1"/>
    <col min="11383" max="11393" width="10.28515625" style="284" customWidth="1"/>
    <col min="11394" max="11543" width="9.140625" style="284"/>
    <col min="11544" max="11544" width="55.7109375" style="284" customWidth="1"/>
    <col min="11545" max="11636" width="9.140625" style="284" customWidth="1"/>
    <col min="11637" max="11638" width="9.28515625" style="284" customWidth="1"/>
    <col min="11639" max="11649" width="10.28515625" style="284" customWidth="1"/>
    <col min="11650" max="11799" width="9.140625" style="284"/>
    <col min="11800" max="11800" width="55.7109375" style="284" customWidth="1"/>
    <col min="11801" max="11892" width="9.140625" style="284" customWidth="1"/>
    <col min="11893" max="11894" width="9.28515625" style="284" customWidth="1"/>
    <col min="11895" max="11905" width="10.28515625" style="284" customWidth="1"/>
    <col min="11906" max="12055" width="9.140625" style="284"/>
    <col min="12056" max="12056" width="55.7109375" style="284" customWidth="1"/>
    <col min="12057" max="12148" width="9.140625" style="284" customWidth="1"/>
    <col min="12149" max="12150" width="9.28515625" style="284" customWidth="1"/>
    <col min="12151" max="12161" width="10.28515625" style="284" customWidth="1"/>
    <col min="12162" max="12311" width="9.140625" style="284"/>
    <col min="12312" max="12312" width="55.7109375" style="284" customWidth="1"/>
    <col min="12313" max="12404" width="9.140625" style="284" customWidth="1"/>
    <col min="12405" max="12406" width="9.28515625" style="284" customWidth="1"/>
    <col min="12407" max="12417" width="10.28515625" style="284" customWidth="1"/>
    <col min="12418" max="12567" width="9.140625" style="284"/>
    <col min="12568" max="12568" width="55.7109375" style="284" customWidth="1"/>
    <col min="12569" max="12660" width="9.140625" style="284" customWidth="1"/>
    <col min="12661" max="12662" width="9.28515625" style="284" customWidth="1"/>
    <col min="12663" max="12673" width="10.28515625" style="284" customWidth="1"/>
    <col min="12674" max="12823" width="9.140625" style="284"/>
    <col min="12824" max="12824" width="55.7109375" style="284" customWidth="1"/>
    <col min="12825" max="12916" width="9.140625" style="284" customWidth="1"/>
    <col min="12917" max="12918" width="9.28515625" style="284" customWidth="1"/>
    <col min="12919" max="12929" width="10.28515625" style="284" customWidth="1"/>
    <col min="12930" max="13079" width="9.140625" style="284"/>
    <col min="13080" max="13080" width="55.7109375" style="284" customWidth="1"/>
    <col min="13081" max="13172" width="9.140625" style="284" customWidth="1"/>
    <col min="13173" max="13174" width="9.28515625" style="284" customWidth="1"/>
    <col min="13175" max="13185" width="10.28515625" style="284" customWidth="1"/>
    <col min="13186" max="13335" width="9.140625" style="284"/>
    <col min="13336" max="13336" width="55.7109375" style="284" customWidth="1"/>
    <col min="13337" max="13428" width="9.140625" style="284" customWidth="1"/>
    <col min="13429" max="13430" width="9.28515625" style="284" customWidth="1"/>
    <col min="13431" max="13441" width="10.28515625" style="284" customWidth="1"/>
    <col min="13442" max="13591" width="9.140625" style="284"/>
    <col min="13592" max="13592" width="55.7109375" style="284" customWidth="1"/>
    <col min="13593" max="13684" width="9.140625" style="284" customWidth="1"/>
    <col min="13685" max="13686" width="9.28515625" style="284" customWidth="1"/>
    <col min="13687" max="13697" width="10.28515625" style="284" customWidth="1"/>
    <col min="13698" max="13847" width="9.140625" style="284"/>
    <col min="13848" max="13848" width="55.7109375" style="284" customWidth="1"/>
    <col min="13849" max="13940" width="9.140625" style="284" customWidth="1"/>
    <col min="13941" max="13942" width="9.28515625" style="284" customWidth="1"/>
    <col min="13943" max="13953" width="10.28515625" style="284" customWidth="1"/>
    <col min="13954" max="14103" width="9.140625" style="284"/>
    <col min="14104" max="14104" width="55.7109375" style="284" customWidth="1"/>
    <col min="14105" max="14196" width="9.140625" style="284" customWidth="1"/>
    <col min="14197" max="14198" width="9.28515625" style="284" customWidth="1"/>
    <col min="14199" max="14209" width="10.28515625" style="284" customWidth="1"/>
    <col min="14210" max="14359" width="9.140625" style="284"/>
    <col min="14360" max="14360" width="55.7109375" style="284" customWidth="1"/>
    <col min="14361" max="14452" width="9.140625" style="284" customWidth="1"/>
    <col min="14453" max="14454" width="9.28515625" style="284" customWidth="1"/>
    <col min="14455" max="14465" width="10.28515625" style="284" customWidth="1"/>
    <col min="14466" max="14615" width="9.140625" style="284"/>
    <col min="14616" max="14616" width="55.7109375" style="284" customWidth="1"/>
    <col min="14617" max="14708" width="9.140625" style="284" customWidth="1"/>
    <col min="14709" max="14710" width="9.28515625" style="284" customWidth="1"/>
    <col min="14711" max="14721" width="10.28515625" style="284" customWidth="1"/>
    <col min="14722" max="14871" width="9.140625" style="284"/>
    <col min="14872" max="14872" width="55.7109375" style="284" customWidth="1"/>
    <col min="14873" max="14964" width="9.140625" style="284" customWidth="1"/>
    <col min="14965" max="14966" width="9.28515625" style="284" customWidth="1"/>
    <col min="14967" max="14977" width="10.28515625" style="284" customWidth="1"/>
    <col min="14978" max="15127" width="9.140625" style="284"/>
    <col min="15128" max="15128" width="55.7109375" style="284" customWidth="1"/>
    <col min="15129" max="15220" width="9.140625" style="284" customWidth="1"/>
    <col min="15221" max="15222" width="9.28515625" style="284" customWidth="1"/>
    <col min="15223" max="15233" width="10.28515625" style="284" customWidth="1"/>
    <col min="15234" max="15383" width="9.140625" style="284"/>
    <col min="15384" max="15384" width="55.7109375" style="284" customWidth="1"/>
    <col min="15385" max="15476" width="9.140625" style="284" customWidth="1"/>
    <col min="15477" max="15478" width="9.28515625" style="284" customWidth="1"/>
    <col min="15479" max="15489" width="10.28515625" style="284" customWidth="1"/>
    <col min="15490" max="15639" width="9.140625" style="284"/>
    <col min="15640" max="15640" width="55.7109375" style="284" customWidth="1"/>
    <col min="15641" max="15732" width="9.140625" style="284" customWidth="1"/>
    <col min="15733" max="15734" width="9.28515625" style="284" customWidth="1"/>
    <col min="15735" max="15745" width="10.28515625" style="284" customWidth="1"/>
    <col min="15746" max="15895" width="9.140625" style="284"/>
    <col min="15896" max="15896" width="55.7109375" style="284" customWidth="1"/>
    <col min="15897" max="15988" width="9.140625" style="284" customWidth="1"/>
    <col min="15989" max="15990" width="9.28515625" style="284" customWidth="1"/>
    <col min="15991" max="16001" width="10.28515625" style="284" customWidth="1"/>
    <col min="16002" max="16151" width="9.140625" style="284"/>
    <col min="16152" max="16152" width="55.7109375" style="284" customWidth="1"/>
    <col min="16153" max="16244" width="9.140625" style="284" customWidth="1"/>
    <col min="16245" max="16246" width="9.28515625" style="284" customWidth="1"/>
    <col min="16247" max="16257" width="10.28515625" style="284" customWidth="1"/>
    <col min="16258" max="16384" width="9.140625" style="284"/>
  </cols>
  <sheetData>
    <row r="1" spans="1:196" ht="23.25" customHeight="1" x14ac:dyDescent="0.3">
      <c r="A1" s="279" t="s">
        <v>3271</v>
      </c>
      <c r="EL1" s="930"/>
      <c r="EM1" s="930"/>
      <c r="EN1" s="930"/>
      <c r="EO1" s="930"/>
      <c r="EP1" s="930"/>
      <c r="EQ1" s="930"/>
      <c r="ER1" s="930"/>
      <c r="ES1" s="931"/>
      <c r="ET1" s="931"/>
      <c r="EU1" s="931"/>
      <c r="EV1" s="931"/>
      <c r="EW1" s="931"/>
      <c r="EX1" s="931"/>
      <c r="EY1" s="931"/>
      <c r="EZ1" s="931"/>
      <c r="FA1" s="931"/>
      <c r="FB1" s="931"/>
      <c r="FC1" s="931"/>
      <c r="FD1" s="931"/>
      <c r="FE1" s="931"/>
      <c r="FF1" s="931"/>
      <c r="FG1" s="931"/>
      <c r="FH1" s="931"/>
      <c r="FI1" s="931"/>
      <c r="FJ1" s="931"/>
      <c r="FK1" s="931"/>
      <c r="FL1" s="931"/>
      <c r="FM1" s="931"/>
      <c r="FN1" s="931"/>
      <c r="FO1" s="931"/>
      <c r="FP1" s="931"/>
      <c r="FQ1" s="931"/>
      <c r="FR1" s="931"/>
      <c r="FS1" s="931"/>
      <c r="FT1" s="931"/>
      <c r="FU1" s="931"/>
      <c r="FV1" s="931"/>
      <c r="FW1" s="931"/>
      <c r="FX1" s="931"/>
      <c r="FY1" s="931"/>
      <c r="FZ1" s="931"/>
      <c r="GA1" s="931"/>
      <c r="GB1" s="931"/>
      <c r="GC1" s="931"/>
      <c r="GD1" s="931"/>
      <c r="GE1" s="931"/>
      <c r="GF1" s="931"/>
      <c r="GG1" s="931"/>
      <c r="GH1" s="931"/>
      <c r="GI1" s="931"/>
      <c r="GJ1" s="931"/>
      <c r="GK1" s="931"/>
    </row>
    <row r="2" spans="1:196" ht="15.75" customHeight="1" thickBot="1" x14ac:dyDescent="0.35">
      <c r="A2" s="933"/>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F2" s="180"/>
      <c r="AH2" s="180"/>
      <c r="AI2" s="180"/>
      <c r="AL2" s="934"/>
      <c r="AM2" s="934"/>
      <c r="AO2" s="934"/>
      <c r="AP2" s="934"/>
      <c r="AQ2" s="934"/>
      <c r="AR2" s="934"/>
      <c r="AS2" s="934"/>
      <c r="AT2" s="934"/>
      <c r="AU2" s="285"/>
      <c r="AV2" s="285"/>
      <c r="AW2" s="285"/>
      <c r="AX2" s="285"/>
      <c r="AY2" s="285"/>
      <c r="AZ2" s="285"/>
      <c r="BA2" s="285"/>
      <c r="BB2" s="285"/>
      <c r="BC2" s="934"/>
      <c r="BD2" s="934"/>
      <c r="BE2" s="934"/>
      <c r="BF2" s="934"/>
      <c r="BG2" s="934"/>
      <c r="BH2" s="934"/>
      <c r="BI2" s="934"/>
      <c r="BJ2" s="934"/>
      <c r="BK2" s="934"/>
      <c r="BL2" s="934"/>
      <c r="BM2" s="934"/>
      <c r="BO2" s="934"/>
      <c r="BP2" s="285"/>
      <c r="BQ2" s="285"/>
      <c r="BR2" s="934"/>
      <c r="BS2" s="934"/>
      <c r="CG2" s="934"/>
      <c r="DY2" s="935"/>
      <c r="DZ2" s="281"/>
      <c r="EA2" s="281"/>
      <c r="EB2" s="281"/>
      <c r="EC2" s="281"/>
      <c r="EE2" s="281"/>
      <c r="EF2" s="281"/>
      <c r="EG2" s="281"/>
      <c r="EH2" s="281"/>
      <c r="EI2" s="281"/>
      <c r="EJ2" s="281"/>
      <c r="EK2" s="281"/>
      <c r="EL2" s="281"/>
      <c r="EM2" s="281"/>
      <c r="EN2" s="281"/>
      <c r="EO2" s="281"/>
      <c r="EP2" s="281"/>
      <c r="EQ2" s="281"/>
      <c r="ER2" s="281"/>
      <c r="ES2" s="936"/>
      <c r="ET2" s="936"/>
      <c r="EU2" s="936"/>
      <c r="EV2" s="936"/>
      <c r="EW2" s="936"/>
      <c r="EX2" s="936"/>
      <c r="EY2" s="936"/>
      <c r="EZ2" s="936"/>
      <c r="FA2" s="936"/>
      <c r="FB2" s="936"/>
      <c r="FC2" s="936"/>
      <c r="FD2" s="936"/>
      <c r="FE2" s="281"/>
      <c r="FF2" s="281"/>
      <c r="FG2" s="281"/>
      <c r="FH2" s="281"/>
      <c r="FI2" s="281"/>
      <c r="FJ2" s="281"/>
      <c r="FK2" s="281"/>
      <c r="FL2" s="281"/>
      <c r="FM2" s="281"/>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t="s">
        <v>416</v>
      </c>
    </row>
    <row r="3" spans="1:196" s="948" customFormat="1" ht="26.25" customHeight="1" thickTop="1" thickBot="1" x14ac:dyDescent="0.35">
      <c r="A3" s="937"/>
      <c r="B3" s="938">
        <v>38534</v>
      </c>
      <c r="C3" s="939">
        <v>38565</v>
      </c>
      <c r="D3" s="939">
        <v>38596</v>
      </c>
      <c r="E3" s="939">
        <v>38626</v>
      </c>
      <c r="F3" s="938">
        <v>38657</v>
      </c>
      <c r="G3" s="939">
        <v>38687</v>
      </c>
      <c r="H3" s="939">
        <v>38718</v>
      </c>
      <c r="I3" s="939">
        <v>38749</v>
      </c>
      <c r="J3" s="939">
        <v>38777</v>
      </c>
      <c r="K3" s="939">
        <v>38808</v>
      </c>
      <c r="L3" s="939">
        <v>38838</v>
      </c>
      <c r="M3" s="939">
        <v>38869</v>
      </c>
      <c r="N3" s="938">
        <v>38899</v>
      </c>
      <c r="O3" s="939">
        <v>38930</v>
      </c>
      <c r="P3" s="939">
        <v>38961</v>
      </c>
      <c r="Q3" s="938">
        <v>38991</v>
      </c>
      <c r="R3" s="939">
        <v>39022</v>
      </c>
      <c r="S3" s="939">
        <v>39052</v>
      </c>
      <c r="T3" s="940">
        <v>39083</v>
      </c>
      <c r="U3" s="940">
        <v>39114</v>
      </c>
      <c r="V3" s="940">
        <v>39142</v>
      </c>
      <c r="W3" s="940">
        <v>39173</v>
      </c>
      <c r="X3" s="940">
        <v>39203</v>
      </c>
      <c r="Y3" s="940">
        <v>39234</v>
      </c>
      <c r="Z3" s="940">
        <v>39264</v>
      </c>
      <c r="AA3" s="940">
        <v>39295</v>
      </c>
      <c r="AB3" s="940">
        <v>39326</v>
      </c>
      <c r="AC3" s="940">
        <v>39356</v>
      </c>
      <c r="AD3" s="940">
        <v>39387</v>
      </c>
      <c r="AE3" s="940">
        <v>39417</v>
      </c>
      <c r="AF3" s="940">
        <v>39455</v>
      </c>
      <c r="AG3" s="940">
        <v>39486</v>
      </c>
      <c r="AH3" s="940">
        <v>39515</v>
      </c>
      <c r="AI3" s="940">
        <v>39546</v>
      </c>
      <c r="AJ3" s="940">
        <v>39576</v>
      </c>
      <c r="AK3" s="940">
        <v>39607</v>
      </c>
      <c r="AL3" s="940">
        <v>39637</v>
      </c>
      <c r="AM3" s="940">
        <v>39668</v>
      </c>
      <c r="AN3" s="940">
        <v>39699</v>
      </c>
      <c r="AO3" s="940">
        <v>39729</v>
      </c>
      <c r="AP3" s="940">
        <v>39760</v>
      </c>
      <c r="AQ3" s="940">
        <v>39790</v>
      </c>
      <c r="AR3" s="940">
        <v>39821</v>
      </c>
      <c r="AS3" s="940">
        <v>39852</v>
      </c>
      <c r="AT3" s="940">
        <v>39880</v>
      </c>
      <c r="AU3" s="940">
        <v>39911</v>
      </c>
      <c r="AV3" s="940">
        <v>39941</v>
      </c>
      <c r="AW3" s="940">
        <v>39972</v>
      </c>
      <c r="AX3" s="940">
        <v>40002</v>
      </c>
      <c r="AY3" s="940">
        <v>40033</v>
      </c>
      <c r="AZ3" s="940">
        <v>40064</v>
      </c>
      <c r="BA3" s="940">
        <v>40094</v>
      </c>
      <c r="BB3" s="940">
        <v>40125</v>
      </c>
      <c r="BC3" s="940">
        <v>40155</v>
      </c>
      <c r="BD3" s="940">
        <v>40186</v>
      </c>
      <c r="BE3" s="940">
        <v>40217</v>
      </c>
      <c r="BF3" s="940">
        <v>40245</v>
      </c>
      <c r="BG3" s="940">
        <v>40276</v>
      </c>
      <c r="BH3" s="940">
        <v>40306</v>
      </c>
      <c r="BI3" s="940">
        <v>40337</v>
      </c>
      <c r="BJ3" s="940">
        <v>40367</v>
      </c>
      <c r="BK3" s="940">
        <v>40398</v>
      </c>
      <c r="BL3" s="940">
        <v>40429</v>
      </c>
      <c r="BM3" s="941" t="s">
        <v>1303</v>
      </c>
      <c r="BN3" s="941" t="s">
        <v>1304</v>
      </c>
      <c r="BO3" s="941" t="s">
        <v>1305</v>
      </c>
      <c r="BP3" s="941" t="s">
        <v>1306</v>
      </c>
      <c r="BQ3" s="941" t="s">
        <v>1307</v>
      </c>
      <c r="BR3" s="941" t="s">
        <v>1308</v>
      </c>
      <c r="BS3" s="941" t="s">
        <v>1309</v>
      </c>
      <c r="BT3" s="941">
        <v>40664</v>
      </c>
      <c r="BU3" s="941">
        <v>40695</v>
      </c>
      <c r="BV3" s="941">
        <v>40725</v>
      </c>
      <c r="BW3" s="941" t="s">
        <v>1310</v>
      </c>
      <c r="BX3" s="941" t="s">
        <v>1311</v>
      </c>
      <c r="BY3" s="941" t="s">
        <v>1312</v>
      </c>
      <c r="BZ3" s="942" t="s">
        <v>1313</v>
      </c>
      <c r="CA3" s="941" t="s">
        <v>1314</v>
      </c>
      <c r="CB3" s="941" t="s">
        <v>1315</v>
      </c>
      <c r="CC3" s="941" t="s">
        <v>1316</v>
      </c>
      <c r="CD3" s="941" t="s">
        <v>1317</v>
      </c>
      <c r="CE3" s="941" t="s">
        <v>1318</v>
      </c>
      <c r="CF3" s="941" t="s">
        <v>1319</v>
      </c>
      <c r="CG3" s="941" t="s">
        <v>1320</v>
      </c>
      <c r="CH3" s="941" t="s">
        <v>1321</v>
      </c>
      <c r="CI3" s="941" t="s">
        <v>1322</v>
      </c>
      <c r="CJ3" s="941" t="s">
        <v>1323</v>
      </c>
      <c r="CK3" s="941" t="s">
        <v>1324</v>
      </c>
      <c r="CL3" s="941" t="s">
        <v>1325</v>
      </c>
      <c r="CM3" s="941" t="s">
        <v>1326</v>
      </c>
      <c r="CN3" s="941" t="s">
        <v>1327</v>
      </c>
      <c r="CO3" s="941" t="s">
        <v>1328</v>
      </c>
      <c r="CP3" s="941" t="s">
        <v>1329</v>
      </c>
      <c r="CQ3" s="941" t="s">
        <v>1330</v>
      </c>
      <c r="CR3" s="941" t="s">
        <v>1331</v>
      </c>
      <c r="CS3" s="941" t="s">
        <v>1332</v>
      </c>
      <c r="CT3" s="941" t="s">
        <v>1333</v>
      </c>
      <c r="CU3" s="941" t="s">
        <v>1334</v>
      </c>
      <c r="CV3" s="941" t="s">
        <v>1335</v>
      </c>
      <c r="CW3" s="941" t="s">
        <v>1336</v>
      </c>
      <c r="CX3" s="941" t="s">
        <v>1337</v>
      </c>
      <c r="CY3" s="941" t="s">
        <v>1338</v>
      </c>
      <c r="CZ3" s="941" t="s">
        <v>1339</v>
      </c>
      <c r="DA3" s="941" t="s">
        <v>1340</v>
      </c>
      <c r="DB3" s="941" t="s">
        <v>1341</v>
      </c>
      <c r="DC3" s="941" t="s">
        <v>1342</v>
      </c>
      <c r="DD3" s="941" t="s">
        <v>1343</v>
      </c>
      <c r="DE3" s="941" t="s">
        <v>1344</v>
      </c>
      <c r="DF3" s="941" t="s">
        <v>1345</v>
      </c>
      <c r="DG3" s="941" t="s">
        <v>1346</v>
      </c>
      <c r="DH3" s="941" t="s">
        <v>1347</v>
      </c>
      <c r="DI3" s="941" t="s">
        <v>1348</v>
      </c>
      <c r="DJ3" s="941" t="s">
        <v>1349</v>
      </c>
      <c r="DK3" s="941" t="s">
        <v>1350</v>
      </c>
      <c r="DL3" s="941" t="s">
        <v>1351</v>
      </c>
      <c r="DM3" s="941" t="s">
        <v>1352</v>
      </c>
      <c r="DN3" s="941" t="s">
        <v>1353</v>
      </c>
      <c r="DO3" s="941" t="s">
        <v>1354</v>
      </c>
      <c r="DP3" s="941" t="s">
        <v>1355</v>
      </c>
      <c r="DQ3" s="941" t="s">
        <v>1356</v>
      </c>
      <c r="DR3" s="943" t="s">
        <v>1357</v>
      </c>
      <c r="DS3" s="944" t="s">
        <v>1358</v>
      </c>
      <c r="DT3" s="944" t="s">
        <v>1359</v>
      </c>
      <c r="DU3" s="944" t="s">
        <v>1360</v>
      </c>
      <c r="DV3" s="944" t="s">
        <v>1361</v>
      </c>
      <c r="DW3" s="944" t="s">
        <v>1362</v>
      </c>
      <c r="DX3" s="944" t="s">
        <v>1363</v>
      </c>
      <c r="DY3" s="944" t="s">
        <v>1364</v>
      </c>
      <c r="DZ3" s="944" t="s">
        <v>1365</v>
      </c>
      <c r="EA3" s="944" t="s">
        <v>1366</v>
      </c>
      <c r="EB3" s="944" t="s">
        <v>1367</v>
      </c>
      <c r="EC3" s="944" t="s">
        <v>1368</v>
      </c>
      <c r="ED3" s="944" t="s">
        <v>1369</v>
      </c>
      <c r="EE3" s="944" t="s">
        <v>1370</v>
      </c>
      <c r="EF3" s="944">
        <v>42614</v>
      </c>
      <c r="EG3" s="944">
        <v>42644</v>
      </c>
      <c r="EH3" s="944">
        <v>42675</v>
      </c>
      <c r="EI3" s="944">
        <v>42705</v>
      </c>
      <c r="EJ3" s="944" t="s">
        <v>1371</v>
      </c>
      <c r="EK3" s="944" t="s">
        <v>1372</v>
      </c>
      <c r="EL3" s="944" t="s">
        <v>1373</v>
      </c>
      <c r="EM3" s="944" t="s">
        <v>1374</v>
      </c>
      <c r="EN3" s="944" t="s">
        <v>1375</v>
      </c>
      <c r="EO3" s="944" t="s">
        <v>1376</v>
      </c>
      <c r="EP3" s="944" t="s">
        <v>1377</v>
      </c>
      <c r="EQ3" s="944" t="s">
        <v>1378</v>
      </c>
      <c r="ER3" s="944" t="s">
        <v>1379</v>
      </c>
      <c r="ES3" s="945" t="s">
        <v>1380</v>
      </c>
      <c r="ET3" s="946" t="s">
        <v>1381</v>
      </c>
      <c r="EU3" s="946" t="s">
        <v>1382</v>
      </c>
      <c r="EV3" s="946" t="s">
        <v>1383</v>
      </c>
      <c r="EW3" s="946" t="s">
        <v>1384</v>
      </c>
      <c r="EX3" s="946" t="s">
        <v>1385</v>
      </c>
      <c r="EY3" s="946" t="s">
        <v>1386</v>
      </c>
      <c r="EZ3" s="946" t="s">
        <v>1387</v>
      </c>
      <c r="FA3" s="946" t="s">
        <v>1388</v>
      </c>
      <c r="FB3" s="946">
        <v>43282</v>
      </c>
      <c r="FC3" s="946">
        <v>43313</v>
      </c>
      <c r="FD3" s="946">
        <v>43344</v>
      </c>
      <c r="FE3" s="947">
        <v>43374</v>
      </c>
      <c r="FF3" s="947">
        <v>43405</v>
      </c>
      <c r="FG3" s="947">
        <v>43435</v>
      </c>
      <c r="FH3" s="947">
        <v>43466</v>
      </c>
      <c r="FI3" s="947">
        <v>43497</v>
      </c>
      <c r="FJ3" s="947">
        <v>43525</v>
      </c>
      <c r="FK3" s="947">
        <v>43556</v>
      </c>
      <c r="FL3" s="947">
        <v>43586</v>
      </c>
      <c r="FM3" s="947">
        <v>43617</v>
      </c>
      <c r="FN3" s="947">
        <v>43647</v>
      </c>
      <c r="FO3" s="947">
        <v>43678</v>
      </c>
      <c r="FP3" s="947">
        <v>43709</v>
      </c>
      <c r="FQ3" s="947">
        <v>43739</v>
      </c>
      <c r="FR3" s="947">
        <v>43770</v>
      </c>
      <c r="FS3" s="947">
        <v>43800</v>
      </c>
      <c r="FT3" s="947">
        <v>43831</v>
      </c>
      <c r="FU3" s="947">
        <v>43862</v>
      </c>
      <c r="FV3" s="947">
        <v>43891</v>
      </c>
      <c r="FW3" s="947">
        <v>43922</v>
      </c>
      <c r="FX3" s="947">
        <v>43952</v>
      </c>
      <c r="FY3" s="947">
        <v>43983</v>
      </c>
      <c r="FZ3" s="947">
        <v>44013</v>
      </c>
      <c r="GA3" s="947">
        <v>44044</v>
      </c>
      <c r="GB3" s="947">
        <v>44075</v>
      </c>
      <c r="GC3" s="947">
        <v>44105</v>
      </c>
      <c r="GD3" s="947">
        <v>44136</v>
      </c>
      <c r="GE3" s="947">
        <v>44166</v>
      </c>
      <c r="GF3" s="947">
        <v>44197</v>
      </c>
      <c r="GG3" s="947">
        <v>44228</v>
      </c>
      <c r="GH3" s="947">
        <v>44256</v>
      </c>
      <c r="GI3" s="947">
        <v>44287</v>
      </c>
      <c r="GJ3" s="947">
        <v>44317</v>
      </c>
      <c r="GK3" s="947">
        <v>44348</v>
      </c>
      <c r="GN3" s="949"/>
    </row>
    <row r="4" spans="1:196" s="948" customFormat="1" ht="20.100000000000001" customHeight="1" x14ac:dyDescent="0.3">
      <c r="A4" s="950" t="s">
        <v>1389</v>
      </c>
      <c r="C4" s="951"/>
      <c r="D4" s="951"/>
      <c r="E4" s="951"/>
      <c r="G4" s="951"/>
      <c r="H4" s="951"/>
      <c r="I4" s="951"/>
      <c r="J4" s="951"/>
      <c r="K4" s="951"/>
      <c r="L4" s="951"/>
      <c r="M4" s="951"/>
      <c r="O4" s="951"/>
      <c r="P4" s="951"/>
      <c r="R4" s="951"/>
      <c r="S4" s="951"/>
      <c r="T4" s="952"/>
      <c r="U4" s="952"/>
      <c r="V4" s="952"/>
      <c r="W4" s="952"/>
      <c r="X4" s="952"/>
      <c r="Y4" s="952"/>
      <c r="Z4" s="952"/>
      <c r="AA4" s="952"/>
      <c r="AB4" s="952"/>
      <c r="AC4" s="952"/>
      <c r="AD4" s="952"/>
      <c r="AE4" s="952"/>
      <c r="AF4" s="952"/>
      <c r="AG4" s="952"/>
      <c r="AH4" s="952"/>
      <c r="AI4" s="952"/>
      <c r="AJ4" s="952"/>
      <c r="AK4" s="952"/>
      <c r="AL4" s="952"/>
      <c r="AM4" s="952"/>
      <c r="AN4" s="952"/>
      <c r="AO4" s="952"/>
      <c r="AP4" s="952"/>
      <c r="AQ4" s="952"/>
      <c r="AR4" s="952"/>
      <c r="AS4" s="952"/>
      <c r="AT4" s="952"/>
      <c r="AU4" s="952"/>
      <c r="AV4" s="952"/>
      <c r="AW4" s="952"/>
      <c r="AX4" s="952"/>
      <c r="AY4" s="952"/>
      <c r="AZ4" s="952"/>
      <c r="BA4" s="952"/>
      <c r="BB4" s="952"/>
      <c r="BC4" s="952"/>
      <c r="BD4" s="952"/>
      <c r="BE4" s="952"/>
      <c r="BF4" s="952"/>
      <c r="BG4" s="952"/>
      <c r="BH4" s="952"/>
      <c r="BI4" s="952"/>
      <c r="BJ4" s="952"/>
      <c r="BK4" s="952"/>
      <c r="BL4" s="952"/>
      <c r="BM4" s="952"/>
      <c r="BN4" s="952"/>
      <c r="BO4" s="952"/>
      <c r="BP4" s="952"/>
      <c r="BQ4" s="952"/>
      <c r="BR4" s="952"/>
      <c r="BS4" s="952"/>
      <c r="BT4" s="952"/>
      <c r="BU4" s="952"/>
      <c r="BV4" s="952"/>
      <c r="BW4" s="952"/>
      <c r="BX4" s="952"/>
      <c r="BY4" s="952"/>
      <c r="BZ4" s="953"/>
      <c r="CA4" s="952"/>
      <c r="CB4" s="952"/>
      <c r="CC4" s="952"/>
      <c r="CD4" s="952"/>
      <c r="CE4" s="952"/>
      <c r="CF4" s="952"/>
      <c r="CG4" s="952"/>
      <c r="CH4" s="952"/>
      <c r="CI4" s="952"/>
      <c r="CJ4" s="952"/>
      <c r="CK4" s="952"/>
      <c r="CL4" s="952"/>
      <c r="CM4" s="952"/>
      <c r="CN4" s="952"/>
      <c r="CO4" s="952"/>
      <c r="CP4" s="952"/>
      <c r="CQ4" s="953"/>
      <c r="CR4" s="952"/>
      <c r="CS4" s="952"/>
      <c r="CT4" s="952"/>
      <c r="CU4" s="952"/>
      <c r="CV4" s="952"/>
      <c r="CW4" s="952"/>
      <c r="CX4" s="952"/>
      <c r="CY4" s="952"/>
      <c r="CZ4" s="952"/>
      <c r="DA4" s="952"/>
      <c r="DB4" s="952"/>
      <c r="DC4" s="954"/>
      <c r="DD4" s="954"/>
      <c r="DE4" s="954"/>
      <c r="DF4" s="954"/>
      <c r="DG4" s="954"/>
      <c r="DH4" s="954"/>
      <c r="DI4" s="954"/>
      <c r="DJ4" s="954"/>
      <c r="DK4" s="954"/>
      <c r="DL4" s="954"/>
      <c r="DM4" s="954"/>
      <c r="DN4" s="954"/>
      <c r="DO4" s="954"/>
      <c r="DP4" s="954"/>
      <c r="DQ4" s="954"/>
      <c r="DR4" s="955"/>
      <c r="DS4" s="956"/>
      <c r="DT4" s="956"/>
      <c r="DU4" s="956"/>
      <c r="DV4" s="956"/>
      <c r="DW4" s="956"/>
      <c r="DX4" s="956"/>
      <c r="DY4" s="956"/>
      <c r="DZ4" s="956"/>
      <c r="EA4" s="956"/>
      <c r="EB4" s="956"/>
      <c r="EC4" s="956"/>
      <c r="ED4" s="957"/>
      <c r="EE4" s="957"/>
      <c r="EF4" s="957"/>
      <c r="EG4" s="957"/>
      <c r="EH4" s="957"/>
      <c r="EI4" s="957"/>
      <c r="EJ4" s="957"/>
      <c r="EK4" s="957"/>
      <c r="EL4" s="957"/>
      <c r="EM4" s="957"/>
      <c r="EN4" s="957"/>
      <c r="EO4" s="957"/>
      <c r="EP4" s="957"/>
      <c r="EQ4" s="957"/>
      <c r="ER4" s="957"/>
      <c r="ES4" s="958"/>
      <c r="ET4" s="959"/>
      <c r="EU4" s="959"/>
      <c r="EV4" s="959"/>
      <c r="EW4" s="959"/>
      <c r="EX4" s="959"/>
      <c r="EY4" s="959"/>
      <c r="EZ4" s="959"/>
      <c r="FA4" s="959"/>
      <c r="FB4" s="959"/>
      <c r="FC4" s="959"/>
      <c r="FD4" s="960"/>
      <c r="FE4" s="961"/>
      <c r="FF4" s="961"/>
      <c r="FG4" s="961"/>
      <c r="FH4" s="961"/>
      <c r="FI4" s="961"/>
      <c r="FJ4" s="961"/>
      <c r="FK4" s="961"/>
      <c r="FL4" s="961"/>
      <c r="FM4" s="961"/>
      <c r="FN4" s="961"/>
      <c r="FO4" s="961"/>
      <c r="FP4" s="961"/>
      <c r="FQ4" s="961"/>
      <c r="FR4" s="961"/>
      <c r="FS4" s="961"/>
      <c r="FT4" s="961"/>
      <c r="FU4" s="961"/>
      <c r="FV4" s="961"/>
      <c r="FW4" s="961"/>
      <c r="FX4" s="961"/>
      <c r="FY4" s="961"/>
      <c r="FZ4" s="961"/>
      <c r="GA4" s="961"/>
      <c r="GB4" s="961"/>
      <c r="GC4" s="961"/>
      <c r="GD4" s="961"/>
      <c r="GE4" s="961"/>
      <c r="GF4" s="961"/>
      <c r="GG4" s="961"/>
      <c r="GH4" s="961"/>
      <c r="GI4" s="961"/>
      <c r="GJ4" s="961"/>
      <c r="GK4" s="961"/>
      <c r="GN4" s="949"/>
    </row>
    <row r="5" spans="1:196" s="948" customFormat="1" ht="20.100000000000001" customHeight="1" x14ac:dyDescent="0.3">
      <c r="A5" s="962" t="s">
        <v>1390</v>
      </c>
      <c r="B5" s="963" t="s">
        <v>1391</v>
      </c>
      <c r="C5" s="964">
        <v>5</v>
      </c>
      <c r="D5" s="964">
        <v>5</v>
      </c>
      <c r="E5" s="964">
        <v>5</v>
      </c>
      <c r="F5" s="963">
        <v>5</v>
      </c>
      <c r="G5" s="964" t="s">
        <v>1392</v>
      </c>
      <c r="H5" s="964" t="s">
        <v>1392</v>
      </c>
      <c r="I5" s="964" t="s">
        <v>1392</v>
      </c>
      <c r="J5" s="964" t="s">
        <v>1392</v>
      </c>
      <c r="K5" s="964" t="s">
        <v>1392</v>
      </c>
      <c r="L5" s="964" t="s">
        <v>1392</v>
      </c>
      <c r="M5" s="964" t="s">
        <v>1392</v>
      </c>
      <c r="N5" s="963" t="s">
        <v>1393</v>
      </c>
      <c r="O5" s="964" t="s">
        <v>1393</v>
      </c>
      <c r="P5" s="964" t="s">
        <v>1394</v>
      </c>
      <c r="Q5" s="963" t="s">
        <v>1394</v>
      </c>
      <c r="R5" s="964" t="s">
        <v>1394</v>
      </c>
      <c r="S5" s="964" t="s">
        <v>1394</v>
      </c>
      <c r="T5" s="965" t="s">
        <v>1394</v>
      </c>
      <c r="U5" s="965" t="s">
        <v>1394</v>
      </c>
      <c r="V5" s="965" t="s">
        <v>1394</v>
      </c>
      <c r="W5" s="965" t="s">
        <v>1394</v>
      </c>
      <c r="X5" s="965" t="s">
        <v>1394</v>
      </c>
      <c r="Y5" s="965" t="s">
        <v>1394</v>
      </c>
      <c r="Z5" s="965" t="s">
        <v>1395</v>
      </c>
      <c r="AA5" s="965" t="s">
        <v>1395</v>
      </c>
      <c r="AB5" s="965" t="s">
        <v>1395</v>
      </c>
      <c r="AC5" s="965" t="s">
        <v>1395</v>
      </c>
      <c r="AD5" s="965" t="s">
        <v>1395</v>
      </c>
      <c r="AE5" s="965" t="s">
        <v>1395</v>
      </c>
      <c r="AF5" s="965" t="s">
        <v>1395</v>
      </c>
      <c r="AG5" s="965" t="s">
        <v>429</v>
      </c>
      <c r="AH5" s="965" t="s">
        <v>430</v>
      </c>
      <c r="AI5" s="965" t="s">
        <v>1396</v>
      </c>
      <c r="AJ5" s="965" t="s">
        <v>1397</v>
      </c>
      <c r="AK5" s="965" t="s">
        <v>1397</v>
      </c>
      <c r="AL5" s="965" t="s">
        <v>901</v>
      </c>
      <c r="AM5" s="965" t="s">
        <v>901</v>
      </c>
      <c r="AN5" s="965" t="s">
        <v>901</v>
      </c>
      <c r="AO5" s="965" t="s">
        <v>901</v>
      </c>
      <c r="AP5" s="965" t="s">
        <v>1398</v>
      </c>
      <c r="AQ5" s="965" t="s">
        <v>1399</v>
      </c>
      <c r="AR5" s="965" t="s">
        <v>1399</v>
      </c>
      <c r="AS5" s="965" t="s">
        <v>1399</v>
      </c>
      <c r="AT5" s="965" t="s">
        <v>1400</v>
      </c>
      <c r="AU5" s="965" t="s">
        <v>1401</v>
      </c>
      <c r="AV5" s="965" t="s">
        <v>1401</v>
      </c>
      <c r="AW5" s="965" t="s">
        <v>1401</v>
      </c>
      <c r="AX5" s="965" t="s">
        <v>1401</v>
      </c>
      <c r="AY5" s="965" t="s">
        <v>1401</v>
      </c>
      <c r="AZ5" s="965" t="s">
        <v>1401</v>
      </c>
      <c r="BA5" s="965" t="s">
        <v>1401</v>
      </c>
      <c r="BB5" s="965" t="s">
        <v>1401</v>
      </c>
      <c r="BC5" s="965" t="s">
        <v>1401</v>
      </c>
      <c r="BD5" s="965" t="s">
        <v>1401</v>
      </c>
      <c r="BE5" s="965" t="s">
        <v>1401</v>
      </c>
      <c r="BF5" s="965" t="s">
        <v>1401</v>
      </c>
      <c r="BG5" s="965" t="s">
        <v>1401</v>
      </c>
      <c r="BH5" s="965" t="s">
        <v>1401</v>
      </c>
      <c r="BI5" s="965" t="s">
        <v>1401</v>
      </c>
      <c r="BJ5" s="965" t="s">
        <v>1401</v>
      </c>
      <c r="BK5" s="965" t="s">
        <v>1401</v>
      </c>
      <c r="BL5" s="965" t="s">
        <v>1402</v>
      </c>
      <c r="BM5" s="965" t="s">
        <v>1403</v>
      </c>
      <c r="BN5" s="965" t="s">
        <v>1403</v>
      </c>
      <c r="BO5" s="965" t="s">
        <v>1403</v>
      </c>
      <c r="BP5" s="965" t="s">
        <v>1403</v>
      </c>
      <c r="BQ5" s="965" t="s">
        <v>1403</v>
      </c>
      <c r="BR5" s="965" t="s">
        <v>1403</v>
      </c>
      <c r="BS5" s="965" t="s">
        <v>1403</v>
      </c>
      <c r="BT5" s="965" t="s">
        <v>1403</v>
      </c>
      <c r="BU5" s="965" t="s">
        <v>1404</v>
      </c>
      <c r="BV5" s="965" t="s">
        <v>1404</v>
      </c>
      <c r="BW5" s="965" t="s">
        <v>1404</v>
      </c>
      <c r="BX5" s="965" t="s">
        <v>1404</v>
      </c>
      <c r="BY5" s="965" t="s">
        <v>1404</v>
      </c>
      <c r="BZ5" s="966" t="s">
        <v>1404</v>
      </c>
      <c r="CA5" s="965" t="s">
        <v>1404</v>
      </c>
      <c r="CB5" s="965" t="s">
        <v>1404</v>
      </c>
      <c r="CC5" s="965" t="s">
        <v>1404</v>
      </c>
      <c r="CD5" s="965" t="s">
        <v>1405</v>
      </c>
      <c r="CE5" s="965" t="s">
        <v>1406</v>
      </c>
      <c r="CF5" s="965" t="s">
        <v>1406</v>
      </c>
      <c r="CG5" s="965" t="s">
        <v>1406</v>
      </c>
      <c r="CH5" s="965" t="s">
        <v>1406</v>
      </c>
      <c r="CI5" s="965" t="s">
        <v>1406</v>
      </c>
      <c r="CJ5" s="965" t="s">
        <v>1406</v>
      </c>
      <c r="CK5" s="965" t="s">
        <v>1406</v>
      </c>
      <c r="CL5" s="965" t="s">
        <v>1406</v>
      </c>
      <c r="CM5" s="965" t="s">
        <v>1406</v>
      </c>
      <c r="CN5" s="965" t="s">
        <v>1406</v>
      </c>
      <c r="CO5" s="965" t="s">
        <v>1406</v>
      </c>
      <c r="CP5" s="965" t="s">
        <v>1406</v>
      </c>
      <c r="CQ5" s="966" t="s">
        <v>1406</v>
      </c>
      <c r="CR5" s="965" t="s">
        <v>1406</v>
      </c>
      <c r="CS5" s="965" t="s">
        <v>1407</v>
      </c>
      <c r="CT5" s="965" t="s">
        <v>1408</v>
      </c>
      <c r="CU5" s="965" t="s">
        <v>1408</v>
      </c>
      <c r="CV5" s="965" t="s">
        <v>1408</v>
      </c>
      <c r="CW5" s="965" t="s">
        <v>1409</v>
      </c>
      <c r="CX5" s="965" t="s">
        <v>1409</v>
      </c>
      <c r="CY5" s="965" t="s">
        <v>1409</v>
      </c>
      <c r="CZ5" s="965" t="s">
        <v>1409</v>
      </c>
      <c r="DA5" s="965" t="s">
        <v>1409</v>
      </c>
      <c r="DB5" s="965" t="s">
        <v>1410</v>
      </c>
      <c r="DC5" s="965" t="s">
        <v>1410</v>
      </c>
      <c r="DD5" s="965" t="s">
        <v>1410</v>
      </c>
      <c r="DE5" s="965" t="s">
        <v>1410</v>
      </c>
      <c r="DF5" s="965" t="s">
        <v>1410</v>
      </c>
      <c r="DG5" s="965" t="s">
        <v>1410</v>
      </c>
      <c r="DH5" s="965" t="s">
        <v>1410</v>
      </c>
      <c r="DI5" s="965" t="s">
        <v>1410</v>
      </c>
      <c r="DJ5" s="965" t="s">
        <v>1410</v>
      </c>
      <c r="DK5" s="965" t="s">
        <v>431</v>
      </c>
      <c r="DL5" s="965" t="s">
        <v>432</v>
      </c>
      <c r="DM5" s="965" t="s">
        <v>432</v>
      </c>
      <c r="DN5" s="965" t="s">
        <v>432</v>
      </c>
      <c r="DO5" s="965" t="s">
        <v>432</v>
      </c>
      <c r="DP5" s="965" t="s">
        <v>432</v>
      </c>
      <c r="DQ5" s="965" t="s">
        <v>432</v>
      </c>
      <c r="DR5" s="967" t="s">
        <v>432</v>
      </c>
      <c r="DS5" s="968" t="s">
        <v>432</v>
      </c>
      <c r="DT5" s="968" t="s">
        <v>432</v>
      </c>
      <c r="DU5" s="968" t="s">
        <v>432</v>
      </c>
      <c r="DV5" s="968" t="s">
        <v>432</v>
      </c>
      <c r="DW5" s="968" t="s">
        <v>432</v>
      </c>
      <c r="DX5" s="968" t="s">
        <v>432</v>
      </c>
      <c r="DY5" s="968" t="s">
        <v>432</v>
      </c>
      <c r="DZ5" s="968" t="s">
        <v>432</v>
      </c>
      <c r="EA5" s="968" t="s">
        <v>432</v>
      </c>
      <c r="EB5" s="968" t="s">
        <v>432</v>
      </c>
      <c r="EC5" s="968" t="s">
        <v>432</v>
      </c>
      <c r="ED5" s="968" t="s">
        <v>432</v>
      </c>
      <c r="EE5" s="968" t="s">
        <v>895</v>
      </c>
      <c r="EF5" s="968" t="s">
        <v>895</v>
      </c>
      <c r="EG5" s="968" t="s">
        <v>1411</v>
      </c>
      <c r="EH5" s="968" t="s">
        <v>1411</v>
      </c>
      <c r="EI5" s="968" t="s">
        <v>1411</v>
      </c>
      <c r="EJ5" s="968" t="s">
        <v>1411</v>
      </c>
      <c r="EK5" s="968" t="s">
        <v>1411</v>
      </c>
      <c r="EL5" s="968" t="s">
        <v>1411</v>
      </c>
      <c r="EM5" s="968" t="s">
        <v>1411</v>
      </c>
      <c r="EN5" s="968" t="s">
        <v>1411</v>
      </c>
      <c r="EO5" s="968" t="s">
        <v>1411</v>
      </c>
      <c r="EP5" s="968" t="s">
        <v>1412</v>
      </c>
      <c r="EQ5" s="968" t="s">
        <v>1413</v>
      </c>
      <c r="ER5" s="968" t="s">
        <v>1414</v>
      </c>
      <c r="ES5" s="969" t="s">
        <v>1415</v>
      </c>
      <c r="ET5" s="970" t="s">
        <v>1415</v>
      </c>
      <c r="EU5" s="970" t="s">
        <v>1415</v>
      </c>
      <c r="EV5" s="970" t="s">
        <v>1415</v>
      </c>
      <c r="EW5" s="970" t="s">
        <v>1415</v>
      </c>
      <c r="EX5" s="970" t="s">
        <v>1415</v>
      </c>
      <c r="EY5" s="970" t="s">
        <v>1415</v>
      </c>
      <c r="EZ5" s="970" t="s">
        <v>1415</v>
      </c>
      <c r="FA5" s="970" t="s">
        <v>1415</v>
      </c>
      <c r="FB5" s="970" t="s">
        <v>1415</v>
      </c>
      <c r="FC5" s="970" t="s">
        <v>433</v>
      </c>
      <c r="FD5" s="970" t="s">
        <v>1416</v>
      </c>
      <c r="FE5" s="971" t="s">
        <v>1416</v>
      </c>
      <c r="FF5" s="971" t="s">
        <v>1416</v>
      </c>
      <c r="FG5" s="971" t="s">
        <v>1416</v>
      </c>
      <c r="FH5" s="971" t="s">
        <v>1416</v>
      </c>
      <c r="FI5" s="971" t="s">
        <v>1416</v>
      </c>
      <c r="FJ5" s="971" t="s">
        <v>1416</v>
      </c>
      <c r="FK5" s="971" t="s">
        <v>1416</v>
      </c>
      <c r="FL5" s="971" t="s">
        <v>1416</v>
      </c>
      <c r="FM5" s="971" t="s">
        <v>1416</v>
      </c>
      <c r="FN5" s="971" t="s">
        <v>1416</v>
      </c>
      <c r="FO5" s="971" t="s">
        <v>433</v>
      </c>
      <c r="FP5" s="971" t="s">
        <v>1415</v>
      </c>
      <c r="FQ5" s="971" t="s">
        <v>1417</v>
      </c>
      <c r="FR5" s="971" t="s">
        <v>1417</v>
      </c>
      <c r="FS5" s="971" t="s">
        <v>1417</v>
      </c>
      <c r="FT5" s="971" t="s">
        <v>1417</v>
      </c>
      <c r="FU5" s="971" t="s">
        <v>1417</v>
      </c>
      <c r="FV5" s="971" t="s">
        <v>1418</v>
      </c>
      <c r="FW5" s="971" t="s">
        <v>1419</v>
      </c>
      <c r="FX5" s="971" t="s">
        <v>1420</v>
      </c>
      <c r="FY5" s="971" t="s">
        <v>1420</v>
      </c>
      <c r="FZ5" s="971" t="s">
        <v>1420</v>
      </c>
      <c r="GA5" s="971" t="s">
        <v>1420</v>
      </c>
      <c r="GB5" s="971" t="s">
        <v>1420</v>
      </c>
      <c r="GC5" s="971" t="s">
        <v>1420</v>
      </c>
      <c r="GD5" s="971" t="s">
        <v>1420</v>
      </c>
      <c r="GE5" s="971" t="s">
        <v>1420</v>
      </c>
      <c r="GF5" s="971" t="s">
        <v>1420</v>
      </c>
      <c r="GG5" s="971" t="s">
        <v>1420</v>
      </c>
      <c r="GH5" s="971" t="s">
        <v>1420</v>
      </c>
      <c r="GI5" s="971" t="s">
        <v>1420</v>
      </c>
      <c r="GJ5" s="971" t="s">
        <v>1420</v>
      </c>
      <c r="GK5" s="971" t="s">
        <v>1420</v>
      </c>
      <c r="GN5" s="949"/>
    </row>
    <row r="6" spans="1:196" s="948" customFormat="1" ht="20.100000000000001" customHeight="1" x14ac:dyDescent="0.3">
      <c r="A6" s="962" t="s">
        <v>1421</v>
      </c>
      <c r="C6" s="951"/>
      <c r="D6" s="951"/>
      <c r="E6" s="951"/>
      <c r="G6" s="951"/>
      <c r="H6" s="951"/>
      <c r="I6" s="951"/>
      <c r="J6" s="951"/>
      <c r="K6" s="951"/>
      <c r="L6" s="951"/>
      <c r="M6" s="951"/>
      <c r="O6" s="951"/>
      <c r="P6" s="951"/>
      <c r="R6" s="951"/>
      <c r="S6" s="951"/>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952"/>
      <c r="AW6" s="952"/>
      <c r="AX6" s="952"/>
      <c r="AY6" s="952"/>
      <c r="AZ6" s="952"/>
      <c r="BA6" s="952"/>
      <c r="BB6" s="952"/>
      <c r="BC6" s="952"/>
      <c r="BD6" s="952"/>
      <c r="BE6" s="952"/>
      <c r="BF6" s="952"/>
      <c r="BG6" s="952"/>
      <c r="BH6" s="952"/>
      <c r="BI6" s="952"/>
      <c r="BJ6" s="952"/>
      <c r="BK6" s="952"/>
      <c r="BL6" s="952"/>
      <c r="BM6" s="952"/>
      <c r="BN6" s="952"/>
      <c r="BO6" s="952"/>
      <c r="BP6" s="952"/>
      <c r="BQ6" s="952"/>
      <c r="BR6" s="952"/>
      <c r="BS6" s="952"/>
      <c r="BT6" s="952"/>
      <c r="BU6" s="952"/>
      <c r="BV6" s="952"/>
      <c r="BW6" s="952"/>
      <c r="BX6" s="952"/>
      <c r="BY6" s="952"/>
      <c r="BZ6" s="953"/>
      <c r="CA6" s="952"/>
      <c r="CB6" s="952"/>
      <c r="CC6" s="952"/>
      <c r="CD6" s="952"/>
      <c r="CE6" s="952"/>
      <c r="CF6" s="952"/>
      <c r="CG6" s="952"/>
      <c r="CH6" s="952"/>
      <c r="CI6" s="952"/>
      <c r="CJ6" s="952"/>
      <c r="CK6" s="952"/>
      <c r="CL6" s="952"/>
      <c r="CM6" s="952"/>
      <c r="CN6" s="952"/>
      <c r="CO6" s="952"/>
      <c r="CP6" s="952"/>
      <c r="CQ6" s="953"/>
      <c r="CR6" s="952"/>
      <c r="CS6" s="952"/>
      <c r="CT6" s="952"/>
      <c r="CU6" s="952"/>
      <c r="CV6" s="952"/>
      <c r="CW6" s="952"/>
      <c r="CX6" s="952"/>
      <c r="CY6" s="952"/>
      <c r="CZ6" s="952"/>
      <c r="DA6" s="952"/>
      <c r="DB6" s="952"/>
      <c r="DC6" s="954"/>
      <c r="DD6" s="954"/>
      <c r="DE6" s="954"/>
      <c r="DF6" s="954"/>
      <c r="DG6" s="954"/>
      <c r="DH6" s="954"/>
      <c r="DI6" s="954"/>
      <c r="DJ6" s="954"/>
      <c r="DK6" s="954"/>
      <c r="DL6" s="954"/>
      <c r="DM6" s="954"/>
      <c r="DN6" s="954"/>
      <c r="DO6" s="954"/>
      <c r="DP6" s="954"/>
      <c r="DQ6" s="954"/>
      <c r="DR6" s="955"/>
      <c r="DS6" s="956"/>
      <c r="DT6" s="956"/>
      <c r="DU6" s="956"/>
      <c r="DV6" s="956"/>
      <c r="DW6" s="956"/>
      <c r="DX6" s="956"/>
      <c r="DY6" s="956"/>
      <c r="DZ6" s="956"/>
      <c r="EA6" s="956"/>
      <c r="EB6" s="956"/>
      <c r="EC6" s="956"/>
      <c r="ED6" s="957"/>
      <c r="EE6" s="957"/>
      <c r="EF6" s="957"/>
      <c r="EG6" s="957"/>
      <c r="EH6" s="957"/>
      <c r="EI6" s="957"/>
      <c r="EJ6" s="957"/>
      <c r="EK6" s="957"/>
      <c r="EL6" s="957"/>
      <c r="EM6" s="957"/>
      <c r="EN6" s="957"/>
      <c r="EO6" s="957"/>
      <c r="EP6" s="957"/>
      <c r="EQ6" s="957"/>
      <c r="ER6" s="957"/>
      <c r="ES6" s="958"/>
      <c r="ET6" s="959"/>
      <c r="EU6" s="959"/>
      <c r="EV6" s="972"/>
      <c r="EW6" s="972"/>
      <c r="EX6" s="972"/>
      <c r="EY6" s="972"/>
      <c r="EZ6" s="972"/>
      <c r="FA6" s="972"/>
      <c r="FB6" s="972"/>
      <c r="FC6" s="972"/>
      <c r="FD6" s="972"/>
      <c r="FE6" s="973"/>
      <c r="FF6" s="973"/>
      <c r="FG6" s="973"/>
      <c r="FH6" s="973"/>
      <c r="FI6" s="973"/>
      <c r="FJ6" s="973"/>
      <c r="FK6" s="973"/>
      <c r="FL6" s="973"/>
      <c r="FM6" s="973"/>
      <c r="FN6" s="973"/>
      <c r="FO6" s="973"/>
      <c r="FP6" s="973"/>
      <c r="FQ6" s="973"/>
      <c r="FR6" s="973"/>
      <c r="FS6" s="973"/>
      <c r="FT6" s="973"/>
      <c r="FU6" s="973"/>
      <c r="FV6" s="973"/>
      <c r="FW6" s="973"/>
      <c r="FX6" s="973"/>
      <c r="FY6" s="973"/>
      <c r="FZ6" s="973"/>
      <c r="GA6" s="973"/>
      <c r="GB6" s="973"/>
      <c r="GC6" s="973"/>
      <c r="GD6" s="973"/>
      <c r="GE6" s="973"/>
      <c r="GF6" s="973"/>
      <c r="GG6" s="973"/>
      <c r="GH6" s="973"/>
      <c r="GI6" s="973"/>
      <c r="GJ6" s="973"/>
      <c r="GK6" s="973"/>
      <c r="GN6" s="949"/>
    </row>
    <row r="7" spans="1:196" s="948" customFormat="1" ht="20.100000000000001" customHeight="1" x14ac:dyDescent="0.3">
      <c r="A7" s="282" t="s">
        <v>434</v>
      </c>
      <c r="B7" s="974" t="s">
        <v>1422</v>
      </c>
      <c r="C7" s="975" t="s">
        <v>1423</v>
      </c>
      <c r="D7" s="975" t="s">
        <v>1424</v>
      </c>
      <c r="E7" s="975" t="s">
        <v>1424</v>
      </c>
      <c r="F7" s="974" t="s">
        <v>1424</v>
      </c>
      <c r="G7" s="975" t="s">
        <v>1425</v>
      </c>
      <c r="H7" s="975" t="s">
        <v>1426</v>
      </c>
      <c r="I7" s="975" t="s">
        <v>1426</v>
      </c>
      <c r="J7" s="975" t="s">
        <v>1427</v>
      </c>
      <c r="K7" s="975" t="s">
        <v>1427</v>
      </c>
      <c r="L7" s="975" t="s">
        <v>1426</v>
      </c>
      <c r="M7" s="975" t="s">
        <v>1428</v>
      </c>
      <c r="N7" s="974" t="s">
        <v>1429</v>
      </c>
      <c r="O7" s="975" t="s">
        <v>1429</v>
      </c>
      <c r="P7" s="975" t="s">
        <v>435</v>
      </c>
      <c r="Q7" s="974" t="s">
        <v>435</v>
      </c>
      <c r="R7" s="975" t="s">
        <v>435</v>
      </c>
      <c r="S7" s="975" t="s">
        <v>435</v>
      </c>
      <c r="T7" s="976" t="s">
        <v>435</v>
      </c>
      <c r="U7" s="976" t="s">
        <v>435</v>
      </c>
      <c r="V7" s="976" t="s">
        <v>435</v>
      </c>
      <c r="W7" s="976" t="s">
        <v>435</v>
      </c>
      <c r="X7" s="976" t="s">
        <v>436</v>
      </c>
      <c r="Y7" s="976" t="s">
        <v>436</v>
      </c>
      <c r="Z7" s="976" t="s">
        <v>1430</v>
      </c>
      <c r="AA7" s="976" t="s">
        <v>1430</v>
      </c>
      <c r="AB7" s="976" t="s">
        <v>1430</v>
      </c>
      <c r="AC7" s="976" t="s">
        <v>1430</v>
      </c>
      <c r="AD7" s="976" t="s">
        <v>1430</v>
      </c>
      <c r="AE7" s="976" t="s">
        <v>1430</v>
      </c>
      <c r="AF7" s="976" t="s">
        <v>1430</v>
      </c>
      <c r="AG7" s="976" t="s">
        <v>1431</v>
      </c>
      <c r="AH7" s="976" t="s">
        <v>901</v>
      </c>
      <c r="AI7" s="976" t="s">
        <v>1432</v>
      </c>
      <c r="AJ7" s="976" t="s">
        <v>1433</v>
      </c>
      <c r="AK7" s="976" t="s">
        <v>1433</v>
      </c>
      <c r="AL7" s="976" t="s">
        <v>1434</v>
      </c>
      <c r="AM7" s="976" t="s">
        <v>1435</v>
      </c>
      <c r="AN7" s="976" t="s">
        <v>1435</v>
      </c>
      <c r="AO7" s="976">
        <v>6</v>
      </c>
      <c r="AP7" s="976">
        <v>6</v>
      </c>
      <c r="AQ7" s="976">
        <v>6</v>
      </c>
      <c r="AR7" s="976">
        <v>6</v>
      </c>
      <c r="AS7" s="976">
        <v>6</v>
      </c>
      <c r="AT7" s="976">
        <v>6</v>
      </c>
      <c r="AU7" s="976">
        <v>2.5</v>
      </c>
      <c r="AV7" s="976">
        <v>2.5</v>
      </c>
      <c r="AW7" s="976" t="s">
        <v>1436</v>
      </c>
      <c r="AX7" s="976" t="s">
        <v>1436</v>
      </c>
      <c r="AY7" s="976" t="s">
        <v>437</v>
      </c>
      <c r="AZ7" s="976">
        <v>2.5</v>
      </c>
      <c r="BA7" s="976">
        <v>2.5</v>
      </c>
      <c r="BB7" s="976">
        <v>2.5</v>
      </c>
      <c r="BC7" s="976">
        <v>2.5</v>
      </c>
      <c r="BD7" s="976" t="s">
        <v>438</v>
      </c>
      <c r="BE7" s="976" t="s">
        <v>438</v>
      </c>
      <c r="BF7" s="976" t="s">
        <v>438</v>
      </c>
      <c r="BG7" s="976" t="s">
        <v>438</v>
      </c>
      <c r="BH7" s="976" t="s">
        <v>438</v>
      </c>
      <c r="BI7" s="976" t="s">
        <v>438</v>
      </c>
      <c r="BJ7" s="976" t="s">
        <v>1437</v>
      </c>
      <c r="BK7" s="976" t="s">
        <v>1437</v>
      </c>
      <c r="BL7" s="976" t="s">
        <v>1437</v>
      </c>
      <c r="BM7" s="976">
        <v>2.5</v>
      </c>
      <c r="BN7" s="976" t="s">
        <v>1436</v>
      </c>
      <c r="BO7" s="976" t="s">
        <v>1436</v>
      </c>
      <c r="BP7" s="976">
        <v>2.5</v>
      </c>
      <c r="BQ7" s="976">
        <v>2.5</v>
      </c>
      <c r="BR7" s="976">
        <v>2.5</v>
      </c>
      <c r="BS7" s="976">
        <v>2.5</v>
      </c>
      <c r="BT7" s="976">
        <v>2.5</v>
      </c>
      <c r="BU7" s="976">
        <v>2.5</v>
      </c>
      <c r="BV7" s="976">
        <v>2.5</v>
      </c>
      <c r="BW7" s="976" t="s">
        <v>1438</v>
      </c>
      <c r="BX7" s="976" t="s">
        <v>1438</v>
      </c>
      <c r="BY7" s="976" t="s">
        <v>1438</v>
      </c>
      <c r="BZ7" s="977" t="s">
        <v>1438</v>
      </c>
      <c r="CA7" s="976" t="s">
        <v>1439</v>
      </c>
      <c r="CB7" s="976" t="s">
        <v>1440</v>
      </c>
      <c r="CC7" s="976" t="s">
        <v>1440</v>
      </c>
      <c r="CD7" s="976" t="s">
        <v>1441</v>
      </c>
      <c r="CE7" s="976" t="s">
        <v>1442</v>
      </c>
      <c r="CF7" s="976" t="s">
        <v>1443</v>
      </c>
      <c r="CG7" s="976" t="s">
        <v>1443</v>
      </c>
      <c r="CH7" s="976" t="s">
        <v>1444</v>
      </c>
      <c r="CI7" s="976" t="s">
        <v>1444</v>
      </c>
      <c r="CJ7" s="976" t="s">
        <v>1444</v>
      </c>
      <c r="CK7" s="976" t="s">
        <v>1445</v>
      </c>
      <c r="CL7" s="976" t="s">
        <v>1446</v>
      </c>
      <c r="CM7" s="976" t="s">
        <v>1447</v>
      </c>
      <c r="CN7" s="976" t="s">
        <v>1447</v>
      </c>
      <c r="CO7" s="976" t="s">
        <v>1447</v>
      </c>
      <c r="CP7" s="976" t="s">
        <v>1448</v>
      </c>
      <c r="CQ7" s="977" t="s">
        <v>1449</v>
      </c>
      <c r="CR7" s="976" t="s">
        <v>1450</v>
      </c>
      <c r="CS7" s="976" t="s">
        <v>1451</v>
      </c>
      <c r="CT7" s="976" t="s">
        <v>1451</v>
      </c>
      <c r="CU7" s="976" t="s">
        <v>1452</v>
      </c>
      <c r="CV7" s="976" t="s">
        <v>1453</v>
      </c>
      <c r="CW7" s="976" t="s">
        <v>1453</v>
      </c>
      <c r="CX7" s="976" t="s">
        <v>1453</v>
      </c>
      <c r="CY7" s="976" t="s">
        <v>1453</v>
      </c>
      <c r="CZ7" s="976" t="s">
        <v>1453</v>
      </c>
      <c r="DA7" s="976" t="s">
        <v>1453</v>
      </c>
      <c r="DB7" s="976" t="s">
        <v>1453</v>
      </c>
      <c r="DC7" s="978" t="s">
        <v>1453</v>
      </c>
      <c r="DD7" s="978" t="s">
        <v>1453</v>
      </c>
      <c r="DE7" s="978" t="s">
        <v>1454</v>
      </c>
      <c r="DF7" s="978" t="s">
        <v>1454</v>
      </c>
      <c r="DG7" s="978" t="s">
        <v>1454</v>
      </c>
      <c r="DH7" s="978" t="s">
        <v>1454</v>
      </c>
      <c r="DI7" s="978" t="s">
        <v>1454</v>
      </c>
      <c r="DJ7" s="978" t="s">
        <v>1454</v>
      </c>
      <c r="DK7" s="978" t="s">
        <v>1455</v>
      </c>
      <c r="DL7" s="978" t="s">
        <v>1455</v>
      </c>
      <c r="DM7" s="978" t="s">
        <v>1454</v>
      </c>
      <c r="DN7" s="978" t="s">
        <v>1454</v>
      </c>
      <c r="DO7" s="978" t="s">
        <v>1454</v>
      </c>
      <c r="DP7" s="978" t="s">
        <v>1456</v>
      </c>
      <c r="DQ7" s="978" t="s">
        <v>1456</v>
      </c>
      <c r="DR7" s="979" t="s">
        <v>1456</v>
      </c>
      <c r="DS7" s="980" t="s">
        <v>1456</v>
      </c>
      <c r="DT7" s="980" t="s">
        <v>1456</v>
      </c>
      <c r="DU7" s="980" t="s">
        <v>1456</v>
      </c>
      <c r="DV7" s="980" t="s">
        <v>1457</v>
      </c>
      <c r="DW7" s="980" t="s">
        <v>1457</v>
      </c>
      <c r="DX7" s="980" t="s">
        <v>1457</v>
      </c>
      <c r="DY7" s="980" t="s">
        <v>1457</v>
      </c>
      <c r="DZ7" s="980" t="s">
        <v>1457</v>
      </c>
      <c r="EA7" s="981">
        <v>2.75</v>
      </c>
      <c r="EB7" s="981">
        <v>2.75</v>
      </c>
      <c r="EC7" s="981">
        <v>2.75</v>
      </c>
      <c r="ED7" s="981">
        <v>2.75</v>
      </c>
      <c r="EE7" s="981">
        <v>2.2999999999999998</v>
      </c>
      <c r="EF7" s="981">
        <v>2.2999999999999998</v>
      </c>
      <c r="EG7" s="980" t="s">
        <v>1458</v>
      </c>
      <c r="EH7" s="980" t="s">
        <v>1458</v>
      </c>
      <c r="EI7" s="980" t="s">
        <v>1458</v>
      </c>
      <c r="EJ7" s="980" t="s">
        <v>1459</v>
      </c>
      <c r="EK7" s="980" t="s">
        <v>1459</v>
      </c>
      <c r="EL7" s="980" t="s">
        <v>1459</v>
      </c>
      <c r="EM7" s="980" t="s">
        <v>1460</v>
      </c>
      <c r="EN7" s="980" t="s">
        <v>1459</v>
      </c>
      <c r="EO7" s="980">
        <v>0</v>
      </c>
      <c r="EP7" s="980" t="s">
        <v>1461</v>
      </c>
      <c r="EQ7" s="980" t="s">
        <v>1462</v>
      </c>
      <c r="ER7" s="980" t="s">
        <v>1463</v>
      </c>
      <c r="ES7" s="982">
        <v>0</v>
      </c>
      <c r="ET7" s="972">
        <v>0</v>
      </c>
      <c r="EU7" s="972">
        <v>0</v>
      </c>
      <c r="EV7" s="972">
        <v>0</v>
      </c>
      <c r="EW7" s="972">
        <v>0</v>
      </c>
      <c r="EX7" s="972">
        <v>0</v>
      </c>
      <c r="EY7" s="972">
        <v>0.15</v>
      </c>
      <c r="EZ7" s="972">
        <v>0.85</v>
      </c>
      <c r="FA7" s="972">
        <v>0</v>
      </c>
      <c r="FB7" s="972">
        <v>0</v>
      </c>
      <c r="FC7" s="972">
        <v>0</v>
      </c>
      <c r="FD7" s="972" t="s">
        <v>115</v>
      </c>
      <c r="FE7" s="973" t="s">
        <v>115</v>
      </c>
      <c r="FF7" s="973" t="s">
        <v>115</v>
      </c>
      <c r="FG7" s="973" t="s">
        <v>115</v>
      </c>
      <c r="FH7" s="973" t="s">
        <v>115</v>
      </c>
      <c r="FI7" s="973">
        <v>2.2999999999999998</v>
      </c>
      <c r="FJ7" s="973" t="s">
        <v>115</v>
      </c>
      <c r="FK7" s="973" t="s">
        <v>115</v>
      </c>
      <c r="FL7" s="973">
        <v>0.15</v>
      </c>
      <c r="FM7" s="973" t="s">
        <v>115</v>
      </c>
      <c r="FN7" s="973" t="s">
        <v>115</v>
      </c>
      <c r="FO7" s="973" t="s">
        <v>115</v>
      </c>
      <c r="FP7" s="973" t="s">
        <v>115</v>
      </c>
      <c r="FQ7" s="973" t="s">
        <v>115</v>
      </c>
      <c r="FR7" s="973" t="s">
        <v>115</v>
      </c>
      <c r="FS7" s="973" t="s">
        <v>115</v>
      </c>
      <c r="FT7" s="973" t="s">
        <v>115</v>
      </c>
      <c r="FU7" s="973" t="s">
        <v>115</v>
      </c>
      <c r="FV7" s="973" t="s">
        <v>115</v>
      </c>
      <c r="FW7" s="973" t="s">
        <v>115</v>
      </c>
      <c r="FX7" s="973" t="s">
        <v>115</v>
      </c>
      <c r="FY7" s="973" t="s">
        <v>115</v>
      </c>
      <c r="FZ7" s="973" t="s">
        <v>115</v>
      </c>
      <c r="GA7" s="973" t="s">
        <v>115</v>
      </c>
      <c r="GB7" s="973" t="s">
        <v>115</v>
      </c>
      <c r="GC7" s="973" t="s">
        <v>115</v>
      </c>
      <c r="GD7" s="973" t="s">
        <v>115</v>
      </c>
      <c r="GE7" s="973" t="s">
        <v>115</v>
      </c>
      <c r="GF7" s="973">
        <v>0</v>
      </c>
      <c r="GG7" s="973">
        <v>0</v>
      </c>
      <c r="GH7" s="973" t="s">
        <v>115</v>
      </c>
      <c r="GI7" s="973" t="s">
        <v>115</v>
      </c>
      <c r="GJ7" s="973">
        <v>0</v>
      </c>
      <c r="GK7" s="973">
        <v>0</v>
      </c>
      <c r="GN7" s="949"/>
    </row>
    <row r="8" spans="1:196" s="948" customFormat="1" ht="20.100000000000001" customHeight="1" x14ac:dyDescent="0.3">
      <c r="A8" s="282" t="s">
        <v>439</v>
      </c>
      <c r="B8" s="974" t="s">
        <v>1464</v>
      </c>
      <c r="C8" s="975" t="s">
        <v>1465</v>
      </c>
      <c r="D8" s="975" t="s">
        <v>1465</v>
      </c>
      <c r="E8" s="975" t="s">
        <v>1465</v>
      </c>
      <c r="F8" s="974" t="s">
        <v>1465</v>
      </c>
      <c r="G8" s="975" t="s">
        <v>1466</v>
      </c>
      <c r="H8" s="975" t="s">
        <v>1466</v>
      </c>
      <c r="I8" s="975" t="s">
        <v>1466</v>
      </c>
      <c r="J8" s="975" t="s">
        <v>1466</v>
      </c>
      <c r="K8" s="975" t="s">
        <v>1466</v>
      </c>
      <c r="L8" s="975" t="s">
        <v>1466</v>
      </c>
      <c r="M8" s="975" t="s">
        <v>1466</v>
      </c>
      <c r="N8" s="974" t="s">
        <v>1467</v>
      </c>
      <c r="O8" s="975" t="s">
        <v>1467</v>
      </c>
      <c r="P8" s="975" t="s">
        <v>1468</v>
      </c>
      <c r="Q8" s="974" t="s">
        <v>1469</v>
      </c>
      <c r="R8" s="975" t="s">
        <v>1469</v>
      </c>
      <c r="S8" s="975" t="s">
        <v>1469</v>
      </c>
      <c r="T8" s="976" t="s">
        <v>1470</v>
      </c>
      <c r="U8" s="976" t="s">
        <v>1470</v>
      </c>
      <c r="V8" s="976" t="s">
        <v>1471</v>
      </c>
      <c r="W8" s="976" t="s">
        <v>440</v>
      </c>
      <c r="X8" s="976" t="s">
        <v>1469</v>
      </c>
      <c r="Y8" s="976" t="s">
        <v>1472</v>
      </c>
      <c r="Z8" s="976" t="s">
        <v>1473</v>
      </c>
      <c r="AA8" s="976" t="s">
        <v>1474</v>
      </c>
      <c r="AB8" s="976" t="s">
        <v>1474</v>
      </c>
      <c r="AC8" s="976" t="s">
        <v>1474</v>
      </c>
      <c r="AD8" s="976" t="s">
        <v>1474</v>
      </c>
      <c r="AE8" s="976" t="s">
        <v>1474</v>
      </c>
      <c r="AF8" s="976" t="s">
        <v>1474</v>
      </c>
      <c r="AG8" s="976" t="s">
        <v>1475</v>
      </c>
      <c r="AH8" s="976" t="s">
        <v>1476</v>
      </c>
      <c r="AI8" s="976" t="s">
        <v>1476</v>
      </c>
      <c r="AJ8" s="976" t="s">
        <v>441</v>
      </c>
      <c r="AK8" s="976" t="s">
        <v>442</v>
      </c>
      <c r="AL8" s="976" t="s">
        <v>443</v>
      </c>
      <c r="AM8" s="976" t="s">
        <v>1477</v>
      </c>
      <c r="AN8" s="976" t="s">
        <v>1477</v>
      </c>
      <c r="AO8" s="976" t="s">
        <v>1477</v>
      </c>
      <c r="AP8" s="976" t="s">
        <v>444</v>
      </c>
      <c r="AQ8" s="976" t="s">
        <v>1478</v>
      </c>
      <c r="AR8" s="976" t="s">
        <v>1479</v>
      </c>
      <c r="AS8" s="976" t="s">
        <v>1479</v>
      </c>
      <c r="AT8" s="976" t="s">
        <v>1480</v>
      </c>
      <c r="AU8" s="976" t="s">
        <v>1480</v>
      </c>
      <c r="AV8" s="976" t="s">
        <v>1480</v>
      </c>
      <c r="AW8" s="976" t="s">
        <v>1480</v>
      </c>
      <c r="AX8" s="976" t="s">
        <v>1480</v>
      </c>
      <c r="AY8" s="976" t="s">
        <v>1480</v>
      </c>
      <c r="AZ8" s="976" t="s">
        <v>1480</v>
      </c>
      <c r="BA8" s="976" t="s">
        <v>1480</v>
      </c>
      <c r="BB8" s="976" t="s">
        <v>1480</v>
      </c>
      <c r="BC8" s="976" t="s">
        <v>1480</v>
      </c>
      <c r="BD8" s="976" t="s">
        <v>1480</v>
      </c>
      <c r="BE8" s="976" t="s">
        <v>1481</v>
      </c>
      <c r="BF8" s="976" t="s">
        <v>1481</v>
      </c>
      <c r="BG8" s="976" t="s">
        <v>1481</v>
      </c>
      <c r="BH8" s="976" t="s">
        <v>1482</v>
      </c>
      <c r="BI8" s="976" t="s">
        <v>1483</v>
      </c>
      <c r="BJ8" s="976" t="s">
        <v>1483</v>
      </c>
      <c r="BK8" s="976" t="s">
        <v>1483</v>
      </c>
      <c r="BL8" s="976" t="s">
        <v>1483</v>
      </c>
      <c r="BM8" s="976" t="s">
        <v>1484</v>
      </c>
      <c r="BN8" s="976" t="s">
        <v>1485</v>
      </c>
      <c r="BO8" s="976" t="s">
        <v>1486</v>
      </c>
      <c r="BP8" s="976" t="s">
        <v>1486</v>
      </c>
      <c r="BQ8" s="976" t="s">
        <v>1487</v>
      </c>
      <c r="BR8" s="976" t="s">
        <v>1487</v>
      </c>
      <c r="BS8" s="976" t="s">
        <v>1488</v>
      </c>
      <c r="BT8" s="976" t="s">
        <v>1488</v>
      </c>
      <c r="BU8" s="976" t="s">
        <v>1489</v>
      </c>
      <c r="BV8" s="976" t="s">
        <v>1489</v>
      </c>
      <c r="BW8" s="976" t="s">
        <v>1489</v>
      </c>
      <c r="BX8" s="976" t="s">
        <v>1489</v>
      </c>
      <c r="BY8" s="976" t="s">
        <v>1489</v>
      </c>
      <c r="BZ8" s="977" t="s">
        <v>1489</v>
      </c>
      <c r="CA8" s="976" t="s">
        <v>1489</v>
      </c>
      <c r="CB8" s="976" t="s">
        <v>1490</v>
      </c>
      <c r="CC8" s="976" t="s">
        <v>1490</v>
      </c>
      <c r="CD8" s="976" t="s">
        <v>1491</v>
      </c>
      <c r="CE8" s="976" t="s">
        <v>1491</v>
      </c>
      <c r="CF8" s="976" t="s">
        <v>1491</v>
      </c>
      <c r="CG8" s="976" t="s">
        <v>1491</v>
      </c>
      <c r="CH8" s="976" t="s">
        <v>1491</v>
      </c>
      <c r="CI8" s="976" t="s">
        <v>1491</v>
      </c>
      <c r="CJ8" s="976" t="s">
        <v>1492</v>
      </c>
      <c r="CK8" s="976" t="s">
        <v>1491</v>
      </c>
      <c r="CL8" s="976" t="s">
        <v>1491</v>
      </c>
      <c r="CM8" s="976" t="s">
        <v>1491</v>
      </c>
      <c r="CN8" s="976" t="s">
        <v>1491</v>
      </c>
      <c r="CO8" s="976" t="s">
        <v>1491</v>
      </c>
      <c r="CP8" s="976" t="s">
        <v>1491</v>
      </c>
      <c r="CQ8" s="977" t="s">
        <v>1493</v>
      </c>
      <c r="CR8" s="976" t="s">
        <v>1494</v>
      </c>
      <c r="CS8" s="976" t="s">
        <v>1495</v>
      </c>
      <c r="CT8" s="976" t="s">
        <v>1496</v>
      </c>
      <c r="CU8" s="976" t="s">
        <v>1497</v>
      </c>
      <c r="CV8" s="976" t="s">
        <v>1497</v>
      </c>
      <c r="CW8" s="976" t="s">
        <v>1497</v>
      </c>
      <c r="CX8" s="976" t="s">
        <v>445</v>
      </c>
      <c r="CY8" s="976" t="s">
        <v>1497</v>
      </c>
      <c r="CZ8" s="976" t="s">
        <v>1497</v>
      </c>
      <c r="DA8" s="976" t="s">
        <v>1496</v>
      </c>
      <c r="DB8" s="976" t="s">
        <v>1496</v>
      </c>
      <c r="DC8" s="978" t="s">
        <v>1498</v>
      </c>
      <c r="DD8" s="978" t="s">
        <v>1496</v>
      </c>
      <c r="DE8" s="978" t="s">
        <v>1499</v>
      </c>
      <c r="DF8" s="978" t="s">
        <v>1500</v>
      </c>
      <c r="DG8" s="978" t="s">
        <v>1501</v>
      </c>
      <c r="DH8" s="978" t="s">
        <v>1501</v>
      </c>
      <c r="DI8" s="978" t="s">
        <v>1501</v>
      </c>
      <c r="DJ8" s="978" t="s">
        <v>1501</v>
      </c>
      <c r="DK8" s="978" t="s">
        <v>1502</v>
      </c>
      <c r="DL8" s="978" t="s">
        <v>1501</v>
      </c>
      <c r="DM8" s="978" t="s">
        <v>1501</v>
      </c>
      <c r="DN8" s="978" t="s">
        <v>1501</v>
      </c>
      <c r="DO8" s="978" t="s">
        <v>1501</v>
      </c>
      <c r="DP8" s="978" t="s">
        <v>1503</v>
      </c>
      <c r="DQ8" s="978" t="s">
        <v>1503</v>
      </c>
      <c r="DR8" s="979" t="s">
        <v>1503</v>
      </c>
      <c r="DS8" s="980" t="s">
        <v>1503</v>
      </c>
      <c r="DT8" s="980" t="s">
        <v>1503</v>
      </c>
      <c r="DU8" s="980" t="s">
        <v>1503</v>
      </c>
      <c r="DV8" s="980" t="s">
        <v>1504</v>
      </c>
      <c r="DW8" s="980" t="s">
        <v>1504</v>
      </c>
      <c r="DX8" s="980" t="s">
        <v>1504</v>
      </c>
      <c r="DY8" s="980" t="s">
        <v>1504</v>
      </c>
      <c r="DZ8" s="980" t="s">
        <v>1504</v>
      </c>
      <c r="EA8" s="980" t="s">
        <v>1504</v>
      </c>
      <c r="EB8" s="980" t="s">
        <v>1504</v>
      </c>
      <c r="EC8" s="980" t="s">
        <v>1504</v>
      </c>
      <c r="ED8" s="980" t="s">
        <v>1504</v>
      </c>
      <c r="EE8" s="980" t="s">
        <v>1505</v>
      </c>
      <c r="EF8" s="980" t="s">
        <v>1505</v>
      </c>
      <c r="EG8" s="980" t="s">
        <v>1505</v>
      </c>
      <c r="EH8" s="980" t="s">
        <v>1505</v>
      </c>
      <c r="EI8" s="980" t="s">
        <v>1506</v>
      </c>
      <c r="EJ8" s="980" t="s">
        <v>1507</v>
      </c>
      <c r="EK8" s="980" t="s">
        <v>1508</v>
      </c>
      <c r="EL8" s="980" t="s">
        <v>1507</v>
      </c>
      <c r="EM8" s="980" t="s">
        <v>1507</v>
      </c>
      <c r="EN8" s="980" t="s">
        <v>1508</v>
      </c>
      <c r="EO8" s="980" t="s">
        <v>1508</v>
      </c>
      <c r="EP8" s="980" t="s">
        <v>1508</v>
      </c>
      <c r="EQ8" s="980" t="s">
        <v>1508</v>
      </c>
      <c r="ER8" s="980" t="s">
        <v>1509</v>
      </c>
      <c r="ES8" s="982" t="s">
        <v>1509</v>
      </c>
      <c r="ET8" s="972" t="s">
        <v>1509</v>
      </c>
      <c r="EU8" s="972" t="s">
        <v>1507</v>
      </c>
      <c r="EV8" s="972">
        <v>0.4</v>
      </c>
      <c r="EW8" s="972" t="s">
        <v>1509</v>
      </c>
      <c r="EX8" s="972" t="s">
        <v>1509</v>
      </c>
      <c r="EY8" s="972" t="s">
        <v>1507</v>
      </c>
      <c r="EZ8" s="972" t="s">
        <v>1510</v>
      </c>
      <c r="FA8" s="972" t="s">
        <v>1509</v>
      </c>
      <c r="FB8" s="972" t="s">
        <v>1511</v>
      </c>
      <c r="FC8" s="972" t="s">
        <v>1512</v>
      </c>
      <c r="FD8" s="972" t="s">
        <v>1513</v>
      </c>
      <c r="FE8" s="973">
        <v>0.4</v>
      </c>
      <c r="FF8" s="973" t="s">
        <v>1514</v>
      </c>
      <c r="FG8" s="973" t="s">
        <v>1515</v>
      </c>
      <c r="FH8" s="973" t="s">
        <v>1516</v>
      </c>
      <c r="FI8" s="973" t="s">
        <v>1517</v>
      </c>
      <c r="FJ8" s="973" t="s">
        <v>1518</v>
      </c>
      <c r="FK8" s="973" t="s">
        <v>1017</v>
      </c>
      <c r="FL8" s="973" t="s">
        <v>1518</v>
      </c>
      <c r="FM8" s="973" t="s">
        <v>1514</v>
      </c>
      <c r="FN8" s="973" t="s">
        <v>1519</v>
      </c>
      <c r="FO8" s="973" t="s">
        <v>1520</v>
      </c>
      <c r="FP8" s="973" t="s">
        <v>1520</v>
      </c>
      <c r="FQ8" s="973" t="s">
        <v>1509</v>
      </c>
      <c r="FR8" s="973" t="s">
        <v>1520</v>
      </c>
      <c r="FS8" s="973" t="s">
        <v>1520</v>
      </c>
      <c r="FT8" s="973" t="s">
        <v>1521</v>
      </c>
      <c r="FU8" s="973" t="s">
        <v>1522</v>
      </c>
      <c r="FV8" s="973" t="s">
        <v>1523</v>
      </c>
      <c r="FW8" s="973" t="s">
        <v>1524</v>
      </c>
      <c r="FX8" s="973" t="s">
        <v>1525</v>
      </c>
      <c r="FY8" s="973" t="s">
        <v>1523</v>
      </c>
      <c r="FZ8" s="973" t="s">
        <v>1526</v>
      </c>
      <c r="GA8" s="973" t="s">
        <v>1523</v>
      </c>
      <c r="GB8" s="973" t="s">
        <v>1463</v>
      </c>
      <c r="GC8" s="973">
        <v>0.05</v>
      </c>
      <c r="GD8" s="973">
        <v>0.05</v>
      </c>
      <c r="GE8" s="973" t="s">
        <v>1463</v>
      </c>
      <c r="GF8" s="973">
        <v>0.1</v>
      </c>
      <c r="GG8" s="973" t="s">
        <v>1463</v>
      </c>
      <c r="GH8" s="973" t="s">
        <v>1463</v>
      </c>
      <c r="GI8" s="973" t="s">
        <v>1527</v>
      </c>
      <c r="GJ8" s="973" t="s">
        <v>1463</v>
      </c>
      <c r="GK8" s="973" t="s">
        <v>1527</v>
      </c>
      <c r="GN8" s="949"/>
    </row>
    <row r="9" spans="1:196" s="948" customFormat="1" ht="20.100000000000001" customHeight="1" x14ac:dyDescent="0.3">
      <c r="A9" s="282" t="s">
        <v>446</v>
      </c>
      <c r="B9" s="974" t="s">
        <v>1528</v>
      </c>
      <c r="C9" s="975" t="s">
        <v>1529</v>
      </c>
      <c r="D9" s="975" t="s">
        <v>1530</v>
      </c>
      <c r="E9" s="975" t="s">
        <v>1531</v>
      </c>
      <c r="F9" s="974" t="s">
        <v>1532</v>
      </c>
      <c r="G9" s="975" t="s">
        <v>1533</v>
      </c>
      <c r="H9" s="975" t="s">
        <v>1534</v>
      </c>
      <c r="I9" s="975" t="s">
        <v>1535</v>
      </c>
      <c r="J9" s="975" t="s">
        <v>1535</v>
      </c>
      <c r="K9" s="975" t="s">
        <v>1536</v>
      </c>
      <c r="L9" s="975" t="s">
        <v>1536</v>
      </c>
      <c r="M9" s="975" t="s">
        <v>1534</v>
      </c>
      <c r="N9" s="974" t="s">
        <v>447</v>
      </c>
      <c r="O9" s="975" t="s">
        <v>1537</v>
      </c>
      <c r="P9" s="975" t="s">
        <v>448</v>
      </c>
      <c r="Q9" s="974" t="s">
        <v>1471</v>
      </c>
      <c r="R9" s="975" t="s">
        <v>1471</v>
      </c>
      <c r="S9" s="975" t="s">
        <v>1538</v>
      </c>
      <c r="T9" s="976" t="s">
        <v>1539</v>
      </c>
      <c r="U9" s="976" t="s">
        <v>1540</v>
      </c>
      <c r="V9" s="976" t="s">
        <v>1541</v>
      </c>
      <c r="W9" s="976" t="s">
        <v>1540</v>
      </c>
      <c r="X9" s="976" t="s">
        <v>1539</v>
      </c>
      <c r="Y9" s="976" t="s">
        <v>1540</v>
      </c>
      <c r="Z9" s="976" t="s">
        <v>1542</v>
      </c>
      <c r="AA9" s="976" t="s">
        <v>1543</v>
      </c>
      <c r="AB9" s="976" t="s">
        <v>1544</v>
      </c>
      <c r="AC9" s="976" t="s">
        <v>1545</v>
      </c>
      <c r="AD9" s="976" t="s">
        <v>1545</v>
      </c>
      <c r="AE9" s="976" t="s">
        <v>1545</v>
      </c>
      <c r="AF9" s="976" t="s">
        <v>1542</v>
      </c>
      <c r="AG9" s="976" t="s">
        <v>1546</v>
      </c>
      <c r="AH9" s="976" t="s">
        <v>1547</v>
      </c>
      <c r="AI9" s="976" t="s">
        <v>1547</v>
      </c>
      <c r="AJ9" s="976" t="s">
        <v>1431</v>
      </c>
      <c r="AK9" s="976" t="s">
        <v>1548</v>
      </c>
      <c r="AL9" s="976" t="s">
        <v>449</v>
      </c>
      <c r="AM9" s="976" t="s">
        <v>449</v>
      </c>
      <c r="AN9" s="976" t="s">
        <v>449</v>
      </c>
      <c r="AO9" s="976" t="s">
        <v>450</v>
      </c>
      <c r="AP9" s="976" t="s">
        <v>1549</v>
      </c>
      <c r="AQ9" s="976" t="s">
        <v>1550</v>
      </c>
      <c r="AR9" s="976" t="s">
        <v>1550</v>
      </c>
      <c r="AS9" s="976" t="s">
        <v>1551</v>
      </c>
      <c r="AT9" s="976" t="s">
        <v>1552</v>
      </c>
      <c r="AU9" s="976" t="s">
        <v>1553</v>
      </c>
      <c r="AV9" s="976" t="s">
        <v>1554</v>
      </c>
      <c r="AW9" s="976" t="s">
        <v>1554</v>
      </c>
      <c r="AX9" s="976" t="s">
        <v>1554</v>
      </c>
      <c r="AY9" s="976" t="s">
        <v>1554</v>
      </c>
      <c r="AZ9" s="976" t="s">
        <v>1555</v>
      </c>
      <c r="BA9" s="976" t="s">
        <v>1556</v>
      </c>
      <c r="BB9" s="976" t="s">
        <v>1556</v>
      </c>
      <c r="BC9" s="976" t="s">
        <v>1557</v>
      </c>
      <c r="BD9" s="976" t="s">
        <v>1557</v>
      </c>
      <c r="BE9" s="976" t="s">
        <v>1557</v>
      </c>
      <c r="BF9" s="976" t="s">
        <v>1557</v>
      </c>
      <c r="BG9" s="976" t="s">
        <v>1557</v>
      </c>
      <c r="BH9" s="976" t="s">
        <v>1557</v>
      </c>
      <c r="BI9" s="976" t="s">
        <v>1557</v>
      </c>
      <c r="BJ9" s="976" t="s">
        <v>1557</v>
      </c>
      <c r="BK9" s="976" t="s">
        <v>1557</v>
      </c>
      <c r="BL9" s="976" t="s">
        <v>1557</v>
      </c>
      <c r="BM9" s="976" t="s">
        <v>1558</v>
      </c>
      <c r="BN9" s="976" t="s">
        <v>1558</v>
      </c>
      <c r="BO9" s="976" t="s">
        <v>1558</v>
      </c>
      <c r="BP9" s="976" t="s">
        <v>1558</v>
      </c>
      <c r="BQ9" s="976" t="s">
        <v>1558</v>
      </c>
      <c r="BR9" s="976" t="s">
        <v>1558</v>
      </c>
      <c r="BS9" s="976" t="s">
        <v>1559</v>
      </c>
      <c r="BT9" s="976" t="s">
        <v>1559</v>
      </c>
      <c r="BU9" s="976" t="s">
        <v>1560</v>
      </c>
      <c r="BV9" s="976" t="s">
        <v>1560</v>
      </c>
      <c r="BW9" s="976" t="s">
        <v>1560</v>
      </c>
      <c r="BX9" s="976" t="s">
        <v>1561</v>
      </c>
      <c r="BY9" s="976" t="s">
        <v>1562</v>
      </c>
      <c r="BZ9" s="977" t="s">
        <v>1563</v>
      </c>
      <c r="CA9" s="976" t="s">
        <v>1564</v>
      </c>
      <c r="CB9" s="976" t="s">
        <v>1564</v>
      </c>
      <c r="CC9" s="976" t="s">
        <v>1565</v>
      </c>
      <c r="CD9" s="976" t="s">
        <v>1566</v>
      </c>
      <c r="CE9" s="976" t="s">
        <v>1567</v>
      </c>
      <c r="CF9" s="976" t="s">
        <v>1568</v>
      </c>
      <c r="CG9" s="976" t="s">
        <v>1568</v>
      </c>
      <c r="CH9" s="976" t="s">
        <v>1569</v>
      </c>
      <c r="CI9" s="976" t="s">
        <v>1570</v>
      </c>
      <c r="CJ9" s="976" t="s">
        <v>1570</v>
      </c>
      <c r="CK9" s="976" t="s">
        <v>1570</v>
      </c>
      <c r="CL9" s="976" t="s">
        <v>1571</v>
      </c>
      <c r="CM9" s="976" t="s">
        <v>1571</v>
      </c>
      <c r="CN9" s="976" t="s">
        <v>1568</v>
      </c>
      <c r="CO9" s="976" t="s">
        <v>1572</v>
      </c>
      <c r="CP9" s="976" t="s">
        <v>1573</v>
      </c>
      <c r="CQ9" s="977" t="s">
        <v>1574</v>
      </c>
      <c r="CR9" s="976" t="s">
        <v>1575</v>
      </c>
      <c r="CS9" s="976" t="s">
        <v>1576</v>
      </c>
      <c r="CT9" s="976" t="s">
        <v>1577</v>
      </c>
      <c r="CU9" s="976" t="s">
        <v>1578</v>
      </c>
      <c r="CV9" s="976" t="s">
        <v>1575</v>
      </c>
      <c r="CW9" s="976" t="s">
        <v>1579</v>
      </c>
      <c r="CX9" s="976" t="s">
        <v>1580</v>
      </c>
      <c r="CY9" s="976" t="s">
        <v>1581</v>
      </c>
      <c r="CZ9" s="976" t="s">
        <v>1581</v>
      </c>
      <c r="DA9" s="976" t="s">
        <v>1581</v>
      </c>
      <c r="DB9" s="976" t="s">
        <v>1582</v>
      </c>
      <c r="DC9" s="978" t="s">
        <v>1575</v>
      </c>
      <c r="DD9" s="978" t="s">
        <v>1583</v>
      </c>
      <c r="DE9" s="978" t="s">
        <v>1575</v>
      </c>
      <c r="DF9" s="978" t="s">
        <v>1584</v>
      </c>
      <c r="DG9" s="978" t="s">
        <v>1585</v>
      </c>
      <c r="DH9" s="978" t="s">
        <v>1586</v>
      </c>
      <c r="DI9" s="978" t="s">
        <v>1587</v>
      </c>
      <c r="DJ9" s="978" t="s">
        <v>1588</v>
      </c>
      <c r="DK9" s="978" t="s">
        <v>1589</v>
      </c>
      <c r="DL9" s="978" t="s">
        <v>1590</v>
      </c>
      <c r="DM9" s="978" t="s">
        <v>1591</v>
      </c>
      <c r="DN9" s="978" t="s">
        <v>1592</v>
      </c>
      <c r="DO9" s="978" t="s">
        <v>1593</v>
      </c>
      <c r="DP9" s="978" t="s">
        <v>1594</v>
      </c>
      <c r="DQ9" s="978" t="s">
        <v>1595</v>
      </c>
      <c r="DR9" s="979" t="s">
        <v>1596</v>
      </c>
      <c r="DS9" s="980" t="s">
        <v>1597</v>
      </c>
      <c r="DT9" s="980" t="s">
        <v>1598</v>
      </c>
      <c r="DU9" s="980" t="s">
        <v>1599</v>
      </c>
      <c r="DV9" s="980" t="s">
        <v>1599</v>
      </c>
      <c r="DW9" s="980" t="s">
        <v>1600</v>
      </c>
      <c r="DX9" s="980" t="s">
        <v>1601</v>
      </c>
      <c r="DY9" s="980" t="s">
        <v>1602</v>
      </c>
      <c r="DZ9" s="980" t="s">
        <v>1603</v>
      </c>
      <c r="EA9" s="980" t="s">
        <v>1603</v>
      </c>
      <c r="EB9" s="980" t="s">
        <v>1603</v>
      </c>
      <c r="EC9" s="980" t="s">
        <v>1603</v>
      </c>
      <c r="ED9" s="980" t="s">
        <v>1604</v>
      </c>
      <c r="EE9" s="980" t="s">
        <v>1508</v>
      </c>
      <c r="EF9" s="980" t="s">
        <v>1605</v>
      </c>
      <c r="EG9" s="980" t="s">
        <v>1606</v>
      </c>
      <c r="EH9" s="980" t="s">
        <v>1607</v>
      </c>
      <c r="EI9" s="980" t="s">
        <v>1608</v>
      </c>
      <c r="EJ9" s="980" t="s">
        <v>1606</v>
      </c>
      <c r="EK9" s="980" t="s">
        <v>1609</v>
      </c>
      <c r="EL9" s="980" t="s">
        <v>1610</v>
      </c>
      <c r="EM9" s="980" t="s">
        <v>1611</v>
      </c>
      <c r="EN9" s="980" t="s">
        <v>1612</v>
      </c>
      <c r="EO9" s="980" t="s">
        <v>1613</v>
      </c>
      <c r="EP9" s="980" t="s">
        <v>1612</v>
      </c>
      <c r="EQ9" s="980" t="s">
        <v>1614</v>
      </c>
      <c r="ER9" s="980" t="s">
        <v>1614</v>
      </c>
      <c r="ES9" s="982" t="s">
        <v>1517</v>
      </c>
      <c r="ET9" s="972" t="s">
        <v>1615</v>
      </c>
      <c r="EU9" s="972" t="s">
        <v>1616</v>
      </c>
      <c r="EV9" s="972" t="s">
        <v>1617</v>
      </c>
      <c r="EW9" s="972" t="s">
        <v>1616</v>
      </c>
      <c r="EX9" s="972" t="s">
        <v>1618</v>
      </c>
      <c r="EY9" s="972" t="s">
        <v>1619</v>
      </c>
      <c r="EZ9" s="972" t="s">
        <v>1620</v>
      </c>
      <c r="FA9" s="972" t="s">
        <v>1621</v>
      </c>
      <c r="FB9" s="972" t="s">
        <v>1622</v>
      </c>
      <c r="FC9" s="972" t="s">
        <v>1623</v>
      </c>
      <c r="FD9" s="972" t="s">
        <v>1624</v>
      </c>
      <c r="FE9" s="973" t="s">
        <v>1625</v>
      </c>
      <c r="FF9" s="973" t="s">
        <v>1626</v>
      </c>
      <c r="FG9" s="973" t="s">
        <v>1627</v>
      </c>
      <c r="FH9" s="973" t="s">
        <v>1628</v>
      </c>
      <c r="FI9" s="973" t="s">
        <v>1629</v>
      </c>
      <c r="FJ9" s="973" t="s">
        <v>1629</v>
      </c>
      <c r="FK9" s="973" t="s">
        <v>1629</v>
      </c>
      <c r="FL9" s="973" t="s">
        <v>1630</v>
      </c>
      <c r="FM9" s="973" t="s">
        <v>1631</v>
      </c>
      <c r="FN9" s="973" t="s">
        <v>1632</v>
      </c>
      <c r="FO9" s="973" t="s">
        <v>1625</v>
      </c>
      <c r="FP9" s="973" t="s">
        <v>1631</v>
      </c>
      <c r="FQ9" s="973" t="s">
        <v>1633</v>
      </c>
      <c r="FR9" s="973" t="s">
        <v>1634</v>
      </c>
      <c r="FS9" s="973" t="s">
        <v>1635</v>
      </c>
      <c r="FT9" s="973" t="s">
        <v>1634</v>
      </c>
      <c r="FU9" s="973" t="s">
        <v>1636</v>
      </c>
      <c r="FV9" s="973" t="s">
        <v>1637</v>
      </c>
      <c r="FW9" s="973" t="s">
        <v>1638</v>
      </c>
      <c r="FX9" s="973" t="s">
        <v>1639</v>
      </c>
      <c r="FY9" s="973" t="s">
        <v>1640</v>
      </c>
      <c r="FZ9" s="973" t="s">
        <v>1641</v>
      </c>
      <c r="GA9" s="973" t="s">
        <v>1642</v>
      </c>
      <c r="GB9" s="973" t="s">
        <v>1642</v>
      </c>
      <c r="GC9" s="973" t="s">
        <v>1642</v>
      </c>
      <c r="GD9" s="973" t="s">
        <v>1643</v>
      </c>
      <c r="GE9" s="973" t="s">
        <v>1644</v>
      </c>
      <c r="GF9" s="973" t="s">
        <v>1645</v>
      </c>
      <c r="GG9" s="973">
        <v>0.25</v>
      </c>
      <c r="GH9" s="973" t="s">
        <v>1646</v>
      </c>
      <c r="GI9" s="973" t="s">
        <v>1647</v>
      </c>
      <c r="GJ9" s="973" t="s">
        <v>1648</v>
      </c>
      <c r="GK9" s="973" t="s">
        <v>1649</v>
      </c>
      <c r="GN9" s="949"/>
    </row>
    <row r="10" spans="1:196" s="948" customFormat="1" ht="20.100000000000001" customHeight="1" x14ac:dyDescent="0.3">
      <c r="A10" s="282" t="s">
        <v>451</v>
      </c>
      <c r="B10" s="974" t="s">
        <v>1650</v>
      </c>
      <c r="C10" s="975" t="s">
        <v>1651</v>
      </c>
      <c r="D10" s="975" t="s">
        <v>1652</v>
      </c>
      <c r="E10" s="975" t="s">
        <v>1652</v>
      </c>
      <c r="F10" s="974" t="s">
        <v>1653</v>
      </c>
      <c r="G10" s="975" t="s">
        <v>1654</v>
      </c>
      <c r="H10" s="975" t="s">
        <v>1550</v>
      </c>
      <c r="I10" s="975" t="s">
        <v>1654</v>
      </c>
      <c r="J10" s="975" t="s">
        <v>1654</v>
      </c>
      <c r="K10" s="975" t="s">
        <v>1654</v>
      </c>
      <c r="L10" s="975" t="s">
        <v>1654</v>
      </c>
      <c r="M10" s="975" t="s">
        <v>1655</v>
      </c>
      <c r="N10" s="974" t="s">
        <v>1656</v>
      </c>
      <c r="O10" s="975" t="s">
        <v>1657</v>
      </c>
      <c r="P10" s="975" t="s">
        <v>1658</v>
      </c>
      <c r="Q10" s="974" t="s">
        <v>452</v>
      </c>
      <c r="R10" s="975" t="s">
        <v>1659</v>
      </c>
      <c r="S10" s="975" t="s">
        <v>1660</v>
      </c>
      <c r="T10" s="976" t="s">
        <v>1540</v>
      </c>
      <c r="U10" s="976" t="s">
        <v>1661</v>
      </c>
      <c r="V10" s="976" t="s">
        <v>1662</v>
      </c>
      <c r="W10" s="976" t="s">
        <v>1663</v>
      </c>
      <c r="X10" s="976" t="s">
        <v>1540</v>
      </c>
      <c r="Y10" s="976" t="s">
        <v>1664</v>
      </c>
      <c r="Z10" s="976" t="s">
        <v>1665</v>
      </c>
      <c r="AA10" s="976" t="s">
        <v>1666</v>
      </c>
      <c r="AB10" s="976" t="s">
        <v>1667</v>
      </c>
      <c r="AC10" s="976" t="s">
        <v>1667</v>
      </c>
      <c r="AD10" s="976" t="s">
        <v>1542</v>
      </c>
      <c r="AE10" s="976" t="s">
        <v>1542</v>
      </c>
      <c r="AF10" s="976" t="s">
        <v>1668</v>
      </c>
      <c r="AG10" s="976" t="s">
        <v>1669</v>
      </c>
      <c r="AH10" s="976" t="s">
        <v>1670</v>
      </c>
      <c r="AI10" s="976" t="s">
        <v>1671</v>
      </c>
      <c r="AJ10" s="976" t="s">
        <v>1672</v>
      </c>
      <c r="AK10" s="976" t="s">
        <v>1672</v>
      </c>
      <c r="AL10" s="976" t="s">
        <v>1673</v>
      </c>
      <c r="AM10" s="976" t="s">
        <v>1673</v>
      </c>
      <c r="AN10" s="976" t="s">
        <v>1674</v>
      </c>
      <c r="AO10" s="976" t="s">
        <v>453</v>
      </c>
      <c r="AP10" s="976" t="s">
        <v>454</v>
      </c>
      <c r="AQ10" s="976" t="s">
        <v>1675</v>
      </c>
      <c r="AR10" s="976" t="s">
        <v>1676</v>
      </c>
      <c r="AS10" s="976" t="s">
        <v>1552</v>
      </c>
      <c r="AT10" s="976" t="s">
        <v>1677</v>
      </c>
      <c r="AU10" s="976" t="s">
        <v>1556</v>
      </c>
      <c r="AV10" s="976" t="s">
        <v>1556</v>
      </c>
      <c r="AW10" s="976" t="s">
        <v>1556</v>
      </c>
      <c r="AX10" s="976" t="s">
        <v>1556</v>
      </c>
      <c r="AY10" s="976" t="s">
        <v>1556</v>
      </c>
      <c r="AZ10" s="976" t="s">
        <v>1678</v>
      </c>
      <c r="BA10" s="976" t="s">
        <v>1556</v>
      </c>
      <c r="BB10" s="976" t="s">
        <v>1556</v>
      </c>
      <c r="BC10" s="976" t="s">
        <v>1556</v>
      </c>
      <c r="BD10" s="976" t="s">
        <v>1556</v>
      </c>
      <c r="BE10" s="976" t="s">
        <v>1556</v>
      </c>
      <c r="BF10" s="976" t="s">
        <v>1556</v>
      </c>
      <c r="BG10" s="976" t="s">
        <v>1556</v>
      </c>
      <c r="BH10" s="976" t="s">
        <v>1556</v>
      </c>
      <c r="BI10" s="976" t="s">
        <v>1556</v>
      </c>
      <c r="BJ10" s="976" t="s">
        <v>1556</v>
      </c>
      <c r="BK10" s="976" t="s">
        <v>1556</v>
      </c>
      <c r="BL10" s="976" t="s">
        <v>1556</v>
      </c>
      <c r="BM10" s="976" t="s">
        <v>1558</v>
      </c>
      <c r="BN10" s="976" t="s">
        <v>1679</v>
      </c>
      <c r="BO10" s="976" t="s">
        <v>1679</v>
      </c>
      <c r="BP10" s="976" t="s">
        <v>1679</v>
      </c>
      <c r="BQ10" s="976" t="s">
        <v>1679</v>
      </c>
      <c r="BR10" s="976" t="s">
        <v>1679</v>
      </c>
      <c r="BS10" s="976" t="s">
        <v>455</v>
      </c>
      <c r="BT10" s="976" t="s">
        <v>455</v>
      </c>
      <c r="BU10" s="976" t="s">
        <v>1680</v>
      </c>
      <c r="BV10" s="976" t="s">
        <v>1681</v>
      </c>
      <c r="BW10" s="976" t="s">
        <v>1682</v>
      </c>
      <c r="BX10" s="976" t="s">
        <v>1683</v>
      </c>
      <c r="BY10" s="976" t="s">
        <v>1684</v>
      </c>
      <c r="BZ10" s="977" t="s">
        <v>1684</v>
      </c>
      <c r="CA10" s="976" t="s">
        <v>1685</v>
      </c>
      <c r="CB10" s="976" t="s">
        <v>1686</v>
      </c>
      <c r="CC10" s="976" t="s">
        <v>1528</v>
      </c>
      <c r="CD10" s="976" t="s">
        <v>1687</v>
      </c>
      <c r="CE10" s="976" t="s">
        <v>1688</v>
      </c>
      <c r="CF10" s="976" t="s">
        <v>1689</v>
      </c>
      <c r="CG10" s="976" t="s">
        <v>1689</v>
      </c>
      <c r="CH10" s="976" t="s">
        <v>1690</v>
      </c>
      <c r="CI10" s="976" t="s">
        <v>1486</v>
      </c>
      <c r="CJ10" s="976" t="s">
        <v>1486</v>
      </c>
      <c r="CK10" s="976" t="s">
        <v>1691</v>
      </c>
      <c r="CL10" s="976" t="s">
        <v>1692</v>
      </c>
      <c r="CM10" s="976" t="s">
        <v>1486</v>
      </c>
      <c r="CN10" s="976" t="s">
        <v>1486</v>
      </c>
      <c r="CO10" s="976" t="s">
        <v>1486</v>
      </c>
      <c r="CP10" s="976" t="s">
        <v>1693</v>
      </c>
      <c r="CQ10" s="977" t="s">
        <v>1694</v>
      </c>
      <c r="CR10" s="976" t="s">
        <v>1695</v>
      </c>
      <c r="CS10" s="976" t="s">
        <v>1695</v>
      </c>
      <c r="CT10" s="976" t="s">
        <v>1696</v>
      </c>
      <c r="CU10" s="976" t="s">
        <v>1697</v>
      </c>
      <c r="CV10" s="976" t="s">
        <v>1698</v>
      </c>
      <c r="CW10" s="976" t="s">
        <v>1699</v>
      </c>
      <c r="CX10" s="976" t="s">
        <v>1581</v>
      </c>
      <c r="CY10" s="976" t="s">
        <v>1581</v>
      </c>
      <c r="CZ10" s="976" t="s">
        <v>1581</v>
      </c>
      <c r="DA10" s="976" t="s">
        <v>1699</v>
      </c>
      <c r="DB10" s="976" t="s">
        <v>1583</v>
      </c>
      <c r="DC10" s="978" t="s">
        <v>1583</v>
      </c>
      <c r="DD10" s="978" t="s">
        <v>1700</v>
      </c>
      <c r="DE10" s="978" t="s">
        <v>1701</v>
      </c>
      <c r="DF10" s="978" t="s">
        <v>1702</v>
      </c>
      <c r="DG10" s="978" t="s">
        <v>1703</v>
      </c>
      <c r="DH10" s="978" t="s">
        <v>1704</v>
      </c>
      <c r="DI10" s="978" t="s">
        <v>1705</v>
      </c>
      <c r="DJ10" s="978" t="s">
        <v>1705</v>
      </c>
      <c r="DK10" s="978" t="s">
        <v>1706</v>
      </c>
      <c r="DL10" s="978" t="s">
        <v>1706</v>
      </c>
      <c r="DM10" s="978" t="s">
        <v>1707</v>
      </c>
      <c r="DN10" s="978" t="s">
        <v>1708</v>
      </c>
      <c r="DO10" s="978" t="s">
        <v>1708</v>
      </c>
      <c r="DP10" s="978" t="s">
        <v>1709</v>
      </c>
      <c r="DQ10" s="978" t="s">
        <v>1710</v>
      </c>
      <c r="DR10" s="979" t="s">
        <v>1598</v>
      </c>
      <c r="DS10" s="980" t="s">
        <v>1711</v>
      </c>
      <c r="DT10" s="980" t="s">
        <v>1711</v>
      </c>
      <c r="DU10" s="980" t="s">
        <v>1711</v>
      </c>
      <c r="DV10" s="980" t="s">
        <v>1711</v>
      </c>
      <c r="DW10" s="980" t="s">
        <v>1712</v>
      </c>
      <c r="DX10" s="980" t="s">
        <v>1713</v>
      </c>
      <c r="DY10" s="980" t="s">
        <v>1714</v>
      </c>
      <c r="DZ10" s="980" t="s">
        <v>1715</v>
      </c>
      <c r="EA10" s="980" t="s">
        <v>1600</v>
      </c>
      <c r="EB10" s="980" t="s">
        <v>1600</v>
      </c>
      <c r="EC10" s="980" t="s">
        <v>1716</v>
      </c>
      <c r="ED10" s="980" t="s">
        <v>1717</v>
      </c>
      <c r="EE10" s="980" t="s">
        <v>1718</v>
      </c>
      <c r="EF10" s="980" t="s">
        <v>1719</v>
      </c>
      <c r="EG10" s="980" t="s">
        <v>1720</v>
      </c>
      <c r="EH10" s="980" t="s">
        <v>1721</v>
      </c>
      <c r="EI10" s="980" t="s">
        <v>1608</v>
      </c>
      <c r="EJ10" s="980" t="s">
        <v>1722</v>
      </c>
      <c r="EK10" s="980" t="s">
        <v>1722</v>
      </c>
      <c r="EL10" s="980" t="s">
        <v>1723</v>
      </c>
      <c r="EM10" s="980" t="s">
        <v>1724</v>
      </c>
      <c r="EN10" s="980" t="s">
        <v>1725</v>
      </c>
      <c r="EO10" s="980" t="s">
        <v>1726</v>
      </c>
      <c r="EP10" s="980" t="s">
        <v>1727</v>
      </c>
      <c r="EQ10" s="980" t="s">
        <v>1728</v>
      </c>
      <c r="ER10" s="980" t="s">
        <v>1729</v>
      </c>
      <c r="ES10" s="982" t="s">
        <v>1612</v>
      </c>
      <c r="ET10" s="972" t="s">
        <v>1730</v>
      </c>
      <c r="EU10" s="972" t="s">
        <v>1612</v>
      </c>
      <c r="EV10" s="972" t="s">
        <v>1731</v>
      </c>
      <c r="EW10" s="972" t="s">
        <v>1732</v>
      </c>
      <c r="EX10" s="972" t="s">
        <v>1733</v>
      </c>
      <c r="EY10" s="972" t="s">
        <v>1734</v>
      </c>
      <c r="EZ10" s="972" t="s">
        <v>1734</v>
      </c>
      <c r="FA10" s="972" t="s">
        <v>1735</v>
      </c>
      <c r="FB10" s="972" t="s">
        <v>1716</v>
      </c>
      <c r="FC10" s="972" t="s">
        <v>1736</v>
      </c>
      <c r="FD10" s="972" t="s">
        <v>1737</v>
      </c>
      <c r="FE10" s="973" t="s">
        <v>1738</v>
      </c>
      <c r="FF10" s="973" t="s">
        <v>1739</v>
      </c>
      <c r="FG10" s="973" t="s">
        <v>1737</v>
      </c>
      <c r="FH10" s="973" t="s">
        <v>1740</v>
      </c>
      <c r="FI10" s="973" t="s">
        <v>1741</v>
      </c>
      <c r="FJ10" s="973" t="s">
        <v>1742</v>
      </c>
      <c r="FK10" s="973" t="s">
        <v>1716</v>
      </c>
      <c r="FL10" s="973" t="s">
        <v>1742</v>
      </c>
      <c r="FM10" s="973" t="s">
        <v>1743</v>
      </c>
      <c r="FN10" s="973" t="s">
        <v>1744</v>
      </c>
      <c r="FO10" s="973" t="s">
        <v>1745</v>
      </c>
      <c r="FP10" s="973" t="s">
        <v>1737</v>
      </c>
      <c r="FQ10" s="973" t="s">
        <v>1745</v>
      </c>
      <c r="FR10" s="973" t="s">
        <v>1740</v>
      </c>
      <c r="FS10" s="973" t="s">
        <v>1732</v>
      </c>
      <c r="FT10" s="973" t="s">
        <v>1746</v>
      </c>
      <c r="FU10" s="973" t="s">
        <v>1746</v>
      </c>
      <c r="FV10" s="973" t="s">
        <v>1732</v>
      </c>
      <c r="FW10" s="973" t="s">
        <v>1747</v>
      </c>
      <c r="FX10" s="973" t="s">
        <v>1748</v>
      </c>
      <c r="FY10" s="973" t="s">
        <v>1749</v>
      </c>
      <c r="FZ10" s="973" t="s">
        <v>1750</v>
      </c>
      <c r="GA10" s="973" t="s">
        <v>1751</v>
      </c>
      <c r="GB10" s="973" t="s">
        <v>1752</v>
      </c>
      <c r="GC10" s="973" t="s">
        <v>1748</v>
      </c>
      <c r="GD10" s="973" t="s">
        <v>1753</v>
      </c>
      <c r="GE10" s="973" t="s">
        <v>1519</v>
      </c>
      <c r="GF10" s="973" t="s">
        <v>1748</v>
      </c>
      <c r="GG10" s="973" t="s">
        <v>1754</v>
      </c>
      <c r="GH10" s="973" t="s">
        <v>1755</v>
      </c>
      <c r="GI10" s="973" t="s">
        <v>1756</v>
      </c>
      <c r="GJ10" s="973" t="s">
        <v>1639</v>
      </c>
      <c r="GK10" s="973" t="s">
        <v>1519</v>
      </c>
      <c r="GN10" s="949"/>
    </row>
    <row r="11" spans="1:196" s="948" customFormat="1" ht="20.100000000000001" customHeight="1" x14ac:dyDescent="0.3">
      <c r="A11" s="282" t="s">
        <v>456</v>
      </c>
      <c r="B11" s="974" t="s">
        <v>1757</v>
      </c>
      <c r="C11" s="975" t="s">
        <v>1758</v>
      </c>
      <c r="D11" s="975" t="s">
        <v>1531</v>
      </c>
      <c r="E11" s="975" t="s">
        <v>1531</v>
      </c>
      <c r="F11" s="974" t="s">
        <v>1531</v>
      </c>
      <c r="G11" s="975" t="s">
        <v>1759</v>
      </c>
      <c r="H11" s="975" t="s">
        <v>1760</v>
      </c>
      <c r="I11" s="975" t="s">
        <v>1761</v>
      </c>
      <c r="J11" s="975" t="s">
        <v>1761</v>
      </c>
      <c r="K11" s="975" t="s">
        <v>1759</v>
      </c>
      <c r="L11" s="975" t="s">
        <v>1759</v>
      </c>
      <c r="M11" s="975" t="s">
        <v>1762</v>
      </c>
      <c r="N11" s="974" t="s">
        <v>1763</v>
      </c>
      <c r="O11" s="975" t="s">
        <v>1763</v>
      </c>
      <c r="P11" s="975" t="s">
        <v>1764</v>
      </c>
      <c r="Q11" s="974" t="s">
        <v>457</v>
      </c>
      <c r="R11" s="975" t="s">
        <v>457</v>
      </c>
      <c r="S11" s="975" t="s">
        <v>1765</v>
      </c>
      <c r="T11" s="976" t="s">
        <v>1766</v>
      </c>
      <c r="U11" s="976" t="s">
        <v>1767</v>
      </c>
      <c r="V11" s="976" t="s">
        <v>1768</v>
      </c>
      <c r="W11" s="976" t="s">
        <v>1769</v>
      </c>
      <c r="X11" s="976" t="s">
        <v>1769</v>
      </c>
      <c r="Y11" s="976" t="s">
        <v>1770</v>
      </c>
      <c r="Z11" s="976" t="s">
        <v>1771</v>
      </c>
      <c r="AA11" s="976" t="s">
        <v>1772</v>
      </c>
      <c r="AB11" s="976" t="s">
        <v>1773</v>
      </c>
      <c r="AC11" s="976" t="s">
        <v>1773</v>
      </c>
      <c r="AD11" s="976" t="s">
        <v>1773</v>
      </c>
      <c r="AE11" s="976" t="s">
        <v>1774</v>
      </c>
      <c r="AF11" s="976" t="s">
        <v>1774</v>
      </c>
      <c r="AG11" s="976" t="s">
        <v>1774</v>
      </c>
      <c r="AH11" s="976" t="s">
        <v>1774</v>
      </c>
      <c r="AI11" s="976" t="s">
        <v>1774</v>
      </c>
      <c r="AJ11" s="976" t="s">
        <v>1775</v>
      </c>
      <c r="AK11" s="976" t="s">
        <v>1776</v>
      </c>
      <c r="AL11" s="976" t="s">
        <v>1776</v>
      </c>
      <c r="AM11" s="976" t="s">
        <v>1777</v>
      </c>
      <c r="AN11" s="976" t="s">
        <v>1778</v>
      </c>
      <c r="AO11" s="976" t="s">
        <v>1778</v>
      </c>
      <c r="AP11" s="976" t="s">
        <v>1779</v>
      </c>
      <c r="AQ11" s="976" t="s">
        <v>1779</v>
      </c>
      <c r="AR11" s="976" t="s">
        <v>1780</v>
      </c>
      <c r="AS11" s="976" t="s">
        <v>1780</v>
      </c>
      <c r="AT11" s="976" t="s">
        <v>1780</v>
      </c>
      <c r="AU11" s="976" t="s">
        <v>1781</v>
      </c>
      <c r="AV11" s="976" t="s">
        <v>1782</v>
      </c>
      <c r="AW11" s="976" t="s">
        <v>1782</v>
      </c>
      <c r="AX11" s="976" t="s">
        <v>1782</v>
      </c>
      <c r="AY11" s="976" t="s">
        <v>1556</v>
      </c>
      <c r="AZ11" s="976" t="s">
        <v>1556</v>
      </c>
      <c r="BA11" s="976" t="s">
        <v>1556</v>
      </c>
      <c r="BB11" s="976" t="s">
        <v>1556</v>
      </c>
      <c r="BC11" s="976" t="s">
        <v>1556</v>
      </c>
      <c r="BD11" s="976" t="s">
        <v>1783</v>
      </c>
      <c r="BE11" s="976" t="s">
        <v>1556</v>
      </c>
      <c r="BF11" s="976" t="s">
        <v>1556</v>
      </c>
      <c r="BG11" s="976" t="s">
        <v>1556</v>
      </c>
      <c r="BH11" s="976" t="s">
        <v>1556</v>
      </c>
      <c r="BI11" s="976" t="s">
        <v>1783</v>
      </c>
      <c r="BJ11" s="976" t="s">
        <v>1783</v>
      </c>
      <c r="BK11" s="976" t="s">
        <v>1556</v>
      </c>
      <c r="BL11" s="976" t="s">
        <v>1784</v>
      </c>
      <c r="BM11" s="976" t="s">
        <v>1785</v>
      </c>
      <c r="BN11" s="976" t="s">
        <v>1786</v>
      </c>
      <c r="BO11" s="976" t="s">
        <v>1786</v>
      </c>
      <c r="BP11" s="976" t="s">
        <v>1786</v>
      </c>
      <c r="BQ11" s="976" t="s">
        <v>1786</v>
      </c>
      <c r="BR11" s="976" t="s">
        <v>1786</v>
      </c>
      <c r="BS11" s="976" t="s">
        <v>1787</v>
      </c>
      <c r="BT11" s="976" t="s">
        <v>1787</v>
      </c>
      <c r="BU11" s="976" t="s">
        <v>1787</v>
      </c>
      <c r="BV11" s="976" t="s">
        <v>1787</v>
      </c>
      <c r="BW11" s="976" t="s">
        <v>1788</v>
      </c>
      <c r="BX11" s="976" t="s">
        <v>1789</v>
      </c>
      <c r="BY11" s="976" t="s">
        <v>1790</v>
      </c>
      <c r="BZ11" s="977" t="s">
        <v>1790</v>
      </c>
      <c r="CA11" s="976" t="s">
        <v>1790</v>
      </c>
      <c r="CB11" s="976" t="s">
        <v>1790</v>
      </c>
      <c r="CC11" s="976" t="s">
        <v>1790</v>
      </c>
      <c r="CD11" s="976" t="s">
        <v>1791</v>
      </c>
      <c r="CE11" s="976" t="s">
        <v>1792</v>
      </c>
      <c r="CF11" s="976" t="s">
        <v>1792</v>
      </c>
      <c r="CG11" s="976" t="s">
        <v>1792</v>
      </c>
      <c r="CH11" s="976" t="s">
        <v>1793</v>
      </c>
      <c r="CI11" s="976" t="s">
        <v>1794</v>
      </c>
      <c r="CJ11" s="976" t="s">
        <v>1795</v>
      </c>
      <c r="CK11" s="976" t="s">
        <v>1796</v>
      </c>
      <c r="CL11" s="976" t="s">
        <v>1692</v>
      </c>
      <c r="CM11" s="976" t="s">
        <v>1485</v>
      </c>
      <c r="CN11" s="976" t="s">
        <v>1797</v>
      </c>
      <c r="CO11" s="976" t="s">
        <v>458</v>
      </c>
      <c r="CP11" s="976" t="s">
        <v>1798</v>
      </c>
      <c r="CQ11" s="977" t="s">
        <v>1799</v>
      </c>
      <c r="CR11" s="976" t="s">
        <v>1800</v>
      </c>
      <c r="CS11" s="976" t="s">
        <v>1801</v>
      </c>
      <c r="CT11" s="976" t="s">
        <v>1802</v>
      </c>
      <c r="CU11" s="976" t="s">
        <v>1803</v>
      </c>
      <c r="CV11" s="976" t="s">
        <v>1581</v>
      </c>
      <c r="CW11" s="976" t="s">
        <v>1804</v>
      </c>
      <c r="CX11" s="976" t="s">
        <v>1804</v>
      </c>
      <c r="CY11" s="976" t="s">
        <v>1699</v>
      </c>
      <c r="CZ11" s="976" t="s">
        <v>1699</v>
      </c>
      <c r="DA11" s="976" t="s">
        <v>1805</v>
      </c>
      <c r="DB11" s="976" t="s">
        <v>1806</v>
      </c>
      <c r="DC11" s="978" t="s">
        <v>1807</v>
      </c>
      <c r="DD11" s="978" t="s">
        <v>1808</v>
      </c>
      <c r="DE11" s="978" t="s">
        <v>1809</v>
      </c>
      <c r="DF11" s="978" t="s">
        <v>1810</v>
      </c>
      <c r="DG11" s="978" t="s">
        <v>1811</v>
      </c>
      <c r="DH11" s="978" t="s">
        <v>1812</v>
      </c>
      <c r="DI11" s="978" t="s">
        <v>1813</v>
      </c>
      <c r="DJ11" s="978" t="s">
        <v>1814</v>
      </c>
      <c r="DK11" s="978" t="s">
        <v>1815</v>
      </c>
      <c r="DL11" s="978" t="s">
        <v>1816</v>
      </c>
      <c r="DM11" s="978" t="s">
        <v>1817</v>
      </c>
      <c r="DN11" s="978" t="s">
        <v>1818</v>
      </c>
      <c r="DO11" s="978" t="s">
        <v>1819</v>
      </c>
      <c r="DP11" s="978" t="s">
        <v>1820</v>
      </c>
      <c r="DQ11" s="978" t="s">
        <v>1821</v>
      </c>
      <c r="DR11" s="979" t="s">
        <v>1822</v>
      </c>
      <c r="DS11" s="980" t="s">
        <v>1822</v>
      </c>
      <c r="DT11" s="980" t="s">
        <v>1823</v>
      </c>
      <c r="DU11" s="980" t="s">
        <v>1823</v>
      </c>
      <c r="DV11" s="980" t="s">
        <v>1824</v>
      </c>
      <c r="DW11" s="980" t="s">
        <v>1825</v>
      </c>
      <c r="DX11" s="980" t="s">
        <v>1598</v>
      </c>
      <c r="DY11" s="980" t="s">
        <v>1598</v>
      </c>
      <c r="DZ11" s="980" t="s">
        <v>1826</v>
      </c>
      <c r="EA11" s="980" t="s">
        <v>1827</v>
      </c>
      <c r="EB11" s="980" t="s">
        <v>1828</v>
      </c>
      <c r="EC11" s="980" t="s">
        <v>1828</v>
      </c>
      <c r="ED11" s="980" t="s">
        <v>1829</v>
      </c>
      <c r="EE11" s="980" t="s">
        <v>1829</v>
      </c>
      <c r="EF11" s="980" t="s">
        <v>459</v>
      </c>
      <c r="EG11" s="980" t="s">
        <v>1830</v>
      </c>
      <c r="EH11" s="980" t="s">
        <v>1830</v>
      </c>
      <c r="EI11" s="980" t="s">
        <v>1831</v>
      </c>
      <c r="EJ11" s="980" t="s">
        <v>1832</v>
      </c>
      <c r="EK11" s="980" t="s">
        <v>1725</v>
      </c>
      <c r="EL11" s="980" t="s">
        <v>1833</v>
      </c>
      <c r="EM11" s="980" t="s">
        <v>1834</v>
      </c>
      <c r="EN11" s="980" t="s">
        <v>1835</v>
      </c>
      <c r="EO11" s="980" t="s">
        <v>1725</v>
      </c>
      <c r="EP11" s="980" t="s">
        <v>1836</v>
      </c>
      <c r="EQ11" s="980" t="s">
        <v>1725</v>
      </c>
      <c r="ER11" s="980" t="s">
        <v>1837</v>
      </c>
      <c r="ES11" s="982" t="s">
        <v>1838</v>
      </c>
      <c r="ET11" s="972" t="s">
        <v>891</v>
      </c>
      <c r="EU11" s="972" t="s">
        <v>1839</v>
      </c>
      <c r="EV11" s="972" t="s">
        <v>1840</v>
      </c>
      <c r="EW11" s="972" t="s">
        <v>1841</v>
      </c>
      <c r="EX11" s="972" t="s">
        <v>1736</v>
      </c>
      <c r="EY11" s="972" t="s">
        <v>1842</v>
      </c>
      <c r="EZ11" s="972" t="s">
        <v>1843</v>
      </c>
      <c r="FA11" s="972" t="s">
        <v>1736</v>
      </c>
      <c r="FB11" s="972" t="s">
        <v>1736</v>
      </c>
      <c r="FC11" s="972" t="s">
        <v>1844</v>
      </c>
      <c r="FD11" s="972" t="s">
        <v>1845</v>
      </c>
      <c r="FE11" s="973" t="s">
        <v>1594</v>
      </c>
      <c r="FF11" s="973" t="s">
        <v>1846</v>
      </c>
      <c r="FG11" s="973" t="s">
        <v>1846</v>
      </c>
      <c r="FH11" s="973" t="s">
        <v>1847</v>
      </c>
      <c r="FI11" s="973" t="s">
        <v>1848</v>
      </c>
      <c r="FJ11" s="973" t="s">
        <v>1849</v>
      </c>
      <c r="FK11" s="973" t="s">
        <v>1850</v>
      </c>
      <c r="FL11" s="973" t="s">
        <v>1851</v>
      </c>
      <c r="FM11" s="973" t="s">
        <v>1742</v>
      </c>
      <c r="FN11" s="973" t="s">
        <v>1734</v>
      </c>
      <c r="FO11" s="973" t="s">
        <v>1852</v>
      </c>
      <c r="FP11" s="973" t="s">
        <v>1852</v>
      </c>
      <c r="FQ11" s="973" t="s">
        <v>1742</v>
      </c>
      <c r="FR11" s="973" t="s">
        <v>1853</v>
      </c>
      <c r="FS11" s="973" t="s">
        <v>1737</v>
      </c>
      <c r="FT11" s="973" t="s">
        <v>1854</v>
      </c>
      <c r="FU11" s="973" t="s">
        <v>1745</v>
      </c>
      <c r="FV11" s="973" t="s">
        <v>1745</v>
      </c>
      <c r="FW11" s="973" t="s">
        <v>1855</v>
      </c>
      <c r="FX11" s="973" t="s">
        <v>1617</v>
      </c>
      <c r="FY11" s="973" t="s">
        <v>1856</v>
      </c>
      <c r="FZ11" s="973" t="s">
        <v>1857</v>
      </c>
      <c r="GA11" s="973" t="s">
        <v>1617</v>
      </c>
      <c r="GB11" s="973" t="s">
        <v>1858</v>
      </c>
      <c r="GC11" s="973" t="s">
        <v>1859</v>
      </c>
      <c r="GD11" s="973" t="s">
        <v>1860</v>
      </c>
      <c r="GE11" s="973" t="s">
        <v>1753</v>
      </c>
      <c r="GF11" s="973" t="s">
        <v>1861</v>
      </c>
      <c r="GG11" s="973" t="s">
        <v>1862</v>
      </c>
      <c r="GH11" s="973" t="s">
        <v>1863</v>
      </c>
      <c r="GI11" s="973" t="s">
        <v>1864</v>
      </c>
      <c r="GJ11" s="973" t="s">
        <v>1865</v>
      </c>
      <c r="GK11" s="973" t="s">
        <v>1866</v>
      </c>
      <c r="GN11" s="949"/>
    </row>
    <row r="12" spans="1:196" s="948" customFormat="1" ht="20.100000000000001" customHeight="1" x14ac:dyDescent="0.3">
      <c r="A12" s="282" t="s">
        <v>460</v>
      </c>
      <c r="B12" s="974" t="s">
        <v>1867</v>
      </c>
      <c r="C12" s="975" t="s">
        <v>1868</v>
      </c>
      <c r="D12" s="975" t="s">
        <v>1869</v>
      </c>
      <c r="E12" s="975" t="s">
        <v>1870</v>
      </c>
      <c r="F12" s="974" t="s">
        <v>1870</v>
      </c>
      <c r="G12" s="975" t="s">
        <v>1871</v>
      </c>
      <c r="H12" s="975" t="s">
        <v>1872</v>
      </c>
      <c r="I12" s="975" t="s">
        <v>1873</v>
      </c>
      <c r="J12" s="975" t="s">
        <v>1871</v>
      </c>
      <c r="K12" s="975" t="s">
        <v>1871</v>
      </c>
      <c r="L12" s="975" t="s">
        <v>1871</v>
      </c>
      <c r="M12" s="975" t="s">
        <v>1871</v>
      </c>
      <c r="N12" s="974" t="s">
        <v>1869</v>
      </c>
      <c r="O12" s="975" t="s">
        <v>1869</v>
      </c>
      <c r="P12" s="975" t="s">
        <v>1874</v>
      </c>
      <c r="Q12" s="974" t="s">
        <v>1770</v>
      </c>
      <c r="R12" s="975" t="s">
        <v>1770</v>
      </c>
      <c r="S12" s="975" t="s">
        <v>1875</v>
      </c>
      <c r="T12" s="976" t="s">
        <v>1876</v>
      </c>
      <c r="U12" s="976" t="s">
        <v>1773</v>
      </c>
      <c r="V12" s="976" t="s">
        <v>1773</v>
      </c>
      <c r="W12" s="976" t="s">
        <v>1773</v>
      </c>
      <c r="X12" s="976" t="s">
        <v>1773</v>
      </c>
      <c r="Y12" s="976" t="s">
        <v>1773</v>
      </c>
      <c r="Z12" s="976" t="s">
        <v>1773</v>
      </c>
      <c r="AA12" s="976" t="s">
        <v>1877</v>
      </c>
      <c r="AB12" s="976" t="s">
        <v>1771</v>
      </c>
      <c r="AC12" s="976" t="s">
        <v>1771</v>
      </c>
      <c r="AD12" s="976" t="s">
        <v>1771</v>
      </c>
      <c r="AE12" s="976" t="s">
        <v>1875</v>
      </c>
      <c r="AF12" s="976" t="s">
        <v>1875</v>
      </c>
      <c r="AG12" s="976" t="s">
        <v>1875</v>
      </c>
      <c r="AH12" s="976" t="s">
        <v>1875</v>
      </c>
      <c r="AI12" s="976" t="s">
        <v>1875</v>
      </c>
      <c r="AJ12" s="976" t="s">
        <v>1878</v>
      </c>
      <c r="AK12" s="976" t="s">
        <v>1879</v>
      </c>
      <c r="AL12" s="976" t="s">
        <v>1880</v>
      </c>
      <c r="AM12" s="976" t="s">
        <v>1881</v>
      </c>
      <c r="AN12" s="976" t="s">
        <v>1881</v>
      </c>
      <c r="AO12" s="976" t="s">
        <v>1881</v>
      </c>
      <c r="AP12" s="976" t="s">
        <v>1880</v>
      </c>
      <c r="AQ12" s="976" t="s">
        <v>461</v>
      </c>
      <c r="AR12" s="976" t="s">
        <v>1882</v>
      </c>
      <c r="AS12" s="976" t="s">
        <v>1882</v>
      </c>
      <c r="AT12" s="976" t="s">
        <v>1882</v>
      </c>
      <c r="AU12" s="976" t="s">
        <v>1883</v>
      </c>
      <c r="AV12" s="976" t="s">
        <v>1883</v>
      </c>
      <c r="AW12" s="976" t="s">
        <v>1883</v>
      </c>
      <c r="AX12" s="976" t="s">
        <v>1883</v>
      </c>
      <c r="AY12" s="976" t="s">
        <v>1883</v>
      </c>
      <c r="AZ12" s="976" t="s">
        <v>1883</v>
      </c>
      <c r="BA12" s="976" t="s">
        <v>1883</v>
      </c>
      <c r="BB12" s="976" t="s">
        <v>1883</v>
      </c>
      <c r="BC12" s="976" t="s">
        <v>1883</v>
      </c>
      <c r="BD12" s="976" t="s">
        <v>1883</v>
      </c>
      <c r="BE12" s="976" t="s">
        <v>1884</v>
      </c>
      <c r="BF12" s="976" t="s">
        <v>1884</v>
      </c>
      <c r="BG12" s="976" t="s">
        <v>1885</v>
      </c>
      <c r="BH12" s="976" t="s">
        <v>1885</v>
      </c>
      <c r="BI12" s="976" t="s">
        <v>1556</v>
      </c>
      <c r="BJ12" s="976" t="s">
        <v>1556</v>
      </c>
      <c r="BK12" s="976" t="s">
        <v>1884</v>
      </c>
      <c r="BL12" s="976" t="s">
        <v>1884</v>
      </c>
      <c r="BM12" s="976" t="s">
        <v>1886</v>
      </c>
      <c r="BN12" s="976" t="s">
        <v>1887</v>
      </c>
      <c r="BO12" s="976" t="s">
        <v>1887</v>
      </c>
      <c r="BP12" s="976" t="s">
        <v>1888</v>
      </c>
      <c r="BQ12" s="976" t="s">
        <v>1889</v>
      </c>
      <c r="BR12" s="976" t="s">
        <v>1889</v>
      </c>
      <c r="BS12" s="976" t="s">
        <v>1889</v>
      </c>
      <c r="BT12" s="976" t="s">
        <v>1889</v>
      </c>
      <c r="BU12" s="976" t="s">
        <v>1886</v>
      </c>
      <c r="BV12" s="976" t="s">
        <v>1886</v>
      </c>
      <c r="BW12" s="976" t="s">
        <v>1890</v>
      </c>
      <c r="BX12" s="976" t="s">
        <v>1890</v>
      </c>
      <c r="BY12" s="976" t="s">
        <v>1890</v>
      </c>
      <c r="BZ12" s="977" t="s">
        <v>1891</v>
      </c>
      <c r="CA12" s="976" t="s">
        <v>1558</v>
      </c>
      <c r="CB12" s="976" t="s">
        <v>1558</v>
      </c>
      <c r="CC12" s="976" t="s">
        <v>1891</v>
      </c>
      <c r="CD12" s="976" t="s">
        <v>1558</v>
      </c>
      <c r="CE12" s="976" t="s">
        <v>1892</v>
      </c>
      <c r="CF12" s="976" t="s">
        <v>1893</v>
      </c>
      <c r="CG12" s="976" t="s">
        <v>1893</v>
      </c>
      <c r="CH12" s="976" t="s">
        <v>1894</v>
      </c>
      <c r="CI12" s="976" t="s">
        <v>1891</v>
      </c>
      <c r="CJ12" s="976" t="s">
        <v>1891</v>
      </c>
      <c r="CK12" s="976" t="s">
        <v>1894</v>
      </c>
      <c r="CL12" s="976" t="s">
        <v>1894</v>
      </c>
      <c r="CM12" s="976" t="s">
        <v>1679</v>
      </c>
      <c r="CN12" s="976" t="s">
        <v>1679</v>
      </c>
      <c r="CO12" s="976" t="s">
        <v>1895</v>
      </c>
      <c r="CP12" s="976" t="s">
        <v>1896</v>
      </c>
      <c r="CQ12" s="977" t="s">
        <v>1896</v>
      </c>
      <c r="CR12" s="976" t="s">
        <v>1897</v>
      </c>
      <c r="CS12" s="976" t="s">
        <v>1898</v>
      </c>
      <c r="CT12" s="976" t="s">
        <v>1899</v>
      </c>
      <c r="CU12" s="976" t="s">
        <v>1900</v>
      </c>
      <c r="CV12" s="976" t="s">
        <v>1901</v>
      </c>
      <c r="CW12" s="976" t="s">
        <v>1901</v>
      </c>
      <c r="CX12" s="976" t="s">
        <v>1901</v>
      </c>
      <c r="CY12" s="976" t="s">
        <v>1902</v>
      </c>
      <c r="CZ12" s="976" t="s">
        <v>1902</v>
      </c>
      <c r="DA12" s="976" t="s">
        <v>1903</v>
      </c>
      <c r="DB12" s="976" t="s">
        <v>1811</v>
      </c>
      <c r="DC12" s="978" t="s">
        <v>1904</v>
      </c>
      <c r="DD12" s="978" t="s">
        <v>1905</v>
      </c>
      <c r="DE12" s="978" t="s">
        <v>1906</v>
      </c>
      <c r="DF12" s="978" t="s">
        <v>1907</v>
      </c>
      <c r="DG12" s="978" t="s">
        <v>1908</v>
      </c>
      <c r="DH12" s="978" t="s">
        <v>1909</v>
      </c>
      <c r="DI12" s="978" t="s">
        <v>1910</v>
      </c>
      <c r="DJ12" s="978" t="s">
        <v>1911</v>
      </c>
      <c r="DK12" s="978" t="s">
        <v>1912</v>
      </c>
      <c r="DL12" s="978" t="s">
        <v>1909</v>
      </c>
      <c r="DM12" s="978" t="s">
        <v>1909</v>
      </c>
      <c r="DN12" s="978" t="s">
        <v>1909</v>
      </c>
      <c r="DO12" s="978" t="s">
        <v>1913</v>
      </c>
      <c r="DP12" s="978" t="s">
        <v>1914</v>
      </c>
      <c r="DQ12" s="978" t="s">
        <v>1494</v>
      </c>
      <c r="DR12" s="979" t="s">
        <v>1915</v>
      </c>
      <c r="DS12" s="980" t="s">
        <v>1916</v>
      </c>
      <c r="DT12" s="980" t="s">
        <v>1917</v>
      </c>
      <c r="DU12" s="980" t="s">
        <v>1494</v>
      </c>
      <c r="DV12" s="980" t="s">
        <v>1494</v>
      </c>
      <c r="DW12" s="980" t="s">
        <v>1494</v>
      </c>
      <c r="DX12" s="980" t="s">
        <v>1918</v>
      </c>
      <c r="DY12" s="980" t="s">
        <v>1919</v>
      </c>
      <c r="DZ12" s="980" t="s">
        <v>1920</v>
      </c>
      <c r="EA12" s="980" t="s">
        <v>1920</v>
      </c>
      <c r="EB12" s="980" t="s">
        <v>1920</v>
      </c>
      <c r="EC12" s="980" t="s">
        <v>1920</v>
      </c>
      <c r="ED12" s="980" t="s">
        <v>1921</v>
      </c>
      <c r="EE12" s="980" t="s">
        <v>1919</v>
      </c>
      <c r="EF12" s="980" t="s">
        <v>1922</v>
      </c>
      <c r="EG12" s="980" t="s">
        <v>1922</v>
      </c>
      <c r="EH12" s="980" t="s">
        <v>1922</v>
      </c>
      <c r="EI12" s="980" t="s">
        <v>1922</v>
      </c>
      <c r="EJ12" s="980" t="s">
        <v>1923</v>
      </c>
      <c r="EK12" s="980" t="s">
        <v>1924</v>
      </c>
      <c r="EL12" s="980" t="s">
        <v>1925</v>
      </c>
      <c r="EM12" s="980" t="s">
        <v>1926</v>
      </c>
      <c r="EN12" s="980" t="s">
        <v>1927</v>
      </c>
      <c r="EO12" s="980" t="s">
        <v>1928</v>
      </c>
      <c r="EP12" s="980" t="s">
        <v>1929</v>
      </c>
      <c r="EQ12" s="980" t="s">
        <v>1925</v>
      </c>
      <c r="ER12" s="980" t="s">
        <v>1930</v>
      </c>
      <c r="ES12" s="982" t="s">
        <v>1931</v>
      </c>
      <c r="ET12" s="972" t="s">
        <v>1932</v>
      </c>
      <c r="EU12" s="972" t="s">
        <v>1933</v>
      </c>
      <c r="EV12" s="972" t="s">
        <v>462</v>
      </c>
      <c r="EW12" s="972" t="s">
        <v>1934</v>
      </c>
      <c r="EX12" s="972" t="s">
        <v>1935</v>
      </c>
      <c r="EY12" s="972" t="s">
        <v>1936</v>
      </c>
      <c r="EZ12" s="972" t="s">
        <v>1937</v>
      </c>
      <c r="FA12" s="972" t="s">
        <v>1938</v>
      </c>
      <c r="FB12" s="972" t="s">
        <v>1939</v>
      </c>
      <c r="FC12" s="972" t="s">
        <v>1940</v>
      </c>
      <c r="FD12" s="972" t="s">
        <v>1941</v>
      </c>
      <c r="FE12" s="973" t="s">
        <v>1942</v>
      </c>
      <c r="FF12" s="973" t="s">
        <v>1943</v>
      </c>
      <c r="FG12" s="973" t="s">
        <v>1944</v>
      </c>
      <c r="FH12" s="973" t="s">
        <v>1945</v>
      </c>
      <c r="FI12" s="973" t="s">
        <v>1946</v>
      </c>
      <c r="FJ12" s="973" t="s">
        <v>1828</v>
      </c>
      <c r="FK12" s="973" t="s">
        <v>1947</v>
      </c>
      <c r="FL12" s="973" t="s">
        <v>1948</v>
      </c>
      <c r="FM12" s="973" t="s">
        <v>1949</v>
      </c>
      <c r="FN12" s="973" t="s">
        <v>1950</v>
      </c>
      <c r="FO12" s="973" t="s">
        <v>1940</v>
      </c>
      <c r="FP12" s="973" t="s">
        <v>1951</v>
      </c>
      <c r="FQ12" s="973" t="s">
        <v>1952</v>
      </c>
      <c r="FR12" s="973" t="s">
        <v>1953</v>
      </c>
      <c r="FS12" s="973" t="s">
        <v>1954</v>
      </c>
      <c r="FT12" s="973" t="s">
        <v>1955</v>
      </c>
      <c r="FU12" s="973" t="s">
        <v>1956</v>
      </c>
      <c r="FV12" s="973" t="s">
        <v>1596</v>
      </c>
      <c r="FW12" s="973" t="s">
        <v>1930</v>
      </c>
      <c r="FX12" s="973" t="s">
        <v>1513</v>
      </c>
      <c r="FY12" s="973" t="s">
        <v>1957</v>
      </c>
      <c r="FZ12" s="973" t="s">
        <v>1957</v>
      </c>
      <c r="GA12" s="973" t="s">
        <v>1958</v>
      </c>
      <c r="GB12" s="973" t="s">
        <v>1959</v>
      </c>
      <c r="GC12" s="973" t="s">
        <v>1604</v>
      </c>
      <c r="GD12" s="973" t="s">
        <v>1960</v>
      </c>
      <c r="GE12" s="973" t="s">
        <v>1961</v>
      </c>
      <c r="GF12" s="973" t="s">
        <v>1961</v>
      </c>
      <c r="GG12" s="973" t="s">
        <v>1962</v>
      </c>
      <c r="GH12" s="973" t="s">
        <v>1960</v>
      </c>
      <c r="GI12" s="973" t="s">
        <v>1963</v>
      </c>
      <c r="GJ12" s="973" t="s">
        <v>1964</v>
      </c>
      <c r="GK12" s="973" t="s">
        <v>1965</v>
      </c>
      <c r="GN12" s="949"/>
    </row>
    <row r="13" spans="1:196" s="948" customFormat="1" ht="20.100000000000001" customHeight="1" x14ac:dyDescent="0.3">
      <c r="A13" s="282" t="s">
        <v>463</v>
      </c>
      <c r="B13" s="974" t="s">
        <v>1966</v>
      </c>
      <c r="C13" s="975" t="s">
        <v>1966</v>
      </c>
      <c r="D13" s="975" t="s">
        <v>1967</v>
      </c>
      <c r="E13" s="975" t="s">
        <v>1967</v>
      </c>
      <c r="F13" s="974" t="s">
        <v>1967</v>
      </c>
      <c r="G13" s="975" t="s">
        <v>1968</v>
      </c>
      <c r="H13" s="975" t="s">
        <v>1969</v>
      </c>
      <c r="I13" s="975" t="s">
        <v>1780</v>
      </c>
      <c r="J13" s="975" t="s">
        <v>1967</v>
      </c>
      <c r="K13" s="975" t="s">
        <v>1967</v>
      </c>
      <c r="L13" s="975" t="s">
        <v>1967</v>
      </c>
      <c r="M13" s="975" t="s">
        <v>1967</v>
      </c>
      <c r="N13" s="974" t="s">
        <v>1970</v>
      </c>
      <c r="O13" s="975">
        <v>2.5</v>
      </c>
      <c r="P13" s="975" t="s">
        <v>1779</v>
      </c>
      <c r="Q13" s="974" t="s">
        <v>898</v>
      </c>
      <c r="R13" s="975" t="s">
        <v>461</v>
      </c>
      <c r="S13" s="975" t="s">
        <v>1971</v>
      </c>
      <c r="T13" s="976" t="s">
        <v>1972</v>
      </c>
      <c r="U13" s="976" t="s">
        <v>1973</v>
      </c>
      <c r="V13" s="976" t="s">
        <v>1973</v>
      </c>
      <c r="W13" s="976" t="s">
        <v>1972</v>
      </c>
      <c r="X13" s="976" t="s">
        <v>461</v>
      </c>
      <c r="Y13" s="976" t="s">
        <v>461</v>
      </c>
      <c r="Z13" s="976" t="s">
        <v>1880</v>
      </c>
      <c r="AA13" s="976" t="s">
        <v>1008</v>
      </c>
      <c r="AB13" s="976" t="s">
        <v>461</v>
      </c>
      <c r="AC13" s="976" t="s">
        <v>461</v>
      </c>
      <c r="AD13" s="976" t="s">
        <v>461</v>
      </c>
      <c r="AE13" s="976" t="s">
        <v>464</v>
      </c>
      <c r="AF13" s="976" t="s">
        <v>464</v>
      </c>
      <c r="AG13" s="976" t="s">
        <v>1974</v>
      </c>
      <c r="AH13" s="976" t="s">
        <v>1008</v>
      </c>
      <c r="AI13" s="976" t="s">
        <v>461</v>
      </c>
      <c r="AJ13" s="976" t="s">
        <v>461</v>
      </c>
      <c r="AK13" s="976" t="s">
        <v>461</v>
      </c>
      <c r="AL13" s="976" t="s">
        <v>1975</v>
      </c>
      <c r="AM13" s="976" t="s">
        <v>1976</v>
      </c>
      <c r="AN13" s="976" t="s">
        <v>1977</v>
      </c>
      <c r="AO13" s="976" t="s">
        <v>1977</v>
      </c>
      <c r="AP13" s="976" t="s">
        <v>1978</v>
      </c>
      <c r="AQ13" s="976" t="s">
        <v>1879</v>
      </c>
      <c r="AR13" s="976" t="s">
        <v>1879</v>
      </c>
      <c r="AS13" s="976" t="s">
        <v>1979</v>
      </c>
      <c r="AT13" s="976" t="s">
        <v>1967</v>
      </c>
      <c r="AU13" s="976" t="s">
        <v>1980</v>
      </c>
      <c r="AV13" s="976" t="s">
        <v>1981</v>
      </c>
      <c r="AW13" s="976" t="s">
        <v>1981</v>
      </c>
      <c r="AX13" s="976" t="s">
        <v>1981</v>
      </c>
      <c r="AY13" s="976" t="s">
        <v>1981</v>
      </c>
      <c r="AZ13" s="976" t="s">
        <v>1982</v>
      </c>
      <c r="BA13" s="976" t="s">
        <v>1983</v>
      </c>
      <c r="BB13" s="976" t="s">
        <v>1984</v>
      </c>
      <c r="BC13" s="976" t="s">
        <v>1984</v>
      </c>
      <c r="BD13" s="976" t="s">
        <v>1985</v>
      </c>
      <c r="BE13" s="976" t="s">
        <v>1986</v>
      </c>
      <c r="BF13" s="976" t="s">
        <v>1986</v>
      </c>
      <c r="BG13" s="976" t="s">
        <v>1986</v>
      </c>
      <c r="BH13" s="976" t="s">
        <v>1985</v>
      </c>
      <c r="BI13" s="976" t="s">
        <v>1987</v>
      </c>
      <c r="BJ13" s="976" t="s">
        <v>1987</v>
      </c>
      <c r="BK13" s="976" t="s">
        <v>1988</v>
      </c>
      <c r="BL13" s="976" t="s">
        <v>1008</v>
      </c>
      <c r="BM13" s="976" t="s">
        <v>1989</v>
      </c>
      <c r="BN13" s="976" t="s">
        <v>1980</v>
      </c>
      <c r="BO13" s="976" t="s">
        <v>1980</v>
      </c>
      <c r="BP13" s="976" t="s">
        <v>1980</v>
      </c>
      <c r="BQ13" s="976" t="s">
        <v>1980</v>
      </c>
      <c r="BR13" s="976" t="s">
        <v>1980</v>
      </c>
      <c r="BS13" s="976" t="s">
        <v>1980</v>
      </c>
      <c r="BT13" s="976" t="s">
        <v>1980</v>
      </c>
      <c r="BU13" s="976" t="s">
        <v>1980</v>
      </c>
      <c r="BV13" s="976" t="s">
        <v>1980</v>
      </c>
      <c r="BW13" s="976" t="s">
        <v>1990</v>
      </c>
      <c r="BX13" s="976" t="s">
        <v>1990</v>
      </c>
      <c r="BY13" s="976" t="s">
        <v>1990</v>
      </c>
      <c r="BZ13" s="977" t="s">
        <v>1990</v>
      </c>
      <c r="CA13" s="976" t="s">
        <v>1990</v>
      </c>
      <c r="CB13" s="976" t="s">
        <v>1990</v>
      </c>
      <c r="CC13" s="976" t="s">
        <v>1990</v>
      </c>
      <c r="CD13" s="976" t="s">
        <v>1991</v>
      </c>
      <c r="CE13" s="976" t="s">
        <v>1992</v>
      </c>
      <c r="CF13" s="976" t="s">
        <v>1991</v>
      </c>
      <c r="CG13" s="976" t="s">
        <v>1991</v>
      </c>
      <c r="CH13" s="976" t="s">
        <v>1890</v>
      </c>
      <c r="CI13" s="976" t="s">
        <v>1890</v>
      </c>
      <c r="CJ13" s="976" t="s">
        <v>1890</v>
      </c>
      <c r="CK13" s="976" t="s">
        <v>1785</v>
      </c>
      <c r="CL13" s="976" t="s">
        <v>1558</v>
      </c>
      <c r="CM13" s="976" t="s">
        <v>1993</v>
      </c>
      <c r="CN13" s="976" t="s">
        <v>1993</v>
      </c>
      <c r="CO13" s="976" t="s">
        <v>1993</v>
      </c>
      <c r="CP13" s="976" t="s">
        <v>1993</v>
      </c>
      <c r="CQ13" s="977" t="s">
        <v>1993</v>
      </c>
      <c r="CR13" s="976" t="s">
        <v>1993</v>
      </c>
      <c r="CS13" s="976" t="s">
        <v>1993</v>
      </c>
      <c r="CT13" s="976" t="s">
        <v>1994</v>
      </c>
      <c r="CU13" s="976" t="s">
        <v>1994</v>
      </c>
      <c r="CV13" s="976" t="s">
        <v>1995</v>
      </c>
      <c r="CW13" s="976" t="s">
        <v>1995</v>
      </c>
      <c r="CX13" s="976" t="s">
        <v>1996</v>
      </c>
      <c r="CY13" s="976" t="s">
        <v>1997</v>
      </c>
      <c r="CZ13" s="976" t="s">
        <v>1997</v>
      </c>
      <c r="DA13" s="976" t="s">
        <v>1997</v>
      </c>
      <c r="DB13" s="976" t="s">
        <v>1997</v>
      </c>
      <c r="DC13" s="978" t="s">
        <v>1998</v>
      </c>
      <c r="DD13" s="978" t="s">
        <v>1999</v>
      </c>
      <c r="DE13" s="978" t="s">
        <v>2000</v>
      </c>
      <c r="DF13" s="978" t="s">
        <v>2001</v>
      </c>
      <c r="DG13" s="978" t="s">
        <v>2001</v>
      </c>
      <c r="DH13" s="978" t="s">
        <v>2002</v>
      </c>
      <c r="DI13" s="978" t="s">
        <v>2003</v>
      </c>
      <c r="DJ13" s="978" t="s">
        <v>2004</v>
      </c>
      <c r="DK13" s="978" t="s">
        <v>2005</v>
      </c>
      <c r="DL13" s="978" t="s">
        <v>2005</v>
      </c>
      <c r="DM13" s="978" t="s">
        <v>2006</v>
      </c>
      <c r="DN13" s="978" t="s">
        <v>2007</v>
      </c>
      <c r="DO13" s="978" t="s">
        <v>2007</v>
      </c>
      <c r="DP13" s="978" t="s">
        <v>2008</v>
      </c>
      <c r="DQ13" s="978" t="s">
        <v>2008</v>
      </c>
      <c r="DR13" s="979" t="s">
        <v>2009</v>
      </c>
      <c r="DS13" s="980" t="s">
        <v>2009</v>
      </c>
      <c r="DT13" s="980" t="s">
        <v>2009</v>
      </c>
      <c r="DU13" s="980" t="s">
        <v>1034</v>
      </c>
      <c r="DV13" s="980" t="s">
        <v>1034</v>
      </c>
      <c r="DW13" s="980" t="s">
        <v>2009</v>
      </c>
      <c r="DX13" s="980" t="s">
        <v>2010</v>
      </c>
      <c r="DY13" s="980" t="s">
        <v>2010</v>
      </c>
      <c r="DZ13" s="980" t="s">
        <v>2011</v>
      </c>
      <c r="EA13" s="980" t="s">
        <v>2011</v>
      </c>
      <c r="EB13" s="980" t="s">
        <v>2012</v>
      </c>
      <c r="EC13" s="980" t="s">
        <v>2012</v>
      </c>
      <c r="ED13" s="980" t="s">
        <v>2013</v>
      </c>
      <c r="EE13" s="980" t="s">
        <v>2014</v>
      </c>
      <c r="EF13" s="980" t="s">
        <v>1953</v>
      </c>
      <c r="EG13" s="980" t="s">
        <v>2015</v>
      </c>
      <c r="EH13" s="980" t="s">
        <v>465</v>
      </c>
      <c r="EI13" s="980" t="s">
        <v>465</v>
      </c>
      <c r="EJ13" s="980" t="s">
        <v>2016</v>
      </c>
      <c r="EK13" s="980" t="s">
        <v>2017</v>
      </c>
      <c r="EL13" s="980" t="s">
        <v>2018</v>
      </c>
      <c r="EM13" s="980" t="s">
        <v>2019</v>
      </c>
      <c r="EN13" s="980" t="s">
        <v>2020</v>
      </c>
      <c r="EO13" s="980" t="s">
        <v>2021</v>
      </c>
      <c r="EP13" s="980" t="s">
        <v>2022</v>
      </c>
      <c r="EQ13" s="980" t="s">
        <v>1837</v>
      </c>
      <c r="ER13" s="980" t="s">
        <v>2023</v>
      </c>
      <c r="ES13" s="982" t="s">
        <v>2024</v>
      </c>
      <c r="ET13" s="972" t="s">
        <v>2025</v>
      </c>
      <c r="EU13" s="972" t="s">
        <v>2026</v>
      </c>
      <c r="EV13" s="972" t="s">
        <v>2027</v>
      </c>
      <c r="EW13" s="972" t="s">
        <v>2028</v>
      </c>
      <c r="EX13" s="972">
        <v>2.1</v>
      </c>
      <c r="EY13" s="972" t="s">
        <v>2029</v>
      </c>
      <c r="EZ13" s="972" t="s">
        <v>1607</v>
      </c>
      <c r="FA13" s="972">
        <v>3.15</v>
      </c>
      <c r="FB13" s="972" t="s">
        <v>2030</v>
      </c>
      <c r="FC13" s="972">
        <v>2.1</v>
      </c>
      <c r="FD13" s="972" t="s">
        <v>2031</v>
      </c>
      <c r="FE13" s="973" t="s">
        <v>2032</v>
      </c>
      <c r="FF13" s="973" t="s">
        <v>2033</v>
      </c>
      <c r="FG13" s="973" t="s">
        <v>2031</v>
      </c>
      <c r="FH13" s="973" t="s">
        <v>2034</v>
      </c>
      <c r="FI13" s="973" t="s">
        <v>2032</v>
      </c>
      <c r="FJ13" s="973" t="s">
        <v>2035</v>
      </c>
      <c r="FK13" s="973" t="s">
        <v>2036</v>
      </c>
      <c r="FL13" s="973" t="s">
        <v>2037</v>
      </c>
      <c r="FM13" s="973" t="s">
        <v>2038</v>
      </c>
      <c r="FN13" s="973" t="s">
        <v>2039</v>
      </c>
      <c r="FO13" s="973" t="s">
        <v>2040</v>
      </c>
      <c r="FP13" s="973" t="s">
        <v>2041</v>
      </c>
      <c r="FQ13" s="973" t="s">
        <v>1852</v>
      </c>
      <c r="FR13" s="973" t="s">
        <v>2042</v>
      </c>
      <c r="FS13" s="973" t="s">
        <v>2043</v>
      </c>
      <c r="FT13" s="973" t="s">
        <v>2044</v>
      </c>
      <c r="FU13" s="973" t="s">
        <v>2045</v>
      </c>
      <c r="FV13" s="973" t="s">
        <v>2046</v>
      </c>
      <c r="FW13" s="973" t="s">
        <v>2047</v>
      </c>
      <c r="FX13" s="973" t="s">
        <v>891</v>
      </c>
      <c r="FY13" s="973" t="s">
        <v>891</v>
      </c>
      <c r="FZ13" s="973" t="s">
        <v>891</v>
      </c>
      <c r="GA13" s="973" t="s">
        <v>891</v>
      </c>
      <c r="GB13" s="973" t="s">
        <v>2048</v>
      </c>
      <c r="GC13" s="973" t="s">
        <v>2049</v>
      </c>
      <c r="GD13" s="973" t="s">
        <v>891</v>
      </c>
      <c r="GE13" s="973" t="s">
        <v>2049</v>
      </c>
      <c r="GF13" s="973" t="s">
        <v>2050</v>
      </c>
      <c r="GG13" s="973" t="s">
        <v>2051</v>
      </c>
      <c r="GH13" s="973" t="s">
        <v>2052</v>
      </c>
      <c r="GI13" s="973" t="s">
        <v>1615</v>
      </c>
      <c r="GJ13" s="973" t="s">
        <v>2053</v>
      </c>
      <c r="GK13" s="973" t="s">
        <v>2054</v>
      </c>
      <c r="GN13" s="949"/>
    </row>
    <row r="14" spans="1:196" s="948" customFormat="1" ht="20.100000000000001" customHeight="1" x14ac:dyDescent="0.3">
      <c r="A14" s="282" t="s">
        <v>466</v>
      </c>
      <c r="B14" s="974" t="s">
        <v>2055</v>
      </c>
      <c r="C14" s="975" t="s">
        <v>1761</v>
      </c>
      <c r="D14" s="975" t="s">
        <v>1760</v>
      </c>
      <c r="E14" s="975" t="s">
        <v>1780</v>
      </c>
      <c r="F14" s="974" t="s">
        <v>1780</v>
      </c>
      <c r="G14" s="975" t="s">
        <v>1780</v>
      </c>
      <c r="H14" s="975" t="s">
        <v>2056</v>
      </c>
      <c r="I14" s="975" t="s">
        <v>1780</v>
      </c>
      <c r="J14" s="975" t="s">
        <v>1780</v>
      </c>
      <c r="K14" s="975" t="s">
        <v>1780</v>
      </c>
      <c r="L14" s="975" t="s">
        <v>1780</v>
      </c>
      <c r="M14" s="975" t="s">
        <v>1780</v>
      </c>
      <c r="N14" s="974" t="s">
        <v>1780</v>
      </c>
      <c r="O14" s="975" t="s">
        <v>1780</v>
      </c>
      <c r="P14" s="975" t="s">
        <v>2057</v>
      </c>
      <c r="Q14" s="974" t="s">
        <v>1882</v>
      </c>
      <c r="R14" s="975" t="s">
        <v>1882</v>
      </c>
      <c r="S14" s="975" t="s">
        <v>2058</v>
      </c>
      <c r="T14" s="976" t="s">
        <v>1973</v>
      </c>
      <c r="U14" s="976" t="s">
        <v>2059</v>
      </c>
      <c r="V14" s="976" t="s">
        <v>1973</v>
      </c>
      <c r="W14" s="976" t="s">
        <v>1973</v>
      </c>
      <c r="X14" s="976" t="s">
        <v>1973</v>
      </c>
      <c r="Y14" s="976" t="s">
        <v>2060</v>
      </c>
      <c r="Z14" s="976" t="s">
        <v>2061</v>
      </c>
      <c r="AA14" s="976" t="s">
        <v>2062</v>
      </c>
      <c r="AB14" s="976" t="s">
        <v>2062</v>
      </c>
      <c r="AC14" s="976" t="s">
        <v>2062</v>
      </c>
      <c r="AD14" s="976" t="s">
        <v>2062</v>
      </c>
      <c r="AE14" s="976" t="s">
        <v>1972</v>
      </c>
      <c r="AF14" s="976" t="s">
        <v>1972</v>
      </c>
      <c r="AG14" s="976" t="s">
        <v>1974</v>
      </c>
      <c r="AH14" s="976" t="s">
        <v>1974</v>
      </c>
      <c r="AI14" s="976" t="s">
        <v>1675</v>
      </c>
      <c r="AJ14" s="976" t="s">
        <v>467</v>
      </c>
      <c r="AK14" s="976" t="s">
        <v>467</v>
      </c>
      <c r="AL14" s="976" t="s">
        <v>2063</v>
      </c>
      <c r="AM14" s="976" t="s">
        <v>2063</v>
      </c>
      <c r="AN14" s="976" t="s">
        <v>2063</v>
      </c>
      <c r="AO14" s="976" t="s">
        <v>2063</v>
      </c>
      <c r="AP14" s="976" t="s">
        <v>467</v>
      </c>
      <c r="AQ14" s="976" t="s">
        <v>2064</v>
      </c>
      <c r="AR14" s="976" t="s">
        <v>2064</v>
      </c>
      <c r="AS14" s="976" t="s">
        <v>2064</v>
      </c>
      <c r="AT14" s="976" t="s">
        <v>2064</v>
      </c>
      <c r="AU14" s="976" t="s">
        <v>2065</v>
      </c>
      <c r="AV14" s="976" t="s">
        <v>2065</v>
      </c>
      <c r="AW14" s="976" t="s">
        <v>2065</v>
      </c>
      <c r="AX14" s="976" t="s">
        <v>2065</v>
      </c>
      <c r="AY14" s="976" t="s">
        <v>2065</v>
      </c>
      <c r="AZ14" s="976" t="s">
        <v>2066</v>
      </c>
      <c r="BA14" s="976" t="s">
        <v>2066</v>
      </c>
      <c r="BB14" s="976" t="s">
        <v>2066</v>
      </c>
      <c r="BC14" s="976" t="s">
        <v>2066</v>
      </c>
      <c r="BD14" s="976" t="s">
        <v>2066</v>
      </c>
      <c r="BE14" s="976" t="s">
        <v>1781</v>
      </c>
      <c r="BF14" s="976" t="s">
        <v>1781</v>
      </c>
      <c r="BG14" s="976" t="s">
        <v>1781</v>
      </c>
      <c r="BH14" s="976" t="s">
        <v>2067</v>
      </c>
      <c r="BI14" s="976" t="s">
        <v>2068</v>
      </c>
      <c r="BJ14" s="976" t="s">
        <v>1550</v>
      </c>
      <c r="BK14" s="976" t="s">
        <v>1550</v>
      </c>
      <c r="BL14" s="976" t="s">
        <v>1550</v>
      </c>
      <c r="BM14" s="976" t="s">
        <v>1781</v>
      </c>
      <c r="BN14" s="976" t="s">
        <v>1550</v>
      </c>
      <c r="BO14" s="976" t="s">
        <v>2069</v>
      </c>
      <c r="BP14" s="976" t="s">
        <v>2070</v>
      </c>
      <c r="BQ14" s="976" t="s">
        <v>2070</v>
      </c>
      <c r="BR14" s="976" t="s">
        <v>1780</v>
      </c>
      <c r="BS14" s="976" t="s">
        <v>1780</v>
      </c>
      <c r="BT14" s="976" t="s">
        <v>1780</v>
      </c>
      <c r="BU14" s="976" t="s">
        <v>1780</v>
      </c>
      <c r="BV14" s="976" t="s">
        <v>1780</v>
      </c>
      <c r="BW14" s="976" t="s">
        <v>881</v>
      </c>
      <c r="BX14" s="976" t="s">
        <v>881</v>
      </c>
      <c r="BY14" s="976" t="s">
        <v>881</v>
      </c>
      <c r="BZ14" s="977" t="s">
        <v>881</v>
      </c>
      <c r="CA14" s="976" t="s">
        <v>881</v>
      </c>
      <c r="CB14" s="976" t="s">
        <v>881</v>
      </c>
      <c r="CC14" s="976" t="s">
        <v>881</v>
      </c>
      <c r="CD14" s="976" t="s">
        <v>2068</v>
      </c>
      <c r="CE14" s="976" t="s">
        <v>2071</v>
      </c>
      <c r="CF14" s="976" t="s">
        <v>2071</v>
      </c>
      <c r="CG14" s="976" t="s">
        <v>2071</v>
      </c>
      <c r="CH14" s="976" t="s">
        <v>1990</v>
      </c>
      <c r="CI14" s="976" t="s">
        <v>1990</v>
      </c>
      <c r="CJ14" s="976" t="s">
        <v>1990</v>
      </c>
      <c r="CK14" s="976" t="s">
        <v>1786</v>
      </c>
      <c r="CL14" s="976" t="s">
        <v>2072</v>
      </c>
      <c r="CM14" s="976" t="s">
        <v>2073</v>
      </c>
      <c r="CN14" s="976" t="s">
        <v>2074</v>
      </c>
      <c r="CO14" s="976" t="s">
        <v>2075</v>
      </c>
      <c r="CP14" s="976" t="s">
        <v>2074</v>
      </c>
      <c r="CQ14" s="977" t="s">
        <v>2074</v>
      </c>
      <c r="CR14" s="976" t="s">
        <v>2073</v>
      </c>
      <c r="CS14" s="976" t="s">
        <v>2073</v>
      </c>
      <c r="CT14" s="976" t="s">
        <v>2076</v>
      </c>
      <c r="CU14" s="976" t="s">
        <v>1998</v>
      </c>
      <c r="CV14" s="976" t="s">
        <v>1997</v>
      </c>
      <c r="CW14" s="976" t="s">
        <v>2077</v>
      </c>
      <c r="CX14" s="976" t="s">
        <v>2077</v>
      </c>
      <c r="CY14" s="976" t="s">
        <v>2000</v>
      </c>
      <c r="CZ14" s="976" t="s">
        <v>2078</v>
      </c>
      <c r="DA14" s="976" t="s">
        <v>2079</v>
      </c>
      <c r="DB14" s="976" t="s">
        <v>2080</v>
      </c>
      <c r="DC14" s="978" t="s">
        <v>2002</v>
      </c>
      <c r="DD14" s="978" t="s">
        <v>2002</v>
      </c>
      <c r="DE14" s="978" t="s">
        <v>2004</v>
      </c>
      <c r="DF14" s="978" t="s">
        <v>2081</v>
      </c>
      <c r="DG14" s="978" t="s">
        <v>2006</v>
      </c>
      <c r="DH14" s="978" t="s">
        <v>2082</v>
      </c>
      <c r="DI14" s="978" t="s">
        <v>2083</v>
      </c>
      <c r="DJ14" s="978" t="s">
        <v>2006</v>
      </c>
      <c r="DK14" s="978" t="s">
        <v>2084</v>
      </c>
      <c r="DL14" s="978" t="s">
        <v>2085</v>
      </c>
      <c r="DM14" s="978" t="s">
        <v>2086</v>
      </c>
      <c r="DN14" s="978" t="s">
        <v>2087</v>
      </c>
      <c r="DO14" s="978" t="s">
        <v>2088</v>
      </c>
      <c r="DP14" s="978" t="s">
        <v>2089</v>
      </c>
      <c r="DQ14" s="978" t="s">
        <v>2090</v>
      </c>
      <c r="DR14" s="979" t="s">
        <v>2091</v>
      </c>
      <c r="DS14" s="980" t="s">
        <v>2091</v>
      </c>
      <c r="DT14" s="980" t="s">
        <v>2091</v>
      </c>
      <c r="DU14" s="980" t="s">
        <v>2090</v>
      </c>
      <c r="DV14" s="980" t="s">
        <v>2090</v>
      </c>
      <c r="DW14" s="980" t="s">
        <v>2090</v>
      </c>
      <c r="DX14" s="980" t="s">
        <v>2090</v>
      </c>
      <c r="DY14" s="980" t="s">
        <v>2090</v>
      </c>
      <c r="DZ14" s="980" t="s">
        <v>2090</v>
      </c>
      <c r="EA14" s="980" t="s">
        <v>2092</v>
      </c>
      <c r="EB14" s="980" t="s">
        <v>2092</v>
      </c>
      <c r="EC14" s="980" t="s">
        <v>2092</v>
      </c>
      <c r="ED14" s="980" t="s">
        <v>2092</v>
      </c>
      <c r="EE14" s="980" t="s">
        <v>2093</v>
      </c>
      <c r="EF14" s="980" t="s">
        <v>2094</v>
      </c>
      <c r="EG14" s="980" t="s">
        <v>2094</v>
      </c>
      <c r="EH14" s="980" t="s">
        <v>2094</v>
      </c>
      <c r="EI14" s="980" t="s">
        <v>2094</v>
      </c>
      <c r="EJ14" s="980" t="s">
        <v>2095</v>
      </c>
      <c r="EK14" s="980" t="s">
        <v>2096</v>
      </c>
      <c r="EL14" s="980" t="s">
        <v>2097</v>
      </c>
      <c r="EM14" s="980" t="s">
        <v>2098</v>
      </c>
      <c r="EN14" s="980" t="s">
        <v>2099</v>
      </c>
      <c r="EO14" s="980" t="s">
        <v>2100</v>
      </c>
      <c r="EP14" s="980" t="s">
        <v>1716</v>
      </c>
      <c r="EQ14" s="980" t="s">
        <v>2101</v>
      </c>
      <c r="ER14" s="980" t="s">
        <v>2102</v>
      </c>
      <c r="ES14" s="982" t="s">
        <v>2103</v>
      </c>
      <c r="ET14" s="972" t="s">
        <v>1933</v>
      </c>
      <c r="EU14" s="972" t="s">
        <v>2104</v>
      </c>
      <c r="EV14" s="972" t="s">
        <v>2105</v>
      </c>
      <c r="EW14" s="972" t="s">
        <v>2106</v>
      </c>
      <c r="EX14" s="972" t="s">
        <v>2045</v>
      </c>
      <c r="EY14" s="972" t="s">
        <v>2107</v>
      </c>
      <c r="EZ14" s="972" t="s">
        <v>2108</v>
      </c>
      <c r="FA14" s="972" t="s">
        <v>2109</v>
      </c>
      <c r="FB14" s="972" t="s">
        <v>2110</v>
      </c>
      <c r="FC14" s="972" t="s">
        <v>2111</v>
      </c>
      <c r="FD14" s="972" t="s">
        <v>2112</v>
      </c>
      <c r="FE14" s="973" t="s">
        <v>2110</v>
      </c>
      <c r="FF14" s="973" t="s">
        <v>2113</v>
      </c>
      <c r="FG14" s="973" t="s">
        <v>2114</v>
      </c>
      <c r="FH14" s="973" t="s">
        <v>2115</v>
      </c>
      <c r="FI14" s="973" t="s">
        <v>2116</v>
      </c>
      <c r="FJ14" s="973" t="s">
        <v>2117</v>
      </c>
      <c r="FK14" s="973" t="s">
        <v>2118</v>
      </c>
      <c r="FL14" s="973" t="s">
        <v>2119</v>
      </c>
      <c r="FM14" s="973" t="s">
        <v>2120</v>
      </c>
      <c r="FN14" s="973" t="s">
        <v>2121</v>
      </c>
      <c r="FO14" s="973" t="s">
        <v>2122</v>
      </c>
      <c r="FP14" s="973" t="s">
        <v>474</v>
      </c>
      <c r="FQ14" s="973" t="s">
        <v>2123</v>
      </c>
      <c r="FR14" s="973" t="s">
        <v>2020</v>
      </c>
      <c r="FS14" s="973" t="s">
        <v>475</v>
      </c>
      <c r="FT14" s="973" t="s">
        <v>2124</v>
      </c>
      <c r="FU14" s="973" t="s">
        <v>2125</v>
      </c>
      <c r="FV14" s="973" t="s">
        <v>2126</v>
      </c>
      <c r="FW14" s="973" t="s">
        <v>2127</v>
      </c>
      <c r="FX14" s="973" t="s">
        <v>1018</v>
      </c>
      <c r="FY14" s="973" t="s">
        <v>2128</v>
      </c>
      <c r="FZ14" s="973" t="s">
        <v>2128</v>
      </c>
      <c r="GA14" s="973" t="s">
        <v>2129</v>
      </c>
      <c r="GB14" s="973" t="s">
        <v>2130</v>
      </c>
      <c r="GC14" s="973" t="s">
        <v>2131</v>
      </c>
      <c r="GD14" s="973" t="s">
        <v>2128</v>
      </c>
      <c r="GE14" s="973" t="s">
        <v>476</v>
      </c>
      <c r="GF14" s="973" t="s">
        <v>2132</v>
      </c>
      <c r="GG14" s="973" t="s">
        <v>2133</v>
      </c>
      <c r="GH14" s="973" t="s">
        <v>2133</v>
      </c>
      <c r="GI14" s="973" t="s">
        <v>476</v>
      </c>
      <c r="GJ14" s="973" t="s">
        <v>2134</v>
      </c>
      <c r="GK14" s="973" t="s">
        <v>2135</v>
      </c>
      <c r="GN14" s="949"/>
    </row>
    <row r="15" spans="1:196" s="948" customFormat="1" ht="20.100000000000001" customHeight="1" x14ac:dyDescent="0.3">
      <c r="A15" s="282" t="s">
        <v>468</v>
      </c>
      <c r="B15" s="974" t="s">
        <v>2136</v>
      </c>
      <c r="C15" s="975" t="s">
        <v>461</v>
      </c>
      <c r="D15" s="975" t="s">
        <v>2137</v>
      </c>
      <c r="E15" s="975" t="s">
        <v>2137</v>
      </c>
      <c r="F15" s="974" t="s">
        <v>2137</v>
      </c>
      <c r="G15" s="975" t="s">
        <v>464</v>
      </c>
      <c r="H15" s="975" t="s">
        <v>464</v>
      </c>
      <c r="I15" s="975" t="s">
        <v>464</v>
      </c>
      <c r="J15" s="975" t="s">
        <v>464</v>
      </c>
      <c r="K15" s="975" t="s">
        <v>464</v>
      </c>
      <c r="L15" s="975" t="s">
        <v>464</v>
      </c>
      <c r="M15" s="975" t="s">
        <v>464</v>
      </c>
      <c r="N15" s="974" t="s">
        <v>1974</v>
      </c>
      <c r="O15" s="975" t="s">
        <v>1974</v>
      </c>
      <c r="P15" s="975" t="s">
        <v>1881</v>
      </c>
      <c r="Q15" s="974" t="s">
        <v>1881</v>
      </c>
      <c r="R15" s="975" t="s">
        <v>1972</v>
      </c>
      <c r="S15" s="975" t="s">
        <v>1972</v>
      </c>
      <c r="T15" s="976" t="s">
        <v>2138</v>
      </c>
      <c r="U15" s="976" t="s">
        <v>2139</v>
      </c>
      <c r="V15" s="976" t="s">
        <v>2140</v>
      </c>
      <c r="W15" s="976" t="s">
        <v>2140</v>
      </c>
      <c r="X15" s="976" t="s">
        <v>2138</v>
      </c>
      <c r="Y15" s="976" t="s">
        <v>2140</v>
      </c>
      <c r="Z15" s="976" t="s">
        <v>1971</v>
      </c>
      <c r="AA15" s="976" t="s">
        <v>1971</v>
      </c>
      <c r="AB15" s="976" t="s">
        <v>1971</v>
      </c>
      <c r="AC15" s="976" t="s">
        <v>1971</v>
      </c>
      <c r="AD15" s="976" t="s">
        <v>1971</v>
      </c>
      <c r="AE15" s="976" t="s">
        <v>2062</v>
      </c>
      <c r="AF15" s="976" t="s">
        <v>2062</v>
      </c>
      <c r="AG15" s="976" t="s">
        <v>1973</v>
      </c>
      <c r="AH15" s="976" t="s">
        <v>2141</v>
      </c>
      <c r="AI15" s="976" t="s">
        <v>2142</v>
      </c>
      <c r="AJ15" s="976" t="s">
        <v>2143</v>
      </c>
      <c r="AK15" s="976" t="s">
        <v>2143</v>
      </c>
      <c r="AL15" s="976" t="s">
        <v>2144</v>
      </c>
      <c r="AM15" s="976" t="s">
        <v>2144</v>
      </c>
      <c r="AN15" s="976" t="s">
        <v>2144</v>
      </c>
      <c r="AO15" s="976" t="s">
        <v>2144</v>
      </c>
      <c r="AP15" s="976" t="s">
        <v>2145</v>
      </c>
      <c r="AQ15" s="976" t="s">
        <v>2146</v>
      </c>
      <c r="AR15" s="976" t="s">
        <v>2146</v>
      </c>
      <c r="AS15" s="976" t="s">
        <v>2146</v>
      </c>
      <c r="AT15" s="976" t="s">
        <v>2146</v>
      </c>
      <c r="AU15" s="976" t="s">
        <v>2147</v>
      </c>
      <c r="AV15" s="976" t="s">
        <v>2148</v>
      </c>
      <c r="AW15" s="976" t="s">
        <v>2148</v>
      </c>
      <c r="AX15" s="976" t="s">
        <v>2146</v>
      </c>
      <c r="AY15" s="976" t="s">
        <v>2146</v>
      </c>
      <c r="AZ15" s="976" t="s">
        <v>2146</v>
      </c>
      <c r="BA15" s="976" t="s">
        <v>2146</v>
      </c>
      <c r="BB15" s="976" t="s">
        <v>2146</v>
      </c>
      <c r="BC15" s="976" t="s">
        <v>2146</v>
      </c>
      <c r="BD15" s="976" t="s">
        <v>2149</v>
      </c>
      <c r="BE15" s="976" t="s">
        <v>2149</v>
      </c>
      <c r="BF15" s="976" t="s">
        <v>2149</v>
      </c>
      <c r="BG15" s="976" t="s">
        <v>2149</v>
      </c>
      <c r="BH15" s="976" t="s">
        <v>2149</v>
      </c>
      <c r="BI15" s="976" t="s">
        <v>2150</v>
      </c>
      <c r="BJ15" s="976" t="s">
        <v>2149</v>
      </c>
      <c r="BK15" s="976" t="s">
        <v>2149</v>
      </c>
      <c r="BL15" s="976" t="s">
        <v>2149</v>
      </c>
      <c r="BM15" s="976" t="s">
        <v>2151</v>
      </c>
      <c r="BN15" s="976" t="s">
        <v>2151</v>
      </c>
      <c r="BO15" s="976" t="s">
        <v>2152</v>
      </c>
      <c r="BP15" s="976" t="s">
        <v>2152</v>
      </c>
      <c r="BQ15" s="976" t="s">
        <v>2152</v>
      </c>
      <c r="BR15" s="976" t="s">
        <v>2152</v>
      </c>
      <c r="BS15" s="976" t="s">
        <v>2153</v>
      </c>
      <c r="BT15" s="976" t="s">
        <v>2153</v>
      </c>
      <c r="BU15" s="976" t="s">
        <v>2153</v>
      </c>
      <c r="BV15" s="976" t="s">
        <v>2153</v>
      </c>
      <c r="BW15" s="976" t="s">
        <v>2154</v>
      </c>
      <c r="BX15" s="976" t="s">
        <v>2154</v>
      </c>
      <c r="BY15" s="976" t="s">
        <v>2154</v>
      </c>
      <c r="BZ15" s="977" t="s">
        <v>2154</v>
      </c>
      <c r="CA15" s="976" t="s">
        <v>2155</v>
      </c>
      <c r="CB15" s="976" t="s">
        <v>2156</v>
      </c>
      <c r="CC15" s="976" t="s">
        <v>2157</v>
      </c>
      <c r="CD15" s="976" t="s">
        <v>1787</v>
      </c>
      <c r="CE15" s="976" t="s">
        <v>1787</v>
      </c>
      <c r="CF15" s="976" t="s">
        <v>1787</v>
      </c>
      <c r="CG15" s="976" t="s">
        <v>1787</v>
      </c>
      <c r="CH15" s="976" t="s">
        <v>2158</v>
      </c>
      <c r="CI15" s="976" t="s">
        <v>2158</v>
      </c>
      <c r="CJ15" s="976" t="s">
        <v>2158</v>
      </c>
      <c r="CK15" s="976" t="s">
        <v>2158</v>
      </c>
      <c r="CL15" s="976" t="s">
        <v>2158</v>
      </c>
      <c r="CM15" s="976" t="s">
        <v>2158</v>
      </c>
      <c r="CN15" s="976" t="s">
        <v>2158</v>
      </c>
      <c r="CO15" s="976" t="s">
        <v>2159</v>
      </c>
      <c r="CP15" s="976" t="s">
        <v>2159</v>
      </c>
      <c r="CQ15" s="977" t="s">
        <v>2159</v>
      </c>
      <c r="CR15" s="976" t="s">
        <v>2160</v>
      </c>
      <c r="CS15" s="976" t="s">
        <v>2161</v>
      </c>
      <c r="CT15" s="976" t="s">
        <v>2162</v>
      </c>
      <c r="CU15" s="976" t="s">
        <v>2162</v>
      </c>
      <c r="CV15" s="976" t="s">
        <v>2162</v>
      </c>
      <c r="CW15" s="976" t="s">
        <v>2163</v>
      </c>
      <c r="CX15" s="976" t="s">
        <v>2162</v>
      </c>
      <c r="CY15" s="976" t="s">
        <v>2162</v>
      </c>
      <c r="CZ15" s="976" t="s">
        <v>2162</v>
      </c>
      <c r="DA15" s="976" t="s">
        <v>2162</v>
      </c>
      <c r="DB15" s="976" t="s">
        <v>2162</v>
      </c>
      <c r="DC15" s="978" t="s">
        <v>2162</v>
      </c>
      <c r="DD15" s="978" t="s">
        <v>2162</v>
      </c>
      <c r="DE15" s="978" t="s">
        <v>2164</v>
      </c>
      <c r="DF15" s="978" t="s">
        <v>2165</v>
      </c>
      <c r="DG15" s="978" t="s">
        <v>2165</v>
      </c>
      <c r="DH15" s="978" t="s">
        <v>2166</v>
      </c>
      <c r="DI15" s="978" t="s">
        <v>2167</v>
      </c>
      <c r="DJ15" s="978" t="s">
        <v>2167</v>
      </c>
      <c r="DK15" s="978" t="s">
        <v>2168</v>
      </c>
      <c r="DL15" s="978" t="s">
        <v>2169</v>
      </c>
      <c r="DM15" s="978" t="s">
        <v>2169</v>
      </c>
      <c r="DN15" s="978" t="s">
        <v>2169</v>
      </c>
      <c r="DO15" s="978" t="s">
        <v>2170</v>
      </c>
      <c r="DP15" s="978" t="s">
        <v>2171</v>
      </c>
      <c r="DQ15" s="978" t="s">
        <v>2172</v>
      </c>
      <c r="DR15" s="979" t="s">
        <v>2171</v>
      </c>
      <c r="DS15" s="980" t="s">
        <v>2171</v>
      </c>
      <c r="DT15" s="980" t="s">
        <v>2171</v>
      </c>
      <c r="DU15" s="980" t="s">
        <v>2173</v>
      </c>
      <c r="DV15" s="980" t="s">
        <v>2174</v>
      </c>
      <c r="DW15" s="980" t="s">
        <v>2174</v>
      </c>
      <c r="DX15" s="980" t="s">
        <v>2175</v>
      </c>
      <c r="DY15" s="980" t="s">
        <v>2175</v>
      </c>
      <c r="DZ15" s="980" t="s">
        <v>2175</v>
      </c>
      <c r="EA15" s="980" t="s">
        <v>2176</v>
      </c>
      <c r="EB15" s="980" t="s">
        <v>2176</v>
      </c>
      <c r="EC15" s="980" t="s">
        <v>2176</v>
      </c>
      <c r="ED15" s="980" t="s">
        <v>2176</v>
      </c>
      <c r="EE15" s="980" t="s">
        <v>2177</v>
      </c>
      <c r="EF15" s="980" t="s">
        <v>1910</v>
      </c>
      <c r="EG15" s="980" t="s">
        <v>1910</v>
      </c>
      <c r="EH15" s="980" t="s">
        <v>1910</v>
      </c>
      <c r="EI15" s="980" t="s">
        <v>1910</v>
      </c>
      <c r="EJ15" s="980" t="s">
        <v>2178</v>
      </c>
      <c r="EK15" s="980" t="s">
        <v>2179</v>
      </c>
      <c r="EL15" s="980" t="s">
        <v>2180</v>
      </c>
      <c r="EM15" s="980" t="s">
        <v>2178</v>
      </c>
      <c r="EN15" s="980" t="s">
        <v>2181</v>
      </c>
      <c r="EO15" s="980" t="s">
        <v>2182</v>
      </c>
      <c r="EP15" s="980" t="s">
        <v>2183</v>
      </c>
      <c r="EQ15" s="980" t="s">
        <v>2179</v>
      </c>
      <c r="ER15" s="980" t="s">
        <v>2179</v>
      </c>
      <c r="ES15" s="982" t="s">
        <v>2184</v>
      </c>
      <c r="ET15" s="972" t="s">
        <v>2184</v>
      </c>
      <c r="EU15" s="972" t="s">
        <v>1035</v>
      </c>
      <c r="EV15" s="972" t="s">
        <v>1847</v>
      </c>
      <c r="EW15" s="972" t="s">
        <v>2185</v>
      </c>
      <c r="EX15" s="972" t="s">
        <v>2186</v>
      </c>
      <c r="EY15" s="972" t="s">
        <v>2187</v>
      </c>
      <c r="EZ15" s="972" t="s">
        <v>2188</v>
      </c>
      <c r="FA15" s="972" t="s">
        <v>2189</v>
      </c>
      <c r="FB15" s="972" t="s">
        <v>2190</v>
      </c>
      <c r="FC15" s="972" t="s">
        <v>2191</v>
      </c>
      <c r="FD15" s="972" t="s">
        <v>2192</v>
      </c>
      <c r="FE15" s="973" t="s">
        <v>2193</v>
      </c>
      <c r="FF15" s="973" t="s">
        <v>2194</v>
      </c>
      <c r="FG15" s="973" t="s">
        <v>2195</v>
      </c>
      <c r="FH15" s="973" t="s">
        <v>2193</v>
      </c>
      <c r="FI15" s="973" t="s">
        <v>2196</v>
      </c>
      <c r="FJ15" s="973" t="s">
        <v>2197</v>
      </c>
      <c r="FK15" s="973" t="s">
        <v>432</v>
      </c>
      <c r="FL15" s="973" t="s">
        <v>2198</v>
      </c>
      <c r="FM15" s="973" t="s">
        <v>2199</v>
      </c>
      <c r="FN15" s="973" t="s">
        <v>2200</v>
      </c>
      <c r="FO15" s="973" t="s">
        <v>2201</v>
      </c>
      <c r="FP15" s="973" t="s">
        <v>2202</v>
      </c>
      <c r="FQ15" s="973" t="s">
        <v>2108</v>
      </c>
      <c r="FR15" s="973" t="s">
        <v>2180</v>
      </c>
      <c r="FS15" s="973" t="s">
        <v>2203</v>
      </c>
      <c r="FT15" s="973" t="s">
        <v>2204</v>
      </c>
      <c r="FU15" s="973" t="s">
        <v>2205</v>
      </c>
      <c r="FV15" s="973" t="s">
        <v>2206</v>
      </c>
      <c r="FW15" s="973" t="s">
        <v>2207</v>
      </c>
      <c r="FX15" s="973" t="s">
        <v>476</v>
      </c>
      <c r="FY15" s="973" t="s">
        <v>2208</v>
      </c>
      <c r="FZ15" s="973" t="s">
        <v>2209</v>
      </c>
      <c r="GA15" s="973" t="s">
        <v>2210</v>
      </c>
      <c r="GB15" s="973" t="s">
        <v>2208</v>
      </c>
      <c r="GC15" s="983" t="s">
        <v>476</v>
      </c>
      <c r="GD15" s="983" t="s">
        <v>2208</v>
      </c>
      <c r="GE15" s="983" t="s">
        <v>477</v>
      </c>
      <c r="GF15" s="983" t="s">
        <v>477</v>
      </c>
      <c r="GG15" s="983" t="s">
        <v>476</v>
      </c>
      <c r="GH15" s="973" t="s">
        <v>476</v>
      </c>
      <c r="GI15" s="973" t="s">
        <v>1609</v>
      </c>
      <c r="GJ15" s="973" t="s">
        <v>2211</v>
      </c>
      <c r="GK15" s="973" t="s">
        <v>2212</v>
      </c>
      <c r="GL15" s="984"/>
      <c r="GN15" s="949"/>
    </row>
    <row r="16" spans="1:196" s="948" customFormat="1" ht="20.100000000000001" customHeight="1" x14ac:dyDescent="0.3">
      <c r="A16" s="282" t="s">
        <v>469</v>
      </c>
      <c r="B16" s="974" t="s">
        <v>2213</v>
      </c>
      <c r="C16" s="975" t="s">
        <v>2214</v>
      </c>
      <c r="D16" s="975" t="s">
        <v>2144</v>
      </c>
      <c r="E16" s="975" t="s">
        <v>2144</v>
      </c>
      <c r="F16" s="974" t="s">
        <v>2144</v>
      </c>
      <c r="G16" s="975" t="s">
        <v>2215</v>
      </c>
      <c r="H16" s="975" t="s">
        <v>2215</v>
      </c>
      <c r="I16" s="975" t="s">
        <v>2215</v>
      </c>
      <c r="J16" s="975" t="s">
        <v>2215</v>
      </c>
      <c r="K16" s="975" t="s">
        <v>2215</v>
      </c>
      <c r="L16" s="975" t="s">
        <v>2215</v>
      </c>
      <c r="M16" s="975" t="s">
        <v>2215</v>
      </c>
      <c r="N16" s="974" t="s">
        <v>2216</v>
      </c>
      <c r="O16" s="975" t="s">
        <v>2216</v>
      </c>
      <c r="P16" s="975" t="s">
        <v>2217</v>
      </c>
      <c r="Q16" s="974" t="s">
        <v>2217</v>
      </c>
      <c r="R16" s="975" t="s">
        <v>2217</v>
      </c>
      <c r="S16" s="975" t="s">
        <v>2217</v>
      </c>
      <c r="T16" s="976" t="s">
        <v>2217</v>
      </c>
      <c r="U16" s="976" t="s">
        <v>2217</v>
      </c>
      <c r="V16" s="976" t="s">
        <v>2217</v>
      </c>
      <c r="W16" s="976" t="s">
        <v>2217</v>
      </c>
      <c r="X16" s="976" t="s">
        <v>2218</v>
      </c>
      <c r="Y16" s="976" t="s">
        <v>2216</v>
      </c>
      <c r="Z16" s="976" t="s">
        <v>2217</v>
      </c>
      <c r="AA16" s="976" t="s">
        <v>2219</v>
      </c>
      <c r="AB16" s="976" t="s">
        <v>2219</v>
      </c>
      <c r="AC16" s="976" t="s">
        <v>2219</v>
      </c>
      <c r="AD16" s="976" t="s">
        <v>2219</v>
      </c>
      <c r="AE16" s="976" t="s">
        <v>2219</v>
      </c>
      <c r="AF16" s="976" t="s">
        <v>2219</v>
      </c>
      <c r="AG16" s="976" t="s">
        <v>2220</v>
      </c>
      <c r="AH16" s="976" t="s">
        <v>2220</v>
      </c>
      <c r="AI16" s="976" t="s">
        <v>2221</v>
      </c>
      <c r="AJ16" s="976" t="s">
        <v>2222</v>
      </c>
      <c r="AK16" s="976" t="s">
        <v>2222</v>
      </c>
      <c r="AL16" s="976" t="s">
        <v>2223</v>
      </c>
      <c r="AM16" s="976" t="s">
        <v>2224</v>
      </c>
      <c r="AN16" s="976" t="s">
        <v>2225</v>
      </c>
      <c r="AO16" s="976" t="s">
        <v>2225</v>
      </c>
      <c r="AP16" s="976" t="s">
        <v>2226</v>
      </c>
      <c r="AQ16" s="976" t="s">
        <v>2227</v>
      </c>
      <c r="AR16" s="976" t="s">
        <v>2228</v>
      </c>
      <c r="AS16" s="976" t="s">
        <v>2229</v>
      </c>
      <c r="AT16" s="976" t="s">
        <v>2230</v>
      </c>
      <c r="AU16" s="976" t="s">
        <v>2140</v>
      </c>
      <c r="AV16" s="976" t="s">
        <v>2231</v>
      </c>
      <c r="AW16" s="976" t="s">
        <v>2231</v>
      </c>
      <c r="AX16" s="976" t="s">
        <v>2232</v>
      </c>
      <c r="AY16" s="976" t="s">
        <v>2233</v>
      </c>
      <c r="AZ16" s="976" t="s">
        <v>2234</v>
      </c>
      <c r="BA16" s="976" t="s">
        <v>2233</v>
      </c>
      <c r="BB16" s="976" t="s">
        <v>2235</v>
      </c>
      <c r="BC16" s="976" t="s">
        <v>2235</v>
      </c>
      <c r="BD16" s="976" t="s">
        <v>2235</v>
      </c>
      <c r="BE16" s="976" t="s">
        <v>461</v>
      </c>
      <c r="BF16" s="976" t="s">
        <v>461</v>
      </c>
      <c r="BG16" s="976" t="s">
        <v>2236</v>
      </c>
      <c r="BH16" s="976" t="s">
        <v>461</v>
      </c>
      <c r="BI16" s="976" t="s">
        <v>2237</v>
      </c>
      <c r="BJ16" s="976" t="s">
        <v>2238</v>
      </c>
      <c r="BK16" s="976" t="s">
        <v>2239</v>
      </c>
      <c r="BL16" s="976" t="s">
        <v>2239</v>
      </c>
      <c r="BM16" s="976" t="s">
        <v>2240</v>
      </c>
      <c r="BN16" s="976" t="s">
        <v>2239</v>
      </c>
      <c r="BO16" s="976" t="s">
        <v>2241</v>
      </c>
      <c r="BP16" s="976" t="s">
        <v>2242</v>
      </c>
      <c r="BQ16" s="976" t="s">
        <v>2243</v>
      </c>
      <c r="BR16" s="976" t="s">
        <v>2243</v>
      </c>
      <c r="BS16" s="976" t="s">
        <v>2244</v>
      </c>
      <c r="BT16" s="976" t="s">
        <v>2244</v>
      </c>
      <c r="BU16" s="976" t="s">
        <v>2245</v>
      </c>
      <c r="BV16" s="976" t="s">
        <v>2245</v>
      </c>
      <c r="BW16" s="976" t="s">
        <v>2246</v>
      </c>
      <c r="BX16" s="976" t="s">
        <v>2247</v>
      </c>
      <c r="BY16" s="976" t="s">
        <v>2247</v>
      </c>
      <c r="BZ16" s="977" t="s">
        <v>2247</v>
      </c>
      <c r="CA16" s="976" t="s">
        <v>2248</v>
      </c>
      <c r="CB16" s="976" t="s">
        <v>2249</v>
      </c>
      <c r="CC16" s="976" t="s">
        <v>2250</v>
      </c>
      <c r="CD16" s="976" t="s">
        <v>2251</v>
      </c>
      <c r="CE16" s="976" t="s">
        <v>2252</v>
      </c>
      <c r="CF16" s="976" t="s">
        <v>2250</v>
      </c>
      <c r="CG16" s="976" t="s">
        <v>2250</v>
      </c>
      <c r="CH16" s="976" t="s">
        <v>2253</v>
      </c>
      <c r="CI16" s="976" t="s">
        <v>2254</v>
      </c>
      <c r="CJ16" s="976" t="s">
        <v>2255</v>
      </c>
      <c r="CK16" s="976" t="s">
        <v>2256</v>
      </c>
      <c r="CL16" s="976" t="s">
        <v>2257</v>
      </c>
      <c r="CM16" s="976" t="s">
        <v>2257</v>
      </c>
      <c r="CN16" s="976" t="s">
        <v>2257</v>
      </c>
      <c r="CO16" s="976" t="s">
        <v>2258</v>
      </c>
      <c r="CP16" s="976" t="s">
        <v>2258</v>
      </c>
      <c r="CQ16" s="977" t="s">
        <v>2258</v>
      </c>
      <c r="CR16" s="976" t="s">
        <v>2259</v>
      </c>
      <c r="CS16" s="976" t="s">
        <v>1787</v>
      </c>
      <c r="CT16" s="976" t="s">
        <v>2260</v>
      </c>
      <c r="CU16" s="976" t="s">
        <v>2261</v>
      </c>
      <c r="CV16" s="976" t="s">
        <v>2261</v>
      </c>
      <c r="CW16" s="976" t="s">
        <v>2262</v>
      </c>
      <c r="CX16" s="976" t="s">
        <v>2261</v>
      </c>
      <c r="CY16" s="976" t="s">
        <v>2261</v>
      </c>
      <c r="CZ16" s="976" t="s">
        <v>2261</v>
      </c>
      <c r="DA16" s="976" t="s">
        <v>2261</v>
      </c>
      <c r="DB16" s="976" t="s">
        <v>2261</v>
      </c>
      <c r="DC16" s="978" t="s">
        <v>2261</v>
      </c>
      <c r="DD16" s="978" t="s">
        <v>2261</v>
      </c>
      <c r="DE16" s="978" t="s">
        <v>2263</v>
      </c>
      <c r="DF16" s="978" t="s">
        <v>2264</v>
      </c>
      <c r="DG16" s="978" t="s">
        <v>2264</v>
      </c>
      <c r="DH16" s="978" t="s">
        <v>2265</v>
      </c>
      <c r="DI16" s="978" t="s">
        <v>2266</v>
      </c>
      <c r="DJ16" s="978" t="s">
        <v>2267</v>
      </c>
      <c r="DK16" s="978" t="s">
        <v>2268</v>
      </c>
      <c r="DL16" s="978" t="s">
        <v>2268</v>
      </c>
      <c r="DM16" s="978" t="s">
        <v>2269</v>
      </c>
      <c r="DN16" s="978" t="s">
        <v>2270</v>
      </c>
      <c r="DO16" s="978" t="s">
        <v>2271</v>
      </c>
      <c r="DP16" s="978" t="s">
        <v>2270</v>
      </c>
      <c r="DQ16" s="978" t="s">
        <v>2270</v>
      </c>
      <c r="DR16" s="979" t="s">
        <v>2270</v>
      </c>
      <c r="DS16" s="980" t="s">
        <v>2270</v>
      </c>
      <c r="DT16" s="980" t="s">
        <v>2270</v>
      </c>
      <c r="DU16" s="980" t="s">
        <v>2270</v>
      </c>
      <c r="DV16" s="980" t="s">
        <v>2272</v>
      </c>
      <c r="DW16" s="980" t="s">
        <v>2272</v>
      </c>
      <c r="DX16" s="980" t="s">
        <v>2273</v>
      </c>
      <c r="DY16" s="980" t="s">
        <v>2273</v>
      </c>
      <c r="DZ16" s="980" t="s">
        <v>2274</v>
      </c>
      <c r="EA16" s="980" t="s">
        <v>2275</v>
      </c>
      <c r="EB16" s="980" t="s">
        <v>2274</v>
      </c>
      <c r="EC16" s="980" t="s">
        <v>2274</v>
      </c>
      <c r="ED16" s="980" t="s">
        <v>2274</v>
      </c>
      <c r="EE16" s="980" t="s">
        <v>2276</v>
      </c>
      <c r="EF16" s="980" t="s">
        <v>2276</v>
      </c>
      <c r="EG16" s="980" t="s">
        <v>2276</v>
      </c>
      <c r="EH16" s="980" t="s">
        <v>2276</v>
      </c>
      <c r="EI16" s="980" t="s">
        <v>2276</v>
      </c>
      <c r="EJ16" s="980" t="s">
        <v>2277</v>
      </c>
      <c r="EK16" s="980" t="s">
        <v>2278</v>
      </c>
      <c r="EL16" s="980" t="s">
        <v>1439</v>
      </c>
      <c r="EM16" s="980" t="s">
        <v>2095</v>
      </c>
      <c r="EN16" s="980" t="s">
        <v>2279</v>
      </c>
      <c r="EO16" s="980" t="s">
        <v>2280</v>
      </c>
      <c r="EP16" s="980" t="s">
        <v>2281</v>
      </c>
      <c r="EQ16" s="980" t="s">
        <v>2282</v>
      </c>
      <c r="ER16" s="980" t="s">
        <v>2184</v>
      </c>
      <c r="ES16" s="982" t="s">
        <v>2283</v>
      </c>
      <c r="ET16" s="972" t="s">
        <v>2284</v>
      </c>
      <c r="EU16" s="972" t="s">
        <v>2116</v>
      </c>
      <c r="EV16" s="972" t="s">
        <v>2023</v>
      </c>
      <c r="EW16" s="972" t="s">
        <v>2285</v>
      </c>
      <c r="EX16" s="972" t="s">
        <v>1438</v>
      </c>
      <c r="EY16" s="972" t="s">
        <v>2286</v>
      </c>
      <c r="EZ16" s="972" t="s">
        <v>2287</v>
      </c>
      <c r="FA16" s="972" t="s">
        <v>2288</v>
      </c>
      <c r="FB16" s="972" t="s">
        <v>2289</v>
      </c>
      <c r="FC16" s="972" t="s">
        <v>2290</v>
      </c>
      <c r="FD16" s="972" t="s">
        <v>2291</v>
      </c>
      <c r="FE16" s="973" t="s">
        <v>2292</v>
      </c>
      <c r="FF16" s="973" t="s">
        <v>2293</v>
      </c>
      <c r="FG16" s="973" t="s">
        <v>2294</v>
      </c>
      <c r="FH16" s="973" t="s">
        <v>2295</v>
      </c>
      <c r="FI16" s="973" t="s">
        <v>2296</v>
      </c>
      <c r="FJ16" s="973" t="s">
        <v>2297</v>
      </c>
      <c r="FK16" s="973" t="s">
        <v>2298</v>
      </c>
      <c r="FL16" s="973" t="s">
        <v>478</v>
      </c>
      <c r="FM16" s="973" t="s">
        <v>2299</v>
      </c>
      <c r="FN16" s="973" t="s">
        <v>2300</v>
      </c>
      <c r="FO16" s="973" t="s">
        <v>2301</v>
      </c>
      <c r="FP16" s="973" t="s">
        <v>2302</v>
      </c>
      <c r="FQ16" s="973" t="s">
        <v>2303</v>
      </c>
      <c r="FR16" s="973" t="s">
        <v>2304</v>
      </c>
      <c r="FS16" s="973" t="s">
        <v>2305</v>
      </c>
      <c r="FT16" s="973" t="s">
        <v>2108</v>
      </c>
      <c r="FU16" s="973" t="s">
        <v>2180</v>
      </c>
      <c r="FV16" s="973" t="s">
        <v>1937</v>
      </c>
      <c r="FW16" s="973" t="s">
        <v>2306</v>
      </c>
      <c r="FX16" s="973" t="s">
        <v>2307</v>
      </c>
      <c r="FY16" s="973" t="s">
        <v>2308</v>
      </c>
      <c r="FZ16" s="973" t="s">
        <v>2308</v>
      </c>
      <c r="GA16" s="973" t="s">
        <v>2309</v>
      </c>
      <c r="GB16" s="973" t="s">
        <v>2310</v>
      </c>
      <c r="GC16" s="983" t="s">
        <v>2311</v>
      </c>
      <c r="GD16" s="983" t="s">
        <v>2312</v>
      </c>
      <c r="GE16" s="983" t="s">
        <v>2313</v>
      </c>
      <c r="GF16" s="983" t="s">
        <v>2314</v>
      </c>
      <c r="GG16" s="983" t="s">
        <v>2315</v>
      </c>
      <c r="GH16" s="973" t="s">
        <v>2316</v>
      </c>
      <c r="GI16" s="973" t="s">
        <v>2317</v>
      </c>
      <c r="GJ16" s="973" t="s">
        <v>2318</v>
      </c>
      <c r="GK16" s="973" t="s">
        <v>2319</v>
      </c>
      <c r="GN16" s="949"/>
    </row>
    <row r="17" spans="1:196" s="948" customFormat="1" ht="20.100000000000001" customHeight="1" x14ac:dyDescent="0.3">
      <c r="A17" s="282" t="s">
        <v>470</v>
      </c>
      <c r="B17" s="974" t="s">
        <v>2232</v>
      </c>
      <c r="C17" s="975" t="s">
        <v>2216</v>
      </c>
      <c r="D17" s="975" t="s">
        <v>2216</v>
      </c>
      <c r="E17" s="975" t="s">
        <v>2216</v>
      </c>
      <c r="F17" s="974" t="s">
        <v>2216</v>
      </c>
      <c r="G17" s="975" t="s">
        <v>2216</v>
      </c>
      <c r="H17" s="975" t="s">
        <v>2216</v>
      </c>
      <c r="I17" s="975" t="s">
        <v>2216</v>
      </c>
      <c r="J17" s="975" t="s">
        <v>2216</v>
      </c>
      <c r="K17" s="975" t="s">
        <v>2216</v>
      </c>
      <c r="L17" s="975" t="s">
        <v>2216</v>
      </c>
      <c r="M17" s="975" t="s">
        <v>2216</v>
      </c>
      <c r="N17" s="974" t="s">
        <v>2320</v>
      </c>
      <c r="O17" s="975" t="s">
        <v>2320</v>
      </c>
      <c r="P17" s="975" t="s">
        <v>2321</v>
      </c>
      <c r="Q17" s="974" t="s">
        <v>2321</v>
      </c>
      <c r="R17" s="975" t="s">
        <v>2321</v>
      </c>
      <c r="S17" s="975" t="s">
        <v>2322</v>
      </c>
      <c r="T17" s="976" t="s">
        <v>2322</v>
      </c>
      <c r="U17" s="976" t="s">
        <v>2149</v>
      </c>
      <c r="V17" s="976" t="s">
        <v>2149</v>
      </c>
      <c r="W17" s="976" t="s">
        <v>2149</v>
      </c>
      <c r="X17" s="976" t="s">
        <v>2149</v>
      </c>
      <c r="Y17" s="976" t="s">
        <v>2149</v>
      </c>
      <c r="Z17" s="976" t="s">
        <v>2149</v>
      </c>
      <c r="AA17" s="976" t="s">
        <v>2149</v>
      </c>
      <c r="AB17" s="976" t="s">
        <v>2149</v>
      </c>
      <c r="AC17" s="976" t="s">
        <v>2149</v>
      </c>
      <c r="AD17" s="976" t="s">
        <v>2323</v>
      </c>
      <c r="AE17" s="976" t="s">
        <v>2323</v>
      </c>
      <c r="AF17" s="976" t="s">
        <v>2322</v>
      </c>
      <c r="AG17" s="976" t="s">
        <v>2323</v>
      </c>
      <c r="AH17" s="976" t="s">
        <v>2323</v>
      </c>
      <c r="AI17" s="976" t="s">
        <v>2324</v>
      </c>
      <c r="AJ17" s="976" t="s">
        <v>2324</v>
      </c>
      <c r="AK17" s="976" t="s">
        <v>2324</v>
      </c>
      <c r="AL17" s="976" t="s">
        <v>2324</v>
      </c>
      <c r="AM17" s="976" t="s">
        <v>2325</v>
      </c>
      <c r="AN17" s="976" t="s">
        <v>2325</v>
      </c>
      <c r="AO17" s="976" t="s">
        <v>2325</v>
      </c>
      <c r="AP17" s="976" t="s">
        <v>2326</v>
      </c>
      <c r="AQ17" s="976" t="s">
        <v>2327</v>
      </c>
      <c r="AR17" s="976" t="s">
        <v>2328</v>
      </c>
      <c r="AS17" s="976" t="s">
        <v>2328</v>
      </c>
      <c r="AT17" s="976" t="s">
        <v>2329</v>
      </c>
      <c r="AU17" s="976" t="s">
        <v>2330</v>
      </c>
      <c r="AV17" s="976" t="s">
        <v>2331</v>
      </c>
      <c r="AW17" s="976" t="s">
        <v>2332</v>
      </c>
      <c r="AX17" s="976" t="s">
        <v>2333</v>
      </c>
      <c r="AY17" s="976" t="s">
        <v>2329</v>
      </c>
      <c r="AZ17" s="976" t="s">
        <v>2329</v>
      </c>
      <c r="BA17" s="976" t="s">
        <v>2329</v>
      </c>
      <c r="BB17" s="976" t="s">
        <v>2329</v>
      </c>
      <c r="BC17" s="976" t="s">
        <v>2329</v>
      </c>
      <c r="BD17" s="976" t="s">
        <v>2330</v>
      </c>
      <c r="BE17" s="976" t="s">
        <v>2334</v>
      </c>
      <c r="BF17" s="976" t="s">
        <v>2334</v>
      </c>
      <c r="BG17" s="976" t="s">
        <v>2329</v>
      </c>
      <c r="BH17" s="976" t="s">
        <v>2329</v>
      </c>
      <c r="BI17" s="976" t="s">
        <v>2333</v>
      </c>
      <c r="BJ17" s="976" t="s">
        <v>2333</v>
      </c>
      <c r="BK17" s="976" t="s">
        <v>2335</v>
      </c>
      <c r="BL17" s="976" t="s">
        <v>2335</v>
      </c>
      <c r="BM17" s="976" t="s">
        <v>2336</v>
      </c>
      <c r="BN17" s="976" t="s">
        <v>2336</v>
      </c>
      <c r="BO17" s="976" t="s">
        <v>2337</v>
      </c>
      <c r="BP17" s="976" t="s">
        <v>2337</v>
      </c>
      <c r="BQ17" s="976" t="s">
        <v>2337</v>
      </c>
      <c r="BR17" s="976" t="s">
        <v>2337</v>
      </c>
      <c r="BS17" s="976" t="s">
        <v>2338</v>
      </c>
      <c r="BT17" s="976" t="s">
        <v>2338</v>
      </c>
      <c r="BU17" s="976" t="s">
        <v>2338</v>
      </c>
      <c r="BV17" s="976" t="s">
        <v>2338</v>
      </c>
      <c r="BW17" s="976" t="s">
        <v>2339</v>
      </c>
      <c r="BX17" s="976" t="s">
        <v>2340</v>
      </c>
      <c r="BY17" s="976" t="s">
        <v>2339</v>
      </c>
      <c r="BZ17" s="977" t="s">
        <v>2339</v>
      </c>
      <c r="CA17" s="976" t="s">
        <v>2339</v>
      </c>
      <c r="CB17" s="976" t="s">
        <v>2341</v>
      </c>
      <c r="CC17" s="976" t="s">
        <v>2342</v>
      </c>
      <c r="CD17" s="976" t="s">
        <v>2343</v>
      </c>
      <c r="CE17" s="976" t="s">
        <v>2343</v>
      </c>
      <c r="CF17" s="976" t="s">
        <v>2343</v>
      </c>
      <c r="CG17" s="976" t="s">
        <v>2343</v>
      </c>
      <c r="CH17" s="976" t="s">
        <v>2343</v>
      </c>
      <c r="CI17" s="976" t="s">
        <v>2343</v>
      </c>
      <c r="CJ17" s="976" t="s">
        <v>2343</v>
      </c>
      <c r="CK17" s="976" t="s">
        <v>2343</v>
      </c>
      <c r="CL17" s="976" t="s">
        <v>2344</v>
      </c>
      <c r="CM17" s="976" t="s">
        <v>2345</v>
      </c>
      <c r="CN17" s="976" t="s">
        <v>2345</v>
      </c>
      <c r="CO17" s="976" t="s">
        <v>2346</v>
      </c>
      <c r="CP17" s="976" t="s">
        <v>2347</v>
      </c>
      <c r="CQ17" s="977" t="s">
        <v>2347</v>
      </c>
      <c r="CR17" s="976" t="s">
        <v>2347</v>
      </c>
      <c r="CS17" s="976" t="s">
        <v>2347</v>
      </c>
      <c r="CT17" s="976" t="s">
        <v>2347</v>
      </c>
      <c r="CU17" s="976" t="s">
        <v>2347</v>
      </c>
      <c r="CV17" s="976" t="s">
        <v>2347</v>
      </c>
      <c r="CW17" s="976" t="s">
        <v>2347</v>
      </c>
      <c r="CX17" s="976" t="s">
        <v>2348</v>
      </c>
      <c r="CY17" s="976" t="s">
        <v>2349</v>
      </c>
      <c r="CZ17" s="976" t="s">
        <v>2350</v>
      </c>
      <c r="DA17" s="976" t="s">
        <v>2349</v>
      </c>
      <c r="DB17" s="976" t="s">
        <v>2349</v>
      </c>
      <c r="DC17" s="978" t="s">
        <v>2351</v>
      </c>
      <c r="DD17" s="978" t="s">
        <v>2351</v>
      </c>
      <c r="DE17" s="978" t="s">
        <v>2351</v>
      </c>
      <c r="DF17" s="978" t="s">
        <v>2352</v>
      </c>
      <c r="DG17" s="978" t="s">
        <v>2353</v>
      </c>
      <c r="DH17" s="978" t="s">
        <v>2349</v>
      </c>
      <c r="DI17" s="978" t="s">
        <v>2354</v>
      </c>
      <c r="DJ17" s="978" t="s">
        <v>2355</v>
      </c>
      <c r="DK17" s="978" t="s">
        <v>1015</v>
      </c>
      <c r="DL17" s="978" t="s">
        <v>2356</v>
      </c>
      <c r="DM17" s="978" t="s">
        <v>2357</v>
      </c>
      <c r="DN17" s="978" t="s">
        <v>2358</v>
      </c>
      <c r="DO17" s="978" t="s">
        <v>2358</v>
      </c>
      <c r="DP17" s="978" t="s">
        <v>2359</v>
      </c>
      <c r="DQ17" s="978" t="s">
        <v>2359</v>
      </c>
      <c r="DR17" s="979" t="s">
        <v>2360</v>
      </c>
      <c r="DS17" s="980" t="s">
        <v>2360</v>
      </c>
      <c r="DT17" s="980" t="s">
        <v>2360</v>
      </c>
      <c r="DU17" s="980" t="s">
        <v>2360</v>
      </c>
      <c r="DV17" s="980" t="s">
        <v>2361</v>
      </c>
      <c r="DW17" s="980" t="s">
        <v>2361</v>
      </c>
      <c r="DX17" s="980" t="s">
        <v>2164</v>
      </c>
      <c r="DY17" s="980" t="s">
        <v>2164</v>
      </c>
      <c r="DZ17" s="980" t="s">
        <v>2164</v>
      </c>
      <c r="EA17" s="980" t="s">
        <v>2164</v>
      </c>
      <c r="EB17" s="980" t="s">
        <v>2164</v>
      </c>
      <c r="EC17" s="980" t="s">
        <v>2164</v>
      </c>
      <c r="ED17" s="980" t="s">
        <v>2164</v>
      </c>
      <c r="EE17" s="980" t="s">
        <v>2362</v>
      </c>
      <c r="EF17" s="980" t="s">
        <v>2363</v>
      </c>
      <c r="EG17" s="980" t="s">
        <v>2363</v>
      </c>
      <c r="EH17" s="980" t="s">
        <v>2363</v>
      </c>
      <c r="EI17" s="980" t="s">
        <v>2363</v>
      </c>
      <c r="EJ17" s="980" t="s">
        <v>2364</v>
      </c>
      <c r="EK17" s="980" t="s">
        <v>2365</v>
      </c>
      <c r="EL17" s="980" t="s">
        <v>2366</v>
      </c>
      <c r="EM17" s="980" t="s">
        <v>2367</v>
      </c>
      <c r="EN17" s="980" t="s">
        <v>2368</v>
      </c>
      <c r="EO17" s="980" t="s">
        <v>2369</v>
      </c>
      <c r="EP17" s="980" t="s">
        <v>2370</v>
      </c>
      <c r="EQ17" s="980" t="s">
        <v>2371</v>
      </c>
      <c r="ER17" s="980" t="s">
        <v>2283</v>
      </c>
      <c r="ES17" s="982" t="s">
        <v>2372</v>
      </c>
      <c r="ET17" s="972" t="s">
        <v>1567</v>
      </c>
      <c r="EU17" s="972" t="s">
        <v>2373</v>
      </c>
      <c r="EV17" s="972" t="s">
        <v>2374</v>
      </c>
      <c r="EW17" s="972" t="s">
        <v>2375</v>
      </c>
      <c r="EX17" s="972" t="s">
        <v>2376</v>
      </c>
      <c r="EY17" s="972" t="s">
        <v>2377</v>
      </c>
      <c r="EZ17" s="972" t="s">
        <v>2378</v>
      </c>
      <c r="FA17" s="972" t="s">
        <v>2379</v>
      </c>
      <c r="FB17" s="972" t="s">
        <v>2380</v>
      </c>
      <c r="FC17" s="972" t="s">
        <v>2381</v>
      </c>
      <c r="FD17" s="972" t="s">
        <v>2382</v>
      </c>
      <c r="FE17" s="973" t="s">
        <v>2383</v>
      </c>
      <c r="FF17" s="973" t="s">
        <v>2384</v>
      </c>
      <c r="FG17" s="973" t="s">
        <v>2385</v>
      </c>
      <c r="FH17" s="973" t="s">
        <v>2366</v>
      </c>
      <c r="FI17" s="973" t="s">
        <v>2386</v>
      </c>
      <c r="FJ17" s="973" t="s">
        <v>2387</v>
      </c>
      <c r="FK17" s="973" t="s">
        <v>479</v>
      </c>
      <c r="FL17" s="973" t="s">
        <v>2388</v>
      </c>
      <c r="FM17" s="973" t="s">
        <v>2389</v>
      </c>
      <c r="FN17" s="973" t="s">
        <v>2390</v>
      </c>
      <c r="FO17" s="973" t="s">
        <v>2391</v>
      </c>
      <c r="FP17" s="973" t="s">
        <v>2392</v>
      </c>
      <c r="FQ17" s="973" t="s">
        <v>2393</v>
      </c>
      <c r="FR17" s="973" t="s">
        <v>2367</v>
      </c>
      <c r="FS17" s="973" t="s">
        <v>2394</v>
      </c>
      <c r="FT17" s="973" t="s">
        <v>2395</v>
      </c>
      <c r="FU17" s="973" t="s">
        <v>2396</v>
      </c>
      <c r="FV17" s="973" t="s">
        <v>1438</v>
      </c>
      <c r="FW17" s="973" t="s">
        <v>2397</v>
      </c>
      <c r="FX17" s="973" t="s">
        <v>1596</v>
      </c>
      <c r="FY17" s="973" t="s">
        <v>2398</v>
      </c>
      <c r="FZ17" s="973" t="s">
        <v>2399</v>
      </c>
      <c r="GA17" s="973" t="s">
        <v>2400</v>
      </c>
      <c r="GB17" s="973" t="s">
        <v>2401</v>
      </c>
      <c r="GC17" s="983" t="s">
        <v>2402</v>
      </c>
      <c r="GD17" s="983" t="s">
        <v>2403</v>
      </c>
      <c r="GE17" s="983" t="s">
        <v>2404</v>
      </c>
      <c r="GF17" s="983" t="s">
        <v>2405</v>
      </c>
      <c r="GG17" s="983" t="s">
        <v>2406</v>
      </c>
      <c r="GH17" s="973" t="s">
        <v>2020</v>
      </c>
      <c r="GI17" s="973" t="s">
        <v>2407</v>
      </c>
      <c r="GJ17" s="973" t="s">
        <v>2408</v>
      </c>
      <c r="GK17" s="973" t="s">
        <v>2409</v>
      </c>
      <c r="GN17" s="949"/>
    </row>
    <row r="18" spans="1:196" s="948" customFormat="1" ht="20.100000000000001" customHeight="1" x14ac:dyDescent="0.3">
      <c r="A18" s="282" t="s">
        <v>471</v>
      </c>
      <c r="B18" s="974" t="s">
        <v>2410</v>
      </c>
      <c r="C18" s="975" t="s">
        <v>2411</v>
      </c>
      <c r="D18" s="975" t="s">
        <v>2412</v>
      </c>
      <c r="E18" s="975" t="s">
        <v>448</v>
      </c>
      <c r="F18" s="974" t="s">
        <v>448</v>
      </c>
      <c r="G18" s="975" t="s">
        <v>2413</v>
      </c>
      <c r="H18" s="975" t="s">
        <v>472</v>
      </c>
      <c r="I18" s="975" t="s">
        <v>472</v>
      </c>
      <c r="J18" s="975" t="s">
        <v>472</v>
      </c>
      <c r="K18" s="975" t="s">
        <v>472</v>
      </c>
      <c r="L18" s="975" t="s">
        <v>472</v>
      </c>
      <c r="M18" s="975" t="s">
        <v>472</v>
      </c>
      <c r="N18" s="974" t="s">
        <v>1474</v>
      </c>
      <c r="O18" s="975" t="s">
        <v>2414</v>
      </c>
      <c r="P18" s="975" t="s">
        <v>2415</v>
      </c>
      <c r="Q18" s="974" t="s">
        <v>2416</v>
      </c>
      <c r="R18" s="975" t="s">
        <v>2416</v>
      </c>
      <c r="S18" s="975" t="s">
        <v>2417</v>
      </c>
      <c r="T18" s="976" t="s">
        <v>2418</v>
      </c>
      <c r="U18" s="976" t="s">
        <v>2419</v>
      </c>
      <c r="V18" s="976" t="s">
        <v>2420</v>
      </c>
      <c r="W18" s="976" t="s">
        <v>2421</v>
      </c>
      <c r="X18" s="976" t="s">
        <v>2422</v>
      </c>
      <c r="Y18" s="976" t="s">
        <v>2423</v>
      </c>
      <c r="Z18" s="976" t="s">
        <v>2424</v>
      </c>
      <c r="AA18" s="976" t="s">
        <v>2422</v>
      </c>
      <c r="AB18" s="976" t="s">
        <v>2424</v>
      </c>
      <c r="AC18" s="976" t="s">
        <v>2421</v>
      </c>
      <c r="AD18" s="976" t="s">
        <v>2425</v>
      </c>
      <c r="AE18" s="976" t="s">
        <v>2425</v>
      </c>
      <c r="AF18" s="976" t="s">
        <v>2425</v>
      </c>
      <c r="AG18" s="976" t="s">
        <v>2426</v>
      </c>
      <c r="AH18" s="976" t="s">
        <v>2427</v>
      </c>
      <c r="AI18" s="976" t="s">
        <v>2428</v>
      </c>
      <c r="AJ18" s="976" t="s">
        <v>2425</v>
      </c>
      <c r="AK18" s="976" t="s">
        <v>2425</v>
      </c>
      <c r="AL18" s="976" t="s">
        <v>2429</v>
      </c>
      <c r="AM18" s="976" t="s">
        <v>2429</v>
      </c>
      <c r="AN18" s="976" t="s">
        <v>2429</v>
      </c>
      <c r="AO18" s="976" t="s">
        <v>2429</v>
      </c>
      <c r="AP18" s="976" t="s">
        <v>2425</v>
      </c>
      <c r="AQ18" s="976" t="s">
        <v>2430</v>
      </c>
      <c r="AR18" s="976" t="s">
        <v>2430</v>
      </c>
      <c r="AS18" s="976" t="s">
        <v>2430</v>
      </c>
      <c r="AT18" s="976" t="s">
        <v>2430</v>
      </c>
      <c r="AU18" s="976" t="s">
        <v>2431</v>
      </c>
      <c r="AV18" s="976" t="s">
        <v>2431</v>
      </c>
      <c r="AW18" s="976" t="s">
        <v>2431</v>
      </c>
      <c r="AX18" s="976" t="s">
        <v>2432</v>
      </c>
      <c r="AY18" s="976" t="s">
        <v>2433</v>
      </c>
      <c r="AZ18" s="976" t="s">
        <v>2433</v>
      </c>
      <c r="BA18" s="976" t="s">
        <v>2434</v>
      </c>
      <c r="BB18" s="976" t="s">
        <v>2434</v>
      </c>
      <c r="BC18" s="976" t="s">
        <v>2434</v>
      </c>
      <c r="BD18" s="976" t="s">
        <v>2433</v>
      </c>
      <c r="BE18" s="976" t="s">
        <v>2433</v>
      </c>
      <c r="BF18" s="976" t="s">
        <v>2433</v>
      </c>
      <c r="BG18" s="976" t="s">
        <v>2434</v>
      </c>
      <c r="BH18" s="976" t="s">
        <v>2433</v>
      </c>
      <c r="BI18" s="976" t="s">
        <v>2433</v>
      </c>
      <c r="BJ18" s="976" t="s">
        <v>2433</v>
      </c>
      <c r="BK18" s="976" t="s">
        <v>2433</v>
      </c>
      <c r="BL18" s="976" t="s">
        <v>2433</v>
      </c>
      <c r="BM18" s="976" t="s">
        <v>2232</v>
      </c>
      <c r="BN18" s="976" t="s">
        <v>2435</v>
      </c>
      <c r="BO18" s="976" t="s">
        <v>2436</v>
      </c>
      <c r="BP18" s="976" t="s">
        <v>2436</v>
      </c>
      <c r="BQ18" s="976" t="s">
        <v>2436</v>
      </c>
      <c r="BR18" s="976" t="s">
        <v>2436</v>
      </c>
      <c r="BS18" s="976" t="s">
        <v>2437</v>
      </c>
      <c r="BT18" s="976" t="s">
        <v>2437</v>
      </c>
      <c r="BU18" s="976" t="s">
        <v>2438</v>
      </c>
      <c r="BV18" s="976" t="s">
        <v>2438</v>
      </c>
      <c r="BW18" s="976" t="s">
        <v>2438</v>
      </c>
      <c r="BX18" s="976" t="s">
        <v>2438</v>
      </c>
      <c r="BY18" s="976" t="s">
        <v>2438</v>
      </c>
      <c r="BZ18" s="977" t="s">
        <v>2438</v>
      </c>
      <c r="CA18" s="976" t="s">
        <v>2146</v>
      </c>
      <c r="CB18" s="976" t="s">
        <v>2439</v>
      </c>
      <c r="CC18" s="976" t="s">
        <v>2144</v>
      </c>
      <c r="CD18" s="976" t="s">
        <v>2440</v>
      </c>
      <c r="CE18" s="976" t="s">
        <v>2441</v>
      </c>
      <c r="CF18" s="976" t="s">
        <v>2441</v>
      </c>
      <c r="CG18" s="976" t="s">
        <v>2441</v>
      </c>
      <c r="CH18" s="976" t="s">
        <v>2441</v>
      </c>
      <c r="CI18" s="976" t="s">
        <v>2442</v>
      </c>
      <c r="CJ18" s="976" t="s">
        <v>2442</v>
      </c>
      <c r="CK18" s="976" t="s">
        <v>2443</v>
      </c>
      <c r="CL18" s="976" t="s">
        <v>2443</v>
      </c>
      <c r="CM18" s="976" t="s">
        <v>2443</v>
      </c>
      <c r="CN18" s="976" t="s">
        <v>2443</v>
      </c>
      <c r="CO18" s="976" t="s">
        <v>2443</v>
      </c>
      <c r="CP18" s="976" t="s">
        <v>2443</v>
      </c>
      <c r="CQ18" s="977" t="s">
        <v>2444</v>
      </c>
      <c r="CR18" s="976" t="s">
        <v>2443</v>
      </c>
      <c r="CS18" s="976" t="s">
        <v>2443</v>
      </c>
      <c r="CT18" s="976" t="s">
        <v>2445</v>
      </c>
      <c r="CU18" s="976" t="s">
        <v>2445</v>
      </c>
      <c r="CV18" s="976" t="s">
        <v>2446</v>
      </c>
      <c r="CW18" s="976" t="s">
        <v>2447</v>
      </c>
      <c r="CX18" s="976" t="s">
        <v>2447</v>
      </c>
      <c r="CY18" s="976" t="s">
        <v>2447</v>
      </c>
      <c r="CZ18" s="976" t="s">
        <v>2448</v>
      </c>
      <c r="DA18" s="976" t="s">
        <v>2448</v>
      </c>
      <c r="DB18" s="976" t="s">
        <v>2448</v>
      </c>
      <c r="DC18" s="978" t="s">
        <v>2448</v>
      </c>
      <c r="DD18" s="978" t="s">
        <v>2448</v>
      </c>
      <c r="DE18" s="978" t="s">
        <v>2448</v>
      </c>
      <c r="DF18" s="978" t="s">
        <v>2448</v>
      </c>
      <c r="DG18" s="978" t="s">
        <v>2448</v>
      </c>
      <c r="DH18" s="978" t="s">
        <v>2448</v>
      </c>
      <c r="DI18" s="978" t="s">
        <v>2448</v>
      </c>
      <c r="DJ18" s="978" t="s">
        <v>2448</v>
      </c>
      <c r="DK18" s="978" t="s">
        <v>2449</v>
      </c>
      <c r="DL18" s="978" t="s">
        <v>2449</v>
      </c>
      <c r="DM18" s="978" t="s">
        <v>2448</v>
      </c>
      <c r="DN18" s="978" t="s">
        <v>2450</v>
      </c>
      <c r="DO18" s="978" t="s">
        <v>2450</v>
      </c>
      <c r="DP18" s="978" t="s">
        <v>2450</v>
      </c>
      <c r="DQ18" s="978" t="s">
        <v>2450</v>
      </c>
      <c r="DR18" s="979" t="s">
        <v>2450</v>
      </c>
      <c r="DS18" s="980" t="s">
        <v>2451</v>
      </c>
      <c r="DT18" s="980" t="s">
        <v>2451</v>
      </c>
      <c r="DU18" s="980" t="s">
        <v>2452</v>
      </c>
      <c r="DV18" s="980" t="s">
        <v>2452</v>
      </c>
      <c r="DW18" s="980" t="s">
        <v>2452</v>
      </c>
      <c r="DX18" s="980" t="s">
        <v>2452</v>
      </c>
      <c r="DY18" s="980" t="s">
        <v>2452</v>
      </c>
      <c r="DZ18" s="980" t="s">
        <v>2452</v>
      </c>
      <c r="EA18" s="980" t="s">
        <v>2453</v>
      </c>
      <c r="EB18" s="980" t="s">
        <v>2452</v>
      </c>
      <c r="EC18" s="980" t="s">
        <v>2452</v>
      </c>
      <c r="ED18" s="980" t="s">
        <v>2452</v>
      </c>
      <c r="EE18" s="980" t="s">
        <v>2452</v>
      </c>
      <c r="EF18" s="980" t="s">
        <v>2454</v>
      </c>
      <c r="EG18" s="980" t="s">
        <v>2455</v>
      </c>
      <c r="EH18" s="980" t="s">
        <v>2454</v>
      </c>
      <c r="EI18" s="980" t="s">
        <v>2454</v>
      </c>
      <c r="EJ18" s="980" t="s">
        <v>2456</v>
      </c>
      <c r="EK18" s="980" t="s">
        <v>2457</v>
      </c>
      <c r="EL18" s="980" t="s">
        <v>473</v>
      </c>
      <c r="EM18" s="980" t="s">
        <v>2458</v>
      </c>
      <c r="EN18" s="980" t="s">
        <v>1403</v>
      </c>
      <c r="EO18" s="980" t="s">
        <v>2459</v>
      </c>
      <c r="EP18" s="980" t="s">
        <v>2460</v>
      </c>
      <c r="EQ18" s="980" t="s">
        <v>2461</v>
      </c>
      <c r="ER18" s="980" t="s">
        <v>2461</v>
      </c>
      <c r="ES18" s="982" t="s">
        <v>2462</v>
      </c>
      <c r="ET18" s="985" t="s">
        <v>2463</v>
      </c>
      <c r="EU18" s="985" t="s">
        <v>2464</v>
      </c>
      <c r="EV18" s="972" t="s">
        <v>2465</v>
      </c>
      <c r="EW18" s="972" t="s">
        <v>2466</v>
      </c>
      <c r="EX18" s="972" t="s">
        <v>2467</v>
      </c>
      <c r="EY18" s="972" t="s">
        <v>2468</v>
      </c>
      <c r="EZ18" s="972" t="s">
        <v>2469</v>
      </c>
      <c r="FA18" s="972" t="s">
        <v>2470</v>
      </c>
      <c r="FB18" s="972" t="s">
        <v>2471</v>
      </c>
      <c r="FC18" s="972" t="s">
        <v>2472</v>
      </c>
      <c r="FD18" s="972" t="s">
        <v>2473</v>
      </c>
      <c r="FE18" s="973" t="s">
        <v>2474</v>
      </c>
      <c r="FF18" s="973" t="s">
        <v>2475</v>
      </c>
      <c r="FG18" s="973" t="s">
        <v>480</v>
      </c>
      <c r="FH18" s="973" t="s">
        <v>2476</v>
      </c>
      <c r="FI18" s="973" t="s">
        <v>2477</v>
      </c>
      <c r="FJ18" s="973" t="s">
        <v>2478</v>
      </c>
      <c r="FK18" s="973" t="s">
        <v>2296</v>
      </c>
      <c r="FL18" s="973" t="s">
        <v>2479</v>
      </c>
      <c r="FM18" s="973" t="s">
        <v>481</v>
      </c>
      <c r="FN18" s="973" t="s">
        <v>2480</v>
      </c>
      <c r="FO18" s="973" t="s">
        <v>2481</v>
      </c>
      <c r="FP18" s="973" t="s">
        <v>2482</v>
      </c>
      <c r="FQ18" s="973" t="s">
        <v>482</v>
      </c>
      <c r="FR18" s="973" t="s">
        <v>2483</v>
      </c>
      <c r="FS18" s="973" t="s">
        <v>1022</v>
      </c>
      <c r="FT18" s="973" t="s">
        <v>2484</v>
      </c>
      <c r="FU18" s="973" t="s">
        <v>1438</v>
      </c>
      <c r="FV18" s="973" t="s">
        <v>2485</v>
      </c>
      <c r="FW18" s="973" t="s">
        <v>2486</v>
      </c>
      <c r="FX18" s="973" t="s">
        <v>2487</v>
      </c>
      <c r="FY18" s="973" t="s">
        <v>2488</v>
      </c>
      <c r="FZ18" s="973" t="s">
        <v>2489</v>
      </c>
      <c r="GA18" s="973" t="s">
        <v>2490</v>
      </c>
      <c r="GB18" s="973" t="s">
        <v>483</v>
      </c>
      <c r="GC18" s="973" t="s">
        <v>2490</v>
      </c>
      <c r="GD18" s="973" t="s">
        <v>2491</v>
      </c>
      <c r="GE18" s="973" t="s">
        <v>2492</v>
      </c>
      <c r="GF18" s="973" t="s">
        <v>2493</v>
      </c>
      <c r="GG18" s="973" t="s">
        <v>2487</v>
      </c>
      <c r="GH18" s="973" t="s">
        <v>2494</v>
      </c>
      <c r="GI18" s="973" t="s">
        <v>2495</v>
      </c>
      <c r="GJ18" s="973" t="s">
        <v>2494</v>
      </c>
      <c r="GK18" s="973" t="s">
        <v>2496</v>
      </c>
      <c r="GN18" s="949"/>
    </row>
    <row r="19" spans="1:196" s="948" customFormat="1" ht="20.100000000000001" customHeight="1" thickBot="1" x14ac:dyDescent="0.35">
      <c r="A19" s="986"/>
      <c r="B19" s="987"/>
      <c r="C19" s="988"/>
      <c r="D19" s="988"/>
      <c r="E19" s="988"/>
      <c r="F19" s="989"/>
      <c r="G19" s="988"/>
      <c r="H19" s="988"/>
      <c r="I19" s="988"/>
      <c r="J19" s="988"/>
      <c r="K19" s="988"/>
      <c r="L19" s="988"/>
      <c r="M19" s="988"/>
      <c r="N19" s="989"/>
      <c r="O19" s="988"/>
      <c r="P19" s="988"/>
      <c r="Q19" s="989"/>
      <c r="R19" s="988"/>
      <c r="S19" s="988"/>
      <c r="T19" s="990"/>
      <c r="U19" s="990"/>
      <c r="V19" s="990"/>
      <c r="W19" s="990"/>
      <c r="X19" s="990"/>
      <c r="Y19" s="990"/>
      <c r="Z19" s="990"/>
      <c r="AA19" s="990"/>
      <c r="AB19" s="990"/>
      <c r="AC19" s="990"/>
      <c r="AD19" s="990"/>
      <c r="AE19" s="991"/>
      <c r="AF19" s="991"/>
      <c r="AG19" s="991"/>
      <c r="AH19" s="991"/>
      <c r="AI19" s="991"/>
      <c r="AJ19" s="991"/>
      <c r="AK19" s="991"/>
      <c r="AL19" s="991"/>
      <c r="AM19" s="991"/>
      <c r="AN19" s="991"/>
      <c r="AO19" s="991"/>
      <c r="AP19" s="991"/>
      <c r="AQ19" s="991"/>
      <c r="AR19" s="991"/>
      <c r="AS19" s="991"/>
      <c r="AT19" s="991"/>
      <c r="AU19" s="991"/>
      <c r="AV19" s="991"/>
      <c r="AW19" s="991"/>
      <c r="AX19" s="991"/>
      <c r="AY19" s="991"/>
      <c r="AZ19" s="991"/>
      <c r="BA19" s="991"/>
      <c r="BB19" s="991"/>
      <c r="BC19" s="991"/>
      <c r="BD19" s="991"/>
      <c r="BE19" s="991"/>
      <c r="BF19" s="991"/>
      <c r="BG19" s="991"/>
      <c r="BH19" s="991"/>
      <c r="BI19" s="991"/>
      <c r="BJ19" s="991"/>
      <c r="BK19" s="991"/>
      <c r="BL19" s="991"/>
      <c r="BM19" s="991"/>
      <c r="BN19" s="991"/>
      <c r="BO19" s="991"/>
      <c r="BP19" s="991"/>
      <c r="BQ19" s="991"/>
      <c r="BR19" s="991"/>
      <c r="BS19" s="991"/>
      <c r="BT19" s="991"/>
      <c r="BU19" s="991"/>
      <c r="BV19" s="991"/>
      <c r="BW19" s="991"/>
      <c r="BX19" s="991"/>
      <c r="BY19" s="991"/>
      <c r="BZ19" s="991"/>
      <c r="CA19" s="991"/>
      <c r="CB19" s="991"/>
      <c r="CC19" s="991"/>
      <c r="CD19" s="991"/>
      <c r="CE19" s="991"/>
      <c r="CF19" s="991"/>
      <c r="CG19" s="991"/>
      <c r="CH19" s="992"/>
      <c r="CI19" s="993"/>
      <c r="CJ19" s="991"/>
      <c r="CK19" s="991"/>
      <c r="CL19" s="991"/>
      <c r="CM19" s="991"/>
      <c r="CN19" s="991"/>
      <c r="CO19" s="991"/>
      <c r="CP19" s="991"/>
      <c r="CQ19" s="991"/>
      <c r="CR19" s="991"/>
      <c r="CS19" s="991"/>
      <c r="CT19" s="991"/>
      <c r="CU19" s="991"/>
      <c r="CV19" s="991"/>
      <c r="CW19" s="991"/>
      <c r="CX19" s="991"/>
      <c r="CY19" s="991"/>
      <c r="CZ19" s="991"/>
      <c r="DA19" s="991"/>
      <c r="DB19" s="991"/>
      <c r="DC19" s="994"/>
      <c r="DD19" s="994"/>
      <c r="DE19" s="994"/>
      <c r="DF19" s="994"/>
      <c r="DG19" s="994"/>
      <c r="DH19" s="994"/>
      <c r="DI19" s="994"/>
      <c r="DJ19" s="994"/>
      <c r="DK19" s="994"/>
      <c r="DL19" s="994"/>
      <c r="DM19" s="994"/>
      <c r="DN19" s="994"/>
      <c r="DO19" s="994"/>
      <c r="DP19" s="994"/>
      <c r="DQ19" s="994"/>
      <c r="DR19" s="995"/>
      <c r="DS19" s="996"/>
      <c r="DT19" s="996"/>
      <c r="DU19" s="996"/>
      <c r="DV19" s="996"/>
      <c r="DW19" s="996"/>
      <c r="DX19" s="996"/>
      <c r="DY19" s="996"/>
      <c r="DZ19" s="996"/>
      <c r="EA19" s="996"/>
      <c r="EB19" s="996"/>
      <c r="EC19" s="996"/>
      <c r="ED19" s="997"/>
      <c r="EE19" s="997"/>
      <c r="EF19" s="997"/>
      <c r="EG19" s="997"/>
      <c r="EH19" s="997"/>
      <c r="EI19" s="997"/>
      <c r="EJ19" s="997"/>
      <c r="EK19" s="997"/>
      <c r="EL19" s="997"/>
      <c r="EM19" s="997"/>
      <c r="EN19" s="997"/>
      <c r="EO19" s="997"/>
      <c r="EP19" s="997"/>
      <c r="EQ19" s="997"/>
      <c r="ER19" s="997"/>
      <c r="ES19" s="998"/>
      <c r="ET19" s="999"/>
      <c r="EU19" s="999"/>
      <c r="EV19" s="999"/>
      <c r="EW19" s="999"/>
      <c r="EX19" s="999"/>
      <c r="EY19" s="999"/>
      <c r="EZ19" s="999"/>
      <c r="FA19" s="999"/>
      <c r="FB19" s="999"/>
      <c r="FC19" s="999"/>
      <c r="FD19" s="999"/>
      <c r="FE19" s="1000"/>
      <c r="FF19" s="1000"/>
      <c r="FG19" s="1000"/>
      <c r="FH19" s="1000"/>
      <c r="FI19" s="1000"/>
      <c r="FJ19" s="1000"/>
      <c r="FK19" s="1000"/>
      <c r="FL19" s="1000"/>
      <c r="FM19" s="1000"/>
      <c r="FN19" s="1000"/>
      <c r="FO19" s="1000"/>
      <c r="FP19" s="1000"/>
      <c r="FQ19" s="1000"/>
      <c r="FR19" s="1000"/>
      <c r="FS19" s="1000"/>
      <c r="FT19" s="1000"/>
      <c r="FU19" s="1000"/>
      <c r="FV19" s="1000"/>
      <c r="FW19" s="1000"/>
      <c r="FX19" s="1000"/>
      <c r="FY19" s="1000"/>
      <c r="FZ19" s="1000"/>
      <c r="GA19" s="1000"/>
      <c r="GB19" s="1000"/>
      <c r="GC19" s="1000"/>
      <c r="GD19" s="1000"/>
      <c r="GE19" s="1000"/>
      <c r="GF19" s="1000"/>
      <c r="GG19" s="1000"/>
      <c r="GH19" s="1000"/>
      <c r="GI19" s="1000"/>
      <c r="GJ19" s="1000"/>
      <c r="GK19" s="1000"/>
      <c r="GN19" s="949"/>
    </row>
    <row r="20" spans="1:196" ht="18.600000000000001" customHeight="1" thickTop="1" x14ac:dyDescent="0.3">
      <c r="A20" s="180"/>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row>
    <row r="21" spans="1:196" ht="18.600000000000001" customHeight="1" x14ac:dyDescent="0.3">
      <c r="A21" s="180" t="s">
        <v>2497</v>
      </c>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row>
    <row r="22" spans="1:196" ht="18.600000000000001" customHeight="1" x14ac:dyDescent="0.3">
      <c r="A22" s="283" t="s">
        <v>134</v>
      </c>
    </row>
    <row r="25" spans="1:196" x14ac:dyDescent="0.3">
      <c r="A25" s="1001"/>
    </row>
    <row r="33" spans="128:128" x14ac:dyDescent="0.3">
      <c r="DX33" s="1002"/>
    </row>
  </sheetData>
  <pageMargins left="0.75" right="0.75" top="0.75" bottom="0.75" header="0.3" footer="0"/>
  <pageSetup paperSize="9" scale="4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AH119"/>
  <sheetViews>
    <sheetView showGridLines="0" zoomScale="80" zoomScaleNormal="80" zoomScaleSheetLayoutView="70" workbookViewId="0">
      <selection activeCell="A122" sqref="A122"/>
    </sheetView>
  </sheetViews>
  <sheetFormatPr defaultColWidth="9.140625" defaultRowHeight="17.25" x14ac:dyDescent="0.3"/>
  <cols>
    <col min="1" max="1" width="107" style="289" customWidth="1"/>
    <col min="2" max="21" width="14.28515625" style="1037" hidden="1" customWidth="1"/>
    <col min="22" max="34" width="14.28515625" style="1037" customWidth="1"/>
    <col min="35" max="16384" width="9.140625" style="287"/>
  </cols>
  <sheetData>
    <row r="1" spans="1:34" s="1006" customFormat="1" ht="18.75" customHeight="1" x14ac:dyDescent="0.35">
      <c r="A1" s="1003" t="s">
        <v>3272</v>
      </c>
      <c r="B1" s="1004"/>
      <c r="C1" s="1004"/>
      <c r="D1" s="1004"/>
      <c r="E1" s="1004"/>
      <c r="F1" s="1004"/>
      <c r="G1" s="1004"/>
      <c r="H1" s="1004"/>
      <c r="I1" s="1004"/>
      <c r="J1" s="1004"/>
      <c r="K1" s="1004"/>
      <c r="L1" s="1004"/>
      <c r="M1" s="1004"/>
      <c r="N1" s="1004"/>
      <c r="O1" s="1004"/>
      <c r="P1" s="1004"/>
      <c r="Q1" s="1004"/>
      <c r="R1" s="1004"/>
      <c r="S1" s="1004"/>
      <c r="T1" s="1004"/>
      <c r="U1" s="1004"/>
      <c r="V1" s="1005"/>
      <c r="W1" s="1005"/>
      <c r="X1" s="1005"/>
      <c r="Y1" s="1005"/>
      <c r="Z1" s="1005"/>
      <c r="AA1" s="1005"/>
      <c r="AB1" s="1005"/>
      <c r="AC1" s="1005"/>
      <c r="AD1" s="1005"/>
      <c r="AE1" s="1005"/>
      <c r="AF1" s="1005"/>
      <c r="AG1" s="1005"/>
      <c r="AH1" s="1005"/>
    </row>
    <row r="2" spans="1:34" s="1006" customFormat="1" ht="21" customHeight="1" thickBot="1" x14ac:dyDescent="0.35">
      <c r="A2" s="1007"/>
      <c r="B2" s="1008"/>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t="s">
        <v>416</v>
      </c>
    </row>
    <row r="3" spans="1:34" ht="26.25" customHeight="1" thickTop="1" thickBot="1" x14ac:dyDescent="0.35">
      <c r="A3" s="1009"/>
      <c r="B3" s="1010">
        <v>43374</v>
      </c>
      <c r="C3" s="1010">
        <v>43405</v>
      </c>
      <c r="D3" s="1010">
        <v>43435</v>
      </c>
      <c r="E3" s="1010">
        <v>43466</v>
      </c>
      <c r="F3" s="1010">
        <v>43497</v>
      </c>
      <c r="G3" s="1010">
        <v>43525</v>
      </c>
      <c r="H3" s="1010">
        <v>43556</v>
      </c>
      <c r="I3" s="1010">
        <v>43586</v>
      </c>
      <c r="J3" s="1010">
        <v>43617</v>
      </c>
      <c r="K3" s="1010">
        <v>43647</v>
      </c>
      <c r="L3" s="1010">
        <v>43678</v>
      </c>
      <c r="M3" s="1010">
        <v>43709</v>
      </c>
      <c r="N3" s="1010">
        <v>43739</v>
      </c>
      <c r="O3" s="1010">
        <v>43770</v>
      </c>
      <c r="P3" s="1010">
        <v>43800</v>
      </c>
      <c r="Q3" s="1010">
        <v>43831</v>
      </c>
      <c r="R3" s="1010">
        <v>43862</v>
      </c>
      <c r="S3" s="1010">
        <v>43891</v>
      </c>
      <c r="T3" s="1010">
        <v>43922</v>
      </c>
      <c r="U3" s="1010">
        <v>43952</v>
      </c>
      <c r="V3" s="1010">
        <v>43983</v>
      </c>
      <c r="W3" s="1010">
        <v>44013</v>
      </c>
      <c r="X3" s="1010">
        <v>44044</v>
      </c>
      <c r="Y3" s="1010">
        <v>44075</v>
      </c>
      <c r="Z3" s="1010">
        <v>44105</v>
      </c>
      <c r="AA3" s="1010">
        <v>44136</v>
      </c>
      <c r="AB3" s="1010">
        <v>44166</v>
      </c>
      <c r="AC3" s="1010">
        <v>44197</v>
      </c>
      <c r="AD3" s="1010">
        <v>44228</v>
      </c>
      <c r="AE3" s="1010">
        <v>44256</v>
      </c>
      <c r="AF3" s="1010">
        <v>44287</v>
      </c>
      <c r="AG3" s="1010">
        <v>44317</v>
      </c>
      <c r="AH3" s="1010">
        <v>44348</v>
      </c>
    </row>
    <row r="4" spans="1:34" ht="18" thickTop="1" x14ac:dyDescent="0.3">
      <c r="A4" s="1011" t="s">
        <v>338</v>
      </c>
      <c r="B4" s="1012" t="s">
        <v>2498</v>
      </c>
      <c r="C4" s="1012" t="s">
        <v>2499</v>
      </c>
      <c r="D4" s="1012" t="s">
        <v>2500</v>
      </c>
      <c r="E4" s="1012" t="s">
        <v>2500</v>
      </c>
      <c r="F4" s="1012" t="s">
        <v>2500</v>
      </c>
      <c r="G4" s="1012" t="s">
        <v>2500</v>
      </c>
      <c r="H4" s="1012" t="s">
        <v>2501</v>
      </c>
      <c r="I4" s="1012" t="s">
        <v>2501</v>
      </c>
      <c r="J4" s="1012" t="s">
        <v>2502</v>
      </c>
      <c r="K4" s="1012" t="s">
        <v>2500</v>
      </c>
      <c r="L4" s="1012" t="s">
        <v>2500</v>
      </c>
      <c r="M4" s="1012" t="s">
        <v>2503</v>
      </c>
      <c r="N4" s="1012" t="s">
        <v>2503</v>
      </c>
      <c r="O4" s="1012" t="s">
        <v>2503</v>
      </c>
      <c r="P4" s="1012" t="s">
        <v>2504</v>
      </c>
      <c r="Q4" s="1012" t="s">
        <v>2505</v>
      </c>
      <c r="R4" s="1012" t="s">
        <v>2506</v>
      </c>
      <c r="S4" s="1012" t="s">
        <v>2507</v>
      </c>
      <c r="T4" s="1012" t="s">
        <v>2508</v>
      </c>
      <c r="U4" s="1012" t="s">
        <v>2508</v>
      </c>
      <c r="V4" s="1012" t="s">
        <v>2508</v>
      </c>
      <c r="W4" s="1012" t="s">
        <v>2508</v>
      </c>
      <c r="X4" s="1012" t="s">
        <v>2509</v>
      </c>
      <c r="Y4" s="1012" t="s">
        <v>2509</v>
      </c>
      <c r="Z4" s="1012" t="s">
        <v>2509</v>
      </c>
      <c r="AA4" s="1012" t="s">
        <v>2509</v>
      </c>
      <c r="AB4" s="1012" t="s">
        <v>2508</v>
      </c>
      <c r="AC4" s="1012" t="s">
        <v>2509</v>
      </c>
      <c r="AD4" s="1012" t="s">
        <v>2510</v>
      </c>
      <c r="AE4" s="1012" t="s">
        <v>2511</v>
      </c>
      <c r="AF4" s="1012" t="s">
        <v>2510</v>
      </c>
      <c r="AG4" s="1012" t="s">
        <v>2510</v>
      </c>
      <c r="AH4" s="1012" t="s">
        <v>2510</v>
      </c>
    </row>
    <row r="5" spans="1:34" s="1006" customFormat="1" x14ac:dyDescent="0.3">
      <c r="A5" s="1013" t="s">
        <v>276</v>
      </c>
      <c r="B5" s="1012" t="s">
        <v>2512</v>
      </c>
      <c r="C5" s="1012" t="s">
        <v>2512</v>
      </c>
      <c r="D5" s="1012" t="s">
        <v>2513</v>
      </c>
      <c r="E5" s="1012" t="s">
        <v>2512</v>
      </c>
      <c r="F5" s="1012" t="s">
        <v>2512</v>
      </c>
      <c r="G5" s="1012" t="s">
        <v>2512</v>
      </c>
      <c r="H5" s="1012" t="s">
        <v>2514</v>
      </c>
      <c r="I5" s="1012" t="s">
        <v>2512</v>
      </c>
      <c r="J5" s="1012" t="s">
        <v>2515</v>
      </c>
      <c r="K5" s="1012" t="s">
        <v>2512</v>
      </c>
      <c r="L5" s="1012" t="s">
        <v>2516</v>
      </c>
      <c r="M5" s="1012" t="s">
        <v>2517</v>
      </c>
      <c r="N5" s="1012" t="s">
        <v>2517</v>
      </c>
      <c r="O5" s="1012" t="s">
        <v>2506</v>
      </c>
      <c r="P5" s="1012" t="s">
        <v>2517</v>
      </c>
      <c r="Q5" s="1012" t="s">
        <v>2517</v>
      </c>
      <c r="R5" s="1012" t="s">
        <v>2506</v>
      </c>
      <c r="S5" s="1012" t="s">
        <v>2518</v>
      </c>
      <c r="T5" s="1012" t="s">
        <v>2519</v>
      </c>
      <c r="U5" s="1012" t="s">
        <v>2520</v>
      </c>
      <c r="V5" s="1012" t="s">
        <v>2520</v>
      </c>
      <c r="W5" s="1012" t="s">
        <v>2520</v>
      </c>
      <c r="X5" s="1012" t="s">
        <v>2518</v>
      </c>
      <c r="Y5" s="1012" t="s">
        <v>2520</v>
      </c>
      <c r="Z5" s="1012" t="s">
        <v>2508</v>
      </c>
      <c r="AA5" s="1012" t="s">
        <v>2508</v>
      </c>
      <c r="AB5" s="1012" t="s">
        <v>2508</v>
      </c>
      <c r="AC5" s="1012" t="s">
        <v>2520</v>
      </c>
      <c r="AD5" s="1012" t="s">
        <v>2521</v>
      </c>
      <c r="AE5" s="1012" t="s">
        <v>2521</v>
      </c>
      <c r="AF5" s="1012" t="s">
        <v>2521</v>
      </c>
      <c r="AG5" s="1012" t="s">
        <v>2265</v>
      </c>
      <c r="AH5" s="1012" t="s">
        <v>2521</v>
      </c>
    </row>
    <row r="6" spans="1:34" x14ac:dyDescent="0.3">
      <c r="A6" s="1014" t="s">
        <v>277</v>
      </c>
      <c r="B6" s="1015" t="s">
        <v>2512</v>
      </c>
      <c r="C6" s="1015" t="s">
        <v>2512</v>
      </c>
      <c r="D6" s="1015" t="s">
        <v>2513</v>
      </c>
      <c r="E6" s="1015" t="s">
        <v>2512</v>
      </c>
      <c r="F6" s="1015" t="s">
        <v>2512</v>
      </c>
      <c r="G6" s="1015" t="s">
        <v>2512</v>
      </c>
      <c r="H6" s="1015" t="s">
        <v>2514</v>
      </c>
      <c r="I6" s="1015" t="s">
        <v>2512</v>
      </c>
      <c r="J6" s="1015" t="s">
        <v>2515</v>
      </c>
      <c r="K6" s="1015" t="s">
        <v>2512</v>
      </c>
      <c r="L6" s="1015" t="s">
        <v>2516</v>
      </c>
      <c r="M6" s="1015" t="s">
        <v>2517</v>
      </c>
      <c r="N6" s="1015" t="s">
        <v>2517</v>
      </c>
      <c r="O6" s="1015" t="s">
        <v>2506</v>
      </c>
      <c r="P6" s="1015" t="s">
        <v>2517</v>
      </c>
      <c r="Q6" s="1015" t="s">
        <v>2517</v>
      </c>
      <c r="R6" s="1015" t="s">
        <v>2506</v>
      </c>
      <c r="S6" s="1015" t="s">
        <v>2518</v>
      </c>
      <c r="T6" s="1015" t="s">
        <v>2519</v>
      </c>
      <c r="U6" s="1015" t="s">
        <v>2520</v>
      </c>
      <c r="V6" s="1015" t="s">
        <v>2520</v>
      </c>
      <c r="W6" s="1015" t="s">
        <v>2520</v>
      </c>
      <c r="X6" s="1015" t="s">
        <v>2518</v>
      </c>
      <c r="Y6" s="1015" t="s">
        <v>2520</v>
      </c>
      <c r="Z6" s="1015" t="s">
        <v>2508</v>
      </c>
      <c r="AA6" s="1015" t="s">
        <v>2508</v>
      </c>
      <c r="AB6" s="1015" t="s">
        <v>2508</v>
      </c>
      <c r="AC6" s="1015" t="s">
        <v>2520</v>
      </c>
      <c r="AD6" s="1015" t="s">
        <v>2521</v>
      </c>
      <c r="AE6" s="1015" t="s">
        <v>2521</v>
      </c>
      <c r="AF6" s="1015" t="s">
        <v>2521</v>
      </c>
      <c r="AG6" s="1015" t="s">
        <v>2265</v>
      </c>
      <c r="AH6" s="1015" t="s">
        <v>2521</v>
      </c>
    </row>
    <row r="7" spans="1:34" s="1017" customFormat="1" x14ac:dyDescent="0.3">
      <c r="A7" s="1016" t="s">
        <v>2522</v>
      </c>
      <c r="B7" s="1015" t="s">
        <v>2514</v>
      </c>
      <c r="C7" s="1015" t="s">
        <v>2523</v>
      </c>
      <c r="D7" s="1015" t="s">
        <v>2524</v>
      </c>
      <c r="E7" s="1015" t="s">
        <v>2523</v>
      </c>
      <c r="F7" s="1015" t="s">
        <v>2514</v>
      </c>
      <c r="G7" s="1015" t="s">
        <v>2514</v>
      </c>
      <c r="H7" s="1015" t="s">
        <v>2514</v>
      </c>
      <c r="I7" s="1015" t="s">
        <v>2514</v>
      </c>
      <c r="J7" s="1015" t="s">
        <v>2514</v>
      </c>
      <c r="K7" s="1015" t="s">
        <v>2525</v>
      </c>
      <c r="L7" s="1015" t="s">
        <v>2517</v>
      </c>
      <c r="M7" s="1015" t="s">
        <v>2525</v>
      </c>
      <c r="N7" s="1015" t="s">
        <v>2525</v>
      </c>
      <c r="O7" s="1015" t="s">
        <v>2526</v>
      </c>
      <c r="P7" s="1015" t="s">
        <v>2514</v>
      </c>
      <c r="Q7" s="1015" t="s">
        <v>2514</v>
      </c>
      <c r="R7" s="1015" t="s">
        <v>2514</v>
      </c>
      <c r="S7" s="1015" t="s">
        <v>2527</v>
      </c>
      <c r="T7" s="1015" t="s">
        <v>2519</v>
      </c>
      <c r="U7" s="1015" t="s">
        <v>2528</v>
      </c>
      <c r="V7" s="1015" t="s">
        <v>2512</v>
      </c>
      <c r="W7" s="1015" t="s">
        <v>2512</v>
      </c>
      <c r="X7" s="1015" t="s">
        <v>2518</v>
      </c>
      <c r="Y7" s="1015" t="s">
        <v>2518</v>
      </c>
      <c r="Z7" s="1015" t="s">
        <v>2520</v>
      </c>
      <c r="AA7" s="1015" t="s">
        <v>2520</v>
      </c>
      <c r="AB7" s="1015" t="s">
        <v>2520</v>
      </c>
      <c r="AC7" s="1015" t="s">
        <v>2520</v>
      </c>
      <c r="AD7" s="1015" t="s">
        <v>2529</v>
      </c>
      <c r="AE7" s="1015" t="s">
        <v>2530</v>
      </c>
      <c r="AF7" s="1015" t="s">
        <v>2529</v>
      </c>
      <c r="AG7" s="1015" t="s">
        <v>2529</v>
      </c>
      <c r="AH7" s="1015" t="s">
        <v>3256</v>
      </c>
    </row>
    <row r="8" spans="1:34" s="1017" customFormat="1" x14ac:dyDescent="0.3">
      <c r="A8" s="1016" t="s">
        <v>2531</v>
      </c>
      <c r="B8" s="1015" t="s">
        <v>484</v>
      </c>
      <c r="C8" s="1015" t="s">
        <v>484</v>
      </c>
      <c r="D8" s="1015" t="s">
        <v>2532</v>
      </c>
      <c r="E8" s="1015" t="s">
        <v>484</v>
      </c>
      <c r="F8" s="1015" t="s">
        <v>484</v>
      </c>
      <c r="G8" s="1015" t="s">
        <v>484</v>
      </c>
      <c r="H8" s="1015" t="s">
        <v>2533</v>
      </c>
      <c r="I8" s="1015" t="s">
        <v>2534</v>
      </c>
      <c r="J8" s="1015" t="s">
        <v>2515</v>
      </c>
      <c r="K8" s="1015" t="s">
        <v>484</v>
      </c>
      <c r="L8" s="1015" t="s">
        <v>2516</v>
      </c>
      <c r="M8" s="1015" t="s">
        <v>2535</v>
      </c>
      <c r="N8" s="1015" t="s">
        <v>2536</v>
      </c>
      <c r="O8" s="1015" t="s">
        <v>2506</v>
      </c>
      <c r="P8" s="1015" t="s">
        <v>2537</v>
      </c>
      <c r="Q8" s="1015" t="s">
        <v>2535</v>
      </c>
      <c r="R8" s="1015" t="s">
        <v>2506</v>
      </c>
      <c r="S8" s="1015" t="s">
        <v>2538</v>
      </c>
      <c r="T8" s="1015" t="s">
        <v>2539</v>
      </c>
      <c r="U8" s="1015" t="s">
        <v>2521</v>
      </c>
      <c r="V8" s="1015" t="s">
        <v>2521</v>
      </c>
      <c r="W8" s="1015" t="s">
        <v>2540</v>
      </c>
      <c r="X8" s="1015" t="s">
        <v>1993</v>
      </c>
      <c r="Y8" s="1015" t="s">
        <v>2521</v>
      </c>
      <c r="Z8" s="1015" t="s">
        <v>2541</v>
      </c>
      <c r="AA8" s="1015" t="s">
        <v>2541</v>
      </c>
      <c r="AB8" s="1015" t="s">
        <v>2542</v>
      </c>
      <c r="AC8" s="1015" t="s">
        <v>1993</v>
      </c>
      <c r="AD8" s="1015" t="s">
        <v>2521</v>
      </c>
      <c r="AE8" s="1015" t="s">
        <v>1993</v>
      </c>
      <c r="AF8" s="1015" t="s">
        <v>2521</v>
      </c>
      <c r="AG8" s="1015" t="s">
        <v>2265</v>
      </c>
      <c r="AH8" s="1015" t="s">
        <v>2521</v>
      </c>
    </row>
    <row r="9" spans="1:34" x14ac:dyDescent="0.3">
      <c r="A9" s="1014" t="s">
        <v>280</v>
      </c>
      <c r="B9" s="1015" t="s">
        <v>2543</v>
      </c>
      <c r="C9" s="1015" t="s">
        <v>2512</v>
      </c>
      <c r="D9" s="1015" t="s">
        <v>2544</v>
      </c>
      <c r="E9" s="1015" t="s">
        <v>2544</v>
      </c>
      <c r="F9" s="1015" t="s">
        <v>2544</v>
      </c>
      <c r="G9" s="1015" t="s">
        <v>2544</v>
      </c>
      <c r="H9" s="1015" t="s">
        <v>2544</v>
      </c>
      <c r="I9" s="1015" t="s">
        <v>2544</v>
      </c>
      <c r="J9" s="1015" t="s">
        <v>2544</v>
      </c>
      <c r="K9" s="1015" t="s">
        <v>2544</v>
      </c>
      <c r="L9" s="1015" t="s">
        <v>2545</v>
      </c>
      <c r="M9" s="1015" t="s">
        <v>2546</v>
      </c>
      <c r="N9" s="1015" t="s">
        <v>2546</v>
      </c>
      <c r="O9" s="1015" t="s">
        <v>2546</v>
      </c>
      <c r="P9" s="1015" t="s">
        <v>2545</v>
      </c>
      <c r="Q9" s="1015" t="s">
        <v>2546</v>
      </c>
      <c r="R9" s="1015" t="s">
        <v>2546</v>
      </c>
      <c r="S9" s="1015" t="s">
        <v>2547</v>
      </c>
      <c r="T9" s="1015" t="s">
        <v>2548</v>
      </c>
      <c r="U9" s="1015" t="s">
        <v>2548</v>
      </c>
      <c r="V9" s="1015" t="s">
        <v>2548</v>
      </c>
      <c r="W9" s="1015" t="s">
        <v>2548</v>
      </c>
      <c r="X9" s="1015" t="s">
        <v>2548</v>
      </c>
      <c r="Y9" s="1015" t="s">
        <v>2548</v>
      </c>
      <c r="Z9" s="1015" t="s">
        <v>2548</v>
      </c>
      <c r="AA9" s="1015" t="s">
        <v>2548</v>
      </c>
      <c r="AB9" s="1015" t="s">
        <v>2548</v>
      </c>
      <c r="AC9" s="1015" t="s">
        <v>2520</v>
      </c>
      <c r="AD9" s="1015" t="s">
        <v>2549</v>
      </c>
      <c r="AE9" s="1015" t="s">
        <v>1546</v>
      </c>
      <c r="AF9" s="1015" t="s">
        <v>1546</v>
      </c>
      <c r="AG9" s="1015" t="s">
        <v>2549</v>
      </c>
      <c r="AH9" s="1015">
        <v>7.85</v>
      </c>
    </row>
    <row r="10" spans="1:34" x14ac:dyDescent="0.3">
      <c r="A10" s="1014" t="s">
        <v>281</v>
      </c>
      <c r="B10" s="1015" t="s">
        <v>2550</v>
      </c>
      <c r="C10" s="1015" t="s">
        <v>2550</v>
      </c>
      <c r="D10" s="1015" t="s">
        <v>2550</v>
      </c>
      <c r="E10" s="1015" t="s">
        <v>2550</v>
      </c>
      <c r="F10" s="1015" t="s">
        <v>2550</v>
      </c>
      <c r="G10" s="1015" t="s">
        <v>2550</v>
      </c>
      <c r="H10" s="1015" t="s">
        <v>2550</v>
      </c>
      <c r="I10" s="1015" t="s">
        <v>2550</v>
      </c>
      <c r="J10" s="1015" t="s">
        <v>2550</v>
      </c>
      <c r="K10" s="1015" t="s">
        <v>2550</v>
      </c>
      <c r="L10" s="1015" t="s">
        <v>2551</v>
      </c>
      <c r="M10" s="1015" t="s">
        <v>2552</v>
      </c>
      <c r="N10" s="1015" t="s">
        <v>2552</v>
      </c>
      <c r="O10" s="1015" t="s">
        <v>2552</v>
      </c>
      <c r="P10" s="1015" t="s">
        <v>2552</v>
      </c>
      <c r="Q10" s="1015" t="s">
        <v>2552</v>
      </c>
      <c r="R10" s="1015" t="s">
        <v>2552</v>
      </c>
      <c r="S10" s="1015" t="s">
        <v>2553</v>
      </c>
      <c r="T10" s="1015" t="s">
        <v>2554</v>
      </c>
      <c r="U10" s="1015" t="s">
        <v>2555</v>
      </c>
      <c r="V10" s="1015" t="s">
        <v>2554</v>
      </c>
      <c r="W10" s="1015" t="s">
        <v>2555</v>
      </c>
      <c r="X10" s="1015" t="s">
        <v>2554</v>
      </c>
      <c r="Y10" s="1015" t="s">
        <v>2554</v>
      </c>
      <c r="Z10" s="1015" t="s">
        <v>2554</v>
      </c>
      <c r="AA10" s="1015" t="s">
        <v>2554</v>
      </c>
      <c r="AB10" s="1015" t="s">
        <v>2520</v>
      </c>
      <c r="AC10" s="1015" t="s">
        <v>2554</v>
      </c>
      <c r="AD10" s="1015" t="s">
        <v>2556</v>
      </c>
      <c r="AE10" s="1015" t="s">
        <v>2529</v>
      </c>
      <c r="AF10" s="1015" t="s">
        <v>2529</v>
      </c>
      <c r="AG10" s="1015" t="s">
        <v>2529</v>
      </c>
      <c r="AH10" s="1015" t="s">
        <v>2529</v>
      </c>
    </row>
    <row r="11" spans="1:34" s="1006" customFormat="1" x14ac:dyDescent="0.3">
      <c r="A11" s="1013" t="s">
        <v>282</v>
      </c>
      <c r="B11" s="1012" t="s">
        <v>448</v>
      </c>
      <c r="C11" s="1012" t="s">
        <v>448</v>
      </c>
      <c r="D11" s="1012" t="s">
        <v>448</v>
      </c>
      <c r="E11" s="1012" t="s">
        <v>448</v>
      </c>
      <c r="F11" s="1012" t="s">
        <v>448</v>
      </c>
      <c r="G11" s="1012" t="s">
        <v>448</v>
      </c>
      <c r="H11" s="1012" t="s">
        <v>448</v>
      </c>
      <c r="I11" s="1012" t="s">
        <v>448</v>
      </c>
      <c r="J11" s="1012" t="s">
        <v>448</v>
      </c>
      <c r="K11" s="1012" t="s">
        <v>485</v>
      </c>
      <c r="L11" s="1012" t="s">
        <v>2557</v>
      </c>
      <c r="M11" s="1012" t="s">
        <v>2557</v>
      </c>
      <c r="N11" s="1012" t="s">
        <v>2557</v>
      </c>
      <c r="O11" s="1012" t="s">
        <v>2557</v>
      </c>
      <c r="P11" s="1012" t="s">
        <v>2557</v>
      </c>
      <c r="Q11" s="1012" t="s">
        <v>2557</v>
      </c>
      <c r="R11" s="1012" t="s">
        <v>2557</v>
      </c>
      <c r="S11" s="1012" t="s">
        <v>2558</v>
      </c>
      <c r="T11" s="1012" t="s">
        <v>2559</v>
      </c>
      <c r="U11" s="1012" t="s">
        <v>2559</v>
      </c>
      <c r="V11" s="1012" t="s">
        <v>2559</v>
      </c>
      <c r="W11" s="1012" t="s">
        <v>2559</v>
      </c>
      <c r="X11" s="1012" t="s">
        <v>2559</v>
      </c>
      <c r="Y11" s="1012" t="s">
        <v>2559</v>
      </c>
      <c r="Z11" s="1012" t="s">
        <v>2559</v>
      </c>
      <c r="AA11" s="1012" t="s">
        <v>2559</v>
      </c>
      <c r="AB11" s="1012" t="s">
        <v>2559</v>
      </c>
      <c r="AC11" s="1012" t="s">
        <v>2559</v>
      </c>
      <c r="AD11" s="1012" t="s">
        <v>2559</v>
      </c>
      <c r="AE11" s="1012" t="s">
        <v>2559</v>
      </c>
      <c r="AF11" s="1012" t="s">
        <v>2559</v>
      </c>
      <c r="AG11" s="1012" t="s">
        <v>2559</v>
      </c>
      <c r="AH11" s="1012" t="s">
        <v>2559</v>
      </c>
    </row>
    <row r="12" spans="1:34" s="1006" customFormat="1" x14ac:dyDescent="0.3">
      <c r="A12" s="1013" t="s">
        <v>283</v>
      </c>
      <c r="B12" s="1012" t="s">
        <v>2512</v>
      </c>
      <c r="C12" s="1012" t="s">
        <v>2512</v>
      </c>
      <c r="D12" s="1012" t="s">
        <v>2515</v>
      </c>
      <c r="E12" s="1012" t="s">
        <v>2515</v>
      </c>
      <c r="F12" s="1012" t="s">
        <v>2512</v>
      </c>
      <c r="G12" s="1012" t="s">
        <v>2515</v>
      </c>
      <c r="H12" s="1012" t="s">
        <v>2512</v>
      </c>
      <c r="I12" s="1012" t="s">
        <v>2515</v>
      </c>
      <c r="J12" s="1012" t="s">
        <v>2515</v>
      </c>
      <c r="K12" s="1012" t="s">
        <v>2515</v>
      </c>
      <c r="L12" s="1012" t="s">
        <v>2516</v>
      </c>
      <c r="M12" s="1012" t="s">
        <v>2506</v>
      </c>
      <c r="N12" s="1012" t="s">
        <v>2506</v>
      </c>
      <c r="O12" s="1012" t="s">
        <v>2506</v>
      </c>
      <c r="P12" s="1012" t="s">
        <v>2505</v>
      </c>
      <c r="Q12" s="1012" t="s">
        <v>2506</v>
      </c>
      <c r="R12" s="1012" t="s">
        <v>2506</v>
      </c>
      <c r="S12" s="1012" t="s">
        <v>2507</v>
      </c>
      <c r="T12" s="1012" t="s">
        <v>2508</v>
      </c>
      <c r="U12" s="1012" t="s">
        <v>2508</v>
      </c>
      <c r="V12" s="1012" t="s">
        <v>2508</v>
      </c>
      <c r="W12" s="1012" t="s">
        <v>2508</v>
      </c>
      <c r="X12" s="1012" t="s">
        <v>2508</v>
      </c>
      <c r="Y12" s="1012" t="s">
        <v>2508</v>
      </c>
      <c r="Z12" s="1012" t="s">
        <v>2508</v>
      </c>
      <c r="AA12" s="1012" t="s">
        <v>2508</v>
      </c>
      <c r="AB12" s="1012" t="s">
        <v>2508</v>
      </c>
      <c r="AC12" s="1012" t="s">
        <v>2508</v>
      </c>
      <c r="AD12" s="1012" t="s">
        <v>2560</v>
      </c>
      <c r="AE12" s="1012" t="s">
        <v>2561</v>
      </c>
      <c r="AF12" s="1012" t="s">
        <v>2510</v>
      </c>
      <c r="AG12" s="1012" t="s">
        <v>2510</v>
      </c>
      <c r="AH12" s="1012" t="s">
        <v>3257</v>
      </c>
    </row>
    <row r="13" spans="1:34" x14ac:dyDescent="0.3">
      <c r="A13" s="1014" t="s">
        <v>284</v>
      </c>
      <c r="B13" s="1015" t="s">
        <v>2512</v>
      </c>
      <c r="C13" s="1015" t="s">
        <v>2543</v>
      </c>
      <c r="D13" s="1015" t="s">
        <v>2562</v>
      </c>
      <c r="E13" s="1015" t="s">
        <v>2515</v>
      </c>
      <c r="F13" s="1015" t="s">
        <v>2514</v>
      </c>
      <c r="G13" s="1015" t="s">
        <v>2563</v>
      </c>
      <c r="H13" s="1015" t="s">
        <v>2512</v>
      </c>
      <c r="I13" s="1015" t="s">
        <v>2512</v>
      </c>
      <c r="J13" s="1015" t="s">
        <v>2515</v>
      </c>
      <c r="K13" s="1015" t="s">
        <v>2512</v>
      </c>
      <c r="L13" s="1015" t="s">
        <v>2517</v>
      </c>
      <c r="M13" s="1015" t="s">
        <v>2514</v>
      </c>
      <c r="N13" s="1015" t="s">
        <v>2564</v>
      </c>
      <c r="O13" s="1015">
        <v>2.5</v>
      </c>
      <c r="P13" s="1015" t="s">
        <v>2564</v>
      </c>
      <c r="Q13" s="1015" t="s">
        <v>2564</v>
      </c>
      <c r="R13" s="1015" t="s">
        <v>2517</v>
      </c>
      <c r="S13" s="1015" t="s">
        <v>2514</v>
      </c>
      <c r="T13" s="1015" t="s">
        <v>2520</v>
      </c>
      <c r="U13" s="1015" t="s">
        <v>2528</v>
      </c>
      <c r="V13" s="1015" t="s">
        <v>2520</v>
      </c>
      <c r="W13" s="1015" t="s">
        <v>2520</v>
      </c>
      <c r="X13" s="1015" t="s">
        <v>2520</v>
      </c>
      <c r="Y13" s="1015" t="s">
        <v>2520</v>
      </c>
      <c r="Z13" s="1015" t="s">
        <v>2508</v>
      </c>
      <c r="AA13" s="1015" t="s">
        <v>2520</v>
      </c>
      <c r="AB13" s="1015" t="s">
        <v>2520</v>
      </c>
      <c r="AC13" s="1015" t="s">
        <v>2520</v>
      </c>
      <c r="AD13" s="1015" t="s">
        <v>2530</v>
      </c>
      <c r="AE13" s="1015" t="s">
        <v>2565</v>
      </c>
      <c r="AF13" s="1015" t="s">
        <v>2566</v>
      </c>
      <c r="AG13" s="1015" t="s">
        <v>2567</v>
      </c>
      <c r="AH13" s="1015" t="s">
        <v>3258</v>
      </c>
    </row>
    <row r="14" spans="1:34" x14ac:dyDescent="0.3">
      <c r="A14" s="1016" t="s">
        <v>2568</v>
      </c>
      <c r="B14" s="1015" t="s">
        <v>2550</v>
      </c>
      <c r="C14" s="1015" t="s">
        <v>2550</v>
      </c>
      <c r="D14" s="1015" t="s">
        <v>2569</v>
      </c>
      <c r="E14" s="1015" t="s">
        <v>2550</v>
      </c>
      <c r="F14" s="1015" t="s">
        <v>2550</v>
      </c>
      <c r="G14" s="1015" t="s">
        <v>2550</v>
      </c>
      <c r="H14" s="1015" t="s">
        <v>2550</v>
      </c>
      <c r="I14" s="1015" t="s">
        <v>2550</v>
      </c>
      <c r="J14" s="1015" t="s">
        <v>2550</v>
      </c>
      <c r="K14" s="1015" t="s">
        <v>2550</v>
      </c>
      <c r="L14" s="1015" t="s">
        <v>2543</v>
      </c>
      <c r="M14" s="1015" t="s">
        <v>2552</v>
      </c>
      <c r="N14" s="1015" t="s">
        <v>2552</v>
      </c>
      <c r="O14" s="1015" t="s">
        <v>2552</v>
      </c>
      <c r="P14" s="1015" t="s">
        <v>2545</v>
      </c>
      <c r="Q14" s="1015" t="s">
        <v>2552</v>
      </c>
      <c r="R14" s="1015" t="s">
        <v>2552</v>
      </c>
      <c r="S14" s="1015" t="s">
        <v>2548</v>
      </c>
      <c r="T14" s="1015" t="s">
        <v>2554</v>
      </c>
      <c r="U14" s="1015" t="s">
        <v>2570</v>
      </c>
      <c r="V14" s="1015" t="s">
        <v>2571</v>
      </c>
      <c r="W14" s="1015" t="s">
        <v>2554</v>
      </c>
      <c r="X14" s="1015" t="s">
        <v>2554</v>
      </c>
      <c r="Y14" s="1015" t="s">
        <v>2554</v>
      </c>
      <c r="Z14" s="1015" t="s">
        <v>2554</v>
      </c>
      <c r="AA14" s="1015" t="s">
        <v>2520</v>
      </c>
      <c r="AB14" s="1015" t="s">
        <v>2520</v>
      </c>
      <c r="AC14" s="1015" t="s">
        <v>2520</v>
      </c>
      <c r="AD14" s="1015" t="s">
        <v>2530</v>
      </c>
      <c r="AE14" s="1015" t="s">
        <v>2572</v>
      </c>
      <c r="AF14" s="1015" t="s">
        <v>2573</v>
      </c>
      <c r="AG14" s="1015" t="s">
        <v>2530</v>
      </c>
      <c r="AH14" s="1015" t="s">
        <v>3259</v>
      </c>
    </row>
    <row r="15" spans="1:34" x14ac:dyDescent="0.3">
      <c r="A15" s="1016" t="s">
        <v>2574</v>
      </c>
      <c r="B15" s="1015" t="s">
        <v>2550</v>
      </c>
      <c r="C15" s="1015" t="s">
        <v>2550</v>
      </c>
      <c r="D15" s="1015" t="s">
        <v>2550</v>
      </c>
      <c r="E15" s="1015" t="s">
        <v>2550</v>
      </c>
      <c r="F15" s="1015" t="s">
        <v>2550</v>
      </c>
      <c r="G15" s="1015" t="s">
        <v>2550</v>
      </c>
      <c r="H15" s="1015" t="s">
        <v>2550</v>
      </c>
      <c r="I15" s="1015" t="s">
        <v>2550</v>
      </c>
      <c r="J15" s="1015" t="s">
        <v>2575</v>
      </c>
      <c r="K15" s="1015" t="s">
        <v>2550</v>
      </c>
      <c r="L15" s="1015" t="s">
        <v>2547</v>
      </c>
      <c r="M15" s="1015" t="s">
        <v>2576</v>
      </c>
      <c r="N15" s="1015" t="s">
        <v>2547</v>
      </c>
      <c r="O15" s="1015" t="s">
        <v>2552</v>
      </c>
      <c r="P15" s="1015" t="s">
        <v>2547</v>
      </c>
      <c r="Q15" s="1015" t="s">
        <v>2547</v>
      </c>
      <c r="R15" s="1015" t="s">
        <v>2576</v>
      </c>
      <c r="S15" s="1015" t="s">
        <v>2553</v>
      </c>
      <c r="T15" s="1015" t="s">
        <v>2524</v>
      </c>
      <c r="U15" s="1015" t="s">
        <v>2554</v>
      </c>
      <c r="V15" s="1015" t="s">
        <v>2524</v>
      </c>
      <c r="W15" s="1015" t="s">
        <v>2524</v>
      </c>
      <c r="X15" s="1015" t="s">
        <v>2524</v>
      </c>
      <c r="Y15" s="1015" t="s">
        <v>2524</v>
      </c>
      <c r="Z15" s="1015" t="s">
        <v>2524</v>
      </c>
      <c r="AA15" s="1015" t="s">
        <v>2524</v>
      </c>
      <c r="AB15" s="1015" t="s">
        <v>2524</v>
      </c>
      <c r="AC15" s="1015" t="s">
        <v>2524</v>
      </c>
      <c r="AD15" s="1015" t="s">
        <v>2577</v>
      </c>
      <c r="AE15" s="1015" t="s">
        <v>2577</v>
      </c>
      <c r="AF15" s="1015" t="s">
        <v>2549</v>
      </c>
      <c r="AG15" s="1015" t="s">
        <v>2549</v>
      </c>
      <c r="AH15" s="1015" t="s">
        <v>2529</v>
      </c>
    </row>
    <row r="16" spans="1:34" x14ac:dyDescent="0.3">
      <c r="A16" s="1016" t="s">
        <v>2578</v>
      </c>
      <c r="B16" s="1015" t="s">
        <v>2512</v>
      </c>
      <c r="C16" s="1015" t="s">
        <v>2543</v>
      </c>
      <c r="D16" s="1015" t="s">
        <v>2562</v>
      </c>
      <c r="E16" s="1015" t="s">
        <v>2515</v>
      </c>
      <c r="F16" s="1015" t="s">
        <v>2514</v>
      </c>
      <c r="G16" s="1015" t="s">
        <v>2563</v>
      </c>
      <c r="H16" s="1015" t="s">
        <v>2512</v>
      </c>
      <c r="I16" s="1015" t="s">
        <v>2512</v>
      </c>
      <c r="J16" s="1015" t="s">
        <v>2515</v>
      </c>
      <c r="K16" s="1015" t="s">
        <v>2512</v>
      </c>
      <c r="L16" s="1015" t="s">
        <v>2517</v>
      </c>
      <c r="M16" s="1015" t="s">
        <v>2514</v>
      </c>
      <c r="N16" s="1015" t="s">
        <v>2564</v>
      </c>
      <c r="O16" s="1015" t="s">
        <v>2564</v>
      </c>
      <c r="P16" s="1015" t="s">
        <v>2564</v>
      </c>
      <c r="Q16" s="1015" t="s">
        <v>2564</v>
      </c>
      <c r="R16" s="1015" t="s">
        <v>2514</v>
      </c>
      <c r="S16" s="1015" t="s">
        <v>2514</v>
      </c>
      <c r="T16" s="1015" t="s">
        <v>2520</v>
      </c>
      <c r="U16" s="1015" t="s">
        <v>2528</v>
      </c>
      <c r="V16" s="1015" t="s">
        <v>2520</v>
      </c>
      <c r="W16" s="1015" t="s">
        <v>2520</v>
      </c>
      <c r="X16" s="1015" t="s">
        <v>2520</v>
      </c>
      <c r="Y16" s="1015" t="s">
        <v>2520</v>
      </c>
      <c r="Z16" s="1015" t="s">
        <v>2508</v>
      </c>
      <c r="AA16" s="1015" t="s">
        <v>2520</v>
      </c>
      <c r="AB16" s="1015" t="s">
        <v>2520</v>
      </c>
      <c r="AC16" s="1015" t="s">
        <v>2520</v>
      </c>
      <c r="AD16" s="1015" t="s">
        <v>2579</v>
      </c>
      <c r="AE16" s="1015" t="s">
        <v>2565</v>
      </c>
      <c r="AF16" s="1015" t="s">
        <v>2566</v>
      </c>
      <c r="AG16" s="1015" t="s">
        <v>2580</v>
      </c>
      <c r="AH16" s="1015" t="s">
        <v>3258</v>
      </c>
    </row>
    <row r="17" spans="1:34" x14ac:dyDescent="0.3">
      <c r="A17" s="1014" t="s">
        <v>288</v>
      </c>
      <c r="B17" s="1015" t="s">
        <v>2543</v>
      </c>
      <c r="C17" s="1015" t="s">
        <v>2581</v>
      </c>
      <c r="D17" s="1015" t="s">
        <v>2582</v>
      </c>
      <c r="E17" s="1015" t="s">
        <v>2543</v>
      </c>
      <c r="F17" s="1015" t="s">
        <v>2583</v>
      </c>
      <c r="G17" s="1015" t="s">
        <v>2543</v>
      </c>
      <c r="H17" s="1015" t="s">
        <v>2512</v>
      </c>
      <c r="I17" s="1015" t="s">
        <v>2581</v>
      </c>
      <c r="J17" s="1015" t="s">
        <v>2582</v>
      </c>
      <c r="K17" s="1015" t="s">
        <v>2543</v>
      </c>
      <c r="L17" s="1015" t="s">
        <v>2545</v>
      </c>
      <c r="M17" s="1015" t="s">
        <v>2581</v>
      </c>
      <c r="N17" s="1015" t="s">
        <v>2548</v>
      </c>
      <c r="O17" s="1015" t="s">
        <v>2545</v>
      </c>
      <c r="P17" s="1015" t="s">
        <v>2584</v>
      </c>
      <c r="Q17" s="1015" t="s">
        <v>2545</v>
      </c>
      <c r="R17" s="1015" t="s">
        <v>2585</v>
      </c>
      <c r="S17" s="1015" t="s">
        <v>2548</v>
      </c>
      <c r="T17" s="1015" t="s">
        <v>2525</v>
      </c>
      <c r="U17" s="1015" t="s">
        <v>2586</v>
      </c>
      <c r="V17" s="1015" t="s">
        <v>2525</v>
      </c>
      <c r="W17" s="1015" t="s">
        <v>2520</v>
      </c>
      <c r="X17" s="1015" t="s">
        <v>2520</v>
      </c>
      <c r="Y17" s="1015" t="s">
        <v>2520</v>
      </c>
      <c r="Z17" s="1015" t="s">
        <v>2520</v>
      </c>
      <c r="AA17" s="1015" t="s">
        <v>2520</v>
      </c>
      <c r="AB17" s="1015" t="s">
        <v>2520</v>
      </c>
      <c r="AC17" s="1015" t="s">
        <v>2520</v>
      </c>
      <c r="AD17" s="1015" t="s">
        <v>2559</v>
      </c>
      <c r="AE17" s="1015" t="s">
        <v>2529</v>
      </c>
      <c r="AF17" s="1015" t="s">
        <v>2529</v>
      </c>
      <c r="AG17" s="1015" t="s">
        <v>2587</v>
      </c>
      <c r="AH17" s="1015" t="s">
        <v>2587</v>
      </c>
    </row>
    <row r="18" spans="1:34" x14ac:dyDescent="0.3">
      <c r="A18" s="1014" t="s">
        <v>289</v>
      </c>
      <c r="B18" s="1015" t="s">
        <v>2512</v>
      </c>
      <c r="C18" s="1015" t="s">
        <v>2512</v>
      </c>
      <c r="D18" s="1015" t="s">
        <v>2512</v>
      </c>
      <c r="E18" s="1015" t="s">
        <v>2512</v>
      </c>
      <c r="F18" s="1015" t="s">
        <v>2512</v>
      </c>
      <c r="G18" s="1015" t="s">
        <v>2512</v>
      </c>
      <c r="H18" s="1015" t="s">
        <v>2512</v>
      </c>
      <c r="I18" s="1015" t="s">
        <v>2512</v>
      </c>
      <c r="J18" s="1015" t="s">
        <v>2543</v>
      </c>
      <c r="K18" s="1015" t="s">
        <v>2588</v>
      </c>
      <c r="L18" s="1015" t="s">
        <v>2545</v>
      </c>
      <c r="M18" s="1015" t="s">
        <v>2589</v>
      </c>
      <c r="N18" s="1015" t="s">
        <v>2545</v>
      </c>
      <c r="O18" s="1015" t="s">
        <v>2545</v>
      </c>
      <c r="P18" s="1015" t="s">
        <v>2517</v>
      </c>
      <c r="Q18" s="1015" t="s">
        <v>2545</v>
      </c>
      <c r="R18" s="1015" t="s">
        <v>2517</v>
      </c>
      <c r="S18" s="1015" t="s">
        <v>2586</v>
      </c>
      <c r="T18" s="1015" t="s">
        <v>2586</v>
      </c>
      <c r="U18" s="1015" t="s">
        <v>2520</v>
      </c>
      <c r="V18" s="1015" t="s">
        <v>2520</v>
      </c>
      <c r="W18" s="1015" t="s">
        <v>2508</v>
      </c>
      <c r="X18" s="1015" t="s">
        <v>2508</v>
      </c>
      <c r="Y18" s="1015" t="s">
        <v>2508</v>
      </c>
      <c r="Z18" s="1015" t="s">
        <v>2520</v>
      </c>
      <c r="AA18" s="1015" t="s">
        <v>2508</v>
      </c>
      <c r="AB18" s="1015" t="s">
        <v>2520</v>
      </c>
      <c r="AC18" s="1015" t="s">
        <v>2520</v>
      </c>
      <c r="AD18" s="1015" t="s">
        <v>2590</v>
      </c>
      <c r="AE18" s="1015" t="s">
        <v>2590</v>
      </c>
      <c r="AF18" s="1015" t="s">
        <v>2591</v>
      </c>
      <c r="AG18" s="1015" t="s">
        <v>2590</v>
      </c>
      <c r="AH18" s="1015" t="s">
        <v>3260</v>
      </c>
    </row>
    <row r="19" spans="1:34" x14ac:dyDescent="0.3">
      <c r="A19" s="1014" t="s">
        <v>290</v>
      </c>
      <c r="B19" s="1015" t="s">
        <v>2592</v>
      </c>
      <c r="C19" s="1015" t="s">
        <v>2512</v>
      </c>
      <c r="D19" s="1015" t="s">
        <v>2588</v>
      </c>
      <c r="E19" s="1015" t="s">
        <v>2592</v>
      </c>
      <c r="F19" s="1015" t="s">
        <v>2512</v>
      </c>
      <c r="G19" s="1015" t="s">
        <v>2512</v>
      </c>
      <c r="H19" s="1015" t="s">
        <v>2512</v>
      </c>
      <c r="I19" s="1015" t="s">
        <v>2512</v>
      </c>
      <c r="J19" s="1015" t="s">
        <v>2512</v>
      </c>
      <c r="K19" s="1015" t="s">
        <v>2512</v>
      </c>
      <c r="L19" s="1015" t="s">
        <v>2517</v>
      </c>
      <c r="M19" s="1015" t="s">
        <v>2517</v>
      </c>
      <c r="N19" s="1015" t="s">
        <v>2517</v>
      </c>
      <c r="O19" s="1015" t="s">
        <v>2517</v>
      </c>
      <c r="P19" s="1015" t="s">
        <v>2517</v>
      </c>
      <c r="Q19" s="1015" t="s">
        <v>2517</v>
      </c>
      <c r="R19" s="1015" t="s">
        <v>2517</v>
      </c>
      <c r="S19" s="1015" t="s">
        <v>2518</v>
      </c>
      <c r="T19" s="1015" t="s">
        <v>2508</v>
      </c>
      <c r="U19" s="1015" t="s">
        <v>2520</v>
      </c>
      <c r="V19" s="1015" t="s">
        <v>2508</v>
      </c>
      <c r="W19" s="1015" t="s">
        <v>2520</v>
      </c>
      <c r="X19" s="1015" t="s">
        <v>2508</v>
      </c>
      <c r="Y19" s="1015" t="s">
        <v>2508</v>
      </c>
      <c r="Z19" s="1015" t="s">
        <v>2520</v>
      </c>
      <c r="AA19" s="1015" t="s">
        <v>2520</v>
      </c>
      <c r="AB19" s="1015" t="s">
        <v>2520</v>
      </c>
      <c r="AC19" s="1015" t="s">
        <v>2520</v>
      </c>
      <c r="AD19" s="1015" t="s">
        <v>2593</v>
      </c>
      <c r="AE19" s="1015" t="s">
        <v>2560</v>
      </c>
      <c r="AF19" s="1015" t="s">
        <v>2587</v>
      </c>
      <c r="AG19" s="1015" t="s">
        <v>2530</v>
      </c>
      <c r="AH19" s="1015" t="s">
        <v>2905</v>
      </c>
    </row>
    <row r="20" spans="1:34" x14ac:dyDescent="0.3">
      <c r="A20" s="1014" t="s">
        <v>291</v>
      </c>
      <c r="B20" s="1015" t="s">
        <v>2543</v>
      </c>
      <c r="C20" s="1015" t="s">
        <v>2543</v>
      </c>
      <c r="D20" s="1015" t="s">
        <v>2543</v>
      </c>
      <c r="E20" s="1015" t="s">
        <v>2543</v>
      </c>
      <c r="F20" s="1015" t="s">
        <v>2543</v>
      </c>
      <c r="G20" s="1015" t="s">
        <v>2543</v>
      </c>
      <c r="H20" s="1015" t="s">
        <v>2543</v>
      </c>
      <c r="I20" s="1015" t="s">
        <v>2543</v>
      </c>
      <c r="J20" s="1015" t="s">
        <v>2543</v>
      </c>
      <c r="K20" s="1015" t="s">
        <v>2543</v>
      </c>
      <c r="L20" s="1015" t="s">
        <v>2545</v>
      </c>
      <c r="M20" s="1015" t="s">
        <v>2545</v>
      </c>
      <c r="N20" s="1015" t="s">
        <v>2545</v>
      </c>
      <c r="O20" s="1015" t="s">
        <v>2545</v>
      </c>
      <c r="P20" s="1015" t="s">
        <v>2545</v>
      </c>
      <c r="Q20" s="1015" t="s">
        <v>2545</v>
      </c>
      <c r="R20" s="1015" t="s">
        <v>2545</v>
      </c>
      <c r="S20" s="1015" t="s">
        <v>2548</v>
      </c>
      <c r="T20" s="1015" t="s">
        <v>2512</v>
      </c>
      <c r="U20" s="1015" t="s">
        <v>2594</v>
      </c>
      <c r="V20" s="1015" t="s">
        <v>2525</v>
      </c>
      <c r="W20" s="1015" t="s">
        <v>2594</v>
      </c>
      <c r="X20" s="1015" t="s">
        <v>2520</v>
      </c>
      <c r="Y20" s="1015" t="s">
        <v>2520</v>
      </c>
      <c r="Z20" s="1015" t="s">
        <v>2520</v>
      </c>
      <c r="AA20" s="1015" t="s">
        <v>2520</v>
      </c>
      <c r="AB20" s="1015" t="s">
        <v>2520</v>
      </c>
      <c r="AC20" s="1015" t="s">
        <v>2520</v>
      </c>
      <c r="AD20" s="1015" t="s">
        <v>2529</v>
      </c>
      <c r="AE20" s="1015" t="s">
        <v>2587</v>
      </c>
      <c r="AF20" s="1015" t="s">
        <v>2587</v>
      </c>
      <c r="AG20" s="1015" t="s">
        <v>2595</v>
      </c>
      <c r="AH20" s="1015" t="s">
        <v>2821</v>
      </c>
    </row>
    <row r="21" spans="1:34" x14ac:dyDescent="0.3">
      <c r="A21" s="1014" t="s">
        <v>292</v>
      </c>
      <c r="B21" s="1015" t="s">
        <v>2543</v>
      </c>
      <c r="C21" s="1015" t="s">
        <v>2512</v>
      </c>
      <c r="D21" s="1015" t="s">
        <v>2543</v>
      </c>
      <c r="E21" s="1015" t="s">
        <v>2543</v>
      </c>
      <c r="F21" s="1015" t="s">
        <v>2543</v>
      </c>
      <c r="G21" s="1015" t="s">
        <v>2543</v>
      </c>
      <c r="H21" s="1015" t="s">
        <v>2543</v>
      </c>
      <c r="I21" s="1015" t="s">
        <v>2543</v>
      </c>
      <c r="J21" s="1015" t="s">
        <v>2543</v>
      </c>
      <c r="K21" s="1015" t="s">
        <v>2543</v>
      </c>
      <c r="L21" s="1015" t="s">
        <v>2545</v>
      </c>
      <c r="M21" s="1015" t="s">
        <v>2545</v>
      </c>
      <c r="N21" s="1015" t="s">
        <v>2545</v>
      </c>
      <c r="O21" s="1015" t="s">
        <v>2545</v>
      </c>
      <c r="P21" s="1015" t="s">
        <v>2545</v>
      </c>
      <c r="Q21" s="1015" t="s">
        <v>2545</v>
      </c>
      <c r="R21" s="1015" t="s">
        <v>2545</v>
      </c>
      <c r="S21" s="1015" t="s">
        <v>2548</v>
      </c>
      <c r="T21" s="1015" t="s">
        <v>2525</v>
      </c>
      <c r="U21" s="1015" t="s">
        <v>2520</v>
      </c>
      <c r="V21" s="1015" t="s">
        <v>2525</v>
      </c>
      <c r="W21" s="1015" t="s">
        <v>2513</v>
      </c>
      <c r="X21" s="1015" t="s">
        <v>2525</v>
      </c>
      <c r="Y21" s="1015" t="s">
        <v>2525</v>
      </c>
      <c r="Z21" s="1015" t="s">
        <v>2525</v>
      </c>
      <c r="AA21" s="1015" t="s">
        <v>2520</v>
      </c>
      <c r="AB21" s="1015" t="s">
        <v>2520</v>
      </c>
      <c r="AC21" s="1015" t="s">
        <v>2520</v>
      </c>
      <c r="AD21" s="1015" t="s">
        <v>2596</v>
      </c>
      <c r="AE21" s="1015" t="s">
        <v>2597</v>
      </c>
      <c r="AF21" s="1015" t="s">
        <v>2598</v>
      </c>
      <c r="AG21" s="1015" t="s">
        <v>2597</v>
      </c>
      <c r="AH21" s="1015" t="s">
        <v>3261</v>
      </c>
    </row>
    <row r="22" spans="1:34" x14ac:dyDescent="0.3">
      <c r="A22" s="1014" t="s">
        <v>293</v>
      </c>
      <c r="B22" s="1015" t="s">
        <v>2543</v>
      </c>
      <c r="C22" s="1015" t="s">
        <v>2543</v>
      </c>
      <c r="D22" s="1015" t="s">
        <v>2512</v>
      </c>
      <c r="E22" s="1015" t="s">
        <v>2599</v>
      </c>
      <c r="F22" s="1015" t="s">
        <v>2543</v>
      </c>
      <c r="G22" s="1015" t="s">
        <v>2543</v>
      </c>
      <c r="H22" s="1015" t="s">
        <v>2543</v>
      </c>
      <c r="I22" s="1015" t="s">
        <v>2543</v>
      </c>
      <c r="J22" s="1015" t="s">
        <v>2543</v>
      </c>
      <c r="K22" s="1015" t="s">
        <v>2543</v>
      </c>
      <c r="L22" s="1015" t="s">
        <v>2562</v>
      </c>
      <c r="M22" s="1015" t="s">
        <v>2545</v>
      </c>
      <c r="N22" s="1015" t="s">
        <v>2545</v>
      </c>
      <c r="O22" s="1015" t="s">
        <v>2545</v>
      </c>
      <c r="P22" s="1015" t="s">
        <v>2545</v>
      </c>
      <c r="Q22" s="1015" t="s">
        <v>2545</v>
      </c>
      <c r="R22" s="1015" t="s">
        <v>2545</v>
      </c>
      <c r="S22" s="1015" t="s">
        <v>2548</v>
      </c>
      <c r="T22" s="1015" t="s">
        <v>2525</v>
      </c>
      <c r="U22" s="1015" t="s">
        <v>2520</v>
      </c>
      <c r="V22" s="1015" t="s">
        <v>2520</v>
      </c>
      <c r="W22" s="1015" t="s">
        <v>2520</v>
      </c>
      <c r="X22" s="1015" t="s">
        <v>2520</v>
      </c>
      <c r="Y22" s="1015" t="s">
        <v>2520</v>
      </c>
      <c r="Z22" s="1015" t="s">
        <v>2520</v>
      </c>
      <c r="AA22" s="1015" t="s">
        <v>2520</v>
      </c>
      <c r="AB22" s="1015" t="s">
        <v>2520</v>
      </c>
      <c r="AC22" s="1015" t="s">
        <v>2520</v>
      </c>
      <c r="AD22" s="1015" t="s">
        <v>2539</v>
      </c>
      <c r="AE22" s="1015" t="s">
        <v>2539</v>
      </c>
      <c r="AF22" s="1015" t="s">
        <v>2587</v>
      </c>
      <c r="AG22" s="1015" t="s">
        <v>2539</v>
      </c>
      <c r="AH22" s="1015" t="s">
        <v>2590</v>
      </c>
    </row>
    <row r="23" spans="1:34" x14ac:dyDescent="0.3">
      <c r="A23" s="1014" t="s">
        <v>294</v>
      </c>
      <c r="B23" s="1015" t="s">
        <v>2525</v>
      </c>
      <c r="C23" s="1015" t="s">
        <v>2581</v>
      </c>
      <c r="D23" s="1015" t="s">
        <v>2581</v>
      </c>
      <c r="E23" s="1015" t="s">
        <v>2600</v>
      </c>
      <c r="F23" s="1015" t="s">
        <v>2514</v>
      </c>
      <c r="G23" s="1015" t="s">
        <v>2514</v>
      </c>
      <c r="H23" s="1015" t="s">
        <v>2514</v>
      </c>
      <c r="I23" s="1015" t="s">
        <v>2514</v>
      </c>
      <c r="J23" s="1015" t="s">
        <v>2514</v>
      </c>
      <c r="K23" s="1015" t="s">
        <v>2514</v>
      </c>
      <c r="L23" s="1015" t="s">
        <v>2514</v>
      </c>
      <c r="M23" s="1015" t="s">
        <v>2514</v>
      </c>
      <c r="N23" s="1015" t="s">
        <v>2514</v>
      </c>
      <c r="O23" s="1015" t="s">
        <v>2601</v>
      </c>
      <c r="P23" s="1015" t="s">
        <v>2601</v>
      </c>
      <c r="Q23" s="1015" t="s">
        <v>2586</v>
      </c>
      <c r="R23" s="1015" t="s">
        <v>2602</v>
      </c>
      <c r="S23" s="1015" t="s">
        <v>2525</v>
      </c>
      <c r="T23" s="1015" t="s">
        <v>2514</v>
      </c>
      <c r="U23" s="1015" t="s">
        <v>2520</v>
      </c>
      <c r="V23" s="1015" t="s">
        <v>2520</v>
      </c>
      <c r="W23" s="1015" t="s">
        <v>2603</v>
      </c>
      <c r="X23" s="1015" t="s">
        <v>2603</v>
      </c>
      <c r="Y23" s="1015" t="s">
        <v>2603</v>
      </c>
      <c r="Z23" s="1015" t="s">
        <v>2603</v>
      </c>
      <c r="AA23" s="1015" t="s">
        <v>2603</v>
      </c>
      <c r="AB23" s="1015" t="s">
        <v>2603</v>
      </c>
      <c r="AC23" s="1015" t="s">
        <v>2603</v>
      </c>
      <c r="AD23" s="1015" t="s">
        <v>2604</v>
      </c>
      <c r="AE23" s="1015" t="s">
        <v>2604</v>
      </c>
      <c r="AF23" s="1015" t="s">
        <v>2604</v>
      </c>
      <c r="AG23" s="1015" t="s">
        <v>2604</v>
      </c>
      <c r="AH23" s="1015" t="s">
        <v>2530</v>
      </c>
    </row>
    <row r="24" spans="1:34" x14ac:dyDescent="0.3">
      <c r="A24" s="1014" t="s">
        <v>295</v>
      </c>
      <c r="B24" s="1015" t="s">
        <v>2544</v>
      </c>
      <c r="C24" s="1015" t="s">
        <v>2605</v>
      </c>
      <c r="D24" s="1015" t="s">
        <v>2512</v>
      </c>
      <c r="E24" s="1015" t="s">
        <v>2605</v>
      </c>
      <c r="F24" s="1015" t="s">
        <v>2605</v>
      </c>
      <c r="G24" s="1015" t="s">
        <v>2606</v>
      </c>
      <c r="H24" s="1015" t="s">
        <v>2605</v>
      </c>
      <c r="I24" s="1015" t="s">
        <v>2605</v>
      </c>
      <c r="J24" s="1015" t="s">
        <v>2546</v>
      </c>
      <c r="K24" s="1015" t="s">
        <v>2607</v>
      </c>
      <c r="L24" s="1015" t="s">
        <v>2608</v>
      </c>
      <c r="M24" s="1015" t="s">
        <v>2609</v>
      </c>
      <c r="N24" s="1015" t="s">
        <v>2525</v>
      </c>
      <c r="O24" s="1015" t="s">
        <v>2609</v>
      </c>
      <c r="P24" s="1015" t="s">
        <v>2609</v>
      </c>
      <c r="Q24" s="1015" t="s">
        <v>2609</v>
      </c>
      <c r="R24" s="1015" t="s">
        <v>2609</v>
      </c>
      <c r="S24" s="1015" t="s">
        <v>2610</v>
      </c>
      <c r="T24" s="1015" t="s">
        <v>2611</v>
      </c>
      <c r="U24" s="1015" t="s">
        <v>2543</v>
      </c>
      <c r="V24" s="1015" t="s">
        <v>2520</v>
      </c>
      <c r="W24" s="1015" t="s">
        <v>2520</v>
      </c>
      <c r="X24" s="1015" t="s">
        <v>2520</v>
      </c>
      <c r="Y24" s="1015" t="s">
        <v>2520</v>
      </c>
      <c r="Z24" s="1015" t="s">
        <v>2520</v>
      </c>
      <c r="AA24" s="1015" t="s">
        <v>2520</v>
      </c>
      <c r="AB24" s="1015" t="s">
        <v>2520</v>
      </c>
      <c r="AC24" s="1015" t="s">
        <v>2520</v>
      </c>
      <c r="AD24" s="1015" t="s">
        <v>2612</v>
      </c>
      <c r="AE24" s="1015" t="s">
        <v>2613</v>
      </c>
      <c r="AF24" s="1015" t="s">
        <v>2614</v>
      </c>
      <c r="AG24" s="1015">
        <v>7.85</v>
      </c>
      <c r="AH24" s="1015" t="s">
        <v>2841</v>
      </c>
    </row>
    <row r="25" spans="1:34" x14ac:dyDescent="0.3">
      <c r="A25" s="1014" t="s">
        <v>296</v>
      </c>
      <c r="B25" s="1015" t="s">
        <v>2543</v>
      </c>
      <c r="C25" s="1015" t="s">
        <v>2551</v>
      </c>
      <c r="D25" s="1015" t="s">
        <v>2543</v>
      </c>
      <c r="E25" s="1015" t="s">
        <v>2543</v>
      </c>
      <c r="F25" s="1015" t="s">
        <v>2551</v>
      </c>
      <c r="G25" s="1015" t="s">
        <v>2543</v>
      </c>
      <c r="H25" s="1015" t="s">
        <v>2523</v>
      </c>
      <c r="I25" s="1015" t="s">
        <v>2543</v>
      </c>
      <c r="J25" s="1015" t="s">
        <v>2543</v>
      </c>
      <c r="K25" s="1015" t="s">
        <v>2543</v>
      </c>
      <c r="L25" s="1015" t="s">
        <v>2545</v>
      </c>
      <c r="M25" s="1015" t="s">
        <v>2545</v>
      </c>
      <c r="N25" s="1015" t="s">
        <v>2545</v>
      </c>
      <c r="O25" s="1015" t="s">
        <v>2545</v>
      </c>
      <c r="P25" s="1015" t="s">
        <v>2545</v>
      </c>
      <c r="Q25" s="1015" t="s">
        <v>2545</v>
      </c>
      <c r="R25" s="1015" t="s">
        <v>2554</v>
      </c>
      <c r="S25" s="1015" t="s">
        <v>2548</v>
      </c>
      <c r="T25" s="1015" t="s">
        <v>2525</v>
      </c>
      <c r="U25" s="1015" t="s">
        <v>2520</v>
      </c>
      <c r="V25" s="1015" t="s">
        <v>2525</v>
      </c>
      <c r="W25" s="1015" t="s">
        <v>2615</v>
      </c>
      <c r="X25" s="1015" t="s">
        <v>2525</v>
      </c>
      <c r="Y25" s="1015" t="s">
        <v>2525</v>
      </c>
      <c r="Z25" s="1015" t="s">
        <v>2525</v>
      </c>
      <c r="AA25" s="1015" t="s">
        <v>2525</v>
      </c>
      <c r="AB25" s="1015" t="s">
        <v>2520</v>
      </c>
      <c r="AC25" s="1015" t="s">
        <v>2520</v>
      </c>
      <c r="AD25" s="1015" t="s">
        <v>2587</v>
      </c>
      <c r="AE25" s="1015" t="s">
        <v>2539</v>
      </c>
      <c r="AF25" s="1015" t="s">
        <v>2587</v>
      </c>
      <c r="AG25" s="1015" t="s">
        <v>2539</v>
      </c>
      <c r="AH25" s="1015" t="s">
        <v>2587</v>
      </c>
    </row>
    <row r="26" spans="1:34" x14ac:dyDescent="0.3">
      <c r="A26" s="1014" t="s">
        <v>297</v>
      </c>
      <c r="B26" s="1015" t="s">
        <v>2543</v>
      </c>
      <c r="C26" s="1015" t="s">
        <v>2543</v>
      </c>
      <c r="D26" s="1015" t="s">
        <v>2543</v>
      </c>
      <c r="E26" s="1015" t="s">
        <v>2543</v>
      </c>
      <c r="F26" s="1015" t="s">
        <v>2543</v>
      </c>
      <c r="G26" s="1015" t="s">
        <v>2543</v>
      </c>
      <c r="H26" s="1015" t="s">
        <v>2543</v>
      </c>
      <c r="I26" s="1015" t="s">
        <v>2543</v>
      </c>
      <c r="J26" s="1015" t="s">
        <v>2543</v>
      </c>
      <c r="K26" s="1015" t="s">
        <v>2543</v>
      </c>
      <c r="L26" s="1015" t="s">
        <v>2545</v>
      </c>
      <c r="M26" s="1015" t="s">
        <v>2545</v>
      </c>
      <c r="N26" s="1015" t="s">
        <v>2545</v>
      </c>
      <c r="O26" s="1015" t="s">
        <v>2545</v>
      </c>
      <c r="P26" s="1015" t="s">
        <v>2545</v>
      </c>
      <c r="Q26" s="1015" t="s">
        <v>2545</v>
      </c>
      <c r="R26" s="1015" t="s">
        <v>2545</v>
      </c>
      <c r="S26" s="1015" t="s">
        <v>2548</v>
      </c>
      <c r="T26" s="1015" t="s">
        <v>2525</v>
      </c>
      <c r="U26" s="1015" t="s">
        <v>2525</v>
      </c>
      <c r="V26" s="1015" t="s">
        <v>2525</v>
      </c>
      <c r="W26" s="1015" t="s">
        <v>2525</v>
      </c>
      <c r="X26" s="1015" t="s">
        <v>2525</v>
      </c>
      <c r="Y26" s="1015" t="s">
        <v>2525</v>
      </c>
      <c r="Z26" s="1015" t="s">
        <v>2520</v>
      </c>
      <c r="AA26" s="1015" t="s">
        <v>2520</v>
      </c>
      <c r="AB26" s="1015" t="s">
        <v>2520</v>
      </c>
      <c r="AC26" s="1015" t="s">
        <v>2520</v>
      </c>
      <c r="AD26" s="1015" t="s">
        <v>2587</v>
      </c>
      <c r="AE26" s="1015" t="s">
        <v>2587</v>
      </c>
      <c r="AF26" s="1015" t="s">
        <v>2587</v>
      </c>
      <c r="AG26" s="1015" t="s">
        <v>2587</v>
      </c>
      <c r="AH26" s="1015" t="s">
        <v>2587</v>
      </c>
    </row>
    <row r="27" spans="1:34" x14ac:dyDescent="0.3">
      <c r="A27" s="1014" t="s">
        <v>298</v>
      </c>
      <c r="B27" s="1015" t="s">
        <v>2543</v>
      </c>
      <c r="C27" s="1015" t="s">
        <v>2551</v>
      </c>
      <c r="D27" s="1015" t="s">
        <v>2543</v>
      </c>
      <c r="E27" s="1015" t="s">
        <v>2543</v>
      </c>
      <c r="F27" s="1015" t="s">
        <v>2543</v>
      </c>
      <c r="G27" s="1015" t="s">
        <v>2599</v>
      </c>
      <c r="H27" s="1015" t="s">
        <v>2543</v>
      </c>
      <c r="I27" s="1015" t="s">
        <v>2616</v>
      </c>
      <c r="J27" s="1015" t="s">
        <v>2599</v>
      </c>
      <c r="K27" s="1015" t="s">
        <v>2599</v>
      </c>
      <c r="L27" s="1015" t="s">
        <v>2562</v>
      </c>
      <c r="M27" s="1015" t="s">
        <v>2617</v>
      </c>
      <c r="N27" s="1015" t="s">
        <v>2545</v>
      </c>
      <c r="O27" s="1015" t="s">
        <v>2545</v>
      </c>
      <c r="P27" s="1015" t="s">
        <v>2618</v>
      </c>
      <c r="Q27" s="1015" t="s">
        <v>2545</v>
      </c>
      <c r="R27" s="1015" t="s">
        <v>2619</v>
      </c>
      <c r="S27" s="1015" t="s">
        <v>2620</v>
      </c>
      <c r="T27" s="1015" t="s">
        <v>2621</v>
      </c>
      <c r="U27" s="1015" t="s">
        <v>2520</v>
      </c>
      <c r="V27" s="1015" t="s">
        <v>2525</v>
      </c>
      <c r="W27" s="1015" t="s">
        <v>2520</v>
      </c>
      <c r="X27" s="1015" t="s">
        <v>2520</v>
      </c>
      <c r="Y27" s="1015" t="s">
        <v>2520</v>
      </c>
      <c r="Z27" s="1015" t="s">
        <v>2520</v>
      </c>
      <c r="AA27" s="1015" t="s">
        <v>2520</v>
      </c>
      <c r="AB27" s="1015" t="s">
        <v>2520</v>
      </c>
      <c r="AC27" s="1015" t="s">
        <v>2520</v>
      </c>
      <c r="AD27" s="1015" t="s">
        <v>2530</v>
      </c>
      <c r="AE27" s="1015" t="s">
        <v>2622</v>
      </c>
      <c r="AF27" s="1015" t="s">
        <v>2587</v>
      </c>
      <c r="AG27" s="1015" t="s">
        <v>2622</v>
      </c>
      <c r="AH27" s="1015" t="s">
        <v>2587</v>
      </c>
    </row>
    <row r="28" spans="1:34" x14ac:dyDescent="0.3">
      <c r="A28" s="1014" t="s">
        <v>299</v>
      </c>
      <c r="B28" s="1015" t="s">
        <v>2543</v>
      </c>
      <c r="C28" s="1015" t="s">
        <v>2512</v>
      </c>
      <c r="D28" s="1015" t="s">
        <v>2512</v>
      </c>
      <c r="E28" s="1015" t="s">
        <v>2512</v>
      </c>
      <c r="F28" s="1015" t="s">
        <v>2512</v>
      </c>
      <c r="G28" s="1015" t="s">
        <v>2543</v>
      </c>
      <c r="H28" s="1015" t="s">
        <v>2543</v>
      </c>
      <c r="I28" s="1015" t="s">
        <v>2599</v>
      </c>
      <c r="J28" s="1015" t="s">
        <v>2543</v>
      </c>
      <c r="K28" s="1015" t="s">
        <v>2543</v>
      </c>
      <c r="L28" s="1015" t="s">
        <v>2545</v>
      </c>
      <c r="M28" s="1015" t="s">
        <v>2545</v>
      </c>
      <c r="N28" s="1015" t="s">
        <v>2545</v>
      </c>
      <c r="O28" s="1015" t="s">
        <v>2545</v>
      </c>
      <c r="P28" s="1015" t="s">
        <v>2545</v>
      </c>
      <c r="Q28" s="1015" t="s">
        <v>2545</v>
      </c>
      <c r="R28" s="1015" t="s">
        <v>2545</v>
      </c>
      <c r="S28" s="1015" t="s">
        <v>2548</v>
      </c>
      <c r="T28" s="1015" t="s">
        <v>2525</v>
      </c>
      <c r="U28" s="1015" t="s">
        <v>2508</v>
      </c>
      <c r="V28" s="1015" t="s">
        <v>2525</v>
      </c>
      <c r="W28" s="1015" t="s">
        <v>2525</v>
      </c>
      <c r="X28" s="1015" t="s">
        <v>2508</v>
      </c>
      <c r="Y28" s="1015" t="s">
        <v>2525</v>
      </c>
      <c r="Z28" s="1015" t="s">
        <v>2525</v>
      </c>
      <c r="AA28" s="1015" t="s">
        <v>2508</v>
      </c>
      <c r="AB28" s="1015" t="s">
        <v>2520</v>
      </c>
      <c r="AC28" s="1015" t="s">
        <v>2520</v>
      </c>
      <c r="AD28" s="1015" t="s">
        <v>2530</v>
      </c>
      <c r="AE28" s="1015" t="s">
        <v>2623</v>
      </c>
      <c r="AF28" s="1015" t="s">
        <v>2539</v>
      </c>
      <c r="AG28" s="1015" t="s">
        <v>2539</v>
      </c>
      <c r="AH28" s="1015" t="s">
        <v>2559</v>
      </c>
    </row>
    <row r="29" spans="1:34" x14ac:dyDescent="0.3">
      <c r="A29" s="1014" t="s">
        <v>300</v>
      </c>
      <c r="B29" s="1015" t="s">
        <v>2550</v>
      </c>
      <c r="C29" s="1015" t="s">
        <v>2550</v>
      </c>
      <c r="D29" s="1015" t="s">
        <v>2550</v>
      </c>
      <c r="E29" s="1015" t="s">
        <v>2550</v>
      </c>
      <c r="F29" s="1015" t="s">
        <v>2550</v>
      </c>
      <c r="G29" s="1015" t="s">
        <v>2550</v>
      </c>
      <c r="H29" s="1015" t="s">
        <v>2550</v>
      </c>
      <c r="I29" s="1015" t="s">
        <v>2550</v>
      </c>
      <c r="J29" s="1015" t="s">
        <v>2550</v>
      </c>
      <c r="K29" s="1015" t="s">
        <v>2550</v>
      </c>
      <c r="L29" s="1015" t="s">
        <v>2552</v>
      </c>
      <c r="M29" s="1015" t="s">
        <v>2552</v>
      </c>
      <c r="N29" s="1015" t="s">
        <v>2552</v>
      </c>
      <c r="O29" s="1015" t="s">
        <v>2552</v>
      </c>
      <c r="P29" s="1015" t="s">
        <v>2552</v>
      </c>
      <c r="Q29" s="1015" t="s">
        <v>2552</v>
      </c>
      <c r="R29" s="1015" t="s">
        <v>2545</v>
      </c>
      <c r="S29" s="1015" t="s">
        <v>2548</v>
      </c>
      <c r="T29" s="1015" t="s">
        <v>2525</v>
      </c>
      <c r="U29" s="1015" t="s">
        <v>2520</v>
      </c>
      <c r="V29" s="1015" t="s">
        <v>2525</v>
      </c>
      <c r="W29" s="1015" t="s">
        <v>2525</v>
      </c>
      <c r="X29" s="1015" t="s">
        <v>2525</v>
      </c>
      <c r="Y29" s="1015" t="s">
        <v>2525</v>
      </c>
      <c r="Z29" s="1015" t="s">
        <v>2520</v>
      </c>
      <c r="AA29" s="1015" t="s">
        <v>2520</v>
      </c>
      <c r="AB29" s="1015" t="s">
        <v>2520</v>
      </c>
      <c r="AC29" s="1015" t="s">
        <v>2520</v>
      </c>
      <c r="AD29" s="1015" t="s">
        <v>2587</v>
      </c>
      <c r="AE29" s="1015" t="s">
        <v>2530</v>
      </c>
      <c r="AF29" s="1015" t="s">
        <v>2587</v>
      </c>
      <c r="AG29" s="1015" t="s">
        <v>2624</v>
      </c>
      <c r="AH29" s="1015" t="s">
        <v>3262</v>
      </c>
    </row>
    <row r="30" spans="1:34" x14ac:dyDescent="0.3">
      <c r="A30" s="1014" t="s">
        <v>301</v>
      </c>
      <c r="B30" s="1015" t="s">
        <v>2543</v>
      </c>
      <c r="C30" s="1015" t="s">
        <v>2512</v>
      </c>
      <c r="D30" s="1015" t="s">
        <v>2543</v>
      </c>
      <c r="E30" s="1015" t="s">
        <v>2543</v>
      </c>
      <c r="F30" s="1015" t="s">
        <v>2543</v>
      </c>
      <c r="G30" s="1015" t="s">
        <v>2514</v>
      </c>
      <c r="H30" s="1015" t="s">
        <v>2543</v>
      </c>
      <c r="I30" s="1015" t="s">
        <v>2543</v>
      </c>
      <c r="J30" s="1015" t="s">
        <v>2543</v>
      </c>
      <c r="K30" s="1015" t="s">
        <v>2543</v>
      </c>
      <c r="L30" s="1015" t="s">
        <v>2562</v>
      </c>
      <c r="M30" s="1015" t="s">
        <v>2545</v>
      </c>
      <c r="N30" s="1015" t="s">
        <v>2545</v>
      </c>
      <c r="O30" s="1015" t="s">
        <v>2589</v>
      </c>
      <c r="P30" s="1015" t="s">
        <v>2545</v>
      </c>
      <c r="Q30" s="1015" t="s">
        <v>2545</v>
      </c>
      <c r="R30" s="1015" t="s">
        <v>2545</v>
      </c>
      <c r="S30" s="1015" t="s">
        <v>2625</v>
      </c>
      <c r="T30" s="1015" t="s">
        <v>2520</v>
      </c>
      <c r="U30" s="1015" t="s">
        <v>2626</v>
      </c>
      <c r="V30" s="1015" t="s">
        <v>2520</v>
      </c>
      <c r="W30" s="1015" t="s">
        <v>2520</v>
      </c>
      <c r="X30" s="1015" t="s">
        <v>2520</v>
      </c>
      <c r="Y30" s="1015" t="s">
        <v>2520</v>
      </c>
      <c r="Z30" s="1015" t="s">
        <v>2520</v>
      </c>
      <c r="AA30" s="1015" t="s">
        <v>2520</v>
      </c>
      <c r="AB30" s="1015" t="s">
        <v>2520</v>
      </c>
      <c r="AC30" s="1015" t="s">
        <v>2520</v>
      </c>
      <c r="AD30" s="1015" t="s">
        <v>2587</v>
      </c>
      <c r="AE30" s="1015" t="s">
        <v>2627</v>
      </c>
      <c r="AF30" s="1015" t="s">
        <v>2628</v>
      </c>
      <c r="AG30" s="1015" t="s">
        <v>2530</v>
      </c>
      <c r="AH30" s="1015" t="s">
        <v>2530</v>
      </c>
    </row>
    <row r="31" spans="1:34" x14ac:dyDescent="0.3">
      <c r="A31" s="1014" t="s">
        <v>302</v>
      </c>
      <c r="B31" s="1015" t="s">
        <v>2512</v>
      </c>
      <c r="C31" s="1015" t="s">
        <v>2512</v>
      </c>
      <c r="D31" s="1015" t="s">
        <v>2512</v>
      </c>
      <c r="E31" s="1015" t="s">
        <v>2512</v>
      </c>
      <c r="F31" s="1015" t="s">
        <v>2512</v>
      </c>
      <c r="G31" s="1015" t="s">
        <v>2512</v>
      </c>
      <c r="H31" s="1015" t="s">
        <v>2512</v>
      </c>
      <c r="I31" s="1015" t="s">
        <v>2512</v>
      </c>
      <c r="J31" s="1015" t="s">
        <v>2512</v>
      </c>
      <c r="K31" s="1015" t="s">
        <v>2512</v>
      </c>
      <c r="L31" s="1015" t="s">
        <v>2517</v>
      </c>
      <c r="M31" s="1015" t="s">
        <v>2517</v>
      </c>
      <c r="N31" s="1015" t="s">
        <v>2517</v>
      </c>
      <c r="O31" s="1015" t="s">
        <v>2517</v>
      </c>
      <c r="P31" s="1015" t="s">
        <v>2517</v>
      </c>
      <c r="Q31" s="1015" t="s">
        <v>2517</v>
      </c>
      <c r="R31" s="1015" t="s">
        <v>2506</v>
      </c>
      <c r="S31" s="1015" t="s">
        <v>2518</v>
      </c>
      <c r="T31" s="1015" t="s">
        <v>2508</v>
      </c>
      <c r="U31" s="1015" t="s">
        <v>2520</v>
      </c>
      <c r="V31" s="1015" t="s">
        <v>2508</v>
      </c>
      <c r="W31" s="1015" t="s">
        <v>2508</v>
      </c>
      <c r="X31" s="1015" t="s">
        <v>2508</v>
      </c>
      <c r="Y31" s="1015" t="s">
        <v>2508</v>
      </c>
      <c r="Z31" s="1015" t="s">
        <v>2508</v>
      </c>
      <c r="AA31" s="1015" t="s">
        <v>2508</v>
      </c>
      <c r="AB31" s="1015" t="s">
        <v>2508</v>
      </c>
      <c r="AC31" s="1015" t="s">
        <v>2508</v>
      </c>
      <c r="AD31" s="1015" t="s">
        <v>2623</v>
      </c>
      <c r="AE31" s="1015" t="s">
        <v>2629</v>
      </c>
      <c r="AF31" s="1015" t="s">
        <v>2530</v>
      </c>
      <c r="AG31" s="1015" t="s">
        <v>2623</v>
      </c>
      <c r="AH31" s="1015" t="s">
        <v>2623</v>
      </c>
    </row>
    <row r="32" spans="1:34" x14ac:dyDescent="0.3">
      <c r="A32" s="1016" t="s">
        <v>2630</v>
      </c>
      <c r="B32" s="1015" t="s">
        <v>2512</v>
      </c>
      <c r="C32" s="1015" t="s">
        <v>2512</v>
      </c>
      <c r="D32" s="1015" t="s">
        <v>2543</v>
      </c>
      <c r="E32" s="1015" t="s">
        <v>2512</v>
      </c>
      <c r="F32" s="1015" t="s">
        <v>2512</v>
      </c>
      <c r="G32" s="1015" t="s">
        <v>2512</v>
      </c>
      <c r="H32" s="1015" t="s">
        <v>2512</v>
      </c>
      <c r="I32" s="1015" t="s">
        <v>2543</v>
      </c>
      <c r="J32" s="1015" t="s">
        <v>2543</v>
      </c>
      <c r="K32" s="1015" t="s">
        <v>2543</v>
      </c>
      <c r="L32" s="1015" t="s">
        <v>2619</v>
      </c>
      <c r="M32" s="1015" t="s">
        <v>2545</v>
      </c>
      <c r="N32" s="1015" t="s">
        <v>2631</v>
      </c>
      <c r="O32" s="1015" t="s">
        <v>2545</v>
      </c>
      <c r="P32" s="1015" t="s">
        <v>2545</v>
      </c>
      <c r="Q32" s="1015" t="s">
        <v>2545</v>
      </c>
      <c r="R32" s="1015" t="s">
        <v>2545</v>
      </c>
      <c r="S32" s="1015" t="s">
        <v>2523</v>
      </c>
      <c r="T32" s="1015" t="s">
        <v>2586</v>
      </c>
      <c r="U32" s="1015" t="s">
        <v>2525</v>
      </c>
      <c r="V32" s="1015" t="s">
        <v>2525</v>
      </c>
      <c r="W32" s="1015" t="s">
        <v>2520</v>
      </c>
      <c r="X32" s="1015" t="s">
        <v>2520</v>
      </c>
      <c r="Y32" s="1015" t="s">
        <v>2520</v>
      </c>
      <c r="Z32" s="1015" t="s">
        <v>2520</v>
      </c>
      <c r="AA32" s="1015" t="s">
        <v>2520</v>
      </c>
      <c r="AB32" s="1015" t="s">
        <v>2520</v>
      </c>
      <c r="AC32" s="1015" t="s">
        <v>2520</v>
      </c>
      <c r="AD32" s="1015" t="s">
        <v>2587</v>
      </c>
      <c r="AE32" s="1015" t="s">
        <v>2587</v>
      </c>
      <c r="AF32" s="1015" t="s">
        <v>2530</v>
      </c>
      <c r="AG32" s="1015" t="s">
        <v>2530</v>
      </c>
      <c r="AH32" s="1015" t="s">
        <v>3263</v>
      </c>
    </row>
    <row r="33" spans="1:34" x14ac:dyDescent="0.3">
      <c r="A33" s="1016" t="s">
        <v>2632</v>
      </c>
      <c r="B33" s="1015" t="s">
        <v>2633</v>
      </c>
      <c r="C33" s="1015" t="s">
        <v>2634</v>
      </c>
      <c r="D33" s="1015" t="s">
        <v>2634</v>
      </c>
      <c r="E33" s="1015" t="s">
        <v>486</v>
      </c>
      <c r="F33" s="1015" t="s">
        <v>487</v>
      </c>
      <c r="G33" s="1015" t="s">
        <v>486</v>
      </c>
      <c r="H33" s="1015" t="s">
        <v>2635</v>
      </c>
      <c r="I33" s="1015" t="s">
        <v>2636</v>
      </c>
      <c r="J33" s="1015" t="s">
        <v>486</v>
      </c>
      <c r="K33" s="1015" t="s">
        <v>486</v>
      </c>
      <c r="L33" s="1015" t="s">
        <v>2537</v>
      </c>
      <c r="M33" s="1015" t="s">
        <v>2637</v>
      </c>
      <c r="N33" s="1015" t="s">
        <v>2537</v>
      </c>
      <c r="O33" s="1015" t="s">
        <v>2638</v>
      </c>
      <c r="P33" s="1015" t="s">
        <v>2639</v>
      </c>
      <c r="Q33" s="1015" t="s">
        <v>2638</v>
      </c>
      <c r="R33" s="1015" t="s">
        <v>2506</v>
      </c>
      <c r="S33" s="1015" t="s">
        <v>2640</v>
      </c>
      <c r="T33" s="1015" t="s">
        <v>2623</v>
      </c>
      <c r="U33" s="1015" t="s">
        <v>2641</v>
      </c>
      <c r="V33" s="1015" t="s">
        <v>2623</v>
      </c>
      <c r="W33" s="1015" t="s">
        <v>2642</v>
      </c>
      <c r="X33" s="1015" t="s">
        <v>2623</v>
      </c>
      <c r="Y33" s="1015" t="s">
        <v>2623</v>
      </c>
      <c r="Z33" s="1015" t="s">
        <v>2623</v>
      </c>
      <c r="AA33" s="1015" t="s">
        <v>2623</v>
      </c>
      <c r="AB33" s="1015" t="s">
        <v>2623</v>
      </c>
      <c r="AC33" s="1015" t="s">
        <v>2623</v>
      </c>
      <c r="AD33" s="1015" t="s">
        <v>2623</v>
      </c>
      <c r="AE33" s="1015" t="s">
        <v>2629</v>
      </c>
      <c r="AF33" s="1015" t="s">
        <v>2530</v>
      </c>
      <c r="AG33" s="1015" t="s">
        <v>2623</v>
      </c>
      <c r="AH33" s="1015" t="s">
        <v>2623</v>
      </c>
    </row>
    <row r="34" spans="1:34" x14ac:dyDescent="0.3">
      <c r="A34" s="1014" t="s">
        <v>305</v>
      </c>
      <c r="B34" s="1015" t="s">
        <v>2643</v>
      </c>
      <c r="C34" s="1015" t="s">
        <v>2643</v>
      </c>
      <c r="D34" s="1015" t="s">
        <v>2644</v>
      </c>
      <c r="E34" s="1015" t="s">
        <v>2643</v>
      </c>
      <c r="F34" s="1015" t="s">
        <v>2643</v>
      </c>
      <c r="G34" s="1015" t="s">
        <v>2643</v>
      </c>
      <c r="H34" s="1015" t="s">
        <v>2645</v>
      </c>
      <c r="I34" s="1015" t="s">
        <v>2643</v>
      </c>
      <c r="J34" s="1015" t="s">
        <v>2643</v>
      </c>
      <c r="K34" s="1015" t="s">
        <v>2643</v>
      </c>
      <c r="L34" s="1015" t="s">
        <v>2646</v>
      </c>
      <c r="M34" s="1015" t="s">
        <v>2646</v>
      </c>
      <c r="N34" s="1015" t="s">
        <v>2646</v>
      </c>
      <c r="O34" s="1015" t="s">
        <v>2646</v>
      </c>
      <c r="P34" s="1015" t="s">
        <v>2646</v>
      </c>
      <c r="Q34" s="1015" t="s">
        <v>2646</v>
      </c>
      <c r="R34" s="1015" t="s">
        <v>2646</v>
      </c>
      <c r="S34" s="1015" t="s">
        <v>2647</v>
      </c>
      <c r="T34" s="1015" t="s">
        <v>2648</v>
      </c>
      <c r="U34" s="1015" t="s">
        <v>2648</v>
      </c>
      <c r="V34" s="1015" t="s">
        <v>2648</v>
      </c>
      <c r="W34" s="1015" t="s">
        <v>2628</v>
      </c>
      <c r="X34" s="1015" t="s">
        <v>2649</v>
      </c>
      <c r="Y34" s="1015" t="s">
        <v>2648</v>
      </c>
      <c r="Z34" s="1015" t="s">
        <v>2648</v>
      </c>
      <c r="AA34" s="1015" t="s">
        <v>2648</v>
      </c>
      <c r="AB34" s="1015" t="s">
        <v>2648</v>
      </c>
      <c r="AC34" s="1015" t="s">
        <v>2525</v>
      </c>
      <c r="AD34" s="1015" t="s">
        <v>2587</v>
      </c>
      <c r="AE34" s="1015" t="s">
        <v>2650</v>
      </c>
      <c r="AF34" s="1015" t="s">
        <v>2587</v>
      </c>
      <c r="AG34" s="1015" t="s">
        <v>2587</v>
      </c>
      <c r="AH34" s="1015" t="s">
        <v>2587</v>
      </c>
    </row>
    <row r="35" spans="1:34" s="1006" customFormat="1" x14ac:dyDescent="0.3">
      <c r="A35" s="1013" t="s">
        <v>306</v>
      </c>
      <c r="B35" s="1012" t="s">
        <v>2588</v>
      </c>
      <c r="C35" s="1012" t="s">
        <v>2588</v>
      </c>
      <c r="D35" s="1012" t="s">
        <v>2569</v>
      </c>
      <c r="E35" s="1012" t="s">
        <v>2550</v>
      </c>
      <c r="F35" s="1012" t="s">
        <v>2550</v>
      </c>
      <c r="G35" s="1012" t="s">
        <v>2550</v>
      </c>
      <c r="H35" s="1012" t="s">
        <v>2569</v>
      </c>
      <c r="I35" s="1012" t="s">
        <v>2575</v>
      </c>
      <c r="J35" s="1012" t="s">
        <v>2585</v>
      </c>
      <c r="K35" s="1012" t="s">
        <v>2569</v>
      </c>
      <c r="L35" s="1012" t="s">
        <v>2569</v>
      </c>
      <c r="M35" s="1012" t="s">
        <v>2547</v>
      </c>
      <c r="N35" s="1012" t="s">
        <v>2651</v>
      </c>
      <c r="O35" s="1012" t="s">
        <v>2547</v>
      </c>
      <c r="P35" s="1012" t="s">
        <v>2547</v>
      </c>
      <c r="Q35" s="1012" t="s">
        <v>2552</v>
      </c>
      <c r="R35" s="1012" t="s">
        <v>2543</v>
      </c>
      <c r="S35" s="1012" t="s">
        <v>2553</v>
      </c>
      <c r="T35" s="1012" t="s">
        <v>2554</v>
      </c>
      <c r="U35" s="1012" t="s">
        <v>2571</v>
      </c>
      <c r="V35" s="1012" t="s">
        <v>2554</v>
      </c>
      <c r="W35" s="1012" t="s">
        <v>2520</v>
      </c>
      <c r="X35" s="1012" t="s">
        <v>2520</v>
      </c>
      <c r="Y35" s="1012" t="s">
        <v>2520</v>
      </c>
      <c r="Z35" s="1012" t="s">
        <v>2520</v>
      </c>
      <c r="AA35" s="1012" t="s">
        <v>2520</v>
      </c>
      <c r="AB35" s="1012" t="s">
        <v>2520</v>
      </c>
      <c r="AC35" s="1012" t="s">
        <v>2520</v>
      </c>
      <c r="AD35" s="1012" t="s">
        <v>2529</v>
      </c>
      <c r="AE35" s="1012" t="s">
        <v>2559</v>
      </c>
      <c r="AF35" s="1012" t="s">
        <v>2529</v>
      </c>
      <c r="AG35" s="1012" t="s">
        <v>2559</v>
      </c>
      <c r="AH35" s="1012" t="s">
        <v>2529</v>
      </c>
    </row>
    <row r="36" spans="1:34" s="1006" customFormat="1" x14ac:dyDescent="0.3">
      <c r="A36" s="1013" t="s">
        <v>307</v>
      </c>
      <c r="B36" s="1012" t="s">
        <v>2543</v>
      </c>
      <c r="C36" s="1012" t="s">
        <v>2543</v>
      </c>
      <c r="D36" s="1012" t="s">
        <v>2543</v>
      </c>
      <c r="E36" s="1012" t="s">
        <v>2543</v>
      </c>
      <c r="F36" s="1012" t="s">
        <v>2543</v>
      </c>
      <c r="G36" s="1012" t="s">
        <v>2543</v>
      </c>
      <c r="H36" s="1012" t="s">
        <v>2543</v>
      </c>
      <c r="I36" s="1012" t="s">
        <v>2543</v>
      </c>
      <c r="J36" s="1012" t="s">
        <v>2543</v>
      </c>
      <c r="K36" s="1012" t="s">
        <v>2543</v>
      </c>
      <c r="L36" s="1012" t="s">
        <v>2545</v>
      </c>
      <c r="M36" s="1012" t="s">
        <v>2545</v>
      </c>
      <c r="N36" s="1012" t="s">
        <v>2545</v>
      </c>
      <c r="O36" s="1012" t="s">
        <v>2545</v>
      </c>
      <c r="P36" s="1012" t="s">
        <v>2545</v>
      </c>
      <c r="Q36" s="1012" t="s">
        <v>2589</v>
      </c>
      <c r="R36" s="1012" t="s">
        <v>2545</v>
      </c>
      <c r="S36" s="1012" t="s">
        <v>2548</v>
      </c>
      <c r="T36" s="1012" t="s">
        <v>2525</v>
      </c>
      <c r="U36" s="1012" t="s">
        <v>2525</v>
      </c>
      <c r="V36" s="1012" t="s">
        <v>2525</v>
      </c>
      <c r="W36" s="1012" t="s">
        <v>2525</v>
      </c>
      <c r="X36" s="1012" t="s">
        <v>2525</v>
      </c>
      <c r="Y36" s="1012" t="s">
        <v>2520</v>
      </c>
      <c r="Z36" s="1012" t="s">
        <v>2520</v>
      </c>
      <c r="AA36" s="1012" t="s">
        <v>2520</v>
      </c>
      <c r="AB36" s="1012" t="s">
        <v>2520</v>
      </c>
      <c r="AC36" s="1012" t="s">
        <v>2520</v>
      </c>
      <c r="AD36" s="1012" t="s">
        <v>2628</v>
      </c>
      <c r="AE36" s="1012" t="s">
        <v>2530</v>
      </c>
      <c r="AF36" s="1012" t="s">
        <v>2587</v>
      </c>
      <c r="AG36" s="1012" t="s">
        <v>2587</v>
      </c>
      <c r="AH36" s="1012" t="s">
        <v>2587</v>
      </c>
    </row>
    <row r="37" spans="1:34" s="1006" customFormat="1" x14ac:dyDescent="0.3">
      <c r="A37" s="1013" t="s">
        <v>308</v>
      </c>
      <c r="B37" s="1012" t="s">
        <v>2498</v>
      </c>
      <c r="C37" s="1012" t="s">
        <v>2498</v>
      </c>
      <c r="D37" s="1012" t="s">
        <v>2498</v>
      </c>
      <c r="E37" s="1012" t="s">
        <v>2652</v>
      </c>
      <c r="F37" s="1012" t="s">
        <v>2652</v>
      </c>
      <c r="G37" s="1012" t="s">
        <v>2652</v>
      </c>
      <c r="H37" s="1012" t="s">
        <v>2652</v>
      </c>
      <c r="I37" s="1012" t="s">
        <v>2653</v>
      </c>
      <c r="J37" s="1012" t="s">
        <v>2652</v>
      </c>
      <c r="K37" s="1012" t="s">
        <v>2654</v>
      </c>
      <c r="L37" s="1012" t="s">
        <v>2525</v>
      </c>
      <c r="M37" s="1012" t="s">
        <v>2525</v>
      </c>
      <c r="N37" s="1012" t="s">
        <v>2525</v>
      </c>
      <c r="O37" s="1012" t="s">
        <v>2525</v>
      </c>
      <c r="P37" s="1012" t="s">
        <v>2655</v>
      </c>
      <c r="Q37" s="1012" t="s">
        <v>2655</v>
      </c>
      <c r="R37" s="1012" t="s">
        <v>2615</v>
      </c>
      <c r="S37" s="1012" t="s">
        <v>2656</v>
      </c>
      <c r="T37" s="1012" t="s">
        <v>2657</v>
      </c>
      <c r="U37" s="1012" t="s">
        <v>2520</v>
      </c>
      <c r="V37" s="1012" t="s">
        <v>2520</v>
      </c>
      <c r="W37" s="1012" t="s">
        <v>2520</v>
      </c>
      <c r="X37" s="1012" t="s">
        <v>2520</v>
      </c>
      <c r="Y37" s="1012" t="s">
        <v>2520</v>
      </c>
      <c r="Z37" s="1012" t="s">
        <v>2520</v>
      </c>
      <c r="AA37" s="1012" t="s">
        <v>2520</v>
      </c>
      <c r="AB37" s="1012" t="s">
        <v>2520</v>
      </c>
      <c r="AC37" s="1012" t="s">
        <v>2520</v>
      </c>
      <c r="AD37" s="1012" t="s">
        <v>2658</v>
      </c>
      <c r="AE37" s="1012" t="s">
        <v>2659</v>
      </c>
      <c r="AF37" s="1012" t="s">
        <v>2660</v>
      </c>
      <c r="AG37" s="1012" t="s">
        <v>2567</v>
      </c>
      <c r="AH37" s="1012" t="s">
        <v>2707</v>
      </c>
    </row>
    <row r="38" spans="1:34" x14ac:dyDescent="0.3">
      <c r="A38" s="1014" t="s">
        <v>309</v>
      </c>
      <c r="B38" s="1015" t="s">
        <v>2498</v>
      </c>
      <c r="C38" s="1015" t="s">
        <v>2498</v>
      </c>
      <c r="D38" s="1015" t="s">
        <v>2498</v>
      </c>
      <c r="E38" s="1015" t="s">
        <v>2652</v>
      </c>
      <c r="F38" s="1015" t="s">
        <v>2652</v>
      </c>
      <c r="G38" s="1015" t="s">
        <v>2652</v>
      </c>
      <c r="H38" s="1015" t="s">
        <v>2652</v>
      </c>
      <c r="I38" s="1015" t="s">
        <v>2498</v>
      </c>
      <c r="J38" s="1015" t="s">
        <v>2652</v>
      </c>
      <c r="K38" s="1015" t="s">
        <v>2654</v>
      </c>
      <c r="L38" s="1015" t="s">
        <v>2525</v>
      </c>
      <c r="M38" s="1015" t="s">
        <v>2525</v>
      </c>
      <c r="N38" s="1015" t="s">
        <v>2525</v>
      </c>
      <c r="O38" s="1015" t="s">
        <v>2525</v>
      </c>
      <c r="P38" s="1015" t="s">
        <v>2655</v>
      </c>
      <c r="Q38" s="1015" t="s">
        <v>2655</v>
      </c>
      <c r="R38" s="1015" t="s">
        <v>2615</v>
      </c>
      <c r="S38" s="1015" t="s">
        <v>2656</v>
      </c>
      <c r="T38" s="1015" t="s">
        <v>2602</v>
      </c>
      <c r="U38" s="1015" t="s">
        <v>2520</v>
      </c>
      <c r="V38" s="1015" t="s">
        <v>2520</v>
      </c>
      <c r="W38" s="1015" t="s">
        <v>2520</v>
      </c>
      <c r="X38" s="1015" t="s">
        <v>2520</v>
      </c>
      <c r="Y38" s="1015" t="s">
        <v>2520</v>
      </c>
      <c r="Z38" s="1015" t="s">
        <v>2520</v>
      </c>
      <c r="AA38" s="1015" t="s">
        <v>2520</v>
      </c>
      <c r="AB38" s="1015" t="s">
        <v>2520</v>
      </c>
      <c r="AC38" s="1015" t="s">
        <v>2520</v>
      </c>
      <c r="AD38" s="1015" t="s">
        <v>2661</v>
      </c>
      <c r="AE38" s="1015" t="s">
        <v>2662</v>
      </c>
      <c r="AF38" s="1015" t="s">
        <v>2530</v>
      </c>
      <c r="AG38" s="1015" t="s">
        <v>2663</v>
      </c>
      <c r="AH38" s="1015" t="s">
        <v>2590</v>
      </c>
    </row>
    <row r="39" spans="1:34" s="1017" customFormat="1" x14ac:dyDescent="0.3">
      <c r="A39" s="1016" t="s">
        <v>2664</v>
      </c>
      <c r="B39" s="1015" t="s">
        <v>2665</v>
      </c>
      <c r="C39" s="1015" t="s">
        <v>2666</v>
      </c>
      <c r="D39" s="1015" t="s">
        <v>2667</v>
      </c>
      <c r="E39" s="1015" t="s">
        <v>2668</v>
      </c>
      <c r="F39" s="1015" t="s">
        <v>2667</v>
      </c>
      <c r="G39" s="1015" t="s">
        <v>2669</v>
      </c>
      <c r="H39" s="1015" t="s">
        <v>2670</v>
      </c>
      <c r="I39" s="1015" t="s">
        <v>2671</v>
      </c>
      <c r="J39" s="1015" t="s">
        <v>2672</v>
      </c>
      <c r="K39" s="1015" t="s">
        <v>2654</v>
      </c>
      <c r="L39" s="1015" t="s">
        <v>2673</v>
      </c>
      <c r="M39" s="1015" t="s">
        <v>2674</v>
      </c>
      <c r="N39" s="1015" t="s">
        <v>2673</v>
      </c>
      <c r="O39" s="1015" t="s">
        <v>2675</v>
      </c>
      <c r="P39" s="1015" t="s">
        <v>2676</v>
      </c>
      <c r="Q39" s="1015" t="s">
        <v>2677</v>
      </c>
      <c r="R39" s="1015" t="s">
        <v>2678</v>
      </c>
      <c r="S39" s="1015" t="s">
        <v>2679</v>
      </c>
      <c r="T39" s="1015" t="s">
        <v>2539</v>
      </c>
      <c r="U39" s="1015" t="s">
        <v>2628</v>
      </c>
      <c r="V39" s="1015" t="s">
        <v>2590</v>
      </c>
      <c r="W39" s="1015" t="s">
        <v>2567</v>
      </c>
      <c r="X39" s="1015" t="s">
        <v>2590</v>
      </c>
      <c r="Y39" s="1015" t="s">
        <v>2567</v>
      </c>
      <c r="Z39" s="1015" t="s">
        <v>2590</v>
      </c>
      <c r="AA39" s="1015" t="s">
        <v>2680</v>
      </c>
      <c r="AB39" s="1015" t="s">
        <v>2267</v>
      </c>
      <c r="AC39" s="1015" t="s">
        <v>2681</v>
      </c>
      <c r="AD39" s="1015" t="s">
        <v>2682</v>
      </c>
      <c r="AE39" s="1015" t="s">
        <v>2271</v>
      </c>
      <c r="AF39" s="1015" t="s">
        <v>2530</v>
      </c>
      <c r="AG39" s="1015" t="s">
        <v>2683</v>
      </c>
      <c r="AH39" s="1015" t="s">
        <v>2590</v>
      </c>
    </row>
    <row r="40" spans="1:34" s="1017" customFormat="1" x14ac:dyDescent="0.3">
      <c r="A40" s="1016" t="s">
        <v>2684</v>
      </c>
      <c r="B40" s="1015" t="s">
        <v>2498</v>
      </c>
      <c r="C40" s="1015" t="s">
        <v>2498</v>
      </c>
      <c r="D40" s="1015" t="s">
        <v>2498</v>
      </c>
      <c r="E40" s="1015" t="s">
        <v>2498</v>
      </c>
      <c r="F40" s="1015" t="s">
        <v>2652</v>
      </c>
      <c r="G40" s="1015" t="s">
        <v>2652</v>
      </c>
      <c r="H40" s="1015" t="s">
        <v>2652</v>
      </c>
      <c r="I40" s="1015" t="s">
        <v>2498</v>
      </c>
      <c r="J40" s="1015" t="s">
        <v>2652</v>
      </c>
      <c r="K40" s="1015" t="s">
        <v>2583</v>
      </c>
      <c r="L40" s="1015" t="s">
        <v>2525</v>
      </c>
      <c r="M40" s="1015" t="s">
        <v>2525</v>
      </c>
      <c r="N40" s="1015" t="s">
        <v>2525</v>
      </c>
      <c r="O40" s="1015" t="s">
        <v>2525</v>
      </c>
      <c r="P40" s="1015" t="s">
        <v>2525</v>
      </c>
      <c r="Q40" s="1015" t="s">
        <v>2655</v>
      </c>
      <c r="R40" s="1015" t="s">
        <v>2525</v>
      </c>
      <c r="S40" s="1015" t="s">
        <v>2656</v>
      </c>
      <c r="T40" s="1015" t="s">
        <v>2602</v>
      </c>
      <c r="U40" s="1015" t="s">
        <v>2520</v>
      </c>
      <c r="V40" s="1015" t="s">
        <v>2520</v>
      </c>
      <c r="W40" s="1015" t="s">
        <v>2603</v>
      </c>
      <c r="X40" s="1015" t="s">
        <v>2520</v>
      </c>
      <c r="Y40" s="1015" t="s">
        <v>2603</v>
      </c>
      <c r="Z40" s="1015" t="s">
        <v>2520</v>
      </c>
      <c r="AA40" s="1015" t="s">
        <v>2520</v>
      </c>
      <c r="AB40" s="1015" t="s">
        <v>2520</v>
      </c>
      <c r="AC40" s="1015" t="s">
        <v>2520</v>
      </c>
      <c r="AD40" s="1015" t="s">
        <v>2685</v>
      </c>
      <c r="AE40" s="1015" t="s">
        <v>2686</v>
      </c>
      <c r="AF40" s="1015" t="s">
        <v>2687</v>
      </c>
      <c r="AG40" s="1015" t="s">
        <v>2688</v>
      </c>
      <c r="AH40" s="1015" t="s">
        <v>2530</v>
      </c>
    </row>
    <row r="41" spans="1:34" s="1019" customFormat="1" x14ac:dyDescent="0.3">
      <c r="A41" s="1018" t="s">
        <v>2689</v>
      </c>
      <c r="B41" s="1015" t="s">
        <v>2550</v>
      </c>
      <c r="C41" s="1015" t="s">
        <v>2550</v>
      </c>
      <c r="D41" s="1015" t="s">
        <v>2550</v>
      </c>
      <c r="E41" s="1015" t="s">
        <v>2550</v>
      </c>
      <c r="F41" s="1015" t="s">
        <v>2550</v>
      </c>
      <c r="G41" s="1015" t="s">
        <v>2690</v>
      </c>
      <c r="H41" s="1015" t="s">
        <v>2550</v>
      </c>
      <c r="I41" s="1015" t="s">
        <v>2550</v>
      </c>
      <c r="J41" s="1015" t="s">
        <v>2550</v>
      </c>
      <c r="K41" s="1015" t="s">
        <v>2550</v>
      </c>
      <c r="L41" s="1015" t="s">
        <v>2552</v>
      </c>
      <c r="M41" s="1015" t="s">
        <v>2552</v>
      </c>
      <c r="N41" s="1015" t="s">
        <v>2552</v>
      </c>
      <c r="O41" s="1015" t="s">
        <v>2552</v>
      </c>
      <c r="P41" s="1015" t="s">
        <v>2552</v>
      </c>
      <c r="Q41" s="1015" t="s">
        <v>2552</v>
      </c>
      <c r="R41" s="1015" t="s">
        <v>2552</v>
      </c>
      <c r="S41" s="1015" t="s">
        <v>2656</v>
      </c>
      <c r="T41" s="1015" t="s">
        <v>2554</v>
      </c>
      <c r="U41" s="1015" t="s">
        <v>2520</v>
      </c>
      <c r="V41" s="1015" t="s">
        <v>2554</v>
      </c>
      <c r="W41" s="1015" t="s">
        <v>2554</v>
      </c>
      <c r="X41" s="1015" t="s">
        <v>2554</v>
      </c>
      <c r="Y41" s="1015" t="s">
        <v>2554</v>
      </c>
      <c r="Z41" s="1015" t="s">
        <v>2554</v>
      </c>
      <c r="AA41" s="1015" t="s">
        <v>2554</v>
      </c>
      <c r="AB41" s="1015" t="s">
        <v>2554</v>
      </c>
      <c r="AC41" s="1015" t="s">
        <v>2520</v>
      </c>
      <c r="AD41" s="1015" t="s">
        <v>2529</v>
      </c>
      <c r="AE41" s="1015" t="s">
        <v>2529</v>
      </c>
      <c r="AF41" s="1015" t="s">
        <v>2529</v>
      </c>
      <c r="AG41" s="1015" t="s">
        <v>2529</v>
      </c>
      <c r="AH41" s="1015" t="s">
        <v>2529</v>
      </c>
    </row>
    <row r="42" spans="1:34" s="1019" customFormat="1" x14ac:dyDescent="0.3">
      <c r="A42" s="1018" t="s">
        <v>2691</v>
      </c>
      <c r="B42" s="1015" t="s">
        <v>2550</v>
      </c>
      <c r="C42" s="1015" t="s">
        <v>2550</v>
      </c>
      <c r="D42" s="1015" t="s">
        <v>2550</v>
      </c>
      <c r="E42" s="1015" t="s">
        <v>2543</v>
      </c>
      <c r="F42" s="1015" t="s">
        <v>2543</v>
      </c>
      <c r="G42" s="1015" t="s">
        <v>2550</v>
      </c>
      <c r="H42" s="1015" t="s">
        <v>2550</v>
      </c>
      <c r="I42" s="1015" t="s">
        <v>2692</v>
      </c>
      <c r="J42" s="1015" t="s">
        <v>2550</v>
      </c>
      <c r="K42" s="1015" t="s">
        <v>2550</v>
      </c>
      <c r="L42" s="1015" t="s">
        <v>2552</v>
      </c>
      <c r="M42" s="1015" t="s">
        <v>2552</v>
      </c>
      <c r="N42" s="1015" t="s">
        <v>2552</v>
      </c>
      <c r="O42" s="1015" t="s">
        <v>2552</v>
      </c>
      <c r="P42" s="1015" t="s">
        <v>2552</v>
      </c>
      <c r="Q42" s="1015" t="s">
        <v>2552</v>
      </c>
      <c r="R42" s="1015" t="s">
        <v>2548</v>
      </c>
      <c r="S42" s="1015" t="s">
        <v>2553</v>
      </c>
      <c r="T42" s="1015" t="s">
        <v>2554</v>
      </c>
      <c r="U42" s="1015" t="s">
        <v>2554</v>
      </c>
      <c r="V42" s="1015" t="s">
        <v>2586</v>
      </c>
      <c r="W42" s="1015" t="s">
        <v>2554</v>
      </c>
      <c r="X42" s="1015" t="s">
        <v>2554</v>
      </c>
      <c r="Y42" s="1015" t="s">
        <v>2554</v>
      </c>
      <c r="Z42" s="1015" t="s">
        <v>2554</v>
      </c>
      <c r="AA42" s="1015" t="s">
        <v>2520</v>
      </c>
      <c r="AB42" s="1015" t="s">
        <v>2520</v>
      </c>
      <c r="AC42" s="1015" t="s">
        <v>2520</v>
      </c>
      <c r="AD42" s="1015" t="s">
        <v>2685</v>
      </c>
      <c r="AE42" s="1015" t="s">
        <v>2614</v>
      </c>
      <c r="AF42" s="1015" t="s">
        <v>2614</v>
      </c>
      <c r="AG42" s="1015" t="s">
        <v>2529</v>
      </c>
      <c r="AH42" s="1015" t="s">
        <v>3264</v>
      </c>
    </row>
    <row r="43" spans="1:34" s="1019" customFormat="1" x14ac:dyDescent="0.3">
      <c r="A43" s="1018" t="s">
        <v>2693</v>
      </c>
      <c r="B43" s="1015" t="s">
        <v>2498</v>
      </c>
      <c r="C43" s="1015" t="s">
        <v>2498</v>
      </c>
      <c r="D43" s="1015" t="s">
        <v>2498</v>
      </c>
      <c r="E43" s="1015" t="s">
        <v>2498</v>
      </c>
      <c r="F43" s="1015" t="s">
        <v>2498</v>
      </c>
      <c r="G43" s="1015" t="s">
        <v>2498</v>
      </c>
      <c r="H43" s="1015" t="s">
        <v>2498</v>
      </c>
      <c r="I43" s="1015" t="s">
        <v>2498</v>
      </c>
      <c r="J43" s="1015" t="s">
        <v>2498</v>
      </c>
      <c r="K43" s="1015" t="s">
        <v>2583</v>
      </c>
      <c r="L43" s="1015" t="s">
        <v>2525</v>
      </c>
      <c r="M43" s="1015" t="s">
        <v>2525</v>
      </c>
      <c r="N43" s="1015" t="s">
        <v>2525</v>
      </c>
      <c r="O43" s="1015" t="s">
        <v>2525</v>
      </c>
      <c r="P43" s="1015" t="s">
        <v>2525</v>
      </c>
      <c r="Q43" s="1015" t="s">
        <v>2525</v>
      </c>
      <c r="R43" s="1015" t="s">
        <v>2525</v>
      </c>
      <c r="S43" s="1015" t="s">
        <v>2525</v>
      </c>
      <c r="T43" s="1015" t="s">
        <v>2602</v>
      </c>
      <c r="U43" s="1015" t="s">
        <v>2603</v>
      </c>
      <c r="V43" s="1015" t="s">
        <v>2603</v>
      </c>
      <c r="W43" s="1015" t="s">
        <v>2603</v>
      </c>
      <c r="X43" s="1015" t="s">
        <v>2603</v>
      </c>
      <c r="Y43" s="1015" t="s">
        <v>2603</v>
      </c>
      <c r="Z43" s="1015" t="s">
        <v>2520</v>
      </c>
      <c r="AA43" s="1015" t="s">
        <v>2520</v>
      </c>
      <c r="AB43" s="1015" t="s">
        <v>2520</v>
      </c>
      <c r="AC43" s="1015" t="s">
        <v>2520</v>
      </c>
      <c r="AD43" s="1015" t="s">
        <v>2529</v>
      </c>
      <c r="AE43" s="1015" t="s">
        <v>2529</v>
      </c>
      <c r="AF43" s="1015" t="s">
        <v>2529</v>
      </c>
      <c r="AG43" s="1015" t="s">
        <v>2529</v>
      </c>
      <c r="AH43" s="1015" t="s">
        <v>2530</v>
      </c>
    </row>
    <row r="44" spans="1:34" s="1019" customFormat="1" x14ac:dyDescent="0.3">
      <c r="A44" s="1016" t="s">
        <v>2694</v>
      </c>
      <c r="B44" s="1015" t="s">
        <v>424</v>
      </c>
      <c r="C44" s="1015" t="s">
        <v>2695</v>
      </c>
      <c r="D44" s="1015" t="s">
        <v>2695</v>
      </c>
      <c r="E44" s="1015" t="s">
        <v>425</v>
      </c>
      <c r="F44" s="1015" t="s">
        <v>2696</v>
      </c>
      <c r="G44" s="1015" t="s">
        <v>425</v>
      </c>
      <c r="H44" s="1015" t="s">
        <v>2697</v>
      </c>
      <c r="I44" s="1015" t="s">
        <v>441</v>
      </c>
      <c r="J44" s="1015" t="s">
        <v>2599</v>
      </c>
      <c r="K44" s="1015" t="s">
        <v>424</v>
      </c>
      <c r="L44" s="1015" t="s">
        <v>2698</v>
      </c>
      <c r="M44" s="1015" t="s">
        <v>2699</v>
      </c>
      <c r="N44" s="1015" t="s">
        <v>2700</v>
      </c>
      <c r="O44" s="1015" t="s">
        <v>2701</v>
      </c>
      <c r="P44" s="1015" t="s">
        <v>2702</v>
      </c>
      <c r="Q44" s="1015" t="s">
        <v>2703</v>
      </c>
      <c r="R44" s="1015" t="s">
        <v>2704</v>
      </c>
      <c r="S44" s="1015" t="s">
        <v>2705</v>
      </c>
      <c r="T44" s="1015" t="s">
        <v>2529</v>
      </c>
      <c r="U44" s="1015" t="s">
        <v>2530</v>
      </c>
      <c r="V44" s="1015" t="s">
        <v>2567</v>
      </c>
      <c r="W44" s="1015" t="s">
        <v>2706</v>
      </c>
      <c r="X44" s="1015" t="s">
        <v>2530</v>
      </c>
      <c r="Y44" s="1015" t="s">
        <v>2529</v>
      </c>
      <c r="Z44" s="1015" t="s">
        <v>2707</v>
      </c>
      <c r="AA44" s="1015" t="s">
        <v>2688</v>
      </c>
      <c r="AB44" s="1015" t="s">
        <v>2687</v>
      </c>
      <c r="AC44" s="1015" t="s">
        <v>2529</v>
      </c>
      <c r="AD44" s="1015" t="s">
        <v>2687</v>
      </c>
      <c r="AE44" s="1015" t="s">
        <v>2686</v>
      </c>
      <c r="AF44" s="1015" t="s">
        <v>2687</v>
      </c>
      <c r="AG44" s="1015" t="s">
        <v>2688</v>
      </c>
      <c r="AH44" s="1015" t="s">
        <v>2687</v>
      </c>
    </row>
    <row r="45" spans="1:34" x14ac:dyDescent="0.3">
      <c r="A45" s="1014" t="s">
        <v>316</v>
      </c>
      <c r="B45" s="1015" t="s">
        <v>2543</v>
      </c>
      <c r="C45" s="1015" t="s">
        <v>2543</v>
      </c>
      <c r="D45" s="1015" t="s">
        <v>2543</v>
      </c>
      <c r="E45" s="1015" t="s">
        <v>2543</v>
      </c>
      <c r="F45" s="1015" t="s">
        <v>2599</v>
      </c>
      <c r="G45" s="1015" t="s">
        <v>2708</v>
      </c>
      <c r="H45" s="1015" t="s">
        <v>2588</v>
      </c>
      <c r="I45" s="1015" t="s">
        <v>2709</v>
      </c>
      <c r="J45" s="1015" t="s">
        <v>2588</v>
      </c>
      <c r="K45" s="1015" t="s">
        <v>2543</v>
      </c>
      <c r="L45" s="1015" t="s">
        <v>2576</v>
      </c>
      <c r="M45" s="1015" t="s">
        <v>2545</v>
      </c>
      <c r="N45" s="1015" t="s">
        <v>2524</v>
      </c>
      <c r="O45" s="1015" t="s">
        <v>2545</v>
      </c>
      <c r="P45" s="1015" t="s">
        <v>2524</v>
      </c>
      <c r="Q45" s="1015" t="s">
        <v>2524</v>
      </c>
      <c r="R45" s="1015" t="s">
        <v>2524</v>
      </c>
      <c r="S45" s="1015" t="s">
        <v>2525</v>
      </c>
      <c r="T45" s="1015" t="s">
        <v>2657</v>
      </c>
      <c r="U45" s="1015" t="s">
        <v>2520</v>
      </c>
      <c r="V45" s="1015" t="s">
        <v>2520</v>
      </c>
      <c r="W45" s="1015" t="s">
        <v>2520</v>
      </c>
      <c r="X45" s="1015" t="s">
        <v>2520</v>
      </c>
      <c r="Y45" s="1015" t="s">
        <v>2520</v>
      </c>
      <c r="Z45" s="1015" t="s">
        <v>2520</v>
      </c>
      <c r="AA45" s="1015" t="s">
        <v>2520</v>
      </c>
      <c r="AB45" s="1015" t="s">
        <v>2520</v>
      </c>
      <c r="AC45" s="1015" t="s">
        <v>2520</v>
      </c>
      <c r="AD45" s="1015" t="s">
        <v>2530</v>
      </c>
      <c r="AE45" s="1015" t="s">
        <v>2530</v>
      </c>
      <c r="AF45" s="1015" t="s">
        <v>2530</v>
      </c>
      <c r="AG45" s="1015" t="s">
        <v>2710</v>
      </c>
      <c r="AH45" s="1015" t="s">
        <v>2593</v>
      </c>
    </row>
    <row r="46" spans="1:34" x14ac:dyDescent="0.3">
      <c r="A46" s="1014" t="s">
        <v>317</v>
      </c>
      <c r="B46" s="1015" t="s">
        <v>2582</v>
      </c>
      <c r="C46" s="1015" t="s">
        <v>2543</v>
      </c>
      <c r="D46" s="1015" t="s">
        <v>2545</v>
      </c>
      <c r="E46" s="1015" t="s">
        <v>2543</v>
      </c>
      <c r="F46" s="1015" t="s">
        <v>2543</v>
      </c>
      <c r="G46" s="1015" t="s">
        <v>2543</v>
      </c>
      <c r="H46" s="1015" t="s">
        <v>2582</v>
      </c>
      <c r="I46" s="1015" t="s">
        <v>2545</v>
      </c>
      <c r="J46" s="1015" t="s">
        <v>2543</v>
      </c>
      <c r="K46" s="1015" t="s">
        <v>2543</v>
      </c>
      <c r="L46" s="1015" t="s">
        <v>2545</v>
      </c>
      <c r="M46" s="1015" t="s">
        <v>2545</v>
      </c>
      <c r="N46" s="1015" t="s">
        <v>2581</v>
      </c>
      <c r="O46" s="1015" t="s">
        <v>2545</v>
      </c>
      <c r="P46" s="1015" t="s">
        <v>2631</v>
      </c>
      <c r="Q46" s="1015" t="s">
        <v>2711</v>
      </c>
      <c r="R46" s="1015" t="s">
        <v>2545</v>
      </c>
      <c r="S46" s="1015" t="s">
        <v>2548</v>
      </c>
      <c r="T46" s="1015" t="s">
        <v>2712</v>
      </c>
      <c r="U46" s="1015" t="s">
        <v>2525</v>
      </c>
      <c r="V46" s="1015" t="s">
        <v>2520</v>
      </c>
      <c r="W46" s="1015" t="s">
        <v>2520</v>
      </c>
      <c r="X46" s="1015" t="s">
        <v>2520</v>
      </c>
      <c r="Y46" s="1015" t="s">
        <v>2520</v>
      </c>
      <c r="Z46" s="1015" t="s">
        <v>2520</v>
      </c>
      <c r="AA46" s="1015" t="s">
        <v>2520</v>
      </c>
      <c r="AB46" s="1015" t="s">
        <v>2520</v>
      </c>
      <c r="AC46" s="1015" t="s">
        <v>2520</v>
      </c>
      <c r="AD46" s="1015" t="s">
        <v>2587</v>
      </c>
      <c r="AE46" s="1015" t="s">
        <v>2587</v>
      </c>
      <c r="AF46" s="1015" t="s">
        <v>2713</v>
      </c>
      <c r="AG46" s="1015" t="s">
        <v>2714</v>
      </c>
      <c r="AH46" s="1015" t="s">
        <v>2707</v>
      </c>
    </row>
    <row r="47" spans="1:34" s="1006" customFormat="1" x14ac:dyDescent="0.3">
      <c r="A47" s="1013" t="s">
        <v>318</v>
      </c>
      <c r="B47" s="1012" t="s">
        <v>2633</v>
      </c>
      <c r="C47" s="1012" t="s">
        <v>2715</v>
      </c>
      <c r="D47" s="1012" t="s">
        <v>2716</v>
      </c>
      <c r="E47" s="1012" t="s">
        <v>2563</v>
      </c>
      <c r="F47" s="1012" t="s">
        <v>2563</v>
      </c>
      <c r="G47" s="1012" t="s">
        <v>2563</v>
      </c>
      <c r="H47" s="1012" t="s">
        <v>2717</v>
      </c>
      <c r="I47" s="1012" t="s">
        <v>2718</v>
      </c>
      <c r="J47" s="1012" t="s">
        <v>2719</v>
      </c>
      <c r="K47" s="1012" t="s">
        <v>2720</v>
      </c>
      <c r="L47" s="1012" t="s">
        <v>2720</v>
      </c>
      <c r="M47" s="1012" t="s">
        <v>2721</v>
      </c>
      <c r="N47" s="1012" t="s">
        <v>2721</v>
      </c>
      <c r="O47" s="1012" t="s">
        <v>2721</v>
      </c>
      <c r="P47" s="1012" t="s">
        <v>2722</v>
      </c>
      <c r="Q47" s="1012" t="s">
        <v>2723</v>
      </c>
      <c r="R47" s="1012" t="s">
        <v>2506</v>
      </c>
      <c r="S47" s="1012" t="s">
        <v>2507</v>
      </c>
      <c r="T47" s="1012" t="s">
        <v>2724</v>
      </c>
      <c r="U47" s="1012" t="s">
        <v>2725</v>
      </c>
      <c r="V47" s="1012" t="s">
        <v>2567</v>
      </c>
      <c r="W47" s="1012" t="s">
        <v>2725</v>
      </c>
      <c r="X47" s="1012" t="s">
        <v>2726</v>
      </c>
      <c r="Y47" s="1012" t="s">
        <v>2727</v>
      </c>
      <c r="Z47" s="1012" t="s">
        <v>2725</v>
      </c>
      <c r="AA47" s="1012" t="s">
        <v>2728</v>
      </c>
      <c r="AB47" s="1012" t="s">
        <v>2567</v>
      </c>
      <c r="AC47" s="1012" t="s">
        <v>2728</v>
      </c>
      <c r="AD47" s="1012" t="s">
        <v>2725</v>
      </c>
      <c r="AE47" s="1012" t="s">
        <v>2729</v>
      </c>
      <c r="AF47" s="1012" t="s">
        <v>2714</v>
      </c>
      <c r="AG47" s="1012" t="s">
        <v>2729</v>
      </c>
      <c r="AH47" s="1012" t="s">
        <v>2714</v>
      </c>
    </row>
    <row r="48" spans="1:34" x14ac:dyDescent="0.3">
      <c r="A48" s="1014" t="s">
        <v>319</v>
      </c>
      <c r="B48" s="1015" t="s">
        <v>2730</v>
      </c>
      <c r="C48" s="1015" t="s">
        <v>2731</v>
      </c>
      <c r="D48" s="1015" t="s">
        <v>2732</v>
      </c>
      <c r="E48" s="1015" t="s">
        <v>2733</v>
      </c>
      <c r="F48" s="1015" t="s">
        <v>2733</v>
      </c>
      <c r="G48" s="1015" t="s">
        <v>2734</v>
      </c>
      <c r="H48" s="1015" t="s">
        <v>2735</v>
      </c>
      <c r="I48" s="1015" t="s">
        <v>2735</v>
      </c>
      <c r="J48" s="1015" t="s">
        <v>2736</v>
      </c>
      <c r="K48" s="1015" t="s">
        <v>2737</v>
      </c>
      <c r="L48" s="1015" t="s">
        <v>2445</v>
      </c>
      <c r="M48" s="1015" t="s">
        <v>2738</v>
      </c>
      <c r="N48" s="1015" t="s">
        <v>2739</v>
      </c>
      <c r="O48" s="1015" t="s">
        <v>2740</v>
      </c>
      <c r="P48" s="1015" t="s">
        <v>2740</v>
      </c>
      <c r="Q48" s="1015" t="s">
        <v>2741</v>
      </c>
      <c r="R48" s="1015" t="s">
        <v>2742</v>
      </c>
      <c r="S48" s="1015" t="s">
        <v>2743</v>
      </c>
      <c r="T48" s="1015" t="s">
        <v>2744</v>
      </c>
      <c r="U48" s="1015" t="s">
        <v>2745</v>
      </c>
      <c r="V48" s="1015" t="s">
        <v>2745</v>
      </c>
      <c r="W48" s="1015" t="s">
        <v>2745</v>
      </c>
      <c r="X48" s="1015" t="s">
        <v>2746</v>
      </c>
      <c r="Y48" s="1015" t="s">
        <v>2747</v>
      </c>
      <c r="Z48" s="1015" t="s">
        <v>2745</v>
      </c>
      <c r="AA48" s="1015" t="s">
        <v>2748</v>
      </c>
      <c r="AB48" s="1015" t="s">
        <v>2745</v>
      </c>
      <c r="AC48" s="1015" t="s">
        <v>2749</v>
      </c>
      <c r="AD48" s="1015" t="s">
        <v>2750</v>
      </c>
      <c r="AE48" s="1015" t="s">
        <v>2751</v>
      </c>
      <c r="AF48" s="1015" t="s">
        <v>2752</v>
      </c>
      <c r="AG48" s="1015" t="s">
        <v>2745</v>
      </c>
      <c r="AH48" s="1015" t="s">
        <v>2976</v>
      </c>
    </row>
    <row r="49" spans="1:34" x14ac:dyDescent="0.3">
      <c r="A49" s="1014" t="s">
        <v>320</v>
      </c>
      <c r="B49" s="1015" t="s">
        <v>488</v>
      </c>
      <c r="C49" s="1015" t="s">
        <v>2715</v>
      </c>
      <c r="D49" s="1015" t="s">
        <v>2563</v>
      </c>
      <c r="E49" s="1015" t="s">
        <v>2563</v>
      </c>
      <c r="F49" s="1015" t="s">
        <v>2563</v>
      </c>
      <c r="G49" s="1015" t="s">
        <v>2753</v>
      </c>
      <c r="H49" s="1015" t="s">
        <v>2563</v>
      </c>
      <c r="I49" s="1015" t="s">
        <v>2753</v>
      </c>
      <c r="J49" s="1015" t="s">
        <v>2716</v>
      </c>
      <c r="K49" s="1015" t="s">
        <v>2563</v>
      </c>
      <c r="L49" s="1015" t="s">
        <v>2754</v>
      </c>
      <c r="M49" s="1015" t="s">
        <v>2755</v>
      </c>
      <c r="N49" s="1015" t="s">
        <v>2756</v>
      </c>
      <c r="O49" s="1015" t="s">
        <v>2721</v>
      </c>
      <c r="P49" s="1015" t="s">
        <v>2757</v>
      </c>
      <c r="Q49" s="1015" t="s">
        <v>2723</v>
      </c>
      <c r="R49" s="1015" t="s">
        <v>2758</v>
      </c>
      <c r="S49" s="1015" t="s">
        <v>2759</v>
      </c>
      <c r="T49" s="1015" t="s">
        <v>2760</v>
      </c>
      <c r="U49" s="1015" t="s">
        <v>2725</v>
      </c>
      <c r="V49" s="1015" t="s">
        <v>2567</v>
      </c>
      <c r="W49" s="1015" t="s">
        <v>2725</v>
      </c>
      <c r="X49" s="1015" t="s">
        <v>2714</v>
      </c>
      <c r="Y49" s="1015" t="s">
        <v>2727</v>
      </c>
      <c r="Z49" s="1015" t="s">
        <v>2761</v>
      </c>
      <c r="AA49" s="1015" t="s">
        <v>2762</v>
      </c>
      <c r="AB49" s="1015" t="s">
        <v>2567</v>
      </c>
      <c r="AC49" s="1015" t="s">
        <v>2763</v>
      </c>
      <c r="AD49" s="1015" t="s">
        <v>2725</v>
      </c>
      <c r="AE49" s="1015" t="s">
        <v>2762</v>
      </c>
      <c r="AF49" s="1015" t="s">
        <v>2714</v>
      </c>
      <c r="AG49" s="1015" t="s">
        <v>2763</v>
      </c>
      <c r="AH49" s="1015" t="s">
        <v>2590</v>
      </c>
    </row>
    <row r="50" spans="1:34" x14ac:dyDescent="0.3">
      <c r="A50" s="1014" t="s">
        <v>321</v>
      </c>
      <c r="B50" s="1015" t="s">
        <v>2764</v>
      </c>
      <c r="C50" s="1015" t="s">
        <v>2765</v>
      </c>
      <c r="D50" s="1015" t="s">
        <v>2672</v>
      </c>
      <c r="E50" s="1015" t="s">
        <v>2672</v>
      </c>
      <c r="F50" s="1015" t="s">
        <v>2672</v>
      </c>
      <c r="G50" s="1015" t="s">
        <v>2766</v>
      </c>
      <c r="H50" s="1015" t="s">
        <v>2717</v>
      </c>
      <c r="I50" s="1015" t="s">
        <v>2767</v>
      </c>
      <c r="J50" s="1015" t="s">
        <v>2768</v>
      </c>
      <c r="K50" s="1015" t="s">
        <v>2766</v>
      </c>
      <c r="L50" s="1015" t="s">
        <v>2769</v>
      </c>
      <c r="M50" s="1015" t="s">
        <v>2564</v>
      </c>
      <c r="N50" s="1015" t="s">
        <v>2564</v>
      </c>
      <c r="O50" s="1015" t="s">
        <v>2564</v>
      </c>
      <c r="P50" s="1015" t="s">
        <v>2722</v>
      </c>
      <c r="Q50" s="1015" t="s">
        <v>2770</v>
      </c>
      <c r="R50" s="1015" t="s">
        <v>2771</v>
      </c>
      <c r="S50" s="1015" t="s">
        <v>2772</v>
      </c>
      <c r="T50" s="1015" t="s">
        <v>2773</v>
      </c>
      <c r="U50" s="1015" t="s">
        <v>2774</v>
      </c>
      <c r="V50" s="1015" t="s">
        <v>2567</v>
      </c>
      <c r="W50" s="1015" t="s">
        <v>2567</v>
      </c>
      <c r="X50" s="1015" t="s">
        <v>2775</v>
      </c>
      <c r="Y50" s="1015" t="s">
        <v>2714</v>
      </c>
      <c r="Z50" s="1015" t="s">
        <v>2567</v>
      </c>
      <c r="AA50" s="1015" t="s">
        <v>2775</v>
      </c>
      <c r="AB50" s="1015" t="s">
        <v>2567</v>
      </c>
      <c r="AC50" s="1015" t="s">
        <v>2775</v>
      </c>
      <c r="AD50" s="1015" t="s">
        <v>2714</v>
      </c>
      <c r="AE50" s="1015" t="s">
        <v>2714</v>
      </c>
      <c r="AF50" s="1015" t="s">
        <v>2776</v>
      </c>
      <c r="AG50" s="1015" t="s">
        <v>2714</v>
      </c>
      <c r="AH50" s="1015" t="s">
        <v>2714</v>
      </c>
    </row>
    <row r="51" spans="1:34" s="1006" customFormat="1" x14ac:dyDescent="0.3">
      <c r="A51" s="1013" t="s">
        <v>322</v>
      </c>
      <c r="B51" s="1012" t="s">
        <v>2570</v>
      </c>
      <c r="C51" s="1012" t="s">
        <v>2543</v>
      </c>
      <c r="D51" s="1012" t="s">
        <v>2599</v>
      </c>
      <c r="E51" s="1012" t="s">
        <v>2616</v>
      </c>
      <c r="F51" s="1012" t="s">
        <v>2543</v>
      </c>
      <c r="G51" s="1012" t="s">
        <v>2576</v>
      </c>
      <c r="H51" s="1012" t="s">
        <v>2543</v>
      </c>
      <c r="I51" s="1012" t="s">
        <v>2543</v>
      </c>
      <c r="J51" s="1012" t="s">
        <v>2599</v>
      </c>
      <c r="K51" s="1012" t="s">
        <v>2581</v>
      </c>
      <c r="L51" s="1012" t="s">
        <v>2514</v>
      </c>
      <c r="M51" s="1012" t="s">
        <v>2777</v>
      </c>
      <c r="N51" s="1012" t="s">
        <v>2778</v>
      </c>
      <c r="O51" s="1012" t="s">
        <v>2779</v>
      </c>
      <c r="P51" s="1012" t="s">
        <v>2545</v>
      </c>
      <c r="Q51" s="1012" t="s">
        <v>2618</v>
      </c>
      <c r="R51" s="1012" t="s">
        <v>2545</v>
      </c>
      <c r="S51" s="1012" t="s">
        <v>2548</v>
      </c>
      <c r="T51" s="1012" t="s">
        <v>2528</v>
      </c>
      <c r="U51" s="1012" t="s">
        <v>2520</v>
      </c>
      <c r="V51" s="1012" t="s">
        <v>2520</v>
      </c>
      <c r="W51" s="1012" t="s">
        <v>2520</v>
      </c>
      <c r="X51" s="1012" t="s">
        <v>2520</v>
      </c>
      <c r="Y51" s="1012" t="s">
        <v>2520</v>
      </c>
      <c r="Z51" s="1012" t="s">
        <v>2520</v>
      </c>
      <c r="AA51" s="1012" t="s">
        <v>2520</v>
      </c>
      <c r="AB51" s="1012" t="s">
        <v>2520</v>
      </c>
      <c r="AC51" s="1012" t="s">
        <v>2520</v>
      </c>
      <c r="AD51" s="1012" t="s">
        <v>2590</v>
      </c>
      <c r="AE51" s="1012" t="s">
        <v>2567</v>
      </c>
      <c r="AF51" s="1012" t="s">
        <v>2780</v>
      </c>
      <c r="AG51" s="1012" t="s">
        <v>2781</v>
      </c>
      <c r="AH51" s="1012" t="s">
        <v>2714</v>
      </c>
    </row>
    <row r="52" spans="1:34" x14ac:dyDescent="0.3">
      <c r="A52" s="1014" t="s">
        <v>323</v>
      </c>
      <c r="B52" s="1015" t="s">
        <v>2570</v>
      </c>
      <c r="C52" s="1015" t="s">
        <v>2543</v>
      </c>
      <c r="D52" s="1015" t="s">
        <v>2599</v>
      </c>
      <c r="E52" s="1015" t="s">
        <v>2543</v>
      </c>
      <c r="F52" s="1015" t="s">
        <v>2543</v>
      </c>
      <c r="G52" s="1015" t="s">
        <v>2543</v>
      </c>
      <c r="H52" s="1015" t="s">
        <v>2543</v>
      </c>
      <c r="I52" s="1015" t="s">
        <v>2543</v>
      </c>
      <c r="J52" s="1015" t="s">
        <v>2599</v>
      </c>
      <c r="K52" s="1015" t="s">
        <v>2581</v>
      </c>
      <c r="L52" s="1015" t="s">
        <v>2545</v>
      </c>
      <c r="M52" s="1015" t="s">
        <v>2777</v>
      </c>
      <c r="N52" s="1015" t="s">
        <v>2545</v>
      </c>
      <c r="O52" s="1015" t="s">
        <v>2778</v>
      </c>
      <c r="P52" s="1015" t="s">
        <v>2545</v>
      </c>
      <c r="Q52" s="1015" t="s">
        <v>2618</v>
      </c>
      <c r="R52" s="1015" t="s">
        <v>2545</v>
      </c>
      <c r="S52" s="1015" t="s">
        <v>2548</v>
      </c>
      <c r="T52" s="1015" t="s">
        <v>2528</v>
      </c>
      <c r="U52" s="1015" t="s">
        <v>2520</v>
      </c>
      <c r="V52" s="1015" t="s">
        <v>2520</v>
      </c>
      <c r="W52" s="1015" t="s">
        <v>2520</v>
      </c>
      <c r="X52" s="1015" t="s">
        <v>2520</v>
      </c>
      <c r="Y52" s="1015" t="s">
        <v>2520</v>
      </c>
      <c r="Z52" s="1015" t="s">
        <v>2520</v>
      </c>
      <c r="AA52" s="1015" t="s">
        <v>2520</v>
      </c>
      <c r="AB52" s="1015" t="s">
        <v>2520</v>
      </c>
      <c r="AC52" s="1015" t="s">
        <v>2520</v>
      </c>
      <c r="AD52" s="1015" t="s">
        <v>2590</v>
      </c>
      <c r="AE52" s="1015" t="s">
        <v>2590</v>
      </c>
      <c r="AF52" s="1015" t="s">
        <v>2780</v>
      </c>
      <c r="AG52" s="1015" t="s">
        <v>2781</v>
      </c>
      <c r="AH52" s="1015" t="s">
        <v>3261</v>
      </c>
    </row>
    <row r="53" spans="1:34" x14ac:dyDescent="0.3">
      <c r="A53" s="1014" t="s">
        <v>324</v>
      </c>
      <c r="B53" s="1015" t="s">
        <v>2550</v>
      </c>
      <c r="C53" s="1015" t="s">
        <v>2782</v>
      </c>
      <c r="D53" s="1015" t="s">
        <v>2552</v>
      </c>
      <c r="E53" s="1015" t="s">
        <v>2783</v>
      </c>
      <c r="F53" s="1015" t="s">
        <v>2552</v>
      </c>
      <c r="G53" s="1015" t="s">
        <v>2782</v>
      </c>
      <c r="H53" s="1015" t="s">
        <v>2782</v>
      </c>
      <c r="I53" s="1015" t="s">
        <v>2784</v>
      </c>
      <c r="J53" s="1015" t="s">
        <v>2550</v>
      </c>
      <c r="K53" s="1015" t="s">
        <v>2550</v>
      </c>
      <c r="L53" s="1015" t="s">
        <v>2552</v>
      </c>
      <c r="M53" s="1015" t="s">
        <v>2552</v>
      </c>
      <c r="N53" s="1015" t="s">
        <v>2778</v>
      </c>
      <c r="O53" s="1015" t="s">
        <v>2552</v>
      </c>
      <c r="P53" s="1015" t="s">
        <v>2552</v>
      </c>
      <c r="Q53" s="1015" t="s">
        <v>2552</v>
      </c>
      <c r="R53" s="1015" t="s">
        <v>2610</v>
      </c>
      <c r="S53" s="1015" t="s">
        <v>2553</v>
      </c>
      <c r="T53" s="1015" t="s">
        <v>2554</v>
      </c>
      <c r="U53" s="1015" t="s">
        <v>2554</v>
      </c>
      <c r="V53" s="1015" t="s">
        <v>2554</v>
      </c>
      <c r="W53" s="1015" t="s">
        <v>2520</v>
      </c>
      <c r="X53" s="1015" t="s">
        <v>2520</v>
      </c>
      <c r="Y53" s="1015" t="s">
        <v>2520</v>
      </c>
      <c r="Z53" s="1015" t="s">
        <v>2520</v>
      </c>
      <c r="AA53" s="1015" t="s">
        <v>2520</v>
      </c>
      <c r="AB53" s="1015" t="s">
        <v>2520</v>
      </c>
      <c r="AC53" s="1015" t="s">
        <v>2520</v>
      </c>
      <c r="AD53" s="1015" t="s">
        <v>2529</v>
      </c>
      <c r="AE53" s="1015" t="s">
        <v>2529</v>
      </c>
      <c r="AF53" s="1015" t="s">
        <v>2595</v>
      </c>
      <c r="AG53" s="1015" t="s">
        <v>2595</v>
      </c>
      <c r="AH53" s="1015">
        <v>7.85</v>
      </c>
    </row>
    <row r="54" spans="1:34" x14ac:dyDescent="0.3">
      <c r="A54" s="1014" t="s">
        <v>325</v>
      </c>
      <c r="B54" s="1015" t="s">
        <v>2785</v>
      </c>
      <c r="C54" s="1015" t="s">
        <v>2786</v>
      </c>
      <c r="D54" s="1015" t="s">
        <v>2787</v>
      </c>
      <c r="E54" s="1015" t="s">
        <v>2785</v>
      </c>
      <c r="F54" s="1015" t="s">
        <v>2788</v>
      </c>
      <c r="G54" s="1015" t="s">
        <v>2785</v>
      </c>
      <c r="H54" s="1015" t="s">
        <v>2789</v>
      </c>
      <c r="I54" s="1015" t="s">
        <v>2788</v>
      </c>
      <c r="J54" s="1015" t="s">
        <v>2785</v>
      </c>
      <c r="K54" s="1015" t="s">
        <v>2785</v>
      </c>
      <c r="L54" s="1015" t="s">
        <v>2790</v>
      </c>
      <c r="M54" s="1015" t="s">
        <v>2790</v>
      </c>
      <c r="N54" s="1015" t="s">
        <v>2790</v>
      </c>
      <c r="O54" s="1015" t="s">
        <v>2791</v>
      </c>
      <c r="P54" s="1015" t="s">
        <v>2792</v>
      </c>
      <c r="Q54" s="1015" t="s">
        <v>2790</v>
      </c>
      <c r="R54" s="1015" t="s">
        <v>2792</v>
      </c>
      <c r="S54" s="1015" t="s">
        <v>2793</v>
      </c>
      <c r="T54" s="1015" t="s">
        <v>2794</v>
      </c>
      <c r="U54" s="1015" t="s">
        <v>2794</v>
      </c>
      <c r="V54" s="1015" t="s">
        <v>2794</v>
      </c>
      <c r="W54" s="1015" t="s">
        <v>2795</v>
      </c>
      <c r="X54" s="1015" t="s">
        <v>2614</v>
      </c>
      <c r="Y54" s="1015" t="s">
        <v>2794</v>
      </c>
      <c r="Z54" s="1015" t="s">
        <v>2794</v>
      </c>
      <c r="AA54" s="1015" t="s">
        <v>2614</v>
      </c>
      <c r="AB54" s="1015" t="s">
        <v>2614</v>
      </c>
      <c r="AC54" s="1015" t="s">
        <v>2614</v>
      </c>
      <c r="AD54" s="1015" t="s">
        <v>2614</v>
      </c>
      <c r="AE54" s="1015" t="s">
        <v>2796</v>
      </c>
      <c r="AF54" s="1015" t="s">
        <v>2614</v>
      </c>
      <c r="AG54" s="1015">
        <v>7.85</v>
      </c>
      <c r="AH54" s="1015">
        <v>7.85</v>
      </c>
    </row>
    <row r="55" spans="1:34" x14ac:dyDescent="0.3">
      <c r="A55" s="1014" t="s">
        <v>326</v>
      </c>
      <c r="B55" s="1015" t="s">
        <v>2543</v>
      </c>
      <c r="C55" s="1015" t="s">
        <v>2543</v>
      </c>
      <c r="D55" s="1015" t="s">
        <v>2543</v>
      </c>
      <c r="E55" s="1015" t="s">
        <v>2616</v>
      </c>
      <c r="F55" s="1015" t="s">
        <v>2543</v>
      </c>
      <c r="G55" s="1015" t="s">
        <v>2576</v>
      </c>
      <c r="H55" s="1015" t="s">
        <v>2543</v>
      </c>
      <c r="I55" s="1015" t="s">
        <v>2543</v>
      </c>
      <c r="J55" s="1015" t="s">
        <v>2543</v>
      </c>
      <c r="K55" s="1015" t="s">
        <v>2543</v>
      </c>
      <c r="L55" s="1015" t="s">
        <v>2514</v>
      </c>
      <c r="M55" s="1015" t="s">
        <v>2545</v>
      </c>
      <c r="N55" s="1015" t="s">
        <v>2553</v>
      </c>
      <c r="O55" s="1015" t="s">
        <v>2779</v>
      </c>
      <c r="P55" s="1015" t="s">
        <v>2545</v>
      </c>
      <c r="Q55" s="1015" t="s">
        <v>2545</v>
      </c>
      <c r="R55" s="1015" t="s">
        <v>2545</v>
      </c>
      <c r="S55" s="1015" t="s">
        <v>2548</v>
      </c>
      <c r="T55" s="1015" t="s">
        <v>2525</v>
      </c>
      <c r="U55" s="1015" t="s">
        <v>2525</v>
      </c>
      <c r="V55" s="1015" t="s">
        <v>2520</v>
      </c>
      <c r="W55" s="1015" t="s">
        <v>2520</v>
      </c>
      <c r="X55" s="1015" t="s">
        <v>2520</v>
      </c>
      <c r="Y55" s="1015" t="s">
        <v>2520</v>
      </c>
      <c r="Z55" s="1015" t="s">
        <v>2520</v>
      </c>
      <c r="AA55" s="1015" t="s">
        <v>2520</v>
      </c>
      <c r="AB55" s="1015" t="s">
        <v>2520</v>
      </c>
      <c r="AC55" s="1015" t="s">
        <v>2520</v>
      </c>
      <c r="AD55" s="1015" t="s">
        <v>2587</v>
      </c>
      <c r="AE55" s="1015" t="s">
        <v>2628</v>
      </c>
      <c r="AF55" s="1015" t="s">
        <v>2530</v>
      </c>
      <c r="AG55" s="1015" t="s">
        <v>2587</v>
      </c>
      <c r="AH55" s="1015" t="s">
        <v>3265</v>
      </c>
    </row>
    <row r="56" spans="1:34" x14ac:dyDescent="0.3">
      <c r="A56" s="1014" t="s">
        <v>327</v>
      </c>
      <c r="B56" s="1015" t="s">
        <v>2797</v>
      </c>
      <c r="C56" s="1015" t="s">
        <v>2783</v>
      </c>
      <c r="D56" s="1015" t="s">
        <v>2783</v>
      </c>
      <c r="E56" s="1015" t="s">
        <v>2783</v>
      </c>
      <c r="F56" s="1015" t="s">
        <v>2783</v>
      </c>
      <c r="G56" s="1015" t="s">
        <v>2783</v>
      </c>
      <c r="H56" s="1015" t="s">
        <v>2783</v>
      </c>
      <c r="I56" s="1015" t="s">
        <v>2783</v>
      </c>
      <c r="J56" s="1015" t="s">
        <v>2783</v>
      </c>
      <c r="K56" s="1015" t="s">
        <v>2783</v>
      </c>
      <c r="L56" s="1015" t="s">
        <v>2610</v>
      </c>
      <c r="M56" s="1015" t="s">
        <v>2610</v>
      </c>
      <c r="N56" s="1015" t="s">
        <v>2610</v>
      </c>
      <c r="O56" s="1015" t="s">
        <v>2610</v>
      </c>
      <c r="P56" s="1015" t="s">
        <v>2610</v>
      </c>
      <c r="Q56" s="1015" t="s">
        <v>2610</v>
      </c>
      <c r="R56" s="1015" t="s">
        <v>2610</v>
      </c>
      <c r="S56" s="1015" t="s">
        <v>2798</v>
      </c>
      <c r="T56" s="1015" t="s">
        <v>2799</v>
      </c>
      <c r="U56" s="1015" t="s">
        <v>2799</v>
      </c>
      <c r="V56" s="1015" t="s">
        <v>2799</v>
      </c>
      <c r="W56" s="1015" t="s">
        <v>2799</v>
      </c>
      <c r="X56" s="1015" t="s">
        <v>2799</v>
      </c>
      <c r="Y56" s="1015" t="s">
        <v>2799</v>
      </c>
      <c r="Z56" s="1015" t="s">
        <v>2800</v>
      </c>
      <c r="AA56" s="1015" t="s">
        <v>2800</v>
      </c>
      <c r="AB56" s="1015" t="s">
        <v>2800</v>
      </c>
      <c r="AC56" s="1015" t="s">
        <v>2794</v>
      </c>
      <c r="AD56" s="1015" t="s">
        <v>2801</v>
      </c>
      <c r="AE56" s="1015" t="s">
        <v>2801</v>
      </c>
      <c r="AF56" s="1015" t="s">
        <v>2614</v>
      </c>
      <c r="AG56" s="1015">
        <v>7.85</v>
      </c>
      <c r="AH56" s="1015" t="s">
        <v>2801</v>
      </c>
    </row>
    <row r="57" spans="1:34" s="1006" customFormat="1" x14ac:dyDescent="0.3">
      <c r="A57" s="1013" t="s">
        <v>328</v>
      </c>
      <c r="B57" s="1012" t="s">
        <v>2514</v>
      </c>
      <c r="C57" s="1012" t="s">
        <v>2526</v>
      </c>
      <c r="D57" s="1012" t="s">
        <v>2513</v>
      </c>
      <c r="E57" s="1012" t="s">
        <v>2802</v>
      </c>
      <c r="F57" s="1012" t="s">
        <v>2514</v>
      </c>
      <c r="G57" s="1012" t="s">
        <v>2514</v>
      </c>
      <c r="H57" s="1012" t="s">
        <v>2514</v>
      </c>
      <c r="I57" s="1012" t="s">
        <v>2602</v>
      </c>
      <c r="J57" s="1012" t="s">
        <v>2720</v>
      </c>
      <c r="K57" s="1012" t="s">
        <v>2555</v>
      </c>
      <c r="L57" s="1012" t="s">
        <v>2602</v>
      </c>
      <c r="M57" s="1012" t="s">
        <v>2803</v>
      </c>
      <c r="N57" s="1012" t="s">
        <v>2514</v>
      </c>
      <c r="O57" s="1012" t="s">
        <v>2602</v>
      </c>
      <c r="P57" s="1012" t="s">
        <v>2514</v>
      </c>
      <c r="Q57" s="1012" t="s">
        <v>2514</v>
      </c>
      <c r="R57" s="1012" t="s">
        <v>2514</v>
      </c>
      <c r="S57" s="1012" t="s">
        <v>2514</v>
      </c>
      <c r="T57" s="1012" t="s">
        <v>2602</v>
      </c>
      <c r="U57" s="1012" t="s">
        <v>2520</v>
      </c>
      <c r="V57" s="1012" t="s">
        <v>2520</v>
      </c>
      <c r="W57" s="1012" t="s">
        <v>2520</v>
      </c>
      <c r="X57" s="1012" t="s">
        <v>2520</v>
      </c>
      <c r="Y57" s="1012" t="s">
        <v>2520</v>
      </c>
      <c r="Z57" s="1012" t="s">
        <v>2520</v>
      </c>
      <c r="AA57" s="1012" t="s">
        <v>2520</v>
      </c>
      <c r="AB57" s="1012" t="s">
        <v>2520</v>
      </c>
      <c r="AC57" s="1012" t="s">
        <v>2520</v>
      </c>
      <c r="AD57" s="1012" t="s">
        <v>2567</v>
      </c>
      <c r="AE57" s="1012" t="s">
        <v>2747</v>
      </c>
      <c r="AF57" s="1012" t="s">
        <v>2530</v>
      </c>
      <c r="AG57" s="1012" t="s">
        <v>2530</v>
      </c>
      <c r="AH57" s="1012" t="s">
        <v>3266</v>
      </c>
    </row>
    <row r="58" spans="1:34" x14ac:dyDescent="0.3">
      <c r="A58" s="1014" t="s">
        <v>329</v>
      </c>
      <c r="B58" s="1015" t="s">
        <v>2514</v>
      </c>
      <c r="C58" s="1015" t="s">
        <v>2526</v>
      </c>
      <c r="D58" s="1015" t="s">
        <v>2513</v>
      </c>
      <c r="E58" s="1015" t="s">
        <v>2802</v>
      </c>
      <c r="F58" s="1015" t="s">
        <v>2514</v>
      </c>
      <c r="G58" s="1015" t="s">
        <v>2514</v>
      </c>
      <c r="H58" s="1015" t="s">
        <v>2514</v>
      </c>
      <c r="I58" s="1015" t="s">
        <v>2602</v>
      </c>
      <c r="J58" s="1015" t="s">
        <v>2555</v>
      </c>
      <c r="K58" s="1015" t="s">
        <v>2555</v>
      </c>
      <c r="L58" s="1015" t="s">
        <v>2602</v>
      </c>
      <c r="M58" s="1015" t="s">
        <v>2803</v>
      </c>
      <c r="N58" s="1015" t="s">
        <v>2514</v>
      </c>
      <c r="O58" s="1015" t="s">
        <v>2602</v>
      </c>
      <c r="P58" s="1015" t="s">
        <v>2514</v>
      </c>
      <c r="Q58" s="1015" t="s">
        <v>2514</v>
      </c>
      <c r="R58" s="1015" t="s">
        <v>2514</v>
      </c>
      <c r="S58" s="1015" t="s">
        <v>2514</v>
      </c>
      <c r="T58" s="1015" t="s">
        <v>2602</v>
      </c>
      <c r="U58" s="1015" t="s">
        <v>2520</v>
      </c>
      <c r="V58" s="1015" t="s">
        <v>2520</v>
      </c>
      <c r="W58" s="1015" t="s">
        <v>2520</v>
      </c>
      <c r="X58" s="1015" t="s">
        <v>2520</v>
      </c>
      <c r="Y58" s="1015" t="s">
        <v>2520</v>
      </c>
      <c r="Z58" s="1015" t="s">
        <v>2520</v>
      </c>
      <c r="AA58" s="1015" t="s">
        <v>2520</v>
      </c>
      <c r="AB58" s="1015" t="s">
        <v>2520</v>
      </c>
      <c r="AC58" s="1015" t="s">
        <v>2520</v>
      </c>
      <c r="AD58" s="1015" t="s">
        <v>2567</v>
      </c>
      <c r="AE58" s="1015" t="s">
        <v>2747</v>
      </c>
      <c r="AF58" s="1015" t="s">
        <v>2530</v>
      </c>
      <c r="AG58" s="1015" t="s">
        <v>2530</v>
      </c>
      <c r="AH58" s="1015" t="s">
        <v>2906</v>
      </c>
    </row>
    <row r="59" spans="1:34" s="1017" customFormat="1" x14ac:dyDescent="0.3">
      <c r="A59" s="1016" t="s">
        <v>2804</v>
      </c>
      <c r="B59" s="1015" t="s">
        <v>2514</v>
      </c>
      <c r="C59" s="1015" t="s">
        <v>2551</v>
      </c>
      <c r="D59" s="1015" t="s">
        <v>2513</v>
      </c>
      <c r="E59" s="1015" t="s">
        <v>2551</v>
      </c>
      <c r="F59" s="1015" t="s">
        <v>2514</v>
      </c>
      <c r="G59" s="1015" t="s">
        <v>2514</v>
      </c>
      <c r="H59" s="1015" t="s">
        <v>2514</v>
      </c>
      <c r="I59" s="1015" t="s">
        <v>2514</v>
      </c>
      <c r="J59" s="1015" t="s">
        <v>2514</v>
      </c>
      <c r="K59" s="1015" t="s">
        <v>2514</v>
      </c>
      <c r="L59" s="1015" t="s">
        <v>2514</v>
      </c>
      <c r="M59" s="1015" t="s">
        <v>2805</v>
      </c>
      <c r="N59" s="1015" t="s">
        <v>2514</v>
      </c>
      <c r="O59" s="1015" t="s">
        <v>2514</v>
      </c>
      <c r="P59" s="1015" t="s">
        <v>2514</v>
      </c>
      <c r="Q59" s="1015" t="s">
        <v>2514</v>
      </c>
      <c r="R59" s="1015" t="s">
        <v>2514</v>
      </c>
      <c r="S59" s="1015" t="s">
        <v>2514</v>
      </c>
      <c r="T59" s="1015" t="s">
        <v>2514</v>
      </c>
      <c r="U59" s="1015" t="s">
        <v>2520</v>
      </c>
      <c r="V59" s="1015" t="s">
        <v>2520</v>
      </c>
      <c r="W59" s="1015" t="s">
        <v>2520</v>
      </c>
      <c r="X59" s="1015" t="s">
        <v>2520</v>
      </c>
      <c r="Y59" s="1015" t="s">
        <v>2520</v>
      </c>
      <c r="Z59" s="1015" t="s">
        <v>2520</v>
      </c>
      <c r="AA59" s="1015" t="s">
        <v>2520</v>
      </c>
      <c r="AB59" s="1015" t="s">
        <v>2520</v>
      </c>
      <c r="AC59" s="1015" t="s">
        <v>2520</v>
      </c>
      <c r="AD59" s="1015" t="s">
        <v>2530</v>
      </c>
      <c r="AE59" s="1015" t="s">
        <v>2747</v>
      </c>
      <c r="AF59" s="1015" t="s">
        <v>2530</v>
      </c>
      <c r="AG59" s="1015" t="s">
        <v>2530</v>
      </c>
      <c r="AH59" s="1015" t="s">
        <v>2530</v>
      </c>
    </row>
    <row r="60" spans="1:34" s="1017" customFormat="1" x14ac:dyDescent="0.3">
      <c r="A60" s="1016" t="s">
        <v>2806</v>
      </c>
      <c r="B60" s="1015" t="s">
        <v>2526</v>
      </c>
      <c r="C60" s="1015" t="s">
        <v>2526</v>
      </c>
      <c r="D60" s="1015" t="s">
        <v>2523</v>
      </c>
      <c r="E60" s="1015" t="s">
        <v>2802</v>
      </c>
      <c r="F60" s="1015" t="s">
        <v>2807</v>
      </c>
      <c r="G60" s="1015" t="s">
        <v>2808</v>
      </c>
      <c r="H60" s="1015" t="s">
        <v>2802</v>
      </c>
      <c r="I60" s="1015" t="s">
        <v>2602</v>
      </c>
      <c r="J60" s="1015" t="s">
        <v>2555</v>
      </c>
      <c r="K60" s="1015" t="s">
        <v>2555</v>
      </c>
      <c r="L60" s="1015" t="s">
        <v>2602</v>
      </c>
      <c r="M60" s="1015" t="s">
        <v>2602</v>
      </c>
      <c r="N60" s="1015" t="s">
        <v>2802</v>
      </c>
      <c r="O60" s="1015" t="s">
        <v>2602</v>
      </c>
      <c r="P60" s="1015" t="s">
        <v>2802</v>
      </c>
      <c r="Q60" s="1015" t="s">
        <v>2802</v>
      </c>
      <c r="R60" s="1015" t="s">
        <v>2802</v>
      </c>
      <c r="S60" s="1015" t="s">
        <v>2514</v>
      </c>
      <c r="T60" s="1015" t="s">
        <v>2555</v>
      </c>
      <c r="U60" s="1015" t="s">
        <v>2514</v>
      </c>
      <c r="V60" s="1015" t="s">
        <v>2514</v>
      </c>
      <c r="W60" s="1015" t="s">
        <v>2520</v>
      </c>
      <c r="X60" s="1015" t="s">
        <v>2520</v>
      </c>
      <c r="Y60" s="1015" t="s">
        <v>2520</v>
      </c>
      <c r="Z60" s="1015" t="s">
        <v>2520</v>
      </c>
      <c r="AA60" s="1015" t="s">
        <v>2520</v>
      </c>
      <c r="AB60" s="1015" t="s">
        <v>2520</v>
      </c>
      <c r="AC60" s="1015" t="s">
        <v>2520</v>
      </c>
      <c r="AD60" s="1015" t="s">
        <v>2567</v>
      </c>
      <c r="AE60" s="1015" t="s">
        <v>2530</v>
      </c>
      <c r="AF60" s="1015" t="s">
        <v>2530</v>
      </c>
      <c r="AG60" s="1015" t="s">
        <v>2530</v>
      </c>
      <c r="AH60" s="1015" t="s">
        <v>2906</v>
      </c>
    </row>
    <row r="61" spans="1:34" s="1017" customFormat="1" x14ac:dyDescent="0.3">
      <c r="A61" s="1016" t="s">
        <v>2809</v>
      </c>
      <c r="B61" s="1015" t="s">
        <v>2583</v>
      </c>
      <c r="C61" s="1015" t="s">
        <v>2583</v>
      </c>
      <c r="D61" s="1015" t="s">
        <v>2583</v>
      </c>
      <c r="E61" s="1015" t="s">
        <v>2583</v>
      </c>
      <c r="F61" s="1015" t="s">
        <v>2583</v>
      </c>
      <c r="G61" s="1015" t="s">
        <v>2583</v>
      </c>
      <c r="H61" s="1015" t="s">
        <v>2583</v>
      </c>
      <c r="I61" s="1015" t="s">
        <v>2583</v>
      </c>
      <c r="J61" s="1015" t="s">
        <v>2583</v>
      </c>
      <c r="K61" s="1015" t="s">
        <v>2583</v>
      </c>
      <c r="L61" s="1015" t="s">
        <v>2777</v>
      </c>
      <c r="M61" s="1015" t="s">
        <v>2777</v>
      </c>
      <c r="N61" s="1015" t="s">
        <v>2777</v>
      </c>
      <c r="O61" s="1015" t="s">
        <v>2777</v>
      </c>
      <c r="P61" s="1015" t="s">
        <v>2777</v>
      </c>
      <c r="Q61" s="1015" t="s">
        <v>2777</v>
      </c>
      <c r="R61" s="1015" t="s">
        <v>2777</v>
      </c>
      <c r="S61" s="1015" t="s">
        <v>2581</v>
      </c>
      <c r="T61" s="1015" t="s">
        <v>2602</v>
      </c>
      <c r="U61" s="1015" t="s">
        <v>2602</v>
      </c>
      <c r="V61" s="1015" t="s">
        <v>2602</v>
      </c>
      <c r="W61" s="1015" t="s">
        <v>2520</v>
      </c>
      <c r="X61" s="1015" t="s">
        <v>2520</v>
      </c>
      <c r="Y61" s="1015" t="s">
        <v>2520</v>
      </c>
      <c r="Z61" s="1015" t="s">
        <v>2520</v>
      </c>
      <c r="AA61" s="1015" t="s">
        <v>2520</v>
      </c>
      <c r="AB61" s="1015" t="s">
        <v>2520</v>
      </c>
      <c r="AC61" s="1015" t="s">
        <v>2520</v>
      </c>
      <c r="AD61" s="1015" t="s">
        <v>2587</v>
      </c>
      <c r="AE61" s="1015" t="s">
        <v>2530</v>
      </c>
      <c r="AF61" s="1015" t="s">
        <v>2530</v>
      </c>
      <c r="AG61" s="1015" t="s">
        <v>2530</v>
      </c>
      <c r="AH61" s="1015" t="s">
        <v>2529</v>
      </c>
    </row>
    <row r="62" spans="1:34" s="1017" customFormat="1" x14ac:dyDescent="0.3">
      <c r="A62" s="1016" t="s">
        <v>2810</v>
      </c>
      <c r="B62" s="1015" t="s">
        <v>2543</v>
      </c>
      <c r="C62" s="1015" t="s">
        <v>2543</v>
      </c>
      <c r="D62" s="1015" t="s">
        <v>2543</v>
      </c>
      <c r="E62" s="1015" t="s">
        <v>2543</v>
      </c>
      <c r="F62" s="1015" t="s">
        <v>2543</v>
      </c>
      <c r="G62" s="1015" t="s">
        <v>2543</v>
      </c>
      <c r="H62" s="1015" t="s">
        <v>2543</v>
      </c>
      <c r="I62" s="1015" t="s">
        <v>2543</v>
      </c>
      <c r="J62" s="1015" t="s">
        <v>2543</v>
      </c>
      <c r="K62" s="1015" t="s">
        <v>2543</v>
      </c>
      <c r="L62" s="1015" t="s">
        <v>2545</v>
      </c>
      <c r="M62" s="1015" t="s">
        <v>2545</v>
      </c>
      <c r="N62" s="1015" t="s">
        <v>2545</v>
      </c>
      <c r="O62" s="1015" t="s">
        <v>2545</v>
      </c>
      <c r="P62" s="1015" t="s">
        <v>2545</v>
      </c>
      <c r="Q62" s="1015" t="s">
        <v>2545</v>
      </c>
      <c r="R62" s="1015" t="s">
        <v>2545</v>
      </c>
      <c r="S62" s="1015" t="s">
        <v>2548</v>
      </c>
      <c r="T62" s="1015" t="s">
        <v>2525</v>
      </c>
      <c r="U62" s="1015" t="s">
        <v>2525</v>
      </c>
      <c r="V62" s="1015" t="s">
        <v>2525</v>
      </c>
      <c r="W62" s="1015" t="s">
        <v>2520</v>
      </c>
      <c r="X62" s="1015" t="s">
        <v>2520</v>
      </c>
      <c r="Y62" s="1015" t="s">
        <v>2520</v>
      </c>
      <c r="Z62" s="1015" t="s">
        <v>2520</v>
      </c>
      <c r="AA62" s="1015" t="s">
        <v>2520</v>
      </c>
      <c r="AB62" s="1015" t="s">
        <v>2520</v>
      </c>
      <c r="AC62" s="1015" t="s">
        <v>2520</v>
      </c>
      <c r="AD62" s="1015" t="s">
        <v>2529</v>
      </c>
      <c r="AE62" s="1015" t="s">
        <v>2529</v>
      </c>
      <c r="AF62" s="1015" t="s">
        <v>2529</v>
      </c>
      <c r="AG62" s="1015" t="s">
        <v>2529</v>
      </c>
      <c r="AH62" s="1015" t="s">
        <v>2529</v>
      </c>
    </row>
    <row r="63" spans="1:34" s="1017" customFormat="1" x14ac:dyDescent="0.3">
      <c r="A63" s="1016" t="s">
        <v>2811</v>
      </c>
      <c r="B63" s="1015" t="s">
        <v>115</v>
      </c>
      <c r="C63" s="1015" t="s">
        <v>2550</v>
      </c>
      <c r="D63" s="1015" t="s">
        <v>115</v>
      </c>
      <c r="E63" s="1015" t="s">
        <v>2550</v>
      </c>
      <c r="F63" s="1015" t="s">
        <v>2550</v>
      </c>
      <c r="G63" s="1015" t="s">
        <v>2550</v>
      </c>
      <c r="H63" s="1015" t="s">
        <v>2550</v>
      </c>
      <c r="I63" s="1015" t="s">
        <v>2550</v>
      </c>
      <c r="J63" s="1015" t="s">
        <v>2550</v>
      </c>
      <c r="K63" s="1015" t="s">
        <v>2550</v>
      </c>
      <c r="L63" s="1015" t="s">
        <v>2552</v>
      </c>
      <c r="M63" s="1015" t="s">
        <v>2552</v>
      </c>
      <c r="N63" s="1015" t="s">
        <v>2545</v>
      </c>
      <c r="O63" s="1015" t="s">
        <v>2552</v>
      </c>
      <c r="P63" s="1015" t="s">
        <v>2552</v>
      </c>
      <c r="Q63" s="1015" t="s">
        <v>2552</v>
      </c>
      <c r="R63" s="1015" t="s">
        <v>2552</v>
      </c>
      <c r="S63" s="1015" t="s">
        <v>2553</v>
      </c>
      <c r="T63" s="1015" t="s">
        <v>2554</v>
      </c>
      <c r="U63" s="1015" t="s">
        <v>2554</v>
      </c>
      <c r="V63" s="1015" t="s">
        <v>2554</v>
      </c>
      <c r="W63" s="1015" t="s">
        <v>2554</v>
      </c>
      <c r="X63" s="1015" t="s">
        <v>2554</v>
      </c>
      <c r="Y63" s="1015" t="s">
        <v>2554</v>
      </c>
      <c r="Z63" s="1015" t="s">
        <v>2554</v>
      </c>
      <c r="AA63" s="1015" t="s">
        <v>2554</v>
      </c>
      <c r="AB63" s="1015" t="s">
        <v>2554</v>
      </c>
      <c r="AC63" s="1015" t="s">
        <v>2554</v>
      </c>
      <c r="AD63" s="1015" t="s">
        <v>2614</v>
      </c>
      <c r="AE63" s="1015" t="s">
        <v>2614</v>
      </c>
      <c r="AF63" s="1015" t="s">
        <v>2614</v>
      </c>
      <c r="AG63" s="1015">
        <v>7.85</v>
      </c>
      <c r="AH63" s="1015">
        <v>7.85</v>
      </c>
    </row>
    <row r="64" spans="1:34" s="1017" customFormat="1" x14ac:dyDescent="0.3">
      <c r="A64" s="1016" t="s">
        <v>2812</v>
      </c>
      <c r="B64" s="1015" t="s">
        <v>2583</v>
      </c>
      <c r="C64" s="1015" t="s">
        <v>2583</v>
      </c>
      <c r="D64" s="1015" t="s">
        <v>2583</v>
      </c>
      <c r="E64" s="1015" t="s">
        <v>2583</v>
      </c>
      <c r="F64" s="1015" t="s">
        <v>2583</v>
      </c>
      <c r="G64" s="1015" t="s">
        <v>2583</v>
      </c>
      <c r="H64" s="1015" t="s">
        <v>2523</v>
      </c>
      <c r="I64" s="1015" t="s">
        <v>2583</v>
      </c>
      <c r="J64" s="1015" t="s">
        <v>2583</v>
      </c>
      <c r="K64" s="1015" t="s">
        <v>2583</v>
      </c>
      <c r="L64" s="1015" t="s">
        <v>2525</v>
      </c>
      <c r="M64" s="1015" t="s">
        <v>2813</v>
      </c>
      <c r="N64" s="1015" t="s">
        <v>2777</v>
      </c>
      <c r="O64" s="1015" t="s">
        <v>2777</v>
      </c>
      <c r="P64" s="1015" t="s">
        <v>2777</v>
      </c>
      <c r="Q64" s="1015" t="s">
        <v>2777</v>
      </c>
      <c r="R64" s="1015" t="s">
        <v>2777</v>
      </c>
      <c r="S64" s="1015" t="s">
        <v>2581</v>
      </c>
      <c r="T64" s="1015" t="s">
        <v>2602</v>
      </c>
      <c r="U64" s="1015" t="s">
        <v>2602</v>
      </c>
      <c r="V64" s="1015" t="s">
        <v>2520</v>
      </c>
      <c r="W64" s="1015" t="s">
        <v>2520</v>
      </c>
      <c r="X64" s="1015" t="s">
        <v>2520</v>
      </c>
      <c r="Y64" s="1015" t="s">
        <v>2520</v>
      </c>
      <c r="Z64" s="1015" t="s">
        <v>2520</v>
      </c>
      <c r="AA64" s="1015" t="s">
        <v>2520</v>
      </c>
      <c r="AB64" s="1015" t="s">
        <v>2520</v>
      </c>
      <c r="AC64" s="1015" t="s">
        <v>2520</v>
      </c>
      <c r="AD64" s="1015" t="s">
        <v>2814</v>
      </c>
      <c r="AE64" s="1015" t="s">
        <v>2530</v>
      </c>
      <c r="AF64" s="1015" t="s">
        <v>2530</v>
      </c>
      <c r="AG64" s="1015" t="s">
        <v>2587</v>
      </c>
      <c r="AH64" s="1015" t="s">
        <v>2814</v>
      </c>
    </row>
    <row r="65" spans="1:34" ht="18" thickBot="1" x14ac:dyDescent="0.35">
      <c r="A65" s="1020" t="s">
        <v>336</v>
      </c>
      <c r="B65" s="1021" t="s">
        <v>2815</v>
      </c>
      <c r="C65" s="1021" t="s">
        <v>489</v>
      </c>
      <c r="D65" s="1021" t="s">
        <v>489</v>
      </c>
      <c r="E65" s="1021" t="s">
        <v>489</v>
      </c>
      <c r="F65" s="1021" t="s">
        <v>489</v>
      </c>
      <c r="G65" s="1021" t="s">
        <v>489</v>
      </c>
      <c r="H65" s="1021" t="s">
        <v>489</v>
      </c>
      <c r="I65" s="1021" t="s">
        <v>2816</v>
      </c>
      <c r="J65" s="1021" t="s">
        <v>2599</v>
      </c>
      <c r="K65" s="1021" t="s">
        <v>489</v>
      </c>
      <c r="L65" s="1021" t="s">
        <v>2675</v>
      </c>
      <c r="M65" s="1021" t="s">
        <v>2675</v>
      </c>
      <c r="N65" s="1021" t="s">
        <v>2817</v>
      </c>
      <c r="O65" s="1021" t="s">
        <v>2818</v>
      </c>
      <c r="P65" s="1021" t="s">
        <v>2819</v>
      </c>
      <c r="Q65" s="1021" t="s">
        <v>2704</v>
      </c>
      <c r="R65" s="1021" t="s">
        <v>2820</v>
      </c>
      <c r="S65" s="1021" t="s">
        <v>2705</v>
      </c>
      <c r="T65" s="1021" t="s">
        <v>2821</v>
      </c>
      <c r="U65" s="1021" t="s">
        <v>2530</v>
      </c>
      <c r="V65" s="1021" t="s">
        <v>2822</v>
      </c>
      <c r="W65" s="1021" t="s">
        <v>2530</v>
      </c>
      <c r="X65" s="1021" t="s">
        <v>2567</v>
      </c>
      <c r="Y65" s="1021" t="s">
        <v>2822</v>
      </c>
      <c r="Z65" s="1021" t="s">
        <v>2707</v>
      </c>
      <c r="AA65" s="1021" t="s">
        <v>2823</v>
      </c>
      <c r="AB65" s="1021" t="s">
        <v>2530</v>
      </c>
      <c r="AC65" s="1021" t="s">
        <v>2530</v>
      </c>
      <c r="AD65" s="1021" t="s">
        <v>2530</v>
      </c>
      <c r="AE65" s="1021" t="s">
        <v>2530</v>
      </c>
      <c r="AF65" s="1021" t="s">
        <v>2530</v>
      </c>
      <c r="AG65" s="1021" t="s">
        <v>2530</v>
      </c>
      <c r="AH65" s="1021" t="s">
        <v>2714</v>
      </c>
    </row>
    <row r="66" spans="1:34" ht="18" thickTop="1" x14ac:dyDescent="0.3">
      <c r="A66" s="1022" t="s">
        <v>2824</v>
      </c>
      <c r="B66" s="1023"/>
      <c r="C66" s="1023"/>
      <c r="D66" s="1023"/>
      <c r="E66" s="1023"/>
      <c r="F66" s="1023"/>
      <c r="G66" s="1023"/>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3"/>
      <c r="AD66" s="1023"/>
      <c r="AE66" s="1023"/>
      <c r="AF66" s="1023"/>
      <c r="AG66" s="1023"/>
      <c r="AH66" s="1023"/>
    </row>
    <row r="67" spans="1:34" x14ac:dyDescent="0.3">
      <c r="A67" s="1024"/>
      <c r="B67" s="1023"/>
      <c r="C67" s="1023"/>
      <c r="D67" s="1023"/>
      <c r="E67" s="1023"/>
      <c r="F67" s="1023"/>
      <c r="G67" s="1023"/>
      <c r="H67" s="1023"/>
      <c r="I67" s="1023"/>
      <c r="J67" s="1023"/>
      <c r="K67" s="1023"/>
      <c r="L67" s="1023"/>
      <c r="M67" s="1023"/>
      <c r="N67" s="1023"/>
      <c r="O67" s="1023"/>
      <c r="P67" s="1023"/>
      <c r="Q67" s="1023"/>
      <c r="R67" s="1023"/>
      <c r="S67" s="1023"/>
      <c r="T67" s="1023"/>
      <c r="U67" s="1023"/>
      <c r="V67" s="1023"/>
      <c r="W67" s="1023"/>
      <c r="X67" s="1023"/>
      <c r="Y67" s="1023"/>
      <c r="Z67" s="1023"/>
      <c r="AA67" s="1023"/>
      <c r="AB67" s="1023"/>
      <c r="AC67" s="1023"/>
      <c r="AD67" s="1023"/>
      <c r="AE67" s="1023"/>
      <c r="AF67" s="1023"/>
      <c r="AG67" s="1023"/>
      <c r="AH67" s="1023"/>
    </row>
    <row r="68" spans="1:34" s="1006" customFormat="1" ht="18" thickBot="1" x14ac:dyDescent="0.35">
      <c r="A68" s="1007"/>
      <c r="B68" s="1008"/>
      <c r="C68" s="1008"/>
      <c r="D68" s="1008"/>
      <c r="E68" s="1008"/>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t="s">
        <v>416</v>
      </c>
    </row>
    <row r="69" spans="1:34" ht="26.25" customHeight="1" thickTop="1" thickBot="1" x14ac:dyDescent="0.35">
      <c r="A69" s="1025" t="s">
        <v>338</v>
      </c>
      <c r="B69" s="1010">
        <v>43374</v>
      </c>
      <c r="C69" s="1010">
        <v>43405</v>
      </c>
      <c r="D69" s="1010">
        <v>43435</v>
      </c>
      <c r="E69" s="1010">
        <v>43466</v>
      </c>
      <c r="F69" s="1010">
        <v>43497</v>
      </c>
      <c r="G69" s="1010">
        <v>43525</v>
      </c>
      <c r="H69" s="1010">
        <v>43556</v>
      </c>
      <c r="I69" s="1010">
        <v>43586</v>
      </c>
      <c r="J69" s="1010">
        <v>43617</v>
      </c>
      <c r="K69" s="1010">
        <v>43647</v>
      </c>
      <c r="L69" s="1010">
        <v>43678</v>
      </c>
      <c r="M69" s="1010">
        <v>43709</v>
      </c>
      <c r="N69" s="1010">
        <v>43739</v>
      </c>
      <c r="O69" s="1010">
        <v>43770</v>
      </c>
      <c r="P69" s="1010">
        <v>43800</v>
      </c>
      <c r="Q69" s="1010">
        <v>43831</v>
      </c>
      <c r="R69" s="1010">
        <v>43862</v>
      </c>
      <c r="S69" s="1010">
        <v>43891</v>
      </c>
      <c r="T69" s="1010">
        <v>43922</v>
      </c>
      <c r="U69" s="1010">
        <v>43952</v>
      </c>
      <c r="V69" s="1010">
        <v>43983</v>
      </c>
      <c r="W69" s="1010">
        <v>44013</v>
      </c>
      <c r="X69" s="1010">
        <v>44044</v>
      </c>
      <c r="Y69" s="1010">
        <v>44075</v>
      </c>
      <c r="Z69" s="1010">
        <v>44105</v>
      </c>
      <c r="AA69" s="1010">
        <v>44136</v>
      </c>
      <c r="AB69" s="1010">
        <v>44166</v>
      </c>
      <c r="AC69" s="1010">
        <v>44197</v>
      </c>
      <c r="AD69" s="1010">
        <v>44228</v>
      </c>
      <c r="AE69" s="1010">
        <v>44256</v>
      </c>
      <c r="AF69" s="1010">
        <v>44287</v>
      </c>
      <c r="AG69" s="1010">
        <v>44317</v>
      </c>
      <c r="AH69" s="1010">
        <v>44348</v>
      </c>
    </row>
    <row r="70" spans="1:34" s="1006" customFormat="1" ht="18" thickTop="1" x14ac:dyDescent="0.3">
      <c r="A70" s="1013" t="s">
        <v>339</v>
      </c>
      <c r="B70" s="1012" t="s">
        <v>2512</v>
      </c>
      <c r="C70" s="1012" t="s">
        <v>2523</v>
      </c>
      <c r="D70" s="1012" t="s">
        <v>2599</v>
      </c>
      <c r="E70" s="1012" t="s">
        <v>2562</v>
      </c>
      <c r="F70" s="1012" t="s">
        <v>2512</v>
      </c>
      <c r="G70" s="1012" t="s">
        <v>2512</v>
      </c>
      <c r="H70" s="1012" t="s">
        <v>2563</v>
      </c>
      <c r="I70" s="1012" t="s">
        <v>2720</v>
      </c>
      <c r="J70" s="1012" t="s">
        <v>2563</v>
      </c>
      <c r="K70" s="1012" t="s">
        <v>2720</v>
      </c>
      <c r="L70" s="1012" t="s">
        <v>2514</v>
      </c>
      <c r="M70" s="1012" t="s">
        <v>2564</v>
      </c>
      <c r="N70" s="1012" t="s">
        <v>2514</v>
      </c>
      <c r="O70" s="1012" t="s">
        <v>2514</v>
      </c>
      <c r="P70" s="1012" t="s">
        <v>2514</v>
      </c>
      <c r="Q70" s="1012" t="s">
        <v>2514</v>
      </c>
      <c r="R70" s="1012" t="s">
        <v>2517</v>
      </c>
      <c r="S70" s="1012" t="s">
        <v>2594</v>
      </c>
      <c r="T70" s="1012" t="s">
        <v>2525</v>
      </c>
      <c r="U70" s="1012" t="s">
        <v>2520</v>
      </c>
      <c r="V70" s="1012" t="s">
        <v>2520</v>
      </c>
      <c r="W70" s="1012" t="s">
        <v>2825</v>
      </c>
      <c r="X70" s="1012" t="s">
        <v>2520</v>
      </c>
      <c r="Y70" s="1012" t="s">
        <v>2520</v>
      </c>
      <c r="Z70" s="1012" t="s">
        <v>2520</v>
      </c>
      <c r="AA70" s="1012" t="s">
        <v>2520</v>
      </c>
      <c r="AB70" s="1012" t="s">
        <v>2520</v>
      </c>
      <c r="AC70" s="1012" t="s">
        <v>2520</v>
      </c>
      <c r="AD70" s="1012" t="s">
        <v>2590</v>
      </c>
      <c r="AE70" s="1012" t="s">
        <v>2822</v>
      </c>
      <c r="AF70" s="1012" t="s">
        <v>2567</v>
      </c>
      <c r="AG70" s="1012" t="s">
        <v>2567</v>
      </c>
      <c r="AH70" s="1012" t="s">
        <v>2590</v>
      </c>
    </row>
    <row r="71" spans="1:34" x14ac:dyDescent="0.3">
      <c r="A71" s="1014" t="s">
        <v>340</v>
      </c>
      <c r="B71" s="1015" t="s">
        <v>448</v>
      </c>
      <c r="C71" s="1015" t="s">
        <v>490</v>
      </c>
      <c r="D71" s="1015" t="s">
        <v>490</v>
      </c>
      <c r="E71" s="1015" t="s">
        <v>490</v>
      </c>
      <c r="F71" s="1015" t="s">
        <v>490</v>
      </c>
      <c r="G71" s="1015" t="s">
        <v>490</v>
      </c>
      <c r="H71" s="1015" t="s">
        <v>490</v>
      </c>
      <c r="I71" s="1015" t="s">
        <v>448</v>
      </c>
      <c r="J71" s="1015" t="s">
        <v>490</v>
      </c>
      <c r="K71" s="1015" t="s">
        <v>448</v>
      </c>
      <c r="L71" s="1015" t="s">
        <v>2704</v>
      </c>
      <c r="M71" s="1015" t="s">
        <v>2704</v>
      </c>
      <c r="N71" s="1015" t="s">
        <v>2704</v>
      </c>
      <c r="O71" s="1015" t="s">
        <v>2704</v>
      </c>
      <c r="P71" s="1015" t="s">
        <v>2704</v>
      </c>
      <c r="Q71" s="1015" t="s">
        <v>2704</v>
      </c>
      <c r="R71" s="1015" t="s">
        <v>2826</v>
      </c>
      <c r="S71" s="1015" t="s">
        <v>2827</v>
      </c>
      <c r="T71" s="1015" t="s">
        <v>2587</v>
      </c>
      <c r="U71" s="1015" t="s">
        <v>2828</v>
      </c>
      <c r="V71" s="1015" t="s">
        <v>2530</v>
      </c>
      <c r="W71" s="1015" t="s">
        <v>2829</v>
      </c>
      <c r="X71" s="1015" t="s">
        <v>2830</v>
      </c>
      <c r="Y71" s="1015" t="s">
        <v>2831</v>
      </c>
      <c r="Z71" s="1015" t="s">
        <v>2587</v>
      </c>
      <c r="AA71" s="1015" t="s">
        <v>2587</v>
      </c>
      <c r="AB71" s="1015" t="s">
        <v>2587</v>
      </c>
      <c r="AC71" s="1015" t="s">
        <v>2530</v>
      </c>
      <c r="AD71" s="1015" t="s">
        <v>2587</v>
      </c>
      <c r="AE71" s="1015" t="s">
        <v>2587</v>
      </c>
      <c r="AF71" s="1015" t="s">
        <v>2828</v>
      </c>
      <c r="AG71" s="1015" t="s">
        <v>2587</v>
      </c>
      <c r="AH71" s="1015" t="s">
        <v>2587</v>
      </c>
    </row>
    <row r="72" spans="1:34" x14ac:dyDescent="0.3">
      <c r="A72" s="1014" t="s">
        <v>341</v>
      </c>
      <c r="B72" s="1015" t="s">
        <v>2551</v>
      </c>
      <c r="C72" s="1015" t="s">
        <v>2543</v>
      </c>
      <c r="D72" s="1015" t="s">
        <v>2543</v>
      </c>
      <c r="E72" s="1015" t="s">
        <v>2543</v>
      </c>
      <c r="F72" s="1015" t="s">
        <v>2545</v>
      </c>
      <c r="G72" s="1015" t="s">
        <v>2551</v>
      </c>
      <c r="H72" s="1015" t="s">
        <v>2543</v>
      </c>
      <c r="I72" s="1015" t="s">
        <v>2543</v>
      </c>
      <c r="J72" s="1015" t="s">
        <v>2551</v>
      </c>
      <c r="K72" s="1015" t="s">
        <v>2777</v>
      </c>
      <c r="L72" s="1015" t="s">
        <v>2777</v>
      </c>
      <c r="M72" s="1015" t="s">
        <v>2570</v>
      </c>
      <c r="N72" s="1015" t="s">
        <v>2570</v>
      </c>
      <c r="O72" s="1015" t="s">
        <v>2570</v>
      </c>
      <c r="P72" s="1015" t="s">
        <v>2545</v>
      </c>
      <c r="Q72" s="1015" t="s">
        <v>2545</v>
      </c>
      <c r="R72" s="1015" t="s">
        <v>2545</v>
      </c>
      <c r="S72" s="1015" t="s">
        <v>2548</v>
      </c>
      <c r="T72" s="1015" t="s">
        <v>2525</v>
      </c>
      <c r="U72" s="1015" t="s">
        <v>2525</v>
      </c>
      <c r="V72" s="1015" t="s">
        <v>2525</v>
      </c>
      <c r="W72" s="1015" t="s">
        <v>2520</v>
      </c>
      <c r="X72" s="1015" t="s">
        <v>2520</v>
      </c>
      <c r="Y72" s="1015" t="s">
        <v>2520</v>
      </c>
      <c r="Z72" s="1015" t="s">
        <v>2520</v>
      </c>
      <c r="AA72" s="1015" t="s">
        <v>2520</v>
      </c>
      <c r="AB72" s="1015" t="s">
        <v>2520</v>
      </c>
      <c r="AC72" s="1015" t="s">
        <v>2520</v>
      </c>
      <c r="AD72" s="1015" t="s">
        <v>2587</v>
      </c>
      <c r="AE72" s="1015" t="s">
        <v>2529</v>
      </c>
      <c r="AF72" s="1015" t="s">
        <v>2529</v>
      </c>
      <c r="AG72" s="1015" t="s">
        <v>2587</v>
      </c>
      <c r="AH72" s="1015" t="s">
        <v>2587</v>
      </c>
    </row>
    <row r="73" spans="1:34" x14ac:dyDescent="0.3">
      <c r="A73" s="1014" t="s">
        <v>342</v>
      </c>
      <c r="B73" s="1015" t="s">
        <v>115</v>
      </c>
      <c r="C73" s="1015" t="s">
        <v>2832</v>
      </c>
      <c r="D73" s="1015" t="s">
        <v>115</v>
      </c>
      <c r="E73" s="1015" t="s">
        <v>115</v>
      </c>
      <c r="F73" s="1015" t="s">
        <v>115</v>
      </c>
      <c r="G73" s="1015" t="s">
        <v>115</v>
      </c>
      <c r="H73" s="1015" t="s">
        <v>115</v>
      </c>
      <c r="I73" s="1015" t="s">
        <v>115</v>
      </c>
      <c r="J73" s="1015" t="s">
        <v>115</v>
      </c>
      <c r="K73" s="1015" t="s">
        <v>2833</v>
      </c>
      <c r="L73" s="1015" t="s">
        <v>2834</v>
      </c>
      <c r="M73" s="1015" t="s">
        <v>2617</v>
      </c>
      <c r="N73" s="1015" t="s">
        <v>2834</v>
      </c>
      <c r="O73" s="1015" t="s">
        <v>2834</v>
      </c>
      <c r="P73" s="1015" t="s">
        <v>2834</v>
      </c>
      <c r="Q73" s="1015" t="s">
        <v>2543</v>
      </c>
      <c r="R73" s="1015" t="s">
        <v>2834</v>
      </c>
      <c r="S73" s="1015" t="s">
        <v>2835</v>
      </c>
      <c r="T73" s="1015" t="s">
        <v>2836</v>
      </c>
      <c r="U73" s="1015" t="s">
        <v>2836</v>
      </c>
      <c r="V73" s="1015" t="s">
        <v>2837</v>
      </c>
      <c r="W73" s="1015" t="s">
        <v>2836</v>
      </c>
      <c r="X73" s="1015" t="s">
        <v>2553</v>
      </c>
      <c r="Y73" s="1015" t="s">
        <v>2553</v>
      </c>
      <c r="Z73" s="1015" t="s">
        <v>2581</v>
      </c>
      <c r="AA73" s="1015" t="s">
        <v>2836</v>
      </c>
      <c r="AB73" s="1015" t="s">
        <v>2777</v>
      </c>
      <c r="AC73" s="1015" t="s">
        <v>2836</v>
      </c>
      <c r="AD73" s="1015" t="s">
        <v>2614</v>
      </c>
      <c r="AE73" s="1015" t="s">
        <v>2614</v>
      </c>
      <c r="AF73" s="1015" t="s">
        <v>2838</v>
      </c>
      <c r="AG73" s="1015">
        <v>7.85</v>
      </c>
      <c r="AH73" s="1015" t="s">
        <v>115</v>
      </c>
    </row>
    <row r="74" spans="1:34" x14ac:dyDescent="0.3">
      <c r="A74" s="1014" t="s">
        <v>343</v>
      </c>
      <c r="B74" s="1015" t="s">
        <v>2514</v>
      </c>
      <c r="C74" s="1015" t="s">
        <v>2523</v>
      </c>
      <c r="D74" s="1015" t="s">
        <v>2690</v>
      </c>
      <c r="E74" s="1015" t="s">
        <v>2562</v>
      </c>
      <c r="F74" s="1015" t="s">
        <v>2514</v>
      </c>
      <c r="G74" s="1015" t="s">
        <v>2514</v>
      </c>
      <c r="H74" s="1015" t="s">
        <v>2563</v>
      </c>
      <c r="I74" s="1015" t="s">
        <v>2720</v>
      </c>
      <c r="J74" s="1015" t="s">
        <v>2514</v>
      </c>
      <c r="K74" s="1015" t="s">
        <v>2555</v>
      </c>
      <c r="L74" s="1015" t="s">
        <v>2514</v>
      </c>
      <c r="M74" s="1015" t="s">
        <v>2564</v>
      </c>
      <c r="N74" s="1015" t="s">
        <v>2514</v>
      </c>
      <c r="O74" s="1015" t="s">
        <v>2514</v>
      </c>
      <c r="P74" s="1015" t="s">
        <v>2514</v>
      </c>
      <c r="Q74" s="1015" t="s">
        <v>2514</v>
      </c>
      <c r="R74" s="1015" t="s">
        <v>2543</v>
      </c>
      <c r="S74" s="1015" t="s">
        <v>2594</v>
      </c>
      <c r="T74" s="1015" t="s">
        <v>2799</v>
      </c>
      <c r="U74" s="1015" t="s">
        <v>2799</v>
      </c>
      <c r="V74" s="1015" t="s">
        <v>2799</v>
      </c>
      <c r="W74" s="1015" t="s">
        <v>2588</v>
      </c>
      <c r="X74" s="1015" t="s">
        <v>2839</v>
      </c>
      <c r="Y74" s="1015" t="s">
        <v>2839</v>
      </c>
      <c r="Z74" s="1015" t="s">
        <v>2839</v>
      </c>
      <c r="AA74" s="1015" t="s">
        <v>2839</v>
      </c>
      <c r="AB74" s="1015" t="s">
        <v>2839</v>
      </c>
      <c r="AC74" s="1015" t="s">
        <v>2839</v>
      </c>
      <c r="AD74" s="1015" t="s">
        <v>2801</v>
      </c>
      <c r="AE74" s="1015" t="s">
        <v>2840</v>
      </c>
      <c r="AF74" s="1015" t="s">
        <v>2841</v>
      </c>
      <c r="AG74" s="1015" t="s">
        <v>2842</v>
      </c>
      <c r="AH74" s="1015" t="s">
        <v>2863</v>
      </c>
    </row>
    <row r="75" spans="1:34" x14ac:dyDescent="0.3">
      <c r="A75" s="1014" t="s">
        <v>344</v>
      </c>
      <c r="B75" s="1015" t="s">
        <v>2543</v>
      </c>
      <c r="C75" s="1015" t="s">
        <v>2543</v>
      </c>
      <c r="D75" s="1015" t="s">
        <v>2543</v>
      </c>
      <c r="E75" s="1015" t="s">
        <v>2543</v>
      </c>
      <c r="F75" s="1015" t="s">
        <v>2512</v>
      </c>
      <c r="G75" s="1015" t="s">
        <v>2543</v>
      </c>
      <c r="H75" s="1015" t="s">
        <v>2543</v>
      </c>
      <c r="I75" s="1015" t="s">
        <v>2543</v>
      </c>
      <c r="J75" s="1015" t="s">
        <v>2543</v>
      </c>
      <c r="K75" s="1015" t="s">
        <v>2543</v>
      </c>
      <c r="L75" s="1015" t="s">
        <v>2545</v>
      </c>
      <c r="M75" s="1015" t="s">
        <v>2545</v>
      </c>
      <c r="N75" s="1015" t="s">
        <v>2545</v>
      </c>
      <c r="O75" s="1015" t="s">
        <v>2545</v>
      </c>
      <c r="P75" s="1015" t="s">
        <v>2545</v>
      </c>
      <c r="Q75" s="1015" t="s">
        <v>2545</v>
      </c>
      <c r="R75" s="1015" t="s">
        <v>2517</v>
      </c>
      <c r="S75" s="1015" t="s">
        <v>2548</v>
      </c>
      <c r="T75" s="1015" t="s">
        <v>2525</v>
      </c>
      <c r="U75" s="1015" t="s">
        <v>2525</v>
      </c>
      <c r="V75" s="1015" t="s">
        <v>2520</v>
      </c>
      <c r="W75" s="1015" t="s">
        <v>2520</v>
      </c>
      <c r="X75" s="1015" t="s">
        <v>2520</v>
      </c>
      <c r="Y75" s="1015" t="s">
        <v>2520</v>
      </c>
      <c r="Z75" s="1015" t="s">
        <v>2520</v>
      </c>
      <c r="AA75" s="1015" t="s">
        <v>2520</v>
      </c>
      <c r="AB75" s="1015" t="s">
        <v>2520</v>
      </c>
      <c r="AC75" s="1015" t="s">
        <v>2520</v>
      </c>
      <c r="AD75" s="1015" t="s">
        <v>2590</v>
      </c>
      <c r="AE75" s="1015" t="s">
        <v>2587</v>
      </c>
      <c r="AF75" s="1015" t="s">
        <v>2624</v>
      </c>
      <c r="AG75" s="1015" t="s">
        <v>2539</v>
      </c>
      <c r="AH75" s="1015" t="s">
        <v>2590</v>
      </c>
    </row>
    <row r="76" spans="1:34" x14ac:dyDescent="0.3">
      <c r="A76" s="1014" t="s">
        <v>345</v>
      </c>
      <c r="B76" s="1015" t="s">
        <v>2512</v>
      </c>
      <c r="C76" s="1015" t="s">
        <v>2543</v>
      </c>
      <c r="D76" s="1015" t="s">
        <v>2599</v>
      </c>
      <c r="E76" s="1015" t="s">
        <v>2543</v>
      </c>
      <c r="F76" s="1015" t="s">
        <v>2543</v>
      </c>
      <c r="G76" s="1015" t="s">
        <v>2512</v>
      </c>
      <c r="H76" s="1015" t="s">
        <v>2543</v>
      </c>
      <c r="I76" s="1015" t="s">
        <v>2543</v>
      </c>
      <c r="J76" s="1015" t="s">
        <v>2599</v>
      </c>
      <c r="K76" s="1015" t="s">
        <v>2599</v>
      </c>
      <c r="L76" s="1015" t="s">
        <v>2545</v>
      </c>
      <c r="M76" s="1015" t="s">
        <v>2545</v>
      </c>
      <c r="N76" s="1015" t="s">
        <v>2545</v>
      </c>
      <c r="O76" s="1015" t="s">
        <v>2545</v>
      </c>
      <c r="P76" s="1015" t="s">
        <v>2545</v>
      </c>
      <c r="Q76" s="1015" t="s">
        <v>2545</v>
      </c>
      <c r="R76" s="1015" t="s">
        <v>2545</v>
      </c>
      <c r="S76" s="1015" t="s">
        <v>2548</v>
      </c>
      <c r="T76" s="1015" t="s">
        <v>2571</v>
      </c>
      <c r="U76" s="1015" t="s">
        <v>2520</v>
      </c>
      <c r="V76" s="1015" t="s">
        <v>2520</v>
      </c>
      <c r="W76" s="1015" t="s">
        <v>2525</v>
      </c>
      <c r="X76" s="1015" t="s">
        <v>2525</v>
      </c>
      <c r="Y76" s="1015" t="s">
        <v>2525</v>
      </c>
      <c r="Z76" s="1015" t="s">
        <v>2548</v>
      </c>
      <c r="AA76" s="1015" t="s">
        <v>2520</v>
      </c>
      <c r="AB76" s="1015" t="s">
        <v>2520</v>
      </c>
      <c r="AC76" s="1015" t="s">
        <v>2520</v>
      </c>
      <c r="AD76" s="1015" t="s">
        <v>2559</v>
      </c>
      <c r="AE76" s="1015" t="s">
        <v>2530</v>
      </c>
      <c r="AF76" s="1015" t="s">
        <v>2567</v>
      </c>
      <c r="AG76" s="1015" t="s">
        <v>2567</v>
      </c>
      <c r="AH76" s="1015" t="s">
        <v>2590</v>
      </c>
    </row>
    <row r="77" spans="1:34" s="1006" customFormat="1" x14ac:dyDescent="0.3">
      <c r="A77" s="1013" t="s">
        <v>346</v>
      </c>
      <c r="B77" s="1012" t="s">
        <v>2583</v>
      </c>
      <c r="C77" s="1012" t="s">
        <v>2583</v>
      </c>
      <c r="D77" s="1012" t="s">
        <v>2583</v>
      </c>
      <c r="E77" s="1012" t="s">
        <v>2583</v>
      </c>
      <c r="F77" s="1012" t="s">
        <v>2513</v>
      </c>
      <c r="G77" s="1012" t="s">
        <v>2583</v>
      </c>
      <c r="H77" s="1012" t="s">
        <v>2843</v>
      </c>
      <c r="I77" s="1012" t="s">
        <v>2843</v>
      </c>
      <c r="J77" s="1012" t="s">
        <v>2583</v>
      </c>
      <c r="K77" s="1012" t="s">
        <v>2583</v>
      </c>
      <c r="L77" s="1012" t="s">
        <v>2631</v>
      </c>
      <c r="M77" s="1012" t="s">
        <v>2514</v>
      </c>
      <c r="N77" s="1012" t="s">
        <v>2777</v>
      </c>
      <c r="O77" s="1012" t="s">
        <v>2677</v>
      </c>
      <c r="P77" s="1012" t="s">
        <v>2777</v>
      </c>
      <c r="Q77" s="1012" t="s">
        <v>2777</v>
      </c>
      <c r="R77" s="1012" t="s">
        <v>2777</v>
      </c>
      <c r="S77" s="1012" t="s">
        <v>2581</v>
      </c>
      <c r="T77" s="1012" t="s">
        <v>2602</v>
      </c>
      <c r="U77" s="1012" t="s">
        <v>2602</v>
      </c>
      <c r="V77" s="1012" t="s">
        <v>2520</v>
      </c>
      <c r="W77" s="1012" t="s">
        <v>2520</v>
      </c>
      <c r="X77" s="1012" t="s">
        <v>2520</v>
      </c>
      <c r="Y77" s="1012" t="s">
        <v>2520</v>
      </c>
      <c r="Z77" s="1012" t="s">
        <v>2520</v>
      </c>
      <c r="AA77" s="1012" t="s">
        <v>2520</v>
      </c>
      <c r="AB77" s="1012" t="s">
        <v>2520</v>
      </c>
      <c r="AC77" s="1012" t="s">
        <v>2520</v>
      </c>
      <c r="AD77" s="1012" t="s">
        <v>2844</v>
      </c>
      <c r="AE77" s="1012" t="s">
        <v>2587</v>
      </c>
      <c r="AF77" s="1012" t="s">
        <v>2587</v>
      </c>
      <c r="AG77" s="1012" t="s">
        <v>2530</v>
      </c>
      <c r="AH77" s="1012" t="s">
        <v>2530</v>
      </c>
    </row>
    <row r="78" spans="1:34" s="1006" customFormat="1" x14ac:dyDescent="0.3">
      <c r="A78" s="1013" t="s">
        <v>347</v>
      </c>
      <c r="B78" s="1012" t="s">
        <v>2514</v>
      </c>
      <c r="C78" s="1012" t="s">
        <v>2545</v>
      </c>
      <c r="D78" s="1012" t="s">
        <v>2845</v>
      </c>
      <c r="E78" s="1012" t="s">
        <v>2599</v>
      </c>
      <c r="F78" s="1012" t="s">
        <v>2563</v>
      </c>
      <c r="G78" s="1012" t="s">
        <v>2514</v>
      </c>
      <c r="H78" s="1012" t="s">
        <v>2563</v>
      </c>
      <c r="I78" s="1012" t="s">
        <v>2514</v>
      </c>
      <c r="J78" s="1012" t="s">
        <v>2563</v>
      </c>
      <c r="K78" s="1012" t="s">
        <v>2719</v>
      </c>
      <c r="L78" s="1012" t="s">
        <v>2602</v>
      </c>
      <c r="M78" s="1012" t="s">
        <v>2846</v>
      </c>
      <c r="N78" s="1012" t="s">
        <v>2625</v>
      </c>
      <c r="O78" s="1012" t="s">
        <v>2847</v>
      </c>
      <c r="P78" s="1012" t="s">
        <v>2602</v>
      </c>
      <c r="Q78" s="1012" t="s">
        <v>2564</v>
      </c>
      <c r="R78" s="1012" t="s">
        <v>2514</v>
      </c>
      <c r="S78" s="1012" t="s">
        <v>2564</v>
      </c>
      <c r="T78" s="1012" t="s">
        <v>2528</v>
      </c>
      <c r="U78" s="1012" t="s">
        <v>2520</v>
      </c>
      <c r="V78" s="1012" t="s">
        <v>2520</v>
      </c>
      <c r="W78" s="1012" t="s">
        <v>2520</v>
      </c>
      <c r="X78" s="1012" t="s">
        <v>2520</v>
      </c>
      <c r="Y78" s="1012" t="s">
        <v>2520</v>
      </c>
      <c r="Z78" s="1012" t="s">
        <v>2520</v>
      </c>
      <c r="AA78" s="1012" t="s">
        <v>2520</v>
      </c>
      <c r="AB78" s="1012" t="s">
        <v>2520</v>
      </c>
      <c r="AC78" s="1012" t="s">
        <v>2520</v>
      </c>
      <c r="AD78" s="1012" t="s">
        <v>2848</v>
      </c>
      <c r="AE78" s="1012" t="s">
        <v>2539</v>
      </c>
      <c r="AF78" s="1012" t="s">
        <v>2530</v>
      </c>
      <c r="AG78" s="1012" t="s">
        <v>2269</v>
      </c>
      <c r="AH78" s="1012" t="s">
        <v>3265</v>
      </c>
    </row>
    <row r="79" spans="1:34" x14ac:dyDescent="0.3">
      <c r="A79" s="1014" t="s">
        <v>348</v>
      </c>
      <c r="B79" s="1015" t="s">
        <v>2513</v>
      </c>
      <c r="C79" s="1015" t="s">
        <v>2543</v>
      </c>
      <c r="D79" s="1015" t="s">
        <v>2599</v>
      </c>
      <c r="E79" s="1015" t="s">
        <v>2599</v>
      </c>
      <c r="F79" s="1015" t="s">
        <v>2513</v>
      </c>
      <c r="G79" s="1015" t="s">
        <v>2513</v>
      </c>
      <c r="H79" s="1015" t="s">
        <v>2849</v>
      </c>
      <c r="I79" s="1015" t="s">
        <v>2513</v>
      </c>
      <c r="J79" s="1015" t="s">
        <v>2513</v>
      </c>
      <c r="K79" s="1015" t="s">
        <v>2849</v>
      </c>
      <c r="L79" s="1015" t="s">
        <v>2514</v>
      </c>
      <c r="M79" s="1015" t="s">
        <v>2514</v>
      </c>
      <c r="N79" s="1015" t="s">
        <v>2514</v>
      </c>
      <c r="O79" s="1015" t="s">
        <v>2564</v>
      </c>
      <c r="P79" s="1015" t="s">
        <v>2514</v>
      </c>
      <c r="Q79" s="1015" t="s">
        <v>2564</v>
      </c>
      <c r="R79" s="1015" t="s">
        <v>2514</v>
      </c>
      <c r="S79" s="1015" t="s">
        <v>2564</v>
      </c>
      <c r="T79" s="1015" t="s">
        <v>2528</v>
      </c>
      <c r="U79" s="1015" t="s">
        <v>2528</v>
      </c>
      <c r="V79" s="1015" t="s">
        <v>2520</v>
      </c>
      <c r="W79" s="1015" t="s">
        <v>2520</v>
      </c>
      <c r="X79" s="1015" t="s">
        <v>2520</v>
      </c>
      <c r="Y79" s="1015" t="s">
        <v>2520</v>
      </c>
      <c r="Z79" s="1015" t="s">
        <v>2520</v>
      </c>
      <c r="AA79" s="1015" t="s">
        <v>2520</v>
      </c>
      <c r="AB79" s="1015" t="s">
        <v>2520</v>
      </c>
      <c r="AC79" s="1015" t="s">
        <v>2520</v>
      </c>
      <c r="AD79" s="1015" t="s">
        <v>2539</v>
      </c>
      <c r="AE79" s="1015" t="s">
        <v>2850</v>
      </c>
      <c r="AF79" s="1015" t="s">
        <v>2529</v>
      </c>
      <c r="AG79" s="1015" t="s">
        <v>2850</v>
      </c>
      <c r="AH79" s="1015" t="s">
        <v>2529</v>
      </c>
    </row>
    <row r="80" spans="1:34" x14ac:dyDescent="0.3">
      <c r="A80" s="1014" t="s">
        <v>349</v>
      </c>
      <c r="B80" s="1015" t="s">
        <v>2514</v>
      </c>
      <c r="C80" s="1015" t="s">
        <v>2545</v>
      </c>
      <c r="D80" s="1015" t="s">
        <v>2808</v>
      </c>
      <c r="E80" s="1015" t="s">
        <v>2543</v>
      </c>
      <c r="F80" s="1015" t="s">
        <v>2563</v>
      </c>
      <c r="G80" s="1015" t="s">
        <v>2514</v>
      </c>
      <c r="H80" s="1015" t="s">
        <v>2514</v>
      </c>
      <c r="I80" s="1015" t="s">
        <v>2514</v>
      </c>
      <c r="J80" s="1015" t="s">
        <v>2563</v>
      </c>
      <c r="K80" s="1015" t="s">
        <v>2602</v>
      </c>
      <c r="L80" s="1015" t="s">
        <v>2602</v>
      </c>
      <c r="M80" s="1015" t="s">
        <v>2602</v>
      </c>
      <c r="N80" s="1015" t="s">
        <v>2625</v>
      </c>
      <c r="O80" s="1015" t="s">
        <v>2625</v>
      </c>
      <c r="P80" s="1015" t="s">
        <v>2602</v>
      </c>
      <c r="Q80" s="1015" t="s">
        <v>2514</v>
      </c>
      <c r="R80" s="1015" t="s">
        <v>2514</v>
      </c>
      <c r="S80" s="1015" t="s">
        <v>2548</v>
      </c>
      <c r="T80" s="1015" t="s">
        <v>2528</v>
      </c>
      <c r="U80" s="1015" t="s">
        <v>2520</v>
      </c>
      <c r="V80" s="1015" t="s">
        <v>2520</v>
      </c>
      <c r="W80" s="1015" t="s">
        <v>2520</v>
      </c>
      <c r="X80" s="1015" t="s">
        <v>2520</v>
      </c>
      <c r="Y80" s="1015" t="s">
        <v>2520</v>
      </c>
      <c r="Z80" s="1015" t="s">
        <v>2520</v>
      </c>
      <c r="AA80" s="1015" t="s">
        <v>2520</v>
      </c>
      <c r="AB80" s="1015" t="s">
        <v>2520</v>
      </c>
      <c r="AC80" s="1015" t="s">
        <v>2520</v>
      </c>
      <c r="AD80" s="1015" t="s">
        <v>2848</v>
      </c>
      <c r="AE80" s="1015" t="s">
        <v>2587</v>
      </c>
      <c r="AF80" s="1015" t="s">
        <v>2530</v>
      </c>
      <c r="AG80" s="1015" t="s">
        <v>2851</v>
      </c>
      <c r="AH80" s="1015" t="s">
        <v>3265</v>
      </c>
    </row>
    <row r="81" spans="1:34" x14ac:dyDescent="0.3">
      <c r="A81" s="1014" t="s">
        <v>350</v>
      </c>
      <c r="B81" s="1015" t="s">
        <v>2543</v>
      </c>
      <c r="C81" s="1015" t="s">
        <v>2543</v>
      </c>
      <c r="D81" s="1015" t="s">
        <v>2543</v>
      </c>
      <c r="E81" s="1015" t="s">
        <v>2543</v>
      </c>
      <c r="F81" s="1015" t="s">
        <v>2543</v>
      </c>
      <c r="G81" s="1015" t="s">
        <v>2543</v>
      </c>
      <c r="H81" s="1015" t="s">
        <v>2543</v>
      </c>
      <c r="I81" s="1015" t="s">
        <v>2543</v>
      </c>
      <c r="J81" s="1015" t="s">
        <v>2543</v>
      </c>
      <c r="K81" s="1015" t="s">
        <v>2543</v>
      </c>
      <c r="L81" s="1015" t="s">
        <v>2545</v>
      </c>
      <c r="M81" s="1015" t="s">
        <v>2545</v>
      </c>
      <c r="N81" s="1015" t="s">
        <v>2545</v>
      </c>
      <c r="O81" s="1015" t="s">
        <v>2545</v>
      </c>
      <c r="P81" s="1015" t="s">
        <v>2545</v>
      </c>
      <c r="Q81" s="1015" t="s">
        <v>2545</v>
      </c>
      <c r="R81" s="1015" t="s">
        <v>2545</v>
      </c>
      <c r="S81" s="1015" t="s">
        <v>2592</v>
      </c>
      <c r="T81" s="1015" t="s">
        <v>2525</v>
      </c>
      <c r="U81" s="1015" t="s">
        <v>2525</v>
      </c>
      <c r="V81" s="1015" t="s">
        <v>2525</v>
      </c>
      <c r="W81" s="1015" t="s">
        <v>2520</v>
      </c>
      <c r="X81" s="1015" t="s">
        <v>2520</v>
      </c>
      <c r="Y81" s="1015" t="s">
        <v>2520</v>
      </c>
      <c r="Z81" s="1015" t="s">
        <v>2520</v>
      </c>
      <c r="AA81" s="1015" t="s">
        <v>2520</v>
      </c>
      <c r="AB81" s="1015" t="s">
        <v>2520</v>
      </c>
      <c r="AC81" s="1015" t="s">
        <v>2520</v>
      </c>
      <c r="AD81" s="1015" t="s">
        <v>2587</v>
      </c>
      <c r="AE81" s="1015" t="s">
        <v>2587</v>
      </c>
      <c r="AF81" s="1015" t="s">
        <v>2549</v>
      </c>
      <c r="AG81" s="1015" t="s">
        <v>2587</v>
      </c>
      <c r="AH81" s="1015" t="s">
        <v>2587</v>
      </c>
    </row>
    <row r="82" spans="1:34" x14ac:dyDescent="0.3">
      <c r="A82" s="1014" t="s">
        <v>351</v>
      </c>
      <c r="B82" s="1015" t="s">
        <v>2852</v>
      </c>
      <c r="C82" s="1015" t="s">
        <v>2852</v>
      </c>
      <c r="D82" s="1015" t="s">
        <v>2852</v>
      </c>
      <c r="E82" s="1015" t="s">
        <v>2852</v>
      </c>
      <c r="F82" s="1015" t="s">
        <v>2852</v>
      </c>
      <c r="G82" s="1015" t="s">
        <v>2852</v>
      </c>
      <c r="H82" s="1015" t="s">
        <v>2852</v>
      </c>
      <c r="I82" s="1015" t="s">
        <v>2852</v>
      </c>
      <c r="J82" s="1015" t="s">
        <v>2852</v>
      </c>
      <c r="K82" s="1015" t="s">
        <v>2852</v>
      </c>
      <c r="L82" s="1015" t="s">
        <v>2778</v>
      </c>
      <c r="M82" s="1015" t="s">
        <v>2853</v>
      </c>
      <c r="N82" s="1015" t="s">
        <v>2854</v>
      </c>
      <c r="O82" s="1015" t="s">
        <v>2853</v>
      </c>
      <c r="P82" s="1015" t="s">
        <v>2853</v>
      </c>
      <c r="Q82" s="1015" t="s">
        <v>2853</v>
      </c>
      <c r="R82" s="1015" t="s">
        <v>2853</v>
      </c>
      <c r="S82" s="1015" t="s">
        <v>2855</v>
      </c>
      <c r="T82" s="1015" t="s">
        <v>2856</v>
      </c>
      <c r="U82" s="1015" t="s">
        <v>2856</v>
      </c>
      <c r="V82" s="1015" t="s">
        <v>2856</v>
      </c>
      <c r="W82" s="1015" t="s">
        <v>2856</v>
      </c>
      <c r="X82" s="1015" t="s">
        <v>2856</v>
      </c>
      <c r="Y82" s="1015" t="s">
        <v>2856</v>
      </c>
      <c r="Z82" s="1015" t="s">
        <v>2856</v>
      </c>
      <c r="AA82" s="1015" t="s">
        <v>2856</v>
      </c>
      <c r="AB82" s="1015" t="s">
        <v>2856</v>
      </c>
      <c r="AC82" s="1015" t="s">
        <v>2856</v>
      </c>
      <c r="AD82" s="1015" t="s">
        <v>2614</v>
      </c>
      <c r="AE82" s="1015" t="s">
        <v>2614</v>
      </c>
      <c r="AF82" s="1015" t="s">
        <v>2857</v>
      </c>
      <c r="AG82" s="1015" t="s">
        <v>2857</v>
      </c>
      <c r="AH82" s="1015" t="s">
        <v>2857</v>
      </c>
    </row>
    <row r="83" spans="1:34" x14ac:dyDescent="0.3">
      <c r="A83" s="1014" t="s">
        <v>352</v>
      </c>
      <c r="B83" s="1015" t="s">
        <v>2543</v>
      </c>
      <c r="C83" s="1015" t="s">
        <v>2543</v>
      </c>
      <c r="D83" s="1015" t="s">
        <v>2543</v>
      </c>
      <c r="E83" s="1015" t="s">
        <v>2543</v>
      </c>
      <c r="F83" s="1015" t="s">
        <v>2543</v>
      </c>
      <c r="G83" s="1015" t="s">
        <v>2543</v>
      </c>
      <c r="H83" s="1015" t="s">
        <v>2543</v>
      </c>
      <c r="I83" s="1015" t="s">
        <v>2543</v>
      </c>
      <c r="J83" s="1015" t="s">
        <v>2543</v>
      </c>
      <c r="K83" s="1015" t="s">
        <v>2543</v>
      </c>
      <c r="L83" s="1015" t="s">
        <v>2545</v>
      </c>
      <c r="M83" s="1015" t="s">
        <v>2545</v>
      </c>
      <c r="N83" s="1015" t="s">
        <v>2545</v>
      </c>
      <c r="O83" s="1015" t="s">
        <v>2545</v>
      </c>
      <c r="P83" s="1015" t="s">
        <v>2545</v>
      </c>
      <c r="Q83" s="1015" t="s">
        <v>2545</v>
      </c>
      <c r="R83" s="1015" t="s">
        <v>2545</v>
      </c>
      <c r="S83" s="1015" t="s">
        <v>2548</v>
      </c>
      <c r="T83" s="1015" t="s">
        <v>2525</v>
      </c>
      <c r="U83" s="1015" t="s">
        <v>2525</v>
      </c>
      <c r="V83" s="1015" t="s">
        <v>2520</v>
      </c>
      <c r="W83" s="1015" t="s">
        <v>2520</v>
      </c>
      <c r="X83" s="1015" t="s">
        <v>2520</v>
      </c>
      <c r="Y83" s="1015" t="s">
        <v>2520</v>
      </c>
      <c r="Z83" s="1015" t="s">
        <v>2520</v>
      </c>
      <c r="AA83" s="1015" t="s">
        <v>2520</v>
      </c>
      <c r="AB83" s="1015" t="s">
        <v>2520</v>
      </c>
      <c r="AC83" s="1015" t="s">
        <v>2520</v>
      </c>
      <c r="AD83" s="1015" t="s">
        <v>2587</v>
      </c>
      <c r="AE83" s="1015" t="s">
        <v>2587</v>
      </c>
      <c r="AF83" s="1015" t="s">
        <v>2530</v>
      </c>
      <c r="AG83" s="1015" t="s">
        <v>2587</v>
      </c>
      <c r="AH83" s="1015" t="s">
        <v>2587</v>
      </c>
    </row>
    <row r="84" spans="1:34" ht="14.25" customHeight="1" x14ac:dyDescent="0.3">
      <c r="A84" s="1014" t="s">
        <v>353</v>
      </c>
      <c r="B84" s="1015" t="s">
        <v>425</v>
      </c>
      <c r="C84" s="1015" t="s">
        <v>485</v>
      </c>
      <c r="D84" s="1015" t="s">
        <v>485</v>
      </c>
      <c r="E84" s="1015" t="s">
        <v>427</v>
      </c>
      <c r="F84" s="1015" t="s">
        <v>425</v>
      </c>
      <c r="G84" s="1015" t="s">
        <v>424</v>
      </c>
      <c r="H84" s="1015" t="s">
        <v>2753</v>
      </c>
      <c r="I84" s="1015" t="s">
        <v>2858</v>
      </c>
      <c r="J84" s="1015" t="s">
        <v>491</v>
      </c>
      <c r="K84" s="1015" t="s">
        <v>2859</v>
      </c>
      <c r="L84" s="1015" t="s">
        <v>2702</v>
      </c>
      <c r="M84" s="1015" t="s">
        <v>2860</v>
      </c>
      <c r="N84" s="1015" t="s">
        <v>2704</v>
      </c>
      <c r="O84" s="1015" t="s">
        <v>2704</v>
      </c>
      <c r="P84" s="1015" t="s">
        <v>2704</v>
      </c>
      <c r="Q84" s="1015" t="s">
        <v>2861</v>
      </c>
      <c r="R84" s="1015" t="s">
        <v>2862</v>
      </c>
      <c r="S84" s="1015" t="s">
        <v>2705</v>
      </c>
      <c r="T84" s="1015" t="s">
        <v>2587</v>
      </c>
      <c r="U84" s="1015" t="s">
        <v>2530</v>
      </c>
      <c r="V84" s="1015" t="s">
        <v>2863</v>
      </c>
      <c r="W84" s="1015" t="s">
        <v>2530</v>
      </c>
      <c r="X84" s="1015" t="s">
        <v>2529</v>
      </c>
      <c r="Y84" s="1015" t="s">
        <v>2628</v>
      </c>
      <c r="Z84" s="1015" t="s">
        <v>2530</v>
      </c>
      <c r="AA84" s="1015" t="s">
        <v>2587</v>
      </c>
      <c r="AB84" s="1015" t="s">
        <v>2587</v>
      </c>
      <c r="AC84" s="1015" t="s">
        <v>2587</v>
      </c>
      <c r="AD84" s="1015" t="s">
        <v>2864</v>
      </c>
      <c r="AE84" s="1015" t="s">
        <v>2529</v>
      </c>
      <c r="AF84" s="1015" t="s">
        <v>2587</v>
      </c>
      <c r="AG84" s="1015" t="s">
        <v>2529</v>
      </c>
      <c r="AH84" s="1015" t="s">
        <v>2587</v>
      </c>
    </row>
    <row r="85" spans="1:34" s="1006" customFormat="1" x14ac:dyDescent="0.3">
      <c r="A85" s="1013" t="s">
        <v>354</v>
      </c>
      <c r="B85" s="1012" t="s">
        <v>2526</v>
      </c>
      <c r="C85" s="1012" t="s">
        <v>2512</v>
      </c>
      <c r="D85" s="1012" t="s">
        <v>2512</v>
      </c>
      <c r="E85" s="1012" t="s">
        <v>2583</v>
      </c>
      <c r="F85" s="1012" t="s">
        <v>2583</v>
      </c>
      <c r="G85" s="1012" t="s">
        <v>2543</v>
      </c>
      <c r="H85" s="1012" t="s">
        <v>2543</v>
      </c>
      <c r="I85" s="1012" t="s">
        <v>2865</v>
      </c>
      <c r="J85" s="1012" t="s">
        <v>2599</v>
      </c>
      <c r="K85" s="1012" t="s">
        <v>2854</v>
      </c>
      <c r="L85" s="1012" t="s">
        <v>2600</v>
      </c>
      <c r="M85" s="1012" t="s">
        <v>2551</v>
      </c>
      <c r="N85" s="1012" t="s">
        <v>2778</v>
      </c>
      <c r="O85" s="1012" t="s">
        <v>2545</v>
      </c>
      <c r="P85" s="1012" t="s">
        <v>2545</v>
      </c>
      <c r="Q85" s="1012" t="s">
        <v>2551</v>
      </c>
      <c r="R85" s="1012" t="s">
        <v>2620</v>
      </c>
      <c r="S85" s="1012" t="s">
        <v>2584</v>
      </c>
      <c r="T85" s="1012" t="s">
        <v>2594</v>
      </c>
      <c r="U85" s="1012" t="s">
        <v>2520</v>
      </c>
      <c r="V85" s="1012" t="s">
        <v>2520</v>
      </c>
      <c r="W85" s="1012" t="s">
        <v>2724</v>
      </c>
      <c r="X85" s="1012" t="s">
        <v>2520</v>
      </c>
      <c r="Y85" s="1012" t="s">
        <v>2520</v>
      </c>
      <c r="Z85" s="1012" t="s">
        <v>2520</v>
      </c>
      <c r="AA85" s="1012" t="s">
        <v>2520</v>
      </c>
      <c r="AB85" s="1012" t="s">
        <v>2520</v>
      </c>
      <c r="AC85" s="1012" t="s">
        <v>2520</v>
      </c>
      <c r="AD85" s="1012" t="s">
        <v>2866</v>
      </c>
      <c r="AE85" s="1012" t="s">
        <v>2866</v>
      </c>
      <c r="AF85" s="1012" t="s">
        <v>2567</v>
      </c>
      <c r="AG85" s="1012" t="s">
        <v>2567</v>
      </c>
      <c r="AH85" s="1012" t="s">
        <v>2567</v>
      </c>
    </row>
    <row r="86" spans="1:34" x14ac:dyDescent="0.3">
      <c r="A86" s="1014" t="s">
        <v>355</v>
      </c>
      <c r="B86" s="1015" t="s">
        <v>2526</v>
      </c>
      <c r="C86" s="1015" t="s">
        <v>2543</v>
      </c>
      <c r="D86" s="1015" t="s">
        <v>2854</v>
      </c>
      <c r="E86" s="1015" t="s">
        <v>2543</v>
      </c>
      <c r="F86" s="1015" t="s">
        <v>2543</v>
      </c>
      <c r="G86" s="1015" t="s">
        <v>2543</v>
      </c>
      <c r="H86" s="1015" t="s">
        <v>2543</v>
      </c>
      <c r="I86" s="1015" t="s">
        <v>2865</v>
      </c>
      <c r="J86" s="1015" t="s">
        <v>2599</v>
      </c>
      <c r="K86" s="1015" t="s">
        <v>2854</v>
      </c>
      <c r="L86" s="1015" t="s">
        <v>2600</v>
      </c>
      <c r="M86" s="1015" t="s">
        <v>2551</v>
      </c>
      <c r="N86" s="1015" t="s">
        <v>2545</v>
      </c>
      <c r="O86" s="1015" t="s">
        <v>2545</v>
      </c>
      <c r="P86" s="1015" t="s">
        <v>2545</v>
      </c>
      <c r="Q86" s="1015" t="s">
        <v>2551</v>
      </c>
      <c r="R86" s="1015" t="s">
        <v>2711</v>
      </c>
      <c r="S86" s="1015" t="s">
        <v>2548</v>
      </c>
      <c r="T86" s="1015" t="s">
        <v>2525</v>
      </c>
      <c r="U86" s="1015" t="s">
        <v>2520</v>
      </c>
      <c r="V86" s="1015" t="s">
        <v>2520</v>
      </c>
      <c r="W86" s="1015" t="s">
        <v>2520</v>
      </c>
      <c r="X86" s="1015" t="s">
        <v>2520</v>
      </c>
      <c r="Y86" s="1015" t="s">
        <v>2520</v>
      </c>
      <c r="Z86" s="1015" t="s">
        <v>2520</v>
      </c>
      <c r="AA86" s="1015" t="s">
        <v>2520</v>
      </c>
      <c r="AB86" s="1015" t="s">
        <v>2520</v>
      </c>
      <c r="AC86" s="1015" t="s">
        <v>2520</v>
      </c>
      <c r="AD86" s="1015" t="s">
        <v>2579</v>
      </c>
      <c r="AE86" s="1015" t="s">
        <v>2579</v>
      </c>
      <c r="AF86" s="1015" t="s">
        <v>2587</v>
      </c>
      <c r="AG86" s="1015" t="s">
        <v>2867</v>
      </c>
      <c r="AH86" s="1015" t="s">
        <v>2530</v>
      </c>
    </row>
    <row r="87" spans="1:34" x14ac:dyDescent="0.3">
      <c r="A87" s="1014" t="s">
        <v>356</v>
      </c>
      <c r="B87" s="1015" t="s">
        <v>2832</v>
      </c>
      <c r="C87" s="1015" t="s">
        <v>2832</v>
      </c>
      <c r="D87" s="1015" t="s">
        <v>2832</v>
      </c>
      <c r="E87" s="1015" t="s">
        <v>2832</v>
      </c>
      <c r="F87" s="1015" t="s">
        <v>2784</v>
      </c>
      <c r="G87" s="1015" t="s">
        <v>2543</v>
      </c>
      <c r="H87" s="1015" t="s">
        <v>2784</v>
      </c>
      <c r="I87" s="1015" t="s">
        <v>2832</v>
      </c>
      <c r="J87" s="1015" t="s">
        <v>2832</v>
      </c>
      <c r="K87" s="1015" t="s">
        <v>2543</v>
      </c>
      <c r="L87" s="1015" t="s">
        <v>2799</v>
      </c>
      <c r="M87" s="1015" t="s">
        <v>2834</v>
      </c>
      <c r="N87" s="1015" t="s">
        <v>115</v>
      </c>
      <c r="O87" s="1015" t="s">
        <v>2834</v>
      </c>
      <c r="P87" s="1015" t="s">
        <v>2868</v>
      </c>
      <c r="Q87" s="1015" t="s">
        <v>2834</v>
      </c>
      <c r="R87" s="1015" t="s">
        <v>2550</v>
      </c>
      <c r="S87" s="1015" t="s">
        <v>2835</v>
      </c>
      <c r="T87" s="1015" t="s">
        <v>2836</v>
      </c>
      <c r="U87" s="1015" t="s">
        <v>2836</v>
      </c>
      <c r="V87" s="1015" t="s">
        <v>2836</v>
      </c>
      <c r="W87" s="1015" t="s">
        <v>2836</v>
      </c>
      <c r="X87" s="1015" t="s">
        <v>2836</v>
      </c>
      <c r="Y87" s="1015" t="s">
        <v>2836</v>
      </c>
      <c r="Z87" s="1015" t="s">
        <v>2836</v>
      </c>
      <c r="AA87" s="1015" t="s">
        <v>2836</v>
      </c>
      <c r="AB87" s="1015" t="s">
        <v>2520</v>
      </c>
      <c r="AC87" s="1015" t="s">
        <v>2836</v>
      </c>
      <c r="AD87" s="1015" t="s">
        <v>2614</v>
      </c>
      <c r="AE87" s="1015" t="s">
        <v>2614</v>
      </c>
      <c r="AF87" s="1015" t="s">
        <v>2614</v>
      </c>
      <c r="AG87" s="1015">
        <v>7.85</v>
      </c>
      <c r="AH87" s="1015">
        <v>7.85</v>
      </c>
    </row>
    <row r="88" spans="1:34" x14ac:dyDescent="0.3">
      <c r="A88" s="1014" t="s">
        <v>357</v>
      </c>
      <c r="B88" s="1015" t="s">
        <v>2543</v>
      </c>
      <c r="C88" s="1015" t="s">
        <v>2543</v>
      </c>
      <c r="D88" s="1015" t="s">
        <v>2543</v>
      </c>
      <c r="E88" s="1015" t="s">
        <v>2543</v>
      </c>
      <c r="F88" s="1015" t="s">
        <v>2543</v>
      </c>
      <c r="G88" s="1015" t="s">
        <v>2543</v>
      </c>
      <c r="H88" s="1015" t="s">
        <v>2543</v>
      </c>
      <c r="I88" s="1015" t="s">
        <v>2543</v>
      </c>
      <c r="J88" s="1015" t="s">
        <v>2543</v>
      </c>
      <c r="K88" s="1015" t="s">
        <v>2543</v>
      </c>
      <c r="L88" s="1015" t="s">
        <v>2545</v>
      </c>
      <c r="M88" s="1015" t="s">
        <v>2545</v>
      </c>
      <c r="N88" s="1015" t="s">
        <v>2545</v>
      </c>
      <c r="O88" s="1015" t="s">
        <v>2545</v>
      </c>
      <c r="P88" s="1015" t="s">
        <v>2545</v>
      </c>
      <c r="Q88" s="1015" t="s">
        <v>2545</v>
      </c>
      <c r="R88" s="1015" t="s">
        <v>2548</v>
      </c>
      <c r="S88" s="1015" t="s">
        <v>2584</v>
      </c>
      <c r="T88" s="1015" t="s">
        <v>2594</v>
      </c>
      <c r="U88" s="1015" t="s">
        <v>2520</v>
      </c>
      <c r="V88" s="1015" t="s">
        <v>2520</v>
      </c>
      <c r="W88" s="1015" t="s">
        <v>2520</v>
      </c>
      <c r="X88" s="1015" t="s">
        <v>2520</v>
      </c>
      <c r="Y88" s="1015" t="s">
        <v>2520</v>
      </c>
      <c r="Z88" s="1015" t="s">
        <v>2520</v>
      </c>
      <c r="AA88" s="1015" t="s">
        <v>2520</v>
      </c>
      <c r="AB88" s="1015" t="s">
        <v>2520</v>
      </c>
      <c r="AC88" s="1015" t="s">
        <v>2520</v>
      </c>
      <c r="AD88" s="1015" t="s">
        <v>2530</v>
      </c>
      <c r="AE88" s="1015" t="s">
        <v>2530</v>
      </c>
      <c r="AF88" s="1015" t="s">
        <v>2530</v>
      </c>
      <c r="AG88" s="1015" t="s">
        <v>2567</v>
      </c>
      <c r="AH88" s="1015" t="s">
        <v>3267</v>
      </c>
    </row>
    <row r="89" spans="1:34" x14ac:dyDescent="0.3">
      <c r="A89" s="1014" t="s">
        <v>358</v>
      </c>
      <c r="B89" s="1015" t="s">
        <v>2543</v>
      </c>
      <c r="C89" s="1015" t="s">
        <v>2543</v>
      </c>
      <c r="D89" s="1015" t="s">
        <v>2543</v>
      </c>
      <c r="E89" s="1015" t="s">
        <v>2543</v>
      </c>
      <c r="F89" s="1015" t="s">
        <v>2543</v>
      </c>
      <c r="G89" s="1015" t="s">
        <v>2543</v>
      </c>
      <c r="H89" s="1015" t="s">
        <v>2543</v>
      </c>
      <c r="I89" s="1015" t="s">
        <v>2543</v>
      </c>
      <c r="J89" s="1015" t="s">
        <v>2543</v>
      </c>
      <c r="K89" s="1015" t="s">
        <v>2543</v>
      </c>
      <c r="L89" s="1015" t="s">
        <v>2545</v>
      </c>
      <c r="M89" s="1015" t="s">
        <v>2545</v>
      </c>
      <c r="N89" s="1015" t="s">
        <v>2545</v>
      </c>
      <c r="O89" s="1015" t="s">
        <v>2545</v>
      </c>
      <c r="P89" s="1015" t="s">
        <v>2545</v>
      </c>
      <c r="Q89" s="1015" t="s">
        <v>2545</v>
      </c>
      <c r="R89" s="1015" t="s">
        <v>2545</v>
      </c>
      <c r="S89" s="1015" t="s">
        <v>2548</v>
      </c>
      <c r="T89" s="1015" t="s">
        <v>2525</v>
      </c>
      <c r="U89" s="1015" t="s">
        <v>2525</v>
      </c>
      <c r="V89" s="1015" t="s">
        <v>2525</v>
      </c>
      <c r="W89" s="1015" t="s">
        <v>2520</v>
      </c>
      <c r="X89" s="1015" t="s">
        <v>2525</v>
      </c>
      <c r="Y89" s="1015" t="s">
        <v>2525</v>
      </c>
      <c r="Z89" s="1015" t="s">
        <v>2525</v>
      </c>
      <c r="AA89" s="1015" t="s">
        <v>2525</v>
      </c>
      <c r="AB89" s="1015" t="s">
        <v>2525</v>
      </c>
      <c r="AC89" s="1015" t="s">
        <v>2525</v>
      </c>
      <c r="AD89" s="1015" t="s">
        <v>2869</v>
      </c>
      <c r="AE89" s="1015" t="s">
        <v>2587</v>
      </c>
      <c r="AF89" s="1015" t="s">
        <v>2587</v>
      </c>
      <c r="AG89" s="1015" t="s">
        <v>2587</v>
      </c>
      <c r="AH89" s="1015" t="s">
        <v>2587</v>
      </c>
    </row>
    <row r="90" spans="1:34" x14ac:dyDescent="0.3">
      <c r="A90" s="1014" t="s">
        <v>359</v>
      </c>
      <c r="B90" s="1015" t="s">
        <v>2543</v>
      </c>
      <c r="C90" s="1015" t="s">
        <v>2543</v>
      </c>
      <c r="D90" s="1015" t="s">
        <v>2543</v>
      </c>
      <c r="E90" s="1015" t="s">
        <v>2543</v>
      </c>
      <c r="F90" s="1015" t="s">
        <v>2543</v>
      </c>
      <c r="G90" s="1015" t="s">
        <v>2543</v>
      </c>
      <c r="H90" s="1015" t="s">
        <v>2543</v>
      </c>
      <c r="I90" s="1015" t="s">
        <v>2543</v>
      </c>
      <c r="J90" s="1015" t="s">
        <v>2543</v>
      </c>
      <c r="K90" s="1015" t="s">
        <v>2543</v>
      </c>
      <c r="L90" s="1015" t="s">
        <v>2617</v>
      </c>
      <c r="M90" s="1015" t="s">
        <v>2545</v>
      </c>
      <c r="N90" s="1015" t="s">
        <v>2778</v>
      </c>
      <c r="O90" s="1015" t="s">
        <v>2545</v>
      </c>
      <c r="P90" s="1015" t="s">
        <v>2545</v>
      </c>
      <c r="Q90" s="1015" t="s">
        <v>2545</v>
      </c>
      <c r="R90" s="1015" t="s">
        <v>2545</v>
      </c>
      <c r="S90" s="1015" t="s">
        <v>2548</v>
      </c>
      <c r="T90" s="1015" t="s">
        <v>2525</v>
      </c>
      <c r="U90" s="1015" t="s">
        <v>2520</v>
      </c>
      <c r="V90" s="1015" t="s">
        <v>2520</v>
      </c>
      <c r="W90" s="1015" t="s">
        <v>2520</v>
      </c>
      <c r="X90" s="1015" t="s">
        <v>2520</v>
      </c>
      <c r="Y90" s="1015" t="s">
        <v>2520</v>
      </c>
      <c r="Z90" s="1015" t="s">
        <v>2520</v>
      </c>
      <c r="AA90" s="1015" t="s">
        <v>2520</v>
      </c>
      <c r="AB90" s="1015" t="s">
        <v>2520</v>
      </c>
      <c r="AC90" s="1015" t="s">
        <v>2520</v>
      </c>
      <c r="AD90" s="1015" t="s">
        <v>2870</v>
      </c>
      <c r="AE90" s="1015" t="s">
        <v>2587</v>
      </c>
      <c r="AF90" s="1015" t="s">
        <v>2871</v>
      </c>
      <c r="AG90" s="1015" t="s">
        <v>2872</v>
      </c>
      <c r="AH90" s="1015" t="s">
        <v>2628</v>
      </c>
    </row>
    <row r="91" spans="1:34" x14ac:dyDescent="0.3">
      <c r="A91" s="1014" t="s">
        <v>360</v>
      </c>
      <c r="B91" s="1015" t="s">
        <v>2873</v>
      </c>
      <c r="C91" s="1015" t="s">
        <v>488</v>
      </c>
      <c r="D91" s="1015" t="s">
        <v>488</v>
      </c>
      <c r="E91" s="1015" t="s">
        <v>2667</v>
      </c>
      <c r="F91" s="1015" t="s">
        <v>2667</v>
      </c>
      <c r="G91" s="1015" t="s">
        <v>424</v>
      </c>
      <c r="H91" s="1015" t="s">
        <v>424</v>
      </c>
      <c r="I91" s="1015" t="s">
        <v>2874</v>
      </c>
      <c r="J91" s="1015" t="s">
        <v>2874</v>
      </c>
      <c r="K91" s="1015" t="s">
        <v>424</v>
      </c>
      <c r="L91" s="1015" t="s">
        <v>2875</v>
      </c>
      <c r="M91" s="1015" t="s">
        <v>2700</v>
      </c>
      <c r="N91" s="1015" t="s">
        <v>2876</v>
      </c>
      <c r="O91" s="1015" t="s">
        <v>2700</v>
      </c>
      <c r="P91" s="1015" t="s">
        <v>2700</v>
      </c>
      <c r="Q91" s="1015" t="s">
        <v>2876</v>
      </c>
      <c r="R91" s="1015" t="s">
        <v>2877</v>
      </c>
      <c r="S91" s="1015" t="s">
        <v>2878</v>
      </c>
      <c r="T91" s="1015" t="s">
        <v>2879</v>
      </c>
      <c r="U91" s="1015" t="s">
        <v>2624</v>
      </c>
      <c r="V91" s="1015" t="s">
        <v>2866</v>
      </c>
      <c r="W91" s="1015" t="s">
        <v>2880</v>
      </c>
      <c r="X91" s="1015" t="s">
        <v>2866</v>
      </c>
      <c r="Y91" s="1015" t="s">
        <v>2866</v>
      </c>
      <c r="Z91" s="1015" t="s">
        <v>2866</v>
      </c>
      <c r="AA91" s="1015" t="s">
        <v>2866</v>
      </c>
      <c r="AB91" s="1015" t="s">
        <v>2866</v>
      </c>
      <c r="AC91" s="1015" t="s">
        <v>2866</v>
      </c>
      <c r="AD91" s="1015" t="s">
        <v>2866</v>
      </c>
      <c r="AE91" s="1015" t="s">
        <v>2866</v>
      </c>
      <c r="AF91" s="1015" t="s">
        <v>2866</v>
      </c>
      <c r="AG91" s="1015" t="s">
        <v>2866</v>
      </c>
      <c r="AH91" s="1015" t="s">
        <v>2866</v>
      </c>
    </row>
    <row r="92" spans="1:34" s="1006" customFormat="1" ht="16.899999999999999" customHeight="1" x14ac:dyDescent="0.3">
      <c r="A92" s="1013" t="s">
        <v>361</v>
      </c>
      <c r="B92" s="1012" t="s">
        <v>2543</v>
      </c>
      <c r="C92" s="1012" t="s">
        <v>2543</v>
      </c>
      <c r="D92" s="1012" t="s">
        <v>2543</v>
      </c>
      <c r="E92" s="1012" t="s">
        <v>2543</v>
      </c>
      <c r="F92" s="1012" t="s">
        <v>2599</v>
      </c>
      <c r="G92" s="1012" t="s">
        <v>2543</v>
      </c>
      <c r="H92" s="1012" t="s">
        <v>2709</v>
      </c>
      <c r="I92" s="1012" t="s">
        <v>2543</v>
      </c>
      <c r="J92" s="1012" t="s">
        <v>2543</v>
      </c>
      <c r="K92" s="1012" t="s">
        <v>2543</v>
      </c>
      <c r="L92" s="1012" t="s">
        <v>2545</v>
      </c>
      <c r="M92" s="1012" t="s">
        <v>2545</v>
      </c>
      <c r="N92" s="1012" t="s">
        <v>2545</v>
      </c>
      <c r="O92" s="1012" t="s">
        <v>2589</v>
      </c>
      <c r="P92" s="1012" t="s">
        <v>2589</v>
      </c>
      <c r="Q92" s="1012" t="s">
        <v>2618</v>
      </c>
      <c r="R92" s="1012" t="s">
        <v>2576</v>
      </c>
      <c r="S92" s="1012" t="s">
        <v>2548</v>
      </c>
      <c r="T92" s="1012" t="s">
        <v>2525</v>
      </c>
      <c r="U92" s="1012" t="s">
        <v>2520</v>
      </c>
      <c r="V92" s="1012" t="s">
        <v>2520</v>
      </c>
      <c r="W92" s="1012" t="s">
        <v>2525</v>
      </c>
      <c r="X92" s="1012" t="s">
        <v>2525</v>
      </c>
      <c r="Y92" s="1012" t="s">
        <v>2525</v>
      </c>
      <c r="Z92" s="1012" t="s">
        <v>2508</v>
      </c>
      <c r="AA92" s="1012" t="s">
        <v>2520</v>
      </c>
      <c r="AB92" s="1012" t="s">
        <v>2520</v>
      </c>
      <c r="AC92" s="1012" t="s">
        <v>2525</v>
      </c>
      <c r="AD92" s="1012" t="s">
        <v>2628</v>
      </c>
      <c r="AE92" s="1012" t="s">
        <v>2587</v>
      </c>
      <c r="AF92" s="1012" t="s">
        <v>2587</v>
      </c>
      <c r="AG92" s="1012" t="s">
        <v>2872</v>
      </c>
      <c r="AH92" s="1012" t="s">
        <v>2587</v>
      </c>
    </row>
    <row r="93" spans="1:34" x14ac:dyDescent="0.3">
      <c r="A93" s="1014" t="s">
        <v>362</v>
      </c>
      <c r="B93" s="1015" t="s">
        <v>2543</v>
      </c>
      <c r="C93" s="1015" t="s">
        <v>2543</v>
      </c>
      <c r="D93" s="1015" t="s">
        <v>2543</v>
      </c>
      <c r="E93" s="1015" t="s">
        <v>2543</v>
      </c>
      <c r="F93" s="1015" t="s">
        <v>2543</v>
      </c>
      <c r="G93" s="1015" t="s">
        <v>2543</v>
      </c>
      <c r="H93" s="1015" t="s">
        <v>2543</v>
      </c>
      <c r="I93" s="1015" t="s">
        <v>2543</v>
      </c>
      <c r="J93" s="1015" t="s">
        <v>2543</v>
      </c>
      <c r="K93" s="1015" t="s">
        <v>2543</v>
      </c>
      <c r="L93" s="1015" t="s">
        <v>2545</v>
      </c>
      <c r="M93" s="1015" t="s">
        <v>2545</v>
      </c>
      <c r="N93" s="1015" t="s">
        <v>2545</v>
      </c>
      <c r="O93" s="1015" t="s">
        <v>2545</v>
      </c>
      <c r="P93" s="1015" t="s">
        <v>2545</v>
      </c>
      <c r="Q93" s="1015" t="s">
        <v>2618</v>
      </c>
      <c r="R93" s="1015" t="s">
        <v>2545</v>
      </c>
      <c r="S93" s="1015" t="s">
        <v>2548</v>
      </c>
      <c r="T93" s="1015" t="s">
        <v>2525</v>
      </c>
      <c r="U93" s="1015" t="s">
        <v>2525</v>
      </c>
      <c r="V93" s="1015" t="s">
        <v>2525</v>
      </c>
      <c r="W93" s="1015" t="s">
        <v>2525</v>
      </c>
      <c r="X93" s="1015" t="s">
        <v>2525</v>
      </c>
      <c r="Y93" s="1015" t="s">
        <v>2525</v>
      </c>
      <c r="Z93" s="1015" t="s">
        <v>2525</v>
      </c>
      <c r="AA93" s="1015" t="s">
        <v>2525</v>
      </c>
      <c r="AB93" s="1015" t="s">
        <v>2525</v>
      </c>
      <c r="AC93" s="1015" t="s">
        <v>2525</v>
      </c>
      <c r="AD93" s="1015" t="s">
        <v>2587</v>
      </c>
      <c r="AE93" s="1015" t="s">
        <v>2587</v>
      </c>
      <c r="AF93" s="1015" t="s">
        <v>2587</v>
      </c>
      <c r="AG93" s="1015" t="s">
        <v>2587</v>
      </c>
      <c r="AH93" s="1015" t="s">
        <v>2529</v>
      </c>
    </row>
    <row r="94" spans="1:34" x14ac:dyDescent="0.3">
      <c r="A94" s="1014" t="s">
        <v>363</v>
      </c>
      <c r="B94" s="1015" t="s">
        <v>2543</v>
      </c>
      <c r="C94" s="1015" t="s">
        <v>2550</v>
      </c>
      <c r="D94" s="1015" t="s">
        <v>2543</v>
      </c>
      <c r="E94" s="1015" t="s">
        <v>2543</v>
      </c>
      <c r="F94" s="1015" t="s">
        <v>2543</v>
      </c>
      <c r="G94" s="1015" t="s">
        <v>2543</v>
      </c>
      <c r="H94" s="1015" t="s">
        <v>2543</v>
      </c>
      <c r="I94" s="1015" t="s">
        <v>2543</v>
      </c>
      <c r="J94" s="1015" t="s">
        <v>2543</v>
      </c>
      <c r="K94" s="1015" t="s">
        <v>2543</v>
      </c>
      <c r="L94" s="1015" t="s">
        <v>2545</v>
      </c>
      <c r="M94" s="1015" t="s">
        <v>2545</v>
      </c>
      <c r="N94" s="1015" t="s">
        <v>2545</v>
      </c>
      <c r="O94" s="1015" t="s">
        <v>2545</v>
      </c>
      <c r="P94" s="1015" t="s">
        <v>2545</v>
      </c>
      <c r="Q94" s="1015" t="s">
        <v>115</v>
      </c>
      <c r="R94" s="1015" t="s">
        <v>2545</v>
      </c>
      <c r="S94" s="1015" t="s">
        <v>2548</v>
      </c>
      <c r="T94" s="1015" t="s">
        <v>2525</v>
      </c>
      <c r="U94" s="1015" t="s">
        <v>2525</v>
      </c>
      <c r="V94" s="1015" t="s">
        <v>2525</v>
      </c>
      <c r="W94" s="1015" t="s">
        <v>2525</v>
      </c>
      <c r="X94" s="1015" t="s">
        <v>2525</v>
      </c>
      <c r="Y94" s="1015" t="s">
        <v>2525</v>
      </c>
      <c r="Z94" s="1015" t="s">
        <v>2525</v>
      </c>
      <c r="AA94" s="1015" t="s">
        <v>2525</v>
      </c>
      <c r="AB94" s="1015" t="s">
        <v>2525</v>
      </c>
      <c r="AC94" s="1015" t="s">
        <v>2525</v>
      </c>
      <c r="AD94" s="1015" t="s">
        <v>2881</v>
      </c>
      <c r="AE94" s="1015" t="s">
        <v>2882</v>
      </c>
      <c r="AF94" s="1015" t="s">
        <v>2883</v>
      </c>
      <c r="AG94" s="1015" t="s">
        <v>2872</v>
      </c>
      <c r="AH94" s="1015" t="s">
        <v>2587</v>
      </c>
    </row>
    <row r="95" spans="1:34" x14ac:dyDescent="0.3">
      <c r="A95" s="1014" t="s">
        <v>364</v>
      </c>
      <c r="B95" s="1015" t="s">
        <v>2550</v>
      </c>
      <c r="C95" s="1015" t="s">
        <v>2550</v>
      </c>
      <c r="D95" s="1015" t="s">
        <v>2550</v>
      </c>
      <c r="E95" s="1015" t="s">
        <v>2550</v>
      </c>
      <c r="F95" s="1015" t="s">
        <v>2550</v>
      </c>
      <c r="G95" s="1015" t="s">
        <v>2550</v>
      </c>
      <c r="H95" s="1015" t="s">
        <v>2550</v>
      </c>
      <c r="I95" s="1015" t="s">
        <v>2550</v>
      </c>
      <c r="J95" s="1015" t="s">
        <v>2550</v>
      </c>
      <c r="K95" s="1015" t="s">
        <v>2550</v>
      </c>
      <c r="L95" s="1015" t="s">
        <v>2552</v>
      </c>
      <c r="M95" s="1015" t="s">
        <v>2552</v>
      </c>
      <c r="N95" s="1015" t="s">
        <v>2552</v>
      </c>
      <c r="O95" s="1015" t="s">
        <v>2552</v>
      </c>
      <c r="P95" s="1015" t="s">
        <v>2552</v>
      </c>
      <c r="Q95" s="1015" t="s">
        <v>2552</v>
      </c>
      <c r="R95" s="1015" t="s">
        <v>2552</v>
      </c>
      <c r="S95" s="1015" t="s">
        <v>2553</v>
      </c>
      <c r="T95" s="1015" t="s">
        <v>2554</v>
      </c>
      <c r="U95" s="1015" t="s">
        <v>2554</v>
      </c>
      <c r="V95" s="1015" t="s">
        <v>2554</v>
      </c>
      <c r="W95" s="1015" t="s">
        <v>2554</v>
      </c>
      <c r="X95" s="1015" t="s">
        <v>2554</v>
      </c>
      <c r="Y95" s="1015" t="s">
        <v>2554</v>
      </c>
      <c r="Z95" s="1015" t="s">
        <v>2554</v>
      </c>
      <c r="AA95" s="1015" t="s">
        <v>2554</v>
      </c>
      <c r="AB95" s="1015" t="s">
        <v>2554</v>
      </c>
      <c r="AC95" s="1015" t="s">
        <v>2554</v>
      </c>
      <c r="AD95" s="1015" t="s">
        <v>2529</v>
      </c>
      <c r="AE95" s="1015" t="s">
        <v>2529</v>
      </c>
      <c r="AF95" s="1015" t="s">
        <v>2884</v>
      </c>
      <c r="AG95" s="1015" t="s">
        <v>2529</v>
      </c>
      <c r="AH95" s="1015" t="s">
        <v>2529</v>
      </c>
    </row>
    <row r="96" spans="1:34" x14ac:dyDescent="0.3">
      <c r="A96" s="1014" t="s">
        <v>365</v>
      </c>
      <c r="B96" s="1015" t="s">
        <v>490</v>
      </c>
      <c r="C96" s="1015" t="s">
        <v>2885</v>
      </c>
      <c r="D96" s="1015" t="s">
        <v>490</v>
      </c>
      <c r="E96" s="1015" t="s">
        <v>490</v>
      </c>
      <c r="F96" s="1015" t="s">
        <v>2599</v>
      </c>
      <c r="G96" s="1015" t="s">
        <v>490</v>
      </c>
      <c r="H96" s="1015" t="s">
        <v>425</v>
      </c>
      <c r="I96" s="1015" t="s">
        <v>490</v>
      </c>
      <c r="J96" s="1015" t="s">
        <v>490</v>
      </c>
      <c r="K96" s="1015" t="s">
        <v>490</v>
      </c>
      <c r="L96" s="1015" t="s">
        <v>2704</v>
      </c>
      <c r="M96" s="1015" t="s">
        <v>2702</v>
      </c>
      <c r="N96" s="1015" t="s">
        <v>2704</v>
      </c>
      <c r="O96" s="1015" t="s">
        <v>2886</v>
      </c>
      <c r="P96" s="1015" t="s">
        <v>2589</v>
      </c>
      <c r="Q96" s="1015" t="s">
        <v>2704</v>
      </c>
      <c r="R96" s="1015" t="s">
        <v>2887</v>
      </c>
      <c r="S96" s="1015" t="s">
        <v>2705</v>
      </c>
      <c r="T96" s="1015" t="s">
        <v>2529</v>
      </c>
      <c r="U96" s="1015" t="s">
        <v>2530</v>
      </c>
      <c r="V96" s="1015" t="s">
        <v>2587</v>
      </c>
      <c r="W96" s="1015" t="s">
        <v>2706</v>
      </c>
      <c r="X96" s="1015" t="s">
        <v>2587</v>
      </c>
      <c r="Y96" s="1015" t="s">
        <v>2529</v>
      </c>
      <c r="Z96" s="1015" t="s">
        <v>2623</v>
      </c>
      <c r="AA96" s="1015" t="s">
        <v>2530</v>
      </c>
      <c r="AB96" s="1015" t="s">
        <v>2530</v>
      </c>
      <c r="AC96" s="1015" t="s">
        <v>2587</v>
      </c>
      <c r="AD96" s="1015" t="s">
        <v>2587</v>
      </c>
      <c r="AE96" s="1015" t="s">
        <v>2587</v>
      </c>
      <c r="AF96" s="1015" t="s">
        <v>2587</v>
      </c>
      <c r="AG96" s="1015" t="s">
        <v>2587</v>
      </c>
      <c r="AH96" s="1015" t="s">
        <v>2587</v>
      </c>
    </row>
    <row r="97" spans="1:34" x14ac:dyDescent="0.3">
      <c r="A97" s="1014" t="s">
        <v>366</v>
      </c>
      <c r="B97" s="1015" t="s">
        <v>2888</v>
      </c>
      <c r="C97" s="1015" t="s">
        <v>885</v>
      </c>
      <c r="D97" s="1015" t="s">
        <v>115</v>
      </c>
      <c r="E97" s="1015" t="s">
        <v>115</v>
      </c>
      <c r="F97" s="1015" t="s">
        <v>2889</v>
      </c>
      <c r="G97" s="1015" t="s">
        <v>115</v>
      </c>
      <c r="H97" s="1015" t="s">
        <v>2890</v>
      </c>
      <c r="I97" s="1015" t="s">
        <v>115</v>
      </c>
      <c r="J97" s="1015" t="s">
        <v>115</v>
      </c>
      <c r="K97" s="1015" t="s">
        <v>115</v>
      </c>
      <c r="L97" s="1015" t="s">
        <v>2891</v>
      </c>
      <c r="M97" s="1015" t="s">
        <v>115</v>
      </c>
      <c r="N97" s="1015" t="s">
        <v>2892</v>
      </c>
      <c r="O97" s="1015" t="s">
        <v>2893</v>
      </c>
      <c r="P97" s="1015" t="s">
        <v>115</v>
      </c>
      <c r="Q97" s="1015" t="s">
        <v>115</v>
      </c>
      <c r="R97" s="1015" t="s">
        <v>115</v>
      </c>
      <c r="S97" s="1015" t="s">
        <v>115</v>
      </c>
      <c r="T97" s="1015" t="s">
        <v>115</v>
      </c>
      <c r="U97" s="1015" t="s">
        <v>2894</v>
      </c>
      <c r="V97" s="1015" t="s">
        <v>2894</v>
      </c>
      <c r="W97" s="1015" t="s">
        <v>2895</v>
      </c>
      <c r="X97" s="1015" t="s">
        <v>1422</v>
      </c>
      <c r="Y97" s="1015" t="s">
        <v>115</v>
      </c>
      <c r="Z97" s="1015">
        <v>6.25</v>
      </c>
      <c r="AA97" s="1015" t="s">
        <v>2833</v>
      </c>
      <c r="AB97" s="1015" t="s">
        <v>2833</v>
      </c>
      <c r="AC97" s="1015" t="s">
        <v>2896</v>
      </c>
      <c r="AD97" s="1015" t="s">
        <v>2833</v>
      </c>
      <c r="AE97" s="1015" t="s">
        <v>2833</v>
      </c>
      <c r="AF97" s="1015" t="s">
        <v>2897</v>
      </c>
      <c r="AG97" s="1015" t="s">
        <v>2888</v>
      </c>
      <c r="AH97" s="1015" t="s">
        <v>115</v>
      </c>
    </row>
    <row r="98" spans="1:34" s="1006" customFormat="1" x14ac:dyDescent="0.3">
      <c r="A98" s="1013" t="s">
        <v>367</v>
      </c>
      <c r="B98" s="1012" t="s">
        <v>2543</v>
      </c>
      <c r="C98" s="1012" t="s">
        <v>2543</v>
      </c>
      <c r="D98" s="1012" t="s">
        <v>2543</v>
      </c>
      <c r="E98" s="1012" t="s">
        <v>2543</v>
      </c>
      <c r="F98" s="1012" t="s">
        <v>2583</v>
      </c>
      <c r="G98" s="1012" t="s">
        <v>2543</v>
      </c>
      <c r="H98" s="1012" t="s">
        <v>2543</v>
      </c>
      <c r="I98" s="1012" t="s">
        <v>2543</v>
      </c>
      <c r="J98" s="1012" t="s">
        <v>2543</v>
      </c>
      <c r="K98" s="1012" t="s">
        <v>2543</v>
      </c>
      <c r="L98" s="1012" t="s">
        <v>2601</v>
      </c>
      <c r="M98" s="1012" t="s">
        <v>2545</v>
      </c>
      <c r="N98" s="1012" t="s">
        <v>2545</v>
      </c>
      <c r="O98" s="1012" t="s">
        <v>2589</v>
      </c>
      <c r="P98" s="1012" t="s">
        <v>2545</v>
      </c>
      <c r="Q98" s="1012" t="s">
        <v>2545</v>
      </c>
      <c r="R98" s="1012" t="s">
        <v>2545</v>
      </c>
      <c r="S98" s="1012" t="s">
        <v>2625</v>
      </c>
      <c r="T98" s="1012" t="s">
        <v>2626</v>
      </c>
      <c r="U98" s="1012" t="s">
        <v>2520</v>
      </c>
      <c r="V98" s="1012" t="s">
        <v>2520</v>
      </c>
      <c r="W98" s="1012" t="s">
        <v>2520</v>
      </c>
      <c r="X98" s="1012" t="s">
        <v>2520</v>
      </c>
      <c r="Y98" s="1012" t="s">
        <v>2520</v>
      </c>
      <c r="Z98" s="1012" t="s">
        <v>2520</v>
      </c>
      <c r="AA98" s="1012" t="s">
        <v>2520</v>
      </c>
      <c r="AB98" s="1012" t="s">
        <v>2520</v>
      </c>
      <c r="AC98" s="1012" t="s">
        <v>2520</v>
      </c>
      <c r="AD98" s="1012" t="s">
        <v>2530</v>
      </c>
      <c r="AE98" s="1012" t="s">
        <v>2898</v>
      </c>
      <c r="AF98" s="1012" t="s">
        <v>2587</v>
      </c>
      <c r="AG98" s="1012" t="s">
        <v>2529</v>
      </c>
      <c r="AH98" s="1012" t="s">
        <v>2587</v>
      </c>
    </row>
    <row r="99" spans="1:34" x14ac:dyDescent="0.3">
      <c r="A99" s="1014" t="s">
        <v>368</v>
      </c>
      <c r="B99" s="1015" t="s">
        <v>2543</v>
      </c>
      <c r="C99" s="1015" t="s">
        <v>2543</v>
      </c>
      <c r="D99" s="1015" t="s">
        <v>2543</v>
      </c>
      <c r="E99" s="1015" t="s">
        <v>2543</v>
      </c>
      <c r="F99" s="1015" t="s">
        <v>2543</v>
      </c>
      <c r="G99" s="1015" t="s">
        <v>2543</v>
      </c>
      <c r="H99" s="1015" t="s">
        <v>2543</v>
      </c>
      <c r="I99" s="1015" t="s">
        <v>2543</v>
      </c>
      <c r="J99" s="1015" t="s">
        <v>2543</v>
      </c>
      <c r="K99" s="1015" t="s">
        <v>2543</v>
      </c>
      <c r="L99" s="1015" t="s">
        <v>2601</v>
      </c>
      <c r="M99" s="1015" t="s">
        <v>2545</v>
      </c>
      <c r="N99" s="1015" t="s">
        <v>2601</v>
      </c>
      <c r="O99" s="1015" t="s">
        <v>2589</v>
      </c>
      <c r="P99" s="1015" t="s">
        <v>2545</v>
      </c>
      <c r="Q99" s="1015" t="s">
        <v>2545</v>
      </c>
      <c r="R99" s="1015" t="s">
        <v>2545</v>
      </c>
      <c r="S99" s="1015" t="s">
        <v>2625</v>
      </c>
      <c r="T99" s="1015" t="s">
        <v>2626</v>
      </c>
      <c r="U99" s="1015" t="s">
        <v>2520</v>
      </c>
      <c r="V99" s="1015" t="s">
        <v>2520</v>
      </c>
      <c r="W99" s="1015" t="s">
        <v>2520</v>
      </c>
      <c r="X99" s="1015" t="s">
        <v>2520</v>
      </c>
      <c r="Y99" s="1015" t="s">
        <v>2520</v>
      </c>
      <c r="Z99" s="1015" t="s">
        <v>2520</v>
      </c>
      <c r="AA99" s="1015" t="s">
        <v>2520</v>
      </c>
      <c r="AB99" s="1015" t="s">
        <v>2520</v>
      </c>
      <c r="AC99" s="1015" t="s">
        <v>2520</v>
      </c>
      <c r="AD99" s="1015" t="s">
        <v>2530</v>
      </c>
      <c r="AE99" s="1015" t="s">
        <v>2898</v>
      </c>
      <c r="AF99" s="1015" t="s">
        <v>2587</v>
      </c>
      <c r="AG99" s="1015" t="s">
        <v>2529</v>
      </c>
      <c r="AH99" s="1015" t="s">
        <v>2587</v>
      </c>
    </row>
    <row r="100" spans="1:34" x14ac:dyDescent="0.3">
      <c r="A100" s="1014" t="s">
        <v>369</v>
      </c>
      <c r="B100" s="1015" t="s">
        <v>425</v>
      </c>
      <c r="C100" s="1015" t="s">
        <v>2899</v>
      </c>
      <c r="D100" s="1015" t="s">
        <v>425</v>
      </c>
      <c r="E100" s="1015" t="s">
        <v>425</v>
      </c>
      <c r="F100" s="1015" t="s">
        <v>2900</v>
      </c>
      <c r="G100" s="1015" t="s">
        <v>425</v>
      </c>
      <c r="H100" s="1015" t="s">
        <v>425</v>
      </c>
      <c r="I100" s="1015" t="s">
        <v>425</v>
      </c>
      <c r="J100" s="1015" t="s">
        <v>492</v>
      </c>
      <c r="K100" s="1015" t="s">
        <v>425</v>
      </c>
      <c r="L100" s="1015" t="s">
        <v>2702</v>
      </c>
      <c r="M100" s="1015" t="s">
        <v>2792</v>
      </c>
      <c r="N100" s="1015" t="s">
        <v>2702</v>
      </c>
      <c r="O100" s="1015" t="s">
        <v>2702</v>
      </c>
      <c r="P100" s="1015" t="s">
        <v>2702</v>
      </c>
      <c r="Q100" s="1015" t="s">
        <v>2702</v>
      </c>
      <c r="R100" s="1015" t="s">
        <v>2901</v>
      </c>
      <c r="S100" s="1015" t="s">
        <v>2902</v>
      </c>
      <c r="T100" s="1015" t="s">
        <v>2529</v>
      </c>
      <c r="U100" s="1015" t="s">
        <v>2614</v>
      </c>
      <c r="V100" s="1015" t="s">
        <v>2529</v>
      </c>
      <c r="W100" s="1015" t="s">
        <v>2801</v>
      </c>
      <c r="X100" s="1015" t="s">
        <v>2903</v>
      </c>
      <c r="Y100" s="1015" t="s">
        <v>2529</v>
      </c>
      <c r="Z100" s="1015" t="s">
        <v>2549</v>
      </c>
      <c r="AA100" s="1015" t="s">
        <v>2614</v>
      </c>
      <c r="AB100" s="1015" t="s">
        <v>2904</v>
      </c>
      <c r="AC100" s="1015" t="s">
        <v>2614</v>
      </c>
      <c r="AD100" s="1015" t="s">
        <v>2529</v>
      </c>
      <c r="AE100" s="1015" t="s">
        <v>2614</v>
      </c>
      <c r="AF100" s="1015" t="s">
        <v>2529</v>
      </c>
      <c r="AG100" s="1015" t="s">
        <v>2614</v>
      </c>
      <c r="AH100" s="1015" t="s">
        <v>2529</v>
      </c>
    </row>
    <row r="101" spans="1:34" s="1006" customFormat="1" x14ac:dyDescent="0.3">
      <c r="A101" s="1013" t="s">
        <v>370</v>
      </c>
      <c r="B101" s="1012" t="s">
        <v>2854</v>
      </c>
      <c r="C101" s="1012" t="s">
        <v>2543</v>
      </c>
      <c r="D101" s="1012" t="s">
        <v>2617</v>
      </c>
      <c r="E101" s="1012" t="s">
        <v>2599</v>
      </c>
      <c r="F101" s="1012" t="s">
        <v>2551</v>
      </c>
      <c r="G101" s="1012" t="s">
        <v>2599</v>
      </c>
      <c r="H101" s="1012" t="s">
        <v>2599</v>
      </c>
      <c r="I101" s="1012" t="s">
        <v>2543</v>
      </c>
      <c r="J101" s="1012" t="s">
        <v>2543</v>
      </c>
      <c r="K101" s="1012" t="s">
        <v>2543</v>
      </c>
      <c r="L101" s="1012" t="s">
        <v>2545</v>
      </c>
      <c r="M101" s="1012" t="s">
        <v>2545</v>
      </c>
      <c r="N101" s="1012" t="s">
        <v>2545</v>
      </c>
      <c r="O101" s="1012" t="s">
        <v>2778</v>
      </c>
      <c r="P101" s="1012" t="s">
        <v>2553</v>
      </c>
      <c r="Q101" s="1012" t="s">
        <v>2553</v>
      </c>
      <c r="R101" s="1012" t="s">
        <v>2553</v>
      </c>
      <c r="S101" s="1012" t="s">
        <v>2570</v>
      </c>
      <c r="T101" s="1012" t="s">
        <v>2514</v>
      </c>
      <c r="U101" s="1012" t="s">
        <v>2520</v>
      </c>
      <c r="V101" s="1012" t="s">
        <v>2520</v>
      </c>
      <c r="W101" s="1012" t="s">
        <v>2513</v>
      </c>
      <c r="X101" s="1012" t="s">
        <v>2520</v>
      </c>
      <c r="Y101" s="1012" t="s">
        <v>2520</v>
      </c>
      <c r="Z101" s="1012" t="s">
        <v>2520</v>
      </c>
      <c r="AA101" s="1012" t="s">
        <v>2520</v>
      </c>
      <c r="AB101" s="1012" t="s">
        <v>2520</v>
      </c>
      <c r="AC101" s="1012" t="s">
        <v>2520</v>
      </c>
      <c r="AD101" s="1012" t="s">
        <v>2905</v>
      </c>
      <c r="AE101" s="1012" t="s">
        <v>2822</v>
      </c>
      <c r="AF101" s="1012" t="s">
        <v>2530</v>
      </c>
      <c r="AG101" s="1012" t="s">
        <v>2906</v>
      </c>
      <c r="AH101" s="1012" t="s">
        <v>2714</v>
      </c>
    </row>
    <row r="102" spans="1:34" x14ac:dyDescent="0.3">
      <c r="A102" s="1014" t="s">
        <v>371</v>
      </c>
      <c r="B102" s="1015" t="s">
        <v>2854</v>
      </c>
      <c r="C102" s="1015" t="s">
        <v>2543</v>
      </c>
      <c r="D102" s="1015" t="s">
        <v>2543</v>
      </c>
      <c r="E102" s="1015" t="s">
        <v>2543</v>
      </c>
      <c r="F102" s="1015" t="s">
        <v>2551</v>
      </c>
      <c r="G102" s="1015" t="s">
        <v>2543</v>
      </c>
      <c r="H102" s="1015" t="s">
        <v>2543</v>
      </c>
      <c r="I102" s="1015" t="s">
        <v>2543</v>
      </c>
      <c r="J102" s="1015" t="s">
        <v>2543</v>
      </c>
      <c r="K102" s="1015" t="s">
        <v>2543</v>
      </c>
      <c r="L102" s="1015" t="s">
        <v>2545</v>
      </c>
      <c r="M102" s="1015" t="s">
        <v>2545</v>
      </c>
      <c r="N102" s="1015" t="s">
        <v>2545</v>
      </c>
      <c r="O102" s="1015" t="s">
        <v>2553</v>
      </c>
      <c r="P102" s="1015" t="s">
        <v>2553</v>
      </c>
      <c r="Q102" s="1015" t="s">
        <v>2553</v>
      </c>
      <c r="R102" s="1015" t="s">
        <v>2553</v>
      </c>
      <c r="S102" s="1015" t="s">
        <v>2570</v>
      </c>
      <c r="T102" s="1015" t="s">
        <v>2513</v>
      </c>
      <c r="U102" s="1015" t="s">
        <v>2594</v>
      </c>
      <c r="V102" s="1015" t="s">
        <v>2513</v>
      </c>
      <c r="W102" s="1015" t="s">
        <v>2513</v>
      </c>
      <c r="X102" s="1015" t="s">
        <v>2520</v>
      </c>
      <c r="Y102" s="1015" t="s">
        <v>2520</v>
      </c>
      <c r="Z102" s="1015" t="s">
        <v>2520</v>
      </c>
      <c r="AA102" s="1015" t="s">
        <v>2520</v>
      </c>
      <c r="AB102" s="1015" t="s">
        <v>2520</v>
      </c>
      <c r="AC102" s="1015" t="s">
        <v>2520</v>
      </c>
      <c r="AD102" s="1015" t="s">
        <v>2905</v>
      </c>
      <c r="AE102" s="1015" t="s">
        <v>2587</v>
      </c>
      <c r="AF102" s="1015" t="s">
        <v>2587</v>
      </c>
      <c r="AG102" s="1015" t="s">
        <v>2906</v>
      </c>
      <c r="AH102" s="1015" t="s">
        <v>2821</v>
      </c>
    </row>
    <row r="103" spans="1:34" x14ac:dyDescent="0.3">
      <c r="A103" s="1014" t="s">
        <v>372</v>
      </c>
      <c r="B103" s="1015" t="s">
        <v>115</v>
      </c>
      <c r="C103" s="1015" t="s">
        <v>115</v>
      </c>
      <c r="D103" s="1015" t="s">
        <v>115</v>
      </c>
      <c r="E103" s="1015" t="s">
        <v>115</v>
      </c>
      <c r="F103" s="1015" t="s">
        <v>115</v>
      </c>
      <c r="G103" s="1015" t="s">
        <v>115</v>
      </c>
      <c r="H103" s="1015" t="s">
        <v>115</v>
      </c>
      <c r="I103" s="1015" t="s">
        <v>115</v>
      </c>
      <c r="J103" s="1015" t="s">
        <v>2543</v>
      </c>
      <c r="K103" s="1015" t="s">
        <v>115</v>
      </c>
      <c r="L103" s="1015" t="s">
        <v>2545</v>
      </c>
      <c r="M103" s="1015" t="s">
        <v>2545</v>
      </c>
      <c r="N103" s="1015" t="s">
        <v>2545</v>
      </c>
      <c r="O103" s="1015" t="s">
        <v>2545</v>
      </c>
      <c r="P103" s="1015" t="s">
        <v>2545</v>
      </c>
      <c r="Q103" s="1015" t="s">
        <v>2545</v>
      </c>
      <c r="R103" s="1015" t="s">
        <v>115</v>
      </c>
      <c r="S103" s="1015" t="s">
        <v>115</v>
      </c>
      <c r="T103" s="1015" t="s">
        <v>115</v>
      </c>
      <c r="U103" s="1015" t="s">
        <v>2525</v>
      </c>
      <c r="V103" s="1015" t="s">
        <v>2525</v>
      </c>
      <c r="W103" s="1015" t="s">
        <v>115</v>
      </c>
      <c r="X103" s="1015" t="s">
        <v>2525</v>
      </c>
      <c r="Y103" s="1015" t="s">
        <v>2525</v>
      </c>
      <c r="Z103" s="1015" t="s">
        <v>2525</v>
      </c>
      <c r="AA103" s="1015" t="s">
        <v>2525</v>
      </c>
      <c r="AB103" s="1015" t="s">
        <v>2525</v>
      </c>
      <c r="AC103" s="1015" t="s">
        <v>2833</v>
      </c>
      <c r="AD103" s="1015" t="s">
        <v>2907</v>
      </c>
      <c r="AE103" s="1015" t="s">
        <v>2908</v>
      </c>
      <c r="AF103" s="1015" t="s">
        <v>2909</v>
      </c>
      <c r="AG103" s="1015" t="s">
        <v>2894</v>
      </c>
      <c r="AH103" s="1015" t="s">
        <v>2909</v>
      </c>
    </row>
    <row r="104" spans="1:34" x14ac:dyDescent="0.3">
      <c r="A104" s="1014" t="s">
        <v>373</v>
      </c>
      <c r="B104" s="1015" t="s">
        <v>2606</v>
      </c>
      <c r="C104" s="1015" t="s">
        <v>2606</v>
      </c>
      <c r="D104" s="1015" t="s">
        <v>2550</v>
      </c>
      <c r="E104" s="1015" t="s">
        <v>2550</v>
      </c>
      <c r="F104" s="1015" t="s">
        <v>2550</v>
      </c>
      <c r="G104" s="1015" t="s">
        <v>2550</v>
      </c>
      <c r="H104" s="1015" t="s">
        <v>2550</v>
      </c>
      <c r="I104" s="1015" t="s">
        <v>2606</v>
      </c>
      <c r="J104" s="1015" t="s">
        <v>2606</v>
      </c>
      <c r="K104" s="1015" t="s">
        <v>2606</v>
      </c>
      <c r="L104" s="1015" t="s">
        <v>2609</v>
      </c>
      <c r="M104" s="1015" t="s">
        <v>2609</v>
      </c>
      <c r="N104" s="1015" t="s">
        <v>2609</v>
      </c>
      <c r="O104" s="1015" t="s">
        <v>2609</v>
      </c>
      <c r="P104" s="1015" t="s">
        <v>2609</v>
      </c>
      <c r="Q104" s="1015" t="s">
        <v>2611</v>
      </c>
      <c r="R104" s="1015" t="s">
        <v>2611</v>
      </c>
      <c r="S104" s="1015" t="s">
        <v>2611</v>
      </c>
      <c r="T104" s="1015" t="s">
        <v>2611</v>
      </c>
      <c r="U104" s="1015" t="s">
        <v>2777</v>
      </c>
      <c r="V104" s="1015" t="s">
        <v>2798</v>
      </c>
      <c r="W104" s="1015" t="s">
        <v>2798</v>
      </c>
      <c r="X104" s="1015" t="s">
        <v>2798</v>
      </c>
      <c r="Y104" s="1015" t="s">
        <v>2777</v>
      </c>
      <c r="Z104" s="1015" t="s">
        <v>2836</v>
      </c>
      <c r="AA104" s="1015" t="s">
        <v>2777</v>
      </c>
      <c r="AB104" s="1015" t="s">
        <v>2798</v>
      </c>
      <c r="AC104" s="1015" t="s">
        <v>2798</v>
      </c>
      <c r="AD104" s="1015" t="s">
        <v>2614</v>
      </c>
      <c r="AE104" s="1015" t="s">
        <v>2530</v>
      </c>
      <c r="AF104" s="1015" t="s">
        <v>2841</v>
      </c>
      <c r="AG104" s="1015" t="s">
        <v>2910</v>
      </c>
      <c r="AH104" s="1015" t="s">
        <v>3268</v>
      </c>
    </row>
    <row r="105" spans="1:34" x14ac:dyDescent="0.3">
      <c r="A105" s="1014" t="s">
        <v>374</v>
      </c>
      <c r="B105" s="1015" t="s">
        <v>2543</v>
      </c>
      <c r="C105" s="1015" t="s">
        <v>2543</v>
      </c>
      <c r="D105" s="1015" t="s">
        <v>2617</v>
      </c>
      <c r="E105" s="1015" t="s">
        <v>2599</v>
      </c>
      <c r="F105" s="1015" t="s">
        <v>2543</v>
      </c>
      <c r="G105" s="1015" t="s">
        <v>2599</v>
      </c>
      <c r="H105" s="1015" t="s">
        <v>2599</v>
      </c>
      <c r="I105" s="1015" t="s">
        <v>2543</v>
      </c>
      <c r="J105" s="1015" t="s">
        <v>2543</v>
      </c>
      <c r="K105" s="1015" t="s">
        <v>2543</v>
      </c>
      <c r="L105" s="1015" t="s">
        <v>2545</v>
      </c>
      <c r="M105" s="1015" t="s">
        <v>2545</v>
      </c>
      <c r="N105" s="1015" t="s">
        <v>2545</v>
      </c>
      <c r="O105" s="1015" t="s">
        <v>2778</v>
      </c>
      <c r="P105" s="1015" t="s">
        <v>2545</v>
      </c>
      <c r="Q105" s="1015" t="s">
        <v>2545</v>
      </c>
      <c r="R105" s="1015" t="s">
        <v>2545</v>
      </c>
      <c r="S105" s="1015" t="s">
        <v>2548</v>
      </c>
      <c r="T105" s="1015" t="s">
        <v>2514</v>
      </c>
      <c r="U105" s="1015" t="s">
        <v>2520</v>
      </c>
      <c r="V105" s="1015" t="s">
        <v>2520</v>
      </c>
      <c r="W105" s="1015" t="s">
        <v>2525</v>
      </c>
      <c r="X105" s="1015" t="s">
        <v>2520</v>
      </c>
      <c r="Y105" s="1015" t="s">
        <v>2520</v>
      </c>
      <c r="Z105" s="1015" t="s">
        <v>2520</v>
      </c>
      <c r="AA105" s="1015" t="s">
        <v>2520</v>
      </c>
      <c r="AB105" s="1015" t="s">
        <v>2520</v>
      </c>
      <c r="AC105" s="1015" t="s">
        <v>2520</v>
      </c>
      <c r="AD105" s="1015" t="s">
        <v>2529</v>
      </c>
      <c r="AE105" s="1015" t="s">
        <v>2822</v>
      </c>
      <c r="AF105" s="1015" t="s">
        <v>2530</v>
      </c>
      <c r="AG105" s="1015" t="s">
        <v>2587</v>
      </c>
      <c r="AH105" s="1015" t="s">
        <v>2587</v>
      </c>
    </row>
    <row r="106" spans="1:34" s="1006" customFormat="1" x14ac:dyDescent="0.3">
      <c r="A106" s="1013" t="s">
        <v>375</v>
      </c>
      <c r="B106" s="1012" t="s">
        <v>2551</v>
      </c>
      <c r="C106" s="1012" t="s">
        <v>2583</v>
      </c>
      <c r="D106" s="1012" t="s">
        <v>2911</v>
      </c>
      <c r="E106" s="1012" t="s">
        <v>2911</v>
      </c>
      <c r="F106" s="1012" t="s">
        <v>2911</v>
      </c>
      <c r="G106" s="1012" t="s">
        <v>2911</v>
      </c>
      <c r="H106" s="1012" t="s">
        <v>2911</v>
      </c>
      <c r="I106" s="1012" t="s">
        <v>2500</v>
      </c>
      <c r="J106" s="1012" t="s">
        <v>2502</v>
      </c>
      <c r="K106" s="1012" t="s">
        <v>2911</v>
      </c>
      <c r="L106" s="1012" t="s">
        <v>2911</v>
      </c>
      <c r="M106" s="1012" t="s">
        <v>2503</v>
      </c>
      <c r="N106" s="1012" t="s">
        <v>2911</v>
      </c>
      <c r="O106" s="1012" t="s">
        <v>2911</v>
      </c>
      <c r="P106" s="1012" t="s">
        <v>2777</v>
      </c>
      <c r="Q106" s="1012" t="s">
        <v>2777</v>
      </c>
      <c r="R106" s="1012" t="s">
        <v>2912</v>
      </c>
      <c r="S106" s="1012" t="s">
        <v>2581</v>
      </c>
      <c r="T106" s="1012" t="s">
        <v>2621</v>
      </c>
      <c r="U106" s="1012" t="s">
        <v>2602</v>
      </c>
      <c r="V106" s="1012" t="s">
        <v>2520</v>
      </c>
      <c r="W106" s="1012" t="s">
        <v>2520</v>
      </c>
      <c r="X106" s="1012" t="s">
        <v>2913</v>
      </c>
      <c r="Y106" s="1012" t="s">
        <v>2913</v>
      </c>
      <c r="Z106" s="1012" t="s">
        <v>2913</v>
      </c>
      <c r="AA106" s="1012" t="s">
        <v>2913</v>
      </c>
      <c r="AB106" s="1012" t="s">
        <v>2520</v>
      </c>
      <c r="AC106" s="1012" t="s">
        <v>2913</v>
      </c>
      <c r="AD106" s="1012" t="s">
        <v>2747</v>
      </c>
      <c r="AE106" s="1012" t="s">
        <v>2914</v>
      </c>
      <c r="AF106" s="1012" t="s">
        <v>2915</v>
      </c>
      <c r="AG106" s="1012" t="s">
        <v>2916</v>
      </c>
      <c r="AH106" s="1012" t="s">
        <v>3269</v>
      </c>
    </row>
    <row r="107" spans="1:34" x14ac:dyDescent="0.3">
      <c r="A107" s="1014" t="s">
        <v>376</v>
      </c>
      <c r="B107" s="1015" t="s">
        <v>2550</v>
      </c>
      <c r="C107" s="1015" t="s">
        <v>2550</v>
      </c>
      <c r="D107" s="1015" t="s">
        <v>2550</v>
      </c>
      <c r="E107" s="1015" t="s">
        <v>2550</v>
      </c>
      <c r="F107" s="1015" t="s">
        <v>2550</v>
      </c>
      <c r="G107" s="1015" t="s">
        <v>2550</v>
      </c>
      <c r="H107" s="1015" t="s">
        <v>2550</v>
      </c>
      <c r="I107" s="1015" t="s">
        <v>2690</v>
      </c>
      <c r="J107" s="1015" t="s">
        <v>2550</v>
      </c>
      <c r="K107" s="1015" t="s">
        <v>2550</v>
      </c>
      <c r="L107" s="1015" t="s">
        <v>2552</v>
      </c>
      <c r="M107" s="1015" t="s">
        <v>2917</v>
      </c>
      <c r="N107" s="1015" t="s">
        <v>2552</v>
      </c>
      <c r="O107" s="1015" t="s">
        <v>2552</v>
      </c>
      <c r="P107" s="1015" t="s">
        <v>2552</v>
      </c>
      <c r="Q107" s="1015" t="s">
        <v>2552</v>
      </c>
      <c r="R107" s="1015" t="s">
        <v>2552</v>
      </c>
      <c r="S107" s="1015" t="s">
        <v>2553</v>
      </c>
      <c r="T107" s="1015" t="s">
        <v>2554</v>
      </c>
      <c r="U107" s="1015" t="s">
        <v>2554</v>
      </c>
      <c r="V107" s="1015" t="s">
        <v>2554</v>
      </c>
      <c r="W107" s="1015" t="s">
        <v>2513</v>
      </c>
      <c r="X107" s="1015" t="s">
        <v>2513</v>
      </c>
      <c r="Y107" s="1015" t="s">
        <v>2513</v>
      </c>
      <c r="Z107" s="1015" t="s">
        <v>2513</v>
      </c>
      <c r="AA107" s="1015" t="s">
        <v>2513</v>
      </c>
      <c r="AB107" s="1015" t="s">
        <v>2513</v>
      </c>
      <c r="AC107" s="1015" t="s">
        <v>2513</v>
      </c>
      <c r="AD107" s="1015" t="s">
        <v>2850</v>
      </c>
      <c r="AE107" s="1015" t="s">
        <v>2529</v>
      </c>
      <c r="AF107" s="1015" t="s">
        <v>2529</v>
      </c>
      <c r="AG107" s="1015" t="s">
        <v>2529</v>
      </c>
      <c r="AH107" s="1015" t="s">
        <v>2529</v>
      </c>
    </row>
    <row r="108" spans="1:34" x14ac:dyDescent="0.3">
      <c r="A108" s="1014" t="s">
        <v>377</v>
      </c>
      <c r="B108" s="1015" t="s">
        <v>2918</v>
      </c>
      <c r="C108" s="1015" t="s">
        <v>2919</v>
      </c>
      <c r="D108" s="1015" t="s">
        <v>425</v>
      </c>
      <c r="E108" s="1015" t="s">
        <v>2920</v>
      </c>
      <c r="F108" s="1015" t="s">
        <v>424</v>
      </c>
      <c r="G108" s="1015" t="s">
        <v>2921</v>
      </c>
      <c r="H108" s="1015" t="s">
        <v>2922</v>
      </c>
      <c r="I108" s="1015" t="s">
        <v>2923</v>
      </c>
      <c r="J108" s="1015" t="s">
        <v>2924</v>
      </c>
      <c r="K108" s="1015" t="s">
        <v>485</v>
      </c>
      <c r="L108" s="1015" t="s">
        <v>2925</v>
      </c>
      <c r="M108" s="1015" t="s">
        <v>2926</v>
      </c>
      <c r="N108" s="1015" t="s">
        <v>2675</v>
      </c>
      <c r="O108" s="1015" t="s">
        <v>2927</v>
      </c>
      <c r="P108" s="1015" t="s">
        <v>2928</v>
      </c>
      <c r="Q108" s="1015" t="s">
        <v>2929</v>
      </c>
      <c r="R108" s="1015" t="s">
        <v>2930</v>
      </c>
      <c r="S108" s="1015" t="s">
        <v>2931</v>
      </c>
      <c r="T108" s="1015" t="s">
        <v>2932</v>
      </c>
      <c r="U108" s="1015" t="s">
        <v>2933</v>
      </c>
      <c r="V108" s="1015" t="s">
        <v>2593</v>
      </c>
      <c r="W108" s="1015" t="s">
        <v>2530</v>
      </c>
      <c r="X108" s="1015" t="s">
        <v>2559</v>
      </c>
      <c r="Y108" s="1015" t="s">
        <v>2710</v>
      </c>
      <c r="Z108" s="1015" t="s">
        <v>2934</v>
      </c>
      <c r="AA108" s="1015" t="s">
        <v>2587</v>
      </c>
      <c r="AB108" s="1015" t="s">
        <v>2587</v>
      </c>
      <c r="AC108" s="1015" t="s">
        <v>2587</v>
      </c>
      <c r="AD108" s="1015" t="s">
        <v>2935</v>
      </c>
      <c r="AE108" s="1015" t="s">
        <v>2936</v>
      </c>
      <c r="AF108" s="1015" t="s">
        <v>2937</v>
      </c>
      <c r="AG108" s="1015" t="s">
        <v>2863</v>
      </c>
      <c r="AH108" s="1015" t="s">
        <v>3270</v>
      </c>
    </row>
    <row r="109" spans="1:34" ht="18" thickBot="1" x14ac:dyDescent="0.35">
      <c r="A109" s="1014" t="s">
        <v>378</v>
      </c>
      <c r="B109" s="1015" t="s">
        <v>2551</v>
      </c>
      <c r="C109" s="1015" t="s">
        <v>2583</v>
      </c>
      <c r="D109" s="1015" t="s">
        <v>2911</v>
      </c>
      <c r="E109" s="1015" t="s">
        <v>2911</v>
      </c>
      <c r="F109" s="1015" t="s">
        <v>2911</v>
      </c>
      <c r="G109" s="1015" t="s">
        <v>2911</v>
      </c>
      <c r="H109" s="1015" t="s">
        <v>2911</v>
      </c>
      <c r="I109" s="1015" t="s">
        <v>2911</v>
      </c>
      <c r="J109" s="1015" t="s">
        <v>2502</v>
      </c>
      <c r="K109" s="1015" t="s">
        <v>2911</v>
      </c>
      <c r="L109" s="1015" t="s">
        <v>2911</v>
      </c>
      <c r="M109" s="1015" t="s">
        <v>2911</v>
      </c>
      <c r="N109" s="1015" t="s">
        <v>2911</v>
      </c>
      <c r="O109" s="1015" t="s">
        <v>2911</v>
      </c>
      <c r="P109" s="1015" t="s">
        <v>2777</v>
      </c>
      <c r="Q109" s="1015" t="s">
        <v>2777</v>
      </c>
      <c r="R109" s="1015" t="s">
        <v>2777</v>
      </c>
      <c r="S109" s="1015" t="s">
        <v>2581</v>
      </c>
      <c r="T109" s="1015" t="s">
        <v>2602</v>
      </c>
      <c r="U109" s="1015" t="s">
        <v>2602</v>
      </c>
      <c r="V109" s="1015" t="s">
        <v>2520</v>
      </c>
      <c r="W109" s="1015" t="s">
        <v>2520</v>
      </c>
      <c r="X109" s="1015" t="s">
        <v>2913</v>
      </c>
      <c r="Y109" s="1015" t="s">
        <v>2913</v>
      </c>
      <c r="Z109" s="1015" t="s">
        <v>2913</v>
      </c>
      <c r="AA109" s="1015" t="s">
        <v>2913</v>
      </c>
      <c r="AB109" s="1015" t="s">
        <v>2520</v>
      </c>
      <c r="AC109" s="1015" t="s">
        <v>2913</v>
      </c>
      <c r="AD109" s="1015" t="s">
        <v>2916</v>
      </c>
      <c r="AE109" s="1015" t="s">
        <v>2915</v>
      </c>
      <c r="AF109" s="1015" t="s">
        <v>2915</v>
      </c>
      <c r="AG109" s="1015" t="s">
        <v>2916</v>
      </c>
      <c r="AH109" s="1015" t="s">
        <v>2914</v>
      </c>
    </row>
    <row r="110" spans="1:34" ht="18.75" customHeight="1" x14ac:dyDescent="0.3">
      <c r="A110" s="1026" t="s">
        <v>493</v>
      </c>
      <c r="B110" s="1027" t="s">
        <v>2938</v>
      </c>
      <c r="C110" s="1027" t="s">
        <v>2939</v>
      </c>
      <c r="D110" s="1027" t="s">
        <v>2504</v>
      </c>
      <c r="E110" s="1027" t="s">
        <v>2504</v>
      </c>
      <c r="F110" s="1027" t="s">
        <v>2504</v>
      </c>
      <c r="G110" s="1027" t="s">
        <v>2504</v>
      </c>
      <c r="H110" s="1027" t="s">
        <v>2652</v>
      </c>
      <c r="I110" s="1027" t="s">
        <v>2652</v>
      </c>
      <c r="J110" s="1027" t="s">
        <v>2504</v>
      </c>
      <c r="K110" s="1027" t="s">
        <v>2504</v>
      </c>
      <c r="L110" s="1027" t="s">
        <v>2504</v>
      </c>
      <c r="M110" s="1027" t="s">
        <v>2504</v>
      </c>
      <c r="N110" s="1027" t="s">
        <v>2504</v>
      </c>
      <c r="O110" s="1027" t="s">
        <v>2504</v>
      </c>
      <c r="P110" s="1027" t="s">
        <v>2940</v>
      </c>
      <c r="Q110" s="1027" t="s">
        <v>2940</v>
      </c>
      <c r="R110" s="1027" t="s">
        <v>2940</v>
      </c>
      <c r="S110" s="1028" t="s">
        <v>2941</v>
      </c>
      <c r="T110" s="1028" t="s">
        <v>2942</v>
      </c>
      <c r="U110" s="1028" t="s">
        <v>2943</v>
      </c>
      <c r="V110" s="1028" t="s">
        <v>2944</v>
      </c>
      <c r="W110" s="1028" t="s">
        <v>2944</v>
      </c>
      <c r="X110" s="1028" t="s">
        <v>2944</v>
      </c>
      <c r="Y110" s="1028" t="s">
        <v>2944</v>
      </c>
      <c r="Z110" s="1028" t="s">
        <v>2944</v>
      </c>
      <c r="AA110" s="1028" t="s">
        <v>2944</v>
      </c>
      <c r="AB110" s="1028" t="s">
        <v>2944</v>
      </c>
      <c r="AC110" s="1028" t="s">
        <v>2944</v>
      </c>
      <c r="AD110" s="1028" t="s">
        <v>2944</v>
      </c>
      <c r="AE110" s="1028" t="s">
        <v>2944</v>
      </c>
      <c r="AF110" s="1028" t="s">
        <v>2944</v>
      </c>
      <c r="AG110" s="1028" t="s">
        <v>2944</v>
      </c>
      <c r="AH110" s="1028" t="s">
        <v>2944</v>
      </c>
    </row>
    <row r="111" spans="1:34" x14ac:dyDescent="0.3">
      <c r="A111" s="1016" t="s">
        <v>494</v>
      </c>
      <c r="B111" s="1029" t="s">
        <v>2945</v>
      </c>
      <c r="C111" s="1029" t="s">
        <v>2946</v>
      </c>
      <c r="D111" s="1029" t="s">
        <v>2945</v>
      </c>
      <c r="E111" s="1029" t="s">
        <v>2945</v>
      </c>
      <c r="F111" s="1029" t="s">
        <v>2947</v>
      </c>
      <c r="G111" s="1029" t="s">
        <v>2948</v>
      </c>
      <c r="H111" s="1029" t="s">
        <v>2946</v>
      </c>
      <c r="I111" s="1029" t="s">
        <v>2945</v>
      </c>
      <c r="J111" s="1029" t="s">
        <v>2945</v>
      </c>
      <c r="K111" s="1029" t="s">
        <v>2945</v>
      </c>
      <c r="L111" s="1029" t="s">
        <v>2945</v>
      </c>
      <c r="M111" s="1029" t="s">
        <v>2945</v>
      </c>
      <c r="N111" s="1029" t="s">
        <v>2949</v>
      </c>
      <c r="O111" s="1029" t="s">
        <v>2949</v>
      </c>
      <c r="P111" s="1029" t="s">
        <v>2950</v>
      </c>
      <c r="Q111" s="1029" t="s">
        <v>2949</v>
      </c>
      <c r="R111" s="1029" t="s">
        <v>2951</v>
      </c>
      <c r="S111" s="1029" t="s">
        <v>2952</v>
      </c>
      <c r="T111" s="1029" t="s">
        <v>2953</v>
      </c>
      <c r="U111" s="1029" t="s">
        <v>2954</v>
      </c>
      <c r="V111" s="1029" t="s">
        <v>2955</v>
      </c>
      <c r="W111" s="1029" t="s">
        <v>2955</v>
      </c>
      <c r="X111" s="1029" t="s">
        <v>2956</v>
      </c>
      <c r="Y111" s="1029" t="s">
        <v>2957</v>
      </c>
      <c r="Z111" s="1029" t="s">
        <v>2957</v>
      </c>
      <c r="AA111" s="1029" t="s">
        <v>2957</v>
      </c>
      <c r="AB111" s="1029" t="s">
        <v>2957</v>
      </c>
      <c r="AC111" s="1029" t="s">
        <v>2957</v>
      </c>
      <c r="AD111" s="1029" t="s">
        <v>2958</v>
      </c>
      <c r="AE111" s="1029" t="s">
        <v>2957</v>
      </c>
      <c r="AF111" s="1029" t="s">
        <v>2957</v>
      </c>
      <c r="AG111" s="1029" t="s">
        <v>2938</v>
      </c>
      <c r="AH111" s="1029" t="s">
        <v>2959</v>
      </c>
    </row>
    <row r="112" spans="1:34" x14ac:dyDescent="0.3">
      <c r="A112" s="1030" t="s">
        <v>495</v>
      </c>
      <c r="B112" s="1031" t="s">
        <v>2960</v>
      </c>
      <c r="C112" s="1031" t="s">
        <v>2961</v>
      </c>
      <c r="D112" s="1031" t="s">
        <v>2960</v>
      </c>
      <c r="E112" s="1031" t="s">
        <v>2563</v>
      </c>
      <c r="F112" s="1031" t="s">
        <v>2754</v>
      </c>
      <c r="G112" s="1031" t="s">
        <v>2754</v>
      </c>
      <c r="H112" s="1031" t="s">
        <v>2962</v>
      </c>
      <c r="I112" s="1031" t="s">
        <v>2963</v>
      </c>
      <c r="J112" s="1031" t="s">
        <v>2720</v>
      </c>
      <c r="K112" s="1031" t="s">
        <v>2964</v>
      </c>
      <c r="L112" s="1031" t="s">
        <v>2965</v>
      </c>
      <c r="M112" s="1031" t="s">
        <v>2966</v>
      </c>
      <c r="N112" s="1031" t="s">
        <v>2967</v>
      </c>
      <c r="O112" s="1031" t="s">
        <v>2968</v>
      </c>
      <c r="P112" s="1031" t="s">
        <v>2967</v>
      </c>
      <c r="Q112" s="1031" t="s">
        <v>2969</v>
      </c>
      <c r="R112" s="1031" t="s">
        <v>2970</v>
      </c>
      <c r="S112" s="1031" t="s">
        <v>2971</v>
      </c>
      <c r="T112" s="1031" t="s">
        <v>2972</v>
      </c>
      <c r="U112" s="1031" t="s">
        <v>2973</v>
      </c>
      <c r="V112" s="1031" t="s">
        <v>2974</v>
      </c>
      <c r="W112" s="1031" t="s">
        <v>2567</v>
      </c>
      <c r="X112" s="1031" t="s">
        <v>2975</v>
      </c>
      <c r="Y112" s="1031" t="s">
        <v>2714</v>
      </c>
      <c r="Z112" s="1031" t="s">
        <v>2714</v>
      </c>
      <c r="AA112" s="1031" t="s">
        <v>2974</v>
      </c>
      <c r="AB112" s="1031" t="s">
        <v>2714</v>
      </c>
      <c r="AC112" s="1031" t="s">
        <v>2976</v>
      </c>
      <c r="AD112" s="1031" t="s">
        <v>2977</v>
      </c>
      <c r="AE112" s="1031" t="s">
        <v>2848</v>
      </c>
      <c r="AF112" s="1031" t="s">
        <v>2848</v>
      </c>
      <c r="AG112" s="1031" t="s">
        <v>2974</v>
      </c>
      <c r="AH112" s="1031" t="s">
        <v>2978</v>
      </c>
    </row>
    <row r="113" spans="1:34" x14ac:dyDescent="0.3">
      <c r="A113" s="1013" t="s">
        <v>496</v>
      </c>
      <c r="B113" s="1012">
        <f>0.095*100</f>
        <v>9.5</v>
      </c>
      <c r="C113" s="1012" t="s">
        <v>2979</v>
      </c>
      <c r="D113" s="1012" t="s">
        <v>497</v>
      </c>
      <c r="E113" s="1012">
        <v>9.5</v>
      </c>
      <c r="F113" s="1012">
        <v>9.5</v>
      </c>
      <c r="G113" s="1012">
        <v>9.5</v>
      </c>
      <c r="H113" s="1012" t="s">
        <v>485</v>
      </c>
      <c r="I113" s="1012" t="s">
        <v>498</v>
      </c>
      <c r="J113" s="1012" t="s">
        <v>2979</v>
      </c>
      <c r="K113" s="1012">
        <v>9.5</v>
      </c>
      <c r="L113" s="1012">
        <v>9.35</v>
      </c>
      <c r="M113" s="1012" t="s">
        <v>2704</v>
      </c>
      <c r="N113" s="1012">
        <v>9.35</v>
      </c>
      <c r="O113" s="1012">
        <v>9.35</v>
      </c>
      <c r="P113" s="1012" t="s">
        <v>2980</v>
      </c>
      <c r="Q113" s="1012">
        <v>9.35</v>
      </c>
      <c r="R113" s="1012" t="s">
        <v>2981</v>
      </c>
      <c r="S113" s="1012">
        <v>8.85</v>
      </c>
      <c r="T113" s="1012" t="s">
        <v>2982</v>
      </c>
      <c r="U113" s="1012">
        <v>7.85</v>
      </c>
      <c r="V113" s="1012">
        <v>7.85</v>
      </c>
      <c r="W113" s="1012">
        <v>7.85</v>
      </c>
      <c r="X113" s="1012">
        <v>7.85</v>
      </c>
      <c r="Y113" s="1012" t="s">
        <v>2983</v>
      </c>
      <c r="Z113" s="1012" t="s">
        <v>2529</v>
      </c>
      <c r="AA113" s="1012" t="s">
        <v>2529</v>
      </c>
      <c r="AB113" s="1012" t="s">
        <v>2710</v>
      </c>
      <c r="AC113" s="1012" t="s">
        <v>2529</v>
      </c>
      <c r="AD113" s="1012" t="s">
        <v>2710</v>
      </c>
      <c r="AE113" s="1012" t="s">
        <v>2710</v>
      </c>
      <c r="AF113" s="1012" t="s">
        <v>2710</v>
      </c>
      <c r="AG113" s="1012" t="s">
        <v>2710</v>
      </c>
      <c r="AH113" s="1012" t="s">
        <v>2710</v>
      </c>
    </row>
    <row r="114" spans="1:34" x14ac:dyDescent="0.3">
      <c r="A114" s="1013" t="s">
        <v>2984</v>
      </c>
      <c r="B114" s="1031" t="s">
        <v>425</v>
      </c>
      <c r="C114" s="1031" t="s">
        <v>425</v>
      </c>
      <c r="D114" s="1031" t="s">
        <v>425</v>
      </c>
      <c r="E114" s="1031" t="s">
        <v>425</v>
      </c>
      <c r="F114" s="1031" t="s">
        <v>425</v>
      </c>
      <c r="G114" s="1031" t="s">
        <v>425</v>
      </c>
      <c r="H114" s="1031" t="s">
        <v>425</v>
      </c>
      <c r="I114" s="1031" t="s">
        <v>2985</v>
      </c>
      <c r="J114" s="1031" t="s">
        <v>425</v>
      </c>
      <c r="K114" s="1031" t="s">
        <v>425</v>
      </c>
      <c r="L114" s="1031" t="s">
        <v>2702</v>
      </c>
      <c r="M114" s="1031" t="s">
        <v>2986</v>
      </c>
      <c r="N114" s="1031" t="s">
        <v>2702</v>
      </c>
      <c r="O114" s="1031" t="s">
        <v>2702</v>
      </c>
      <c r="P114" s="1031" t="s">
        <v>2704</v>
      </c>
      <c r="Q114" s="1031" t="s">
        <v>2987</v>
      </c>
      <c r="R114" s="1031" t="s">
        <v>2702</v>
      </c>
      <c r="S114" s="1031" t="s">
        <v>2902</v>
      </c>
      <c r="T114" s="1031" t="s">
        <v>2988</v>
      </c>
      <c r="U114" s="1031" t="s">
        <v>2529</v>
      </c>
      <c r="V114" s="1031" t="s">
        <v>2529</v>
      </c>
      <c r="W114" s="1031" t="s">
        <v>2529</v>
      </c>
      <c r="X114" s="1031" t="s">
        <v>2529</v>
      </c>
      <c r="Y114" s="1031" t="s">
        <v>2529</v>
      </c>
      <c r="Z114" s="1031" t="s">
        <v>2863</v>
      </c>
      <c r="AA114" s="1031" t="s">
        <v>2529</v>
      </c>
      <c r="AB114" s="1031" t="s">
        <v>2529</v>
      </c>
      <c r="AC114" s="1031" t="s">
        <v>2529</v>
      </c>
      <c r="AD114" s="1031" t="s">
        <v>2529</v>
      </c>
      <c r="AE114" s="1031" t="s">
        <v>2529</v>
      </c>
      <c r="AF114" s="1031" t="s">
        <v>2530</v>
      </c>
      <c r="AG114" s="1031" t="s">
        <v>2529</v>
      </c>
      <c r="AH114" s="1031" t="s">
        <v>2529</v>
      </c>
    </row>
    <row r="115" spans="1:34" x14ac:dyDescent="0.3">
      <c r="A115" s="1013" t="s">
        <v>499</v>
      </c>
      <c r="B115" s="1012">
        <f>0.095*100</f>
        <v>9.5</v>
      </c>
      <c r="C115" s="1012">
        <v>9.5</v>
      </c>
      <c r="D115" s="1012">
        <v>9.5</v>
      </c>
      <c r="E115" s="1012">
        <v>9.5</v>
      </c>
      <c r="F115" s="1012">
        <v>9.5</v>
      </c>
      <c r="G115" s="1012">
        <v>9.5</v>
      </c>
      <c r="H115" s="1012">
        <v>9.5</v>
      </c>
      <c r="I115" s="1012">
        <v>9.5</v>
      </c>
      <c r="J115" s="1012">
        <v>9.5</v>
      </c>
      <c r="K115" s="1012">
        <v>9.5</v>
      </c>
      <c r="L115" s="1012">
        <v>9.35</v>
      </c>
      <c r="M115" s="1012">
        <v>9.35</v>
      </c>
      <c r="N115" s="1012">
        <v>9.35</v>
      </c>
      <c r="O115" s="1012" t="s">
        <v>2989</v>
      </c>
      <c r="P115" s="1012">
        <v>9.35</v>
      </c>
      <c r="Q115" s="1012">
        <v>9.35</v>
      </c>
      <c r="R115" s="1012" t="s">
        <v>2989</v>
      </c>
      <c r="S115" s="1012">
        <v>8.85</v>
      </c>
      <c r="T115" s="1012" t="s">
        <v>2990</v>
      </c>
      <c r="U115" s="1012" t="s">
        <v>2990</v>
      </c>
      <c r="V115" s="1012">
        <v>7.85</v>
      </c>
      <c r="W115" s="1012">
        <v>7.85</v>
      </c>
      <c r="X115" s="1012">
        <v>7.85</v>
      </c>
      <c r="Y115" s="1012">
        <v>7.85</v>
      </c>
      <c r="Z115" s="1012">
        <v>7.85</v>
      </c>
      <c r="AA115" s="1012">
        <v>7.85</v>
      </c>
      <c r="AB115" s="1012">
        <v>7.85</v>
      </c>
      <c r="AC115" s="1012">
        <v>7.85</v>
      </c>
      <c r="AD115" s="1012">
        <v>7.85</v>
      </c>
      <c r="AE115" s="1012">
        <v>7.85</v>
      </c>
      <c r="AF115" s="1012">
        <v>7.85</v>
      </c>
      <c r="AG115" s="1012">
        <v>7.85</v>
      </c>
      <c r="AH115" s="1012">
        <v>7.85</v>
      </c>
    </row>
    <row r="116" spans="1:34" ht="18" thickBot="1" x14ac:dyDescent="0.35">
      <c r="A116" s="1032" t="s">
        <v>2991</v>
      </c>
      <c r="B116" s="1033" t="s">
        <v>2992</v>
      </c>
      <c r="C116" s="1033" t="s">
        <v>2993</v>
      </c>
      <c r="D116" s="1033" t="s">
        <v>2993</v>
      </c>
      <c r="E116" s="1033" t="s">
        <v>2993</v>
      </c>
      <c r="F116" s="1033" t="s">
        <v>2555</v>
      </c>
      <c r="G116" s="1033" t="s">
        <v>2555</v>
      </c>
      <c r="H116" s="1033" t="s">
        <v>2555</v>
      </c>
      <c r="I116" s="1033" t="s">
        <v>2555</v>
      </c>
      <c r="J116" s="1033" t="s">
        <v>2994</v>
      </c>
      <c r="K116" s="1033" t="s">
        <v>2550</v>
      </c>
      <c r="L116" s="1033" t="s">
        <v>2552</v>
      </c>
      <c r="M116" s="1033" t="s">
        <v>2552</v>
      </c>
      <c r="N116" s="1033" t="s">
        <v>2545</v>
      </c>
      <c r="O116" s="1033" t="s">
        <v>2834</v>
      </c>
      <c r="P116" s="1033" t="s">
        <v>2834</v>
      </c>
      <c r="Q116" s="1033" t="s">
        <v>2545</v>
      </c>
      <c r="R116" s="1033" t="s">
        <v>2588</v>
      </c>
      <c r="S116" s="1034">
        <v>5.35</v>
      </c>
      <c r="T116" s="1034" t="s">
        <v>2526</v>
      </c>
      <c r="U116" s="1034" t="s">
        <v>2586</v>
      </c>
      <c r="V116" s="1034" t="s">
        <v>2836</v>
      </c>
      <c r="W116" s="1034" t="s">
        <v>2777</v>
      </c>
      <c r="X116" s="1034" t="s">
        <v>2520</v>
      </c>
      <c r="Y116" s="1034" t="s">
        <v>2526</v>
      </c>
      <c r="Z116" s="1034" t="s">
        <v>115</v>
      </c>
      <c r="AA116" s="1034" t="s">
        <v>2554</v>
      </c>
      <c r="AB116" s="1034" t="s">
        <v>115</v>
      </c>
      <c r="AC116" s="1034" t="s">
        <v>2995</v>
      </c>
      <c r="AD116" s="1034" t="s">
        <v>115</v>
      </c>
      <c r="AE116" s="1034" t="s">
        <v>2996</v>
      </c>
      <c r="AF116" s="1034">
        <v>3.55</v>
      </c>
      <c r="AG116" s="1034" t="s">
        <v>115</v>
      </c>
      <c r="AH116" s="1034" t="s">
        <v>115</v>
      </c>
    </row>
    <row r="117" spans="1:34" ht="19.5" customHeight="1" thickTop="1" x14ac:dyDescent="0.25">
      <c r="A117" s="180"/>
      <c r="B117" s="1035"/>
      <c r="C117" s="1035"/>
      <c r="D117" s="1035"/>
      <c r="E117" s="1035"/>
      <c r="F117" s="1035"/>
      <c r="G117" s="1035"/>
      <c r="H117" s="1035"/>
      <c r="I117" s="1035"/>
      <c r="J117" s="1035"/>
      <c r="K117" s="1035"/>
      <c r="L117" s="1035"/>
      <c r="M117" s="1035"/>
      <c r="N117" s="1035"/>
      <c r="O117" s="1035"/>
      <c r="P117" s="1035"/>
      <c r="Q117" s="1035"/>
      <c r="R117" s="1035"/>
      <c r="S117" s="1035"/>
      <c r="T117" s="1035"/>
      <c r="U117" s="1035"/>
      <c r="V117" s="1035"/>
      <c r="W117" s="1035"/>
      <c r="X117" s="1035"/>
      <c r="Y117" s="1035"/>
      <c r="Z117" s="1035"/>
      <c r="AA117" s="1035"/>
      <c r="AB117" s="1035"/>
      <c r="AC117" s="1035"/>
      <c r="AD117" s="1035"/>
      <c r="AE117" s="1035"/>
      <c r="AF117" s="1035"/>
      <c r="AG117" s="1035"/>
      <c r="AH117" s="1035"/>
    </row>
    <row r="118" spans="1:34" ht="19.5" customHeight="1" x14ac:dyDescent="0.25">
      <c r="A118" s="1036" t="s">
        <v>2997</v>
      </c>
      <c r="B118" s="1035"/>
      <c r="C118" s="1035"/>
      <c r="D118" s="1035"/>
      <c r="E118" s="1035"/>
      <c r="F118" s="1035"/>
      <c r="G118" s="1035"/>
      <c r="H118" s="1035"/>
      <c r="I118" s="1035"/>
      <c r="J118" s="1035"/>
      <c r="K118" s="1035"/>
      <c r="L118" s="1035"/>
      <c r="M118" s="1035"/>
      <c r="N118" s="1035"/>
      <c r="O118" s="1035"/>
      <c r="P118" s="1035"/>
      <c r="Q118" s="1035"/>
      <c r="R118" s="1035"/>
      <c r="S118" s="1035"/>
      <c r="T118" s="1035"/>
      <c r="U118" s="1035"/>
      <c r="V118" s="1035"/>
      <c r="W118" s="1035"/>
      <c r="X118" s="1035"/>
      <c r="Y118" s="1035"/>
      <c r="Z118" s="1035"/>
      <c r="AA118" s="1035"/>
      <c r="AB118" s="1035"/>
      <c r="AC118" s="1035"/>
      <c r="AD118" s="1035"/>
      <c r="AE118" s="1035"/>
      <c r="AF118" s="1035"/>
      <c r="AG118" s="1035"/>
      <c r="AH118" s="1035"/>
    </row>
    <row r="119" spans="1:34" ht="15" customHeight="1" x14ac:dyDescent="0.25">
      <c r="A119" s="3700" t="s">
        <v>134</v>
      </c>
      <c r="B119" s="3700"/>
      <c r="C119" s="3700"/>
      <c r="D119" s="1150"/>
      <c r="E119" s="1150"/>
      <c r="F119" s="1150"/>
      <c r="G119" s="1150"/>
      <c r="H119" s="1150"/>
      <c r="I119" s="1150"/>
      <c r="J119" s="1150"/>
      <c r="K119" s="1150"/>
      <c r="L119" s="1150"/>
      <c r="M119" s="1150"/>
      <c r="N119" s="1150"/>
      <c r="O119" s="1150"/>
      <c r="P119" s="1150"/>
      <c r="Q119" s="1150"/>
      <c r="R119" s="1150"/>
      <c r="S119" s="1150"/>
      <c r="T119" s="1150"/>
      <c r="U119" s="1150"/>
      <c r="V119" s="1150"/>
      <c r="W119" s="1150"/>
      <c r="X119" s="1150"/>
      <c r="Y119" s="1150"/>
      <c r="Z119" s="1150"/>
      <c r="AA119" s="1150"/>
      <c r="AB119" s="1150"/>
      <c r="AC119" s="1150"/>
      <c r="AD119" s="1150"/>
      <c r="AE119" s="1150"/>
      <c r="AF119" s="1150"/>
      <c r="AG119" s="1150"/>
      <c r="AH119" s="1150"/>
    </row>
  </sheetData>
  <dataConsolidate function="countNums">
    <dataRefs count="2">
      <dataRef ref="C4:AJ4" sheet="Bulletin - New Loans" r:id="rId1"/>
      <dataRef ref="C4:AL104" sheet="Bulletin - New Loans" r:id="rId2"/>
    </dataRefs>
  </dataConsolidate>
  <mergeCells count="1">
    <mergeCell ref="A119:C119"/>
  </mergeCells>
  <printOptions horizontalCentered="1"/>
  <pageMargins left="0.75" right="0.75" top="0.75" bottom="0.75" header="0.3" footer="0"/>
  <pageSetup paperSize="9" scale="35" fitToHeight="0" orientation="landscape" r:id="rId3"/>
  <headerFooter alignWithMargins="0"/>
  <rowBreaks count="1" manualBreakCount="1">
    <brk id="66" max="16383"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WVL200"/>
  <sheetViews>
    <sheetView zoomScale="90" zoomScaleNormal="90" zoomScaleSheetLayoutView="100" workbookViewId="0">
      <pane xSplit="1" ySplit="145" topLeftCell="B146" activePane="bottomRight" state="frozen"/>
      <selection activeCell="K39" sqref="K39"/>
      <selection pane="topRight" activeCell="K39" sqref="K39"/>
      <selection pane="bottomLeft" activeCell="K39" sqref="K39"/>
      <selection pane="bottomRight" activeCell="A199" sqref="A199:I199"/>
    </sheetView>
  </sheetViews>
  <sheetFormatPr defaultRowHeight="14.25" x14ac:dyDescent="0.25"/>
  <cols>
    <col min="1" max="1" width="11.28515625" style="1040" customWidth="1"/>
    <col min="2" max="4" width="13.140625" style="1040" customWidth="1"/>
    <col min="5" max="5" width="13.7109375" style="1040" customWidth="1"/>
    <col min="6" max="6" width="13.7109375" style="1040" bestFit="1" customWidth="1"/>
    <col min="7" max="7" width="14.140625" style="1040" customWidth="1"/>
    <col min="8" max="8" width="12" style="1040" bestFit="1" customWidth="1"/>
    <col min="9" max="9" width="14.28515625" style="1040" customWidth="1"/>
    <col min="10" max="10" width="10.28515625" style="1040" customWidth="1"/>
    <col min="11" max="254" width="9.140625" style="1040"/>
    <col min="255" max="255" width="11.28515625" style="1040" customWidth="1"/>
    <col min="256" max="256" width="12.7109375" style="1040" customWidth="1"/>
    <col min="257" max="257" width="9.140625" style="1040" hidden="1" customWidth="1"/>
    <col min="258" max="258" width="10.28515625" style="1040" customWidth="1"/>
    <col min="259" max="259" width="12.85546875" style="1040" customWidth="1"/>
    <col min="260" max="260" width="9.140625" style="1040" hidden="1" customWidth="1"/>
    <col min="261" max="261" width="13" style="1040" customWidth="1"/>
    <col min="262" max="262" width="12.140625" style="1040" customWidth="1"/>
    <col min="263" max="263" width="13.28515625" style="1040" customWidth="1"/>
    <col min="264" max="264" width="15.7109375" style="1040" customWidth="1"/>
    <col min="265" max="265" width="11.7109375" style="1040" customWidth="1"/>
    <col min="266" max="510" width="9.140625" style="1040"/>
    <col min="511" max="511" width="11.28515625" style="1040" customWidth="1"/>
    <col min="512" max="512" width="12.7109375" style="1040" customWidth="1"/>
    <col min="513" max="513" width="9.140625" style="1040" hidden="1" customWidth="1"/>
    <col min="514" max="514" width="10.28515625" style="1040" customWidth="1"/>
    <col min="515" max="515" width="12.85546875" style="1040" customWidth="1"/>
    <col min="516" max="516" width="9.140625" style="1040" hidden="1" customWidth="1"/>
    <col min="517" max="517" width="13" style="1040" customWidth="1"/>
    <col min="518" max="518" width="12.140625" style="1040" customWidth="1"/>
    <col min="519" max="519" width="13.28515625" style="1040" customWidth="1"/>
    <col min="520" max="520" width="15.7109375" style="1040" customWidth="1"/>
    <col min="521" max="521" width="11.7109375" style="1040" customWidth="1"/>
    <col min="522" max="766" width="9.140625" style="1040"/>
    <col min="767" max="767" width="11.28515625" style="1040" customWidth="1"/>
    <col min="768" max="768" width="12.7109375" style="1040" customWidth="1"/>
    <col min="769" max="769" width="9.140625" style="1040" hidden="1" customWidth="1"/>
    <col min="770" max="770" width="10.28515625" style="1040" customWidth="1"/>
    <col min="771" max="771" width="12.85546875" style="1040" customWidth="1"/>
    <col min="772" max="772" width="9.140625" style="1040" hidden="1" customWidth="1"/>
    <col min="773" max="773" width="13" style="1040" customWidth="1"/>
    <col min="774" max="774" width="12.140625" style="1040" customWidth="1"/>
    <col min="775" max="775" width="13.28515625" style="1040" customWidth="1"/>
    <col min="776" max="776" width="15.7109375" style="1040" customWidth="1"/>
    <col min="777" max="777" width="11.7109375" style="1040" customWidth="1"/>
    <col min="778" max="1022" width="9.140625" style="1040"/>
    <col min="1023" max="1023" width="11.28515625" style="1040" customWidth="1"/>
    <col min="1024" max="1024" width="12.7109375" style="1040" customWidth="1"/>
    <col min="1025" max="1025" width="9.140625" style="1040" hidden="1" customWidth="1"/>
    <col min="1026" max="1026" width="10.28515625" style="1040" customWidth="1"/>
    <col min="1027" max="1027" width="12.85546875" style="1040" customWidth="1"/>
    <col min="1028" max="1028" width="9.140625" style="1040" hidden="1" customWidth="1"/>
    <col min="1029" max="1029" width="13" style="1040" customWidth="1"/>
    <col min="1030" max="1030" width="12.140625" style="1040" customWidth="1"/>
    <col min="1031" max="1031" width="13.28515625" style="1040" customWidth="1"/>
    <col min="1032" max="1032" width="15.7109375" style="1040" customWidth="1"/>
    <col min="1033" max="1033" width="11.7109375" style="1040" customWidth="1"/>
    <col min="1034" max="1278" width="9.140625" style="1040"/>
    <col min="1279" max="1279" width="11.28515625" style="1040" customWidth="1"/>
    <col min="1280" max="1280" width="12.7109375" style="1040" customWidth="1"/>
    <col min="1281" max="1281" width="9.140625" style="1040" hidden="1" customWidth="1"/>
    <col min="1282" max="1282" width="10.28515625" style="1040" customWidth="1"/>
    <col min="1283" max="1283" width="12.85546875" style="1040" customWidth="1"/>
    <col min="1284" max="1284" width="9.140625" style="1040" hidden="1" customWidth="1"/>
    <col min="1285" max="1285" width="13" style="1040" customWidth="1"/>
    <col min="1286" max="1286" width="12.140625" style="1040" customWidth="1"/>
    <col min="1287" max="1287" width="13.28515625" style="1040" customWidth="1"/>
    <col min="1288" max="1288" width="15.7109375" style="1040" customWidth="1"/>
    <col min="1289" max="1289" width="11.7109375" style="1040" customWidth="1"/>
    <col min="1290" max="1534" width="9.140625" style="1040"/>
    <col min="1535" max="1535" width="11.28515625" style="1040" customWidth="1"/>
    <col min="1536" max="1536" width="12.7109375" style="1040" customWidth="1"/>
    <col min="1537" max="1537" width="9.140625" style="1040" hidden="1" customWidth="1"/>
    <col min="1538" max="1538" width="10.28515625" style="1040" customWidth="1"/>
    <col min="1539" max="1539" width="12.85546875" style="1040" customWidth="1"/>
    <col min="1540" max="1540" width="9.140625" style="1040" hidden="1" customWidth="1"/>
    <col min="1541" max="1541" width="13" style="1040" customWidth="1"/>
    <col min="1542" max="1542" width="12.140625" style="1040" customWidth="1"/>
    <col min="1543" max="1543" width="13.28515625" style="1040" customWidth="1"/>
    <col min="1544" max="1544" width="15.7109375" style="1040" customWidth="1"/>
    <col min="1545" max="1545" width="11.7109375" style="1040" customWidth="1"/>
    <col min="1546" max="1790" width="9.140625" style="1040"/>
    <col min="1791" max="1791" width="11.28515625" style="1040" customWidth="1"/>
    <col min="1792" max="1792" width="12.7109375" style="1040" customWidth="1"/>
    <col min="1793" max="1793" width="9.140625" style="1040" hidden="1" customWidth="1"/>
    <col min="1794" max="1794" width="10.28515625" style="1040" customWidth="1"/>
    <col min="1795" max="1795" width="12.85546875" style="1040" customWidth="1"/>
    <col min="1796" max="1796" width="9.140625" style="1040" hidden="1" customWidth="1"/>
    <col min="1797" max="1797" width="13" style="1040" customWidth="1"/>
    <col min="1798" max="1798" width="12.140625" style="1040" customWidth="1"/>
    <col min="1799" max="1799" width="13.28515625" style="1040" customWidth="1"/>
    <col min="1800" max="1800" width="15.7109375" style="1040" customWidth="1"/>
    <col min="1801" max="1801" width="11.7109375" style="1040" customWidth="1"/>
    <col min="1802" max="2046" width="9.140625" style="1040"/>
    <col min="2047" max="2047" width="11.28515625" style="1040" customWidth="1"/>
    <col min="2048" max="2048" width="12.7109375" style="1040" customWidth="1"/>
    <col min="2049" max="2049" width="9.140625" style="1040" hidden="1" customWidth="1"/>
    <col min="2050" max="2050" width="10.28515625" style="1040" customWidth="1"/>
    <col min="2051" max="2051" width="12.85546875" style="1040" customWidth="1"/>
    <col min="2052" max="2052" width="9.140625" style="1040" hidden="1" customWidth="1"/>
    <col min="2053" max="2053" width="13" style="1040" customWidth="1"/>
    <col min="2054" max="2054" width="12.140625" style="1040" customWidth="1"/>
    <col min="2055" max="2055" width="13.28515625" style="1040" customWidth="1"/>
    <col min="2056" max="2056" width="15.7109375" style="1040" customWidth="1"/>
    <col min="2057" max="2057" width="11.7109375" style="1040" customWidth="1"/>
    <col min="2058" max="2302" width="9.140625" style="1040"/>
    <col min="2303" max="2303" width="11.28515625" style="1040" customWidth="1"/>
    <col min="2304" max="2304" width="12.7109375" style="1040" customWidth="1"/>
    <col min="2305" max="2305" width="9.140625" style="1040" hidden="1" customWidth="1"/>
    <col min="2306" max="2306" width="10.28515625" style="1040" customWidth="1"/>
    <col min="2307" max="2307" width="12.85546875" style="1040" customWidth="1"/>
    <col min="2308" max="2308" width="9.140625" style="1040" hidden="1" customWidth="1"/>
    <col min="2309" max="2309" width="13" style="1040" customWidth="1"/>
    <col min="2310" max="2310" width="12.140625" style="1040" customWidth="1"/>
    <col min="2311" max="2311" width="13.28515625" style="1040" customWidth="1"/>
    <col min="2312" max="2312" width="15.7109375" style="1040" customWidth="1"/>
    <col min="2313" max="2313" width="11.7109375" style="1040" customWidth="1"/>
    <col min="2314" max="2558" width="9.140625" style="1040"/>
    <col min="2559" max="2559" width="11.28515625" style="1040" customWidth="1"/>
    <col min="2560" max="2560" width="12.7109375" style="1040" customWidth="1"/>
    <col min="2561" max="2561" width="9.140625" style="1040" hidden="1" customWidth="1"/>
    <col min="2562" max="2562" width="10.28515625" style="1040" customWidth="1"/>
    <col min="2563" max="2563" width="12.85546875" style="1040" customWidth="1"/>
    <col min="2564" max="2564" width="9.140625" style="1040" hidden="1" customWidth="1"/>
    <col min="2565" max="2565" width="13" style="1040" customWidth="1"/>
    <col min="2566" max="2566" width="12.140625" style="1040" customWidth="1"/>
    <col min="2567" max="2567" width="13.28515625" style="1040" customWidth="1"/>
    <col min="2568" max="2568" width="15.7109375" style="1040" customWidth="1"/>
    <col min="2569" max="2569" width="11.7109375" style="1040" customWidth="1"/>
    <col min="2570" max="2814" width="9.140625" style="1040"/>
    <col min="2815" max="2815" width="11.28515625" style="1040" customWidth="1"/>
    <col min="2816" max="2816" width="12.7109375" style="1040" customWidth="1"/>
    <col min="2817" max="2817" width="9.140625" style="1040" hidden="1" customWidth="1"/>
    <col min="2818" max="2818" width="10.28515625" style="1040" customWidth="1"/>
    <col min="2819" max="2819" width="12.85546875" style="1040" customWidth="1"/>
    <col min="2820" max="2820" width="9.140625" style="1040" hidden="1" customWidth="1"/>
    <col min="2821" max="2821" width="13" style="1040" customWidth="1"/>
    <col min="2822" max="2822" width="12.140625" style="1040" customWidth="1"/>
    <col min="2823" max="2823" width="13.28515625" style="1040" customWidth="1"/>
    <col min="2824" max="2824" width="15.7109375" style="1040" customWidth="1"/>
    <col min="2825" max="2825" width="11.7109375" style="1040" customWidth="1"/>
    <col min="2826" max="3070" width="9.140625" style="1040"/>
    <col min="3071" max="3071" width="11.28515625" style="1040" customWidth="1"/>
    <col min="3072" max="3072" width="12.7109375" style="1040" customWidth="1"/>
    <col min="3073" max="3073" width="9.140625" style="1040" hidden="1" customWidth="1"/>
    <col min="3074" max="3074" width="10.28515625" style="1040" customWidth="1"/>
    <col min="3075" max="3075" width="12.85546875" style="1040" customWidth="1"/>
    <col min="3076" max="3076" width="9.140625" style="1040" hidden="1" customWidth="1"/>
    <col min="3077" max="3077" width="13" style="1040" customWidth="1"/>
    <col min="3078" max="3078" width="12.140625" style="1040" customWidth="1"/>
    <col min="3079" max="3079" width="13.28515625" style="1040" customWidth="1"/>
    <col min="3080" max="3080" width="15.7109375" style="1040" customWidth="1"/>
    <col min="3081" max="3081" width="11.7109375" style="1040" customWidth="1"/>
    <col min="3082" max="3326" width="9.140625" style="1040"/>
    <col min="3327" max="3327" width="11.28515625" style="1040" customWidth="1"/>
    <col min="3328" max="3328" width="12.7109375" style="1040" customWidth="1"/>
    <col min="3329" max="3329" width="9.140625" style="1040" hidden="1" customWidth="1"/>
    <col min="3330" max="3330" width="10.28515625" style="1040" customWidth="1"/>
    <col min="3331" max="3331" width="12.85546875" style="1040" customWidth="1"/>
    <col min="3332" max="3332" width="9.140625" style="1040" hidden="1" customWidth="1"/>
    <col min="3333" max="3333" width="13" style="1040" customWidth="1"/>
    <col min="3334" max="3334" width="12.140625" style="1040" customWidth="1"/>
    <col min="3335" max="3335" width="13.28515625" style="1040" customWidth="1"/>
    <col min="3336" max="3336" width="15.7109375" style="1040" customWidth="1"/>
    <col min="3337" max="3337" width="11.7109375" style="1040" customWidth="1"/>
    <col min="3338" max="3582" width="9.140625" style="1040"/>
    <col min="3583" max="3583" width="11.28515625" style="1040" customWidth="1"/>
    <col min="3584" max="3584" width="12.7109375" style="1040" customWidth="1"/>
    <col min="3585" max="3585" width="9.140625" style="1040" hidden="1" customWidth="1"/>
    <col min="3586" max="3586" width="10.28515625" style="1040" customWidth="1"/>
    <col min="3587" max="3587" width="12.85546875" style="1040" customWidth="1"/>
    <col min="3588" max="3588" width="9.140625" style="1040" hidden="1" customWidth="1"/>
    <col min="3589" max="3589" width="13" style="1040" customWidth="1"/>
    <col min="3590" max="3590" width="12.140625" style="1040" customWidth="1"/>
    <col min="3591" max="3591" width="13.28515625" style="1040" customWidth="1"/>
    <col min="3592" max="3592" width="15.7109375" style="1040" customWidth="1"/>
    <col min="3593" max="3593" width="11.7109375" style="1040" customWidth="1"/>
    <col min="3594" max="3838" width="9.140625" style="1040"/>
    <col min="3839" max="3839" width="11.28515625" style="1040" customWidth="1"/>
    <col min="3840" max="3840" width="12.7109375" style="1040" customWidth="1"/>
    <col min="3841" max="3841" width="9.140625" style="1040" hidden="1" customWidth="1"/>
    <col min="3842" max="3842" width="10.28515625" style="1040" customWidth="1"/>
    <col min="3843" max="3843" width="12.85546875" style="1040" customWidth="1"/>
    <col min="3844" max="3844" width="9.140625" style="1040" hidden="1" customWidth="1"/>
    <col min="3845" max="3845" width="13" style="1040" customWidth="1"/>
    <col min="3846" max="3846" width="12.140625" style="1040" customWidth="1"/>
    <col min="3847" max="3847" width="13.28515625" style="1040" customWidth="1"/>
    <col min="3848" max="3848" width="15.7109375" style="1040" customWidth="1"/>
    <col min="3849" max="3849" width="11.7109375" style="1040" customWidth="1"/>
    <col min="3850" max="4094" width="9.140625" style="1040"/>
    <col min="4095" max="4095" width="11.28515625" style="1040" customWidth="1"/>
    <col min="4096" max="4096" width="12.7109375" style="1040" customWidth="1"/>
    <col min="4097" max="4097" width="9.140625" style="1040" hidden="1" customWidth="1"/>
    <col min="4098" max="4098" width="10.28515625" style="1040" customWidth="1"/>
    <col min="4099" max="4099" width="12.85546875" style="1040" customWidth="1"/>
    <col min="4100" max="4100" width="9.140625" style="1040" hidden="1" customWidth="1"/>
    <col min="4101" max="4101" width="13" style="1040" customWidth="1"/>
    <col min="4102" max="4102" width="12.140625" style="1040" customWidth="1"/>
    <col min="4103" max="4103" width="13.28515625" style="1040" customWidth="1"/>
    <col min="4104" max="4104" width="15.7109375" style="1040" customWidth="1"/>
    <col min="4105" max="4105" width="11.7109375" style="1040" customWidth="1"/>
    <col min="4106" max="4350" width="9.140625" style="1040"/>
    <col min="4351" max="4351" width="11.28515625" style="1040" customWidth="1"/>
    <col min="4352" max="4352" width="12.7109375" style="1040" customWidth="1"/>
    <col min="4353" max="4353" width="9.140625" style="1040" hidden="1" customWidth="1"/>
    <col min="4354" max="4354" width="10.28515625" style="1040" customWidth="1"/>
    <col min="4355" max="4355" width="12.85546875" style="1040" customWidth="1"/>
    <col min="4356" max="4356" width="9.140625" style="1040" hidden="1" customWidth="1"/>
    <col min="4357" max="4357" width="13" style="1040" customWidth="1"/>
    <col min="4358" max="4358" width="12.140625" style="1040" customWidth="1"/>
    <col min="4359" max="4359" width="13.28515625" style="1040" customWidth="1"/>
    <col min="4360" max="4360" width="15.7109375" style="1040" customWidth="1"/>
    <col min="4361" max="4361" width="11.7109375" style="1040" customWidth="1"/>
    <col min="4362" max="4606" width="9.140625" style="1040"/>
    <col min="4607" max="4607" width="11.28515625" style="1040" customWidth="1"/>
    <col min="4608" max="4608" width="12.7109375" style="1040" customWidth="1"/>
    <col min="4609" max="4609" width="9.140625" style="1040" hidden="1" customWidth="1"/>
    <col min="4610" max="4610" width="10.28515625" style="1040" customWidth="1"/>
    <col min="4611" max="4611" width="12.85546875" style="1040" customWidth="1"/>
    <col min="4612" max="4612" width="9.140625" style="1040" hidden="1" customWidth="1"/>
    <col min="4613" max="4613" width="13" style="1040" customWidth="1"/>
    <col min="4614" max="4614" width="12.140625" style="1040" customWidth="1"/>
    <col min="4615" max="4615" width="13.28515625" style="1040" customWidth="1"/>
    <col min="4616" max="4616" width="15.7109375" style="1040" customWidth="1"/>
    <col min="4617" max="4617" width="11.7109375" style="1040" customWidth="1"/>
    <col min="4618" max="4862" width="9.140625" style="1040"/>
    <col min="4863" max="4863" width="11.28515625" style="1040" customWidth="1"/>
    <col min="4864" max="4864" width="12.7109375" style="1040" customWidth="1"/>
    <col min="4865" max="4865" width="9.140625" style="1040" hidden="1" customWidth="1"/>
    <col min="4866" max="4866" width="10.28515625" style="1040" customWidth="1"/>
    <col min="4867" max="4867" width="12.85546875" style="1040" customWidth="1"/>
    <col min="4868" max="4868" width="9.140625" style="1040" hidden="1" customWidth="1"/>
    <col min="4869" max="4869" width="13" style="1040" customWidth="1"/>
    <col min="4870" max="4870" width="12.140625" style="1040" customWidth="1"/>
    <col min="4871" max="4871" width="13.28515625" style="1040" customWidth="1"/>
    <col min="4872" max="4872" width="15.7109375" style="1040" customWidth="1"/>
    <col min="4873" max="4873" width="11.7109375" style="1040" customWidth="1"/>
    <col min="4874" max="5118" width="9.140625" style="1040"/>
    <col min="5119" max="5119" width="11.28515625" style="1040" customWidth="1"/>
    <col min="5120" max="5120" width="12.7109375" style="1040" customWidth="1"/>
    <col min="5121" max="5121" width="9.140625" style="1040" hidden="1" customWidth="1"/>
    <col min="5122" max="5122" width="10.28515625" style="1040" customWidth="1"/>
    <col min="5123" max="5123" width="12.85546875" style="1040" customWidth="1"/>
    <col min="5124" max="5124" width="9.140625" style="1040" hidden="1" customWidth="1"/>
    <col min="5125" max="5125" width="13" style="1040" customWidth="1"/>
    <col min="5126" max="5126" width="12.140625" style="1040" customWidth="1"/>
    <col min="5127" max="5127" width="13.28515625" style="1040" customWidth="1"/>
    <col min="5128" max="5128" width="15.7109375" style="1040" customWidth="1"/>
    <col min="5129" max="5129" width="11.7109375" style="1040" customWidth="1"/>
    <col min="5130" max="5374" width="9.140625" style="1040"/>
    <col min="5375" max="5375" width="11.28515625" style="1040" customWidth="1"/>
    <col min="5376" max="5376" width="12.7109375" style="1040" customWidth="1"/>
    <col min="5377" max="5377" width="9.140625" style="1040" hidden="1" customWidth="1"/>
    <col min="5378" max="5378" width="10.28515625" style="1040" customWidth="1"/>
    <col min="5379" max="5379" width="12.85546875" style="1040" customWidth="1"/>
    <col min="5380" max="5380" width="9.140625" style="1040" hidden="1" customWidth="1"/>
    <col min="5381" max="5381" width="13" style="1040" customWidth="1"/>
    <col min="5382" max="5382" width="12.140625" style="1040" customWidth="1"/>
    <col min="5383" max="5383" width="13.28515625" style="1040" customWidth="1"/>
    <col min="5384" max="5384" width="15.7109375" style="1040" customWidth="1"/>
    <col min="5385" max="5385" width="11.7109375" style="1040" customWidth="1"/>
    <col min="5386" max="5630" width="9.140625" style="1040"/>
    <col min="5631" max="5631" width="11.28515625" style="1040" customWidth="1"/>
    <col min="5632" max="5632" width="12.7109375" style="1040" customWidth="1"/>
    <col min="5633" max="5633" width="9.140625" style="1040" hidden="1" customWidth="1"/>
    <col min="5634" max="5634" width="10.28515625" style="1040" customWidth="1"/>
    <col min="5635" max="5635" width="12.85546875" style="1040" customWidth="1"/>
    <col min="5636" max="5636" width="9.140625" style="1040" hidden="1" customWidth="1"/>
    <col min="5637" max="5637" width="13" style="1040" customWidth="1"/>
    <col min="5638" max="5638" width="12.140625" style="1040" customWidth="1"/>
    <col min="5639" max="5639" width="13.28515625" style="1040" customWidth="1"/>
    <col min="5640" max="5640" width="15.7109375" style="1040" customWidth="1"/>
    <col min="5641" max="5641" width="11.7109375" style="1040" customWidth="1"/>
    <col min="5642" max="5886" width="9.140625" style="1040"/>
    <col min="5887" max="5887" width="11.28515625" style="1040" customWidth="1"/>
    <col min="5888" max="5888" width="12.7109375" style="1040" customWidth="1"/>
    <col min="5889" max="5889" width="9.140625" style="1040" hidden="1" customWidth="1"/>
    <col min="5890" max="5890" width="10.28515625" style="1040" customWidth="1"/>
    <col min="5891" max="5891" width="12.85546875" style="1040" customWidth="1"/>
    <col min="5892" max="5892" width="9.140625" style="1040" hidden="1" customWidth="1"/>
    <col min="5893" max="5893" width="13" style="1040" customWidth="1"/>
    <col min="5894" max="5894" width="12.140625" style="1040" customWidth="1"/>
    <col min="5895" max="5895" width="13.28515625" style="1040" customWidth="1"/>
    <col min="5896" max="5896" width="15.7109375" style="1040" customWidth="1"/>
    <col min="5897" max="5897" width="11.7109375" style="1040" customWidth="1"/>
    <col min="5898" max="6142" width="9.140625" style="1040"/>
    <col min="6143" max="6143" width="11.28515625" style="1040" customWidth="1"/>
    <col min="6144" max="6144" width="12.7109375" style="1040" customWidth="1"/>
    <col min="6145" max="6145" width="9.140625" style="1040" hidden="1" customWidth="1"/>
    <col min="6146" max="6146" width="10.28515625" style="1040" customWidth="1"/>
    <col min="6147" max="6147" width="12.85546875" style="1040" customWidth="1"/>
    <col min="6148" max="6148" width="9.140625" style="1040" hidden="1" customWidth="1"/>
    <col min="6149" max="6149" width="13" style="1040" customWidth="1"/>
    <col min="6150" max="6150" width="12.140625" style="1040" customWidth="1"/>
    <col min="6151" max="6151" width="13.28515625" style="1040" customWidth="1"/>
    <col min="6152" max="6152" width="15.7109375" style="1040" customWidth="1"/>
    <col min="6153" max="6153" width="11.7109375" style="1040" customWidth="1"/>
    <col min="6154" max="6398" width="9.140625" style="1040"/>
    <col min="6399" max="6399" width="11.28515625" style="1040" customWidth="1"/>
    <col min="6400" max="6400" width="12.7109375" style="1040" customWidth="1"/>
    <col min="6401" max="6401" width="9.140625" style="1040" hidden="1" customWidth="1"/>
    <col min="6402" max="6402" width="10.28515625" style="1040" customWidth="1"/>
    <col min="6403" max="6403" width="12.85546875" style="1040" customWidth="1"/>
    <col min="6404" max="6404" width="9.140625" style="1040" hidden="1" customWidth="1"/>
    <col min="6405" max="6405" width="13" style="1040" customWidth="1"/>
    <col min="6406" max="6406" width="12.140625" style="1040" customWidth="1"/>
    <col min="6407" max="6407" width="13.28515625" style="1040" customWidth="1"/>
    <col min="6408" max="6408" width="15.7109375" style="1040" customWidth="1"/>
    <col min="6409" max="6409" width="11.7109375" style="1040" customWidth="1"/>
    <col min="6410" max="6654" width="9.140625" style="1040"/>
    <col min="6655" max="6655" width="11.28515625" style="1040" customWidth="1"/>
    <col min="6656" max="6656" width="12.7109375" style="1040" customWidth="1"/>
    <col min="6657" max="6657" width="9.140625" style="1040" hidden="1" customWidth="1"/>
    <col min="6658" max="6658" width="10.28515625" style="1040" customWidth="1"/>
    <col min="6659" max="6659" width="12.85546875" style="1040" customWidth="1"/>
    <col min="6660" max="6660" width="9.140625" style="1040" hidden="1" customWidth="1"/>
    <col min="6661" max="6661" width="13" style="1040" customWidth="1"/>
    <col min="6662" max="6662" width="12.140625" style="1040" customWidth="1"/>
    <col min="6663" max="6663" width="13.28515625" style="1040" customWidth="1"/>
    <col min="6664" max="6664" width="15.7109375" style="1040" customWidth="1"/>
    <col min="6665" max="6665" width="11.7109375" style="1040" customWidth="1"/>
    <col min="6666" max="6910" width="9.140625" style="1040"/>
    <col min="6911" max="6911" width="11.28515625" style="1040" customWidth="1"/>
    <col min="6912" max="6912" width="12.7109375" style="1040" customWidth="1"/>
    <col min="6913" max="6913" width="9.140625" style="1040" hidden="1" customWidth="1"/>
    <col min="6914" max="6914" width="10.28515625" style="1040" customWidth="1"/>
    <col min="6915" max="6915" width="12.85546875" style="1040" customWidth="1"/>
    <col min="6916" max="6916" width="9.140625" style="1040" hidden="1" customWidth="1"/>
    <col min="6917" max="6917" width="13" style="1040" customWidth="1"/>
    <col min="6918" max="6918" width="12.140625" style="1040" customWidth="1"/>
    <col min="6919" max="6919" width="13.28515625" style="1040" customWidth="1"/>
    <col min="6920" max="6920" width="15.7109375" style="1040" customWidth="1"/>
    <col min="6921" max="6921" width="11.7109375" style="1040" customWidth="1"/>
    <col min="6922" max="7166" width="9.140625" style="1040"/>
    <col min="7167" max="7167" width="11.28515625" style="1040" customWidth="1"/>
    <col min="7168" max="7168" width="12.7109375" style="1040" customWidth="1"/>
    <col min="7169" max="7169" width="9.140625" style="1040" hidden="1" customWidth="1"/>
    <col min="7170" max="7170" width="10.28515625" style="1040" customWidth="1"/>
    <col min="7171" max="7171" width="12.85546875" style="1040" customWidth="1"/>
    <col min="7172" max="7172" width="9.140625" style="1040" hidden="1" customWidth="1"/>
    <col min="7173" max="7173" width="13" style="1040" customWidth="1"/>
    <col min="7174" max="7174" width="12.140625" style="1040" customWidth="1"/>
    <col min="7175" max="7175" width="13.28515625" style="1040" customWidth="1"/>
    <col min="7176" max="7176" width="15.7109375" style="1040" customWidth="1"/>
    <col min="7177" max="7177" width="11.7109375" style="1040" customWidth="1"/>
    <col min="7178" max="7422" width="9.140625" style="1040"/>
    <col min="7423" max="7423" width="11.28515625" style="1040" customWidth="1"/>
    <col min="7424" max="7424" width="12.7109375" style="1040" customWidth="1"/>
    <col min="7425" max="7425" width="9.140625" style="1040" hidden="1" customWidth="1"/>
    <col min="7426" max="7426" width="10.28515625" style="1040" customWidth="1"/>
    <col min="7427" max="7427" width="12.85546875" style="1040" customWidth="1"/>
    <col min="7428" max="7428" width="9.140625" style="1040" hidden="1" customWidth="1"/>
    <col min="7429" max="7429" width="13" style="1040" customWidth="1"/>
    <col min="7430" max="7430" width="12.140625" style="1040" customWidth="1"/>
    <col min="7431" max="7431" width="13.28515625" style="1040" customWidth="1"/>
    <col min="7432" max="7432" width="15.7109375" style="1040" customWidth="1"/>
    <col min="7433" max="7433" width="11.7109375" style="1040" customWidth="1"/>
    <col min="7434" max="7678" width="9.140625" style="1040"/>
    <col min="7679" max="7679" width="11.28515625" style="1040" customWidth="1"/>
    <col min="7680" max="7680" width="12.7109375" style="1040" customWidth="1"/>
    <col min="7681" max="7681" width="9.140625" style="1040" hidden="1" customWidth="1"/>
    <col min="7682" max="7682" width="10.28515625" style="1040" customWidth="1"/>
    <col min="7683" max="7683" width="12.85546875" style="1040" customWidth="1"/>
    <col min="7684" max="7684" width="9.140625" style="1040" hidden="1" customWidth="1"/>
    <col min="7685" max="7685" width="13" style="1040" customWidth="1"/>
    <col min="7686" max="7686" width="12.140625" style="1040" customWidth="1"/>
    <col min="7687" max="7687" width="13.28515625" style="1040" customWidth="1"/>
    <col min="7688" max="7688" width="15.7109375" style="1040" customWidth="1"/>
    <col min="7689" max="7689" width="11.7109375" style="1040" customWidth="1"/>
    <col min="7690" max="7934" width="9.140625" style="1040"/>
    <col min="7935" max="7935" width="11.28515625" style="1040" customWidth="1"/>
    <col min="7936" max="7936" width="12.7109375" style="1040" customWidth="1"/>
    <col min="7937" max="7937" width="9.140625" style="1040" hidden="1" customWidth="1"/>
    <col min="7938" max="7938" width="10.28515625" style="1040" customWidth="1"/>
    <col min="7939" max="7939" width="12.85546875" style="1040" customWidth="1"/>
    <col min="7940" max="7940" width="9.140625" style="1040" hidden="1" customWidth="1"/>
    <col min="7941" max="7941" width="13" style="1040" customWidth="1"/>
    <col min="7942" max="7942" width="12.140625" style="1040" customWidth="1"/>
    <col min="7943" max="7943" width="13.28515625" style="1040" customWidth="1"/>
    <col min="7944" max="7944" width="15.7109375" style="1040" customWidth="1"/>
    <col min="7945" max="7945" width="11.7109375" style="1040" customWidth="1"/>
    <col min="7946" max="8190" width="9.140625" style="1040"/>
    <col min="8191" max="8191" width="11.28515625" style="1040" customWidth="1"/>
    <col min="8192" max="8192" width="12.7109375" style="1040" customWidth="1"/>
    <col min="8193" max="8193" width="9.140625" style="1040" hidden="1" customWidth="1"/>
    <col min="8194" max="8194" width="10.28515625" style="1040" customWidth="1"/>
    <col min="8195" max="8195" width="12.85546875" style="1040" customWidth="1"/>
    <col min="8196" max="8196" width="9.140625" style="1040" hidden="1" customWidth="1"/>
    <col min="8197" max="8197" width="13" style="1040" customWidth="1"/>
    <col min="8198" max="8198" width="12.140625" style="1040" customWidth="1"/>
    <col min="8199" max="8199" width="13.28515625" style="1040" customWidth="1"/>
    <col min="8200" max="8200" width="15.7109375" style="1040" customWidth="1"/>
    <col min="8201" max="8201" width="11.7109375" style="1040" customWidth="1"/>
    <col min="8202" max="8446" width="9.140625" style="1040"/>
    <col min="8447" max="8447" width="11.28515625" style="1040" customWidth="1"/>
    <col min="8448" max="8448" width="12.7109375" style="1040" customWidth="1"/>
    <col min="8449" max="8449" width="9.140625" style="1040" hidden="1" customWidth="1"/>
    <col min="8450" max="8450" width="10.28515625" style="1040" customWidth="1"/>
    <col min="8451" max="8451" width="12.85546875" style="1040" customWidth="1"/>
    <col min="8452" max="8452" width="9.140625" style="1040" hidden="1" customWidth="1"/>
    <col min="8453" max="8453" width="13" style="1040" customWidth="1"/>
    <col min="8454" max="8454" width="12.140625" style="1040" customWidth="1"/>
    <col min="8455" max="8455" width="13.28515625" style="1040" customWidth="1"/>
    <col min="8456" max="8456" width="15.7109375" style="1040" customWidth="1"/>
    <col min="8457" max="8457" width="11.7109375" style="1040" customWidth="1"/>
    <col min="8458" max="8702" width="9.140625" style="1040"/>
    <col min="8703" max="8703" width="11.28515625" style="1040" customWidth="1"/>
    <col min="8704" max="8704" width="12.7109375" style="1040" customWidth="1"/>
    <col min="8705" max="8705" width="9.140625" style="1040" hidden="1" customWidth="1"/>
    <col min="8706" max="8706" width="10.28515625" style="1040" customWidth="1"/>
    <col min="8707" max="8707" width="12.85546875" style="1040" customWidth="1"/>
    <col min="8708" max="8708" width="9.140625" style="1040" hidden="1" customWidth="1"/>
    <col min="8709" max="8709" width="13" style="1040" customWidth="1"/>
    <col min="8710" max="8710" width="12.140625" style="1040" customWidth="1"/>
    <col min="8711" max="8711" width="13.28515625" style="1040" customWidth="1"/>
    <col min="8712" max="8712" width="15.7109375" style="1040" customWidth="1"/>
    <col min="8713" max="8713" width="11.7109375" style="1040" customWidth="1"/>
    <col min="8714" max="8958" width="9.140625" style="1040"/>
    <col min="8959" max="8959" width="11.28515625" style="1040" customWidth="1"/>
    <col min="8960" max="8960" width="12.7109375" style="1040" customWidth="1"/>
    <col min="8961" max="8961" width="9.140625" style="1040" hidden="1" customWidth="1"/>
    <col min="8962" max="8962" width="10.28515625" style="1040" customWidth="1"/>
    <col min="8963" max="8963" width="12.85546875" style="1040" customWidth="1"/>
    <col min="8964" max="8964" width="9.140625" style="1040" hidden="1" customWidth="1"/>
    <col min="8965" max="8965" width="13" style="1040" customWidth="1"/>
    <col min="8966" max="8966" width="12.140625" style="1040" customWidth="1"/>
    <col min="8967" max="8967" width="13.28515625" style="1040" customWidth="1"/>
    <col min="8968" max="8968" width="15.7109375" style="1040" customWidth="1"/>
    <col min="8969" max="8969" width="11.7109375" style="1040" customWidth="1"/>
    <col min="8970" max="9214" width="9.140625" style="1040"/>
    <col min="9215" max="9215" width="11.28515625" style="1040" customWidth="1"/>
    <col min="9216" max="9216" width="12.7109375" style="1040" customWidth="1"/>
    <col min="9217" max="9217" width="9.140625" style="1040" hidden="1" customWidth="1"/>
    <col min="9218" max="9218" width="10.28515625" style="1040" customWidth="1"/>
    <col min="9219" max="9219" width="12.85546875" style="1040" customWidth="1"/>
    <col min="9220" max="9220" width="9.140625" style="1040" hidden="1" customWidth="1"/>
    <col min="9221" max="9221" width="13" style="1040" customWidth="1"/>
    <col min="9222" max="9222" width="12.140625" style="1040" customWidth="1"/>
    <col min="9223" max="9223" width="13.28515625" style="1040" customWidth="1"/>
    <col min="9224" max="9224" width="15.7109375" style="1040" customWidth="1"/>
    <col min="9225" max="9225" width="11.7109375" style="1040" customWidth="1"/>
    <col min="9226" max="9470" width="9.140625" style="1040"/>
    <col min="9471" max="9471" width="11.28515625" style="1040" customWidth="1"/>
    <col min="9472" max="9472" width="12.7109375" style="1040" customWidth="1"/>
    <col min="9473" max="9473" width="9.140625" style="1040" hidden="1" customWidth="1"/>
    <col min="9474" max="9474" width="10.28515625" style="1040" customWidth="1"/>
    <col min="9475" max="9475" width="12.85546875" style="1040" customWidth="1"/>
    <col min="9476" max="9476" width="9.140625" style="1040" hidden="1" customWidth="1"/>
    <col min="9477" max="9477" width="13" style="1040" customWidth="1"/>
    <col min="9478" max="9478" width="12.140625" style="1040" customWidth="1"/>
    <col min="9479" max="9479" width="13.28515625" style="1040" customWidth="1"/>
    <col min="9480" max="9480" width="15.7109375" style="1040" customWidth="1"/>
    <col min="9481" max="9481" width="11.7109375" style="1040" customWidth="1"/>
    <col min="9482" max="9726" width="9.140625" style="1040"/>
    <col min="9727" max="9727" width="11.28515625" style="1040" customWidth="1"/>
    <col min="9728" max="9728" width="12.7109375" style="1040" customWidth="1"/>
    <col min="9729" max="9729" width="9.140625" style="1040" hidden="1" customWidth="1"/>
    <col min="9730" max="9730" width="10.28515625" style="1040" customWidth="1"/>
    <col min="9731" max="9731" width="12.85546875" style="1040" customWidth="1"/>
    <col min="9732" max="9732" width="9.140625" style="1040" hidden="1" customWidth="1"/>
    <col min="9733" max="9733" width="13" style="1040" customWidth="1"/>
    <col min="9734" max="9734" width="12.140625" style="1040" customWidth="1"/>
    <col min="9735" max="9735" width="13.28515625" style="1040" customWidth="1"/>
    <col min="9736" max="9736" width="15.7109375" style="1040" customWidth="1"/>
    <col min="9737" max="9737" width="11.7109375" style="1040" customWidth="1"/>
    <col min="9738" max="9982" width="9.140625" style="1040"/>
    <col min="9983" max="9983" width="11.28515625" style="1040" customWidth="1"/>
    <col min="9984" max="9984" width="12.7109375" style="1040" customWidth="1"/>
    <col min="9985" max="9985" width="9.140625" style="1040" hidden="1" customWidth="1"/>
    <col min="9986" max="9986" width="10.28515625" style="1040" customWidth="1"/>
    <col min="9987" max="9987" width="12.85546875" style="1040" customWidth="1"/>
    <col min="9988" max="9988" width="9.140625" style="1040" hidden="1" customWidth="1"/>
    <col min="9989" max="9989" width="13" style="1040" customWidth="1"/>
    <col min="9990" max="9990" width="12.140625" style="1040" customWidth="1"/>
    <col min="9991" max="9991" width="13.28515625" style="1040" customWidth="1"/>
    <col min="9992" max="9992" width="15.7109375" style="1040" customWidth="1"/>
    <col min="9993" max="9993" width="11.7109375" style="1040" customWidth="1"/>
    <col min="9994" max="10238" width="9.140625" style="1040"/>
    <col min="10239" max="10239" width="11.28515625" style="1040" customWidth="1"/>
    <col min="10240" max="10240" width="12.7109375" style="1040" customWidth="1"/>
    <col min="10241" max="10241" width="9.140625" style="1040" hidden="1" customWidth="1"/>
    <col min="10242" max="10242" width="10.28515625" style="1040" customWidth="1"/>
    <col min="10243" max="10243" width="12.85546875" style="1040" customWidth="1"/>
    <col min="10244" max="10244" width="9.140625" style="1040" hidden="1" customWidth="1"/>
    <col min="10245" max="10245" width="13" style="1040" customWidth="1"/>
    <col min="10246" max="10246" width="12.140625" style="1040" customWidth="1"/>
    <col min="10247" max="10247" width="13.28515625" style="1040" customWidth="1"/>
    <col min="10248" max="10248" width="15.7109375" style="1040" customWidth="1"/>
    <col min="10249" max="10249" width="11.7109375" style="1040" customWidth="1"/>
    <col min="10250" max="10494" width="9.140625" style="1040"/>
    <col min="10495" max="10495" width="11.28515625" style="1040" customWidth="1"/>
    <col min="10496" max="10496" width="12.7109375" style="1040" customWidth="1"/>
    <col min="10497" max="10497" width="9.140625" style="1040" hidden="1" customWidth="1"/>
    <col min="10498" max="10498" width="10.28515625" style="1040" customWidth="1"/>
    <col min="10499" max="10499" width="12.85546875" style="1040" customWidth="1"/>
    <col min="10500" max="10500" width="9.140625" style="1040" hidden="1" customWidth="1"/>
    <col min="10501" max="10501" width="13" style="1040" customWidth="1"/>
    <col min="10502" max="10502" width="12.140625" style="1040" customWidth="1"/>
    <col min="10503" max="10503" width="13.28515625" style="1040" customWidth="1"/>
    <col min="10504" max="10504" width="15.7109375" style="1040" customWidth="1"/>
    <col min="10505" max="10505" width="11.7109375" style="1040" customWidth="1"/>
    <col min="10506" max="10750" width="9.140625" style="1040"/>
    <col min="10751" max="10751" width="11.28515625" style="1040" customWidth="1"/>
    <col min="10752" max="10752" width="12.7109375" style="1040" customWidth="1"/>
    <col min="10753" max="10753" width="9.140625" style="1040" hidden="1" customWidth="1"/>
    <col min="10754" max="10754" width="10.28515625" style="1040" customWidth="1"/>
    <col min="10755" max="10755" width="12.85546875" style="1040" customWidth="1"/>
    <col min="10756" max="10756" width="9.140625" style="1040" hidden="1" customWidth="1"/>
    <col min="10757" max="10757" width="13" style="1040" customWidth="1"/>
    <col min="10758" max="10758" width="12.140625" style="1040" customWidth="1"/>
    <col min="10759" max="10759" width="13.28515625" style="1040" customWidth="1"/>
    <col min="10760" max="10760" width="15.7109375" style="1040" customWidth="1"/>
    <col min="10761" max="10761" width="11.7109375" style="1040" customWidth="1"/>
    <col min="10762" max="11006" width="9.140625" style="1040"/>
    <col min="11007" max="11007" width="11.28515625" style="1040" customWidth="1"/>
    <col min="11008" max="11008" width="12.7109375" style="1040" customWidth="1"/>
    <col min="11009" max="11009" width="9.140625" style="1040" hidden="1" customWidth="1"/>
    <col min="11010" max="11010" width="10.28515625" style="1040" customWidth="1"/>
    <col min="11011" max="11011" width="12.85546875" style="1040" customWidth="1"/>
    <col min="11012" max="11012" width="9.140625" style="1040" hidden="1" customWidth="1"/>
    <col min="11013" max="11013" width="13" style="1040" customWidth="1"/>
    <col min="11014" max="11014" width="12.140625" style="1040" customWidth="1"/>
    <col min="11015" max="11015" width="13.28515625" style="1040" customWidth="1"/>
    <col min="11016" max="11016" width="15.7109375" style="1040" customWidth="1"/>
    <col min="11017" max="11017" width="11.7109375" style="1040" customWidth="1"/>
    <col min="11018" max="11262" width="9.140625" style="1040"/>
    <col min="11263" max="11263" width="11.28515625" style="1040" customWidth="1"/>
    <col min="11264" max="11264" width="12.7109375" style="1040" customWidth="1"/>
    <col min="11265" max="11265" width="9.140625" style="1040" hidden="1" customWidth="1"/>
    <col min="11266" max="11266" width="10.28515625" style="1040" customWidth="1"/>
    <col min="11267" max="11267" width="12.85546875" style="1040" customWidth="1"/>
    <col min="11268" max="11268" width="9.140625" style="1040" hidden="1" customWidth="1"/>
    <col min="11269" max="11269" width="13" style="1040" customWidth="1"/>
    <col min="11270" max="11270" width="12.140625" style="1040" customWidth="1"/>
    <col min="11271" max="11271" width="13.28515625" style="1040" customWidth="1"/>
    <col min="11272" max="11272" width="15.7109375" style="1040" customWidth="1"/>
    <col min="11273" max="11273" width="11.7109375" style="1040" customWidth="1"/>
    <col min="11274" max="11518" width="9.140625" style="1040"/>
    <col min="11519" max="11519" width="11.28515625" style="1040" customWidth="1"/>
    <col min="11520" max="11520" width="12.7109375" style="1040" customWidth="1"/>
    <col min="11521" max="11521" width="9.140625" style="1040" hidden="1" customWidth="1"/>
    <col min="11522" max="11522" width="10.28515625" style="1040" customWidth="1"/>
    <col min="11523" max="11523" width="12.85546875" style="1040" customWidth="1"/>
    <col min="11524" max="11524" width="9.140625" style="1040" hidden="1" customWidth="1"/>
    <col min="11525" max="11525" width="13" style="1040" customWidth="1"/>
    <col min="11526" max="11526" width="12.140625" style="1040" customWidth="1"/>
    <col min="11527" max="11527" width="13.28515625" style="1040" customWidth="1"/>
    <col min="11528" max="11528" width="15.7109375" style="1040" customWidth="1"/>
    <col min="11529" max="11529" width="11.7109375" style="1040" customWidth="1"/>
    <col min="11530" max="11774" width="9.140625" style="1040"/>
    <col min="11775" max="11775" width="11.28515625" style="1040" customWidth="1"/>
    <col min="11776" max="11776" width="12.7109375" style="1040" customWidth="1"/>
    <col min="11777" max="11777" width="9.140625" style="1040" hidden="1" customWidth="1"/>
    <col min="11778" max="11778" width="10.28515625" style="1040" customWidth="1"/>
    <col min="11779" max="11779" width="12.85546875" style="1040" customWidth="1"/>
    <col min="11780" max="11780" width="9.140625" style="1040" hidden="1" customWidth="1"/>
    <col min="11781" max="11781" width="13" style="1040" customWidth="1"/>
    <col min="11782" max="11782" width="12.140625" style="1040" customWidth="1"/>
    <col min="11783" max="11783" width="13.28515625" style="1040" customWidth="1"/>
    <col min="11784" max="11784" width="15.7109375" style="1040" customWidth="1"/>
    <col min="11785" max="11785" width="11.7109375" style="1040" customWidth="1"/>
    <col min="11786" max="12030" width="9.140625" style="1040"/>
    <col min="12031" max="12031" width="11.28515625" style="1040" customWidth="1"/>
    <col min="12032" max="12032" width="12.7109375" style="1040" customWidth="1"/>
    <col min="12033" max="12033" width="9.140625" style="1040" hidden="1" customWidth="1"/>
    <col min="12034" max="12034" width="10.28515625" style="1040" customWidth="1"/>
    <col min="12035" max="12035" width="12.85546875" style="1040" customWidth="1"/>
    <col min="12036" max="12036" width="9.140625" style="1040" hidden="1" customWidth="1"/>
    <col min="12037" max="12037" width="13" style="1040" customWidth="1"/>
    <col min="12038" max="12038" width="12.140625" style="1040" customWidth="1"/>
    <col min="12039" max="12039" width="13.28515625" style="1040" customWidth="1"/>
    <col min="12040" max="12040" width="15.7109375" style="1040" customWidth="1"/>
    <col min="12041" max="12041" width="11.7109375" style="1040" customWidth="1"/>
    <col min="12042" max="12286" width="9.140625" style="1040"/>
    <col min="12287" max="12287" width="11.28515625" style="1040" customWidth="1"/>
    <col min="12288" max="12288" width="12.7109375" style="1040" customWidth="1"/>
    <col min="12289" max="12289" width="9.140625" style="1040" hidden="1" customWidth="1"/>
    <col min="12290" max="12290" width="10.28515625" style="1040" customWidth="1"/>
    <col min="12291" max="12291" width="12.85546875" style="1040" customWidth="1"/>
    <col min="12292" max="12292" width="9.140625" style="1040" hidden="1" customWidth="1"/>
    <col min="12293" max="12293" width="13" style="1040" customWidth="1"/>
    <col min="12294" max="12294" width="12.140625" style="1040" customWidth="1"/>
    <col min="12295" max="12295" width="13.28515625" style="1040" customWidth="1"/>
    <col min="12296" max="12296" width="15.7109375" style="1040" customWidth="1"/>
    <col min="12297" max="12297" width="11.7109375" style="1040" customWidth="1"/>
    <col min="12298" max="12542" width="9.140625" style="1040"/>
    <col min="12543" max="12543" width="11.28515625" style="1040" customWidth="1"/>
    <col min="12544" max="12544" width="12.7109375" style="1040" customWidth="1"/>
    <col min="12545" max="12545" width="9.140625" style="1040" hidden="1" customWidth="1"/>
    <col min="12546" max="12546" width="10.28515625" style="1040" customWidth="1"/>
    <col min="12547" max="12547" width="12.85546875" style="1040" customWidth="1"/>
    <col min="12548" max="12548" width="9.140625" style="1040" hidden="1" customWidth="1"/>
    <col min="12549" max="12549" width="13" style="1040" customWidth="1"/>
    <col min="12550" max="12550" width="12.140625" style="1040" customWidth="1"/>
    <col min="12551" max="12551" width="13.28515625" style="1040" customWidth="1"/>
    <col min="12552" max="12552" width="15.7109375" style="1040" customWidth="1"/>
    <col min="12553" max="12553" width="11.7109375" style="1040" customWidth="1"/>
    <col min="12554" max="12798" width="9.140625" style="1040"/>
    <col min="12799" max="12799" width="11.28515625" style="1040" customWidth="1"/>
    <col min="12800" max="12800" width="12.7109375" style="1040" customWidth="1"/>
    <col min="12801" max="12801" width="9.140625" style="1040" hidden="1" customWidth="1"/>
    <col min="12802" max="12802" width="10.28515625" style="1040" customWidth="1"/>
    <col min="12803" max="12803" width="12.85546875" style="1040" customWidth="1"/>
    <col min="12804" max="12804" width="9.140625" style="1040" hidden="1" customWidth="1"/>
    <col min="12805" max="12805" width="13" style="1040" customWidth="1"/>
    <col min="12806" max="12806" width="12.140625" style="1040" customWidth="1"/>
    <col min="12807" max="12807" width="13.28515625" style="1040" customWidth="1"/>
    <col min="12808" max="12808" width="15.7109375" style="1040" customWidth="1"/>
    <col min="12809" max="12809" width="11.7109375" style="1040" customWidth="1"/>
    <col min="12810" max="13054" width="9.140625" style="1040"/>
    <col min="13055" max="13055" width="11.28515625" style="1040" customWidth="1"/>
    <col min="13056" max="13056" width="12.7109375" style="1040" customWidth="1"/>
    <col min="13057" max="13057" width="9.140625" style="1040" hidden="1" customWidth="1"/>
    <col min="13058" max="13058" width="10.28515625" style="1040" customWidth="1"/>
    <col min="13059" max="13059" width="12.85546875" style="1040" customWidth="1"/>
    <col min="13060" max="13060" width="9.140625" style="1040" hidden="1" customWidth="1"/>
    <col min="13061" max="13061" width="13" style="1040" customWidth="1"/>
    <col min="13062" max="13062" width="12.140625" style="1040" customWidth="1"/>
    <col min="13063" max="13063" width="13.28515625" style="1040" customWidth="1"/>
    <col min="13064" max="13064" width="15.7109375" style="1040" customWidth="1"/>
    <col min="13065" max="13065" width="11.7109375" style="1040" customWidth="1"/>
    <col min="13066" max="13310" width="9.140625" style="1040"/>
    <col min="13311" max="13311" width="11.28515625" style="1040" customWidth="1"/>
    <col min="13312" max="13312" width="12.7109375" style="1040" customWidth="1"/>
    <col min="13313" max="13313" width="9.140625" style="1040" hidden="1" customWidth="1"/>
    <col min="13314" max="13314" width="10.28515625" style="1040" customWidth="1"/>
    <col min="13315" max="13315" width="12.85546875" style="1040" customWidth="1"/>
    <col min="13316" max="13316" width="9.140625" style="1040" hidden="1" customWidth="1"/>
    <col min="13317" max="13317" width="13" style="1040" customWidth="1"/>
    <col min="13318" max="13318" width="12.140625" style="1040" customWidth="1"/>
    <col min="13319" max="13319" width="13.28515625" style="1040" customWidth="1"/>
    <col min="13320" max="13320" width="15.7109375" style="1040" customWidth="1"/>
    <col min="13321" max="13321" width="11.7109375" style="1040" customWidth="1"/>
    <col min="13322" max="13566" width="9.140625" style="1040"/>
    <col min="13567" max="13567" width="11.28515625" style="1040" customWidth="1"/>
    <col min="13568" max="13568" width="12.7109375" style="1040" customWidth="1"/>
    <col min="13569" max="13569" width="9.140625" style="1040" hidden="1" customWidth="1"/>
    <col min="13570" max="13570" width="10.28515625" style="1040" customWidth="1"/>
    <col min="13571" max="13571" width="12.85546875" style="1040" customWidth="1"/>
    <col min="13572" max="13572" width="9.140625" style="1040" hidden="1" customWidth="1"/>
    <col min="13573" max="13573" width="13" style="1040" customWidth="1"/>
    <col min="13574" max="13574" width="12.140625" style="1040" customWidth="1"/>
    <col min="13575" max="13575" width="13.28515625" style="1040" customWidth="1"/>
    <col min="13576" max="13576" width="15.7109375" style="1040" customWidth="1"/>
    <col min="13577" max="13577" width="11.7109375" style="1040" customWidth="1"/>
    <col min="13578" max="13822" width="9.140625" style="1040"/>
    <col min="13823" max="13823" width="11.28515625" style="1040" customWidth="1"/>
    <col min="13824" max="13824" width="12.7109375" style="1040" customWidth="1"/>
    <col min="13825" max="13825" width="9.140625" style="1040" hidden="1" customWidth="1"/>
    <col min="13826" max="13826" width="10.28515625" style="1040" customWidth="1"/>
    <col min="13827" max="13827" width="12.85546875" style="1040" customWidth="1"/>
    <col min="13828" max="13828" width="9.140625" style="1040" hidden="1" customWidth="1"/>
    <col min="13829" max="13829" width="13" style="1040" customWidth="1"/>
    <col min="13830" max="13830" width="12.140625" style="1040" customWidth="1"/>
    <col min="13831" max="13831" width="13.28515625" style="1040" customWidth="1"/>
    <col min="13832" max="13832" width="15.7109375" style="1040" customWidth="1"/>
    <col min="13833" max="13833" width="11.7109375" style="1040" customWidth="1"/>
    <col min="13834" max="14078" width="9.140625" style="1040"/>
    <col min="14079" max="14079" width="11.28515625" style="1040" customWidth="1"/>
    <col min="14080" max="14080" width="12.7109375" style="1040" customWidth="1"/>
    <col min="14081" max="14081" width="9.140625" style="1040" hidden="1" customWidth="1"/>
    <col min="14082" max="14082" width="10.28515625" style="1040" customWidth="1"/>
    <col min="14083" max="14083" width="12.85546875" style="1040" customWidth="1"/>
    <col min="14084" max="14084" width="9.140625" style="1040" hidden="1" customWidth="1"/>
    <col min="14085" max="14085" width="13" style="1040" customWidth="1"/>
    <col min="14086" max="14086" width="12.140625" style="1040" customWidth="1"/>
    <col min="14087" max="14087" width="13.28515625" style="1040" customWidth="1"/>
    <col min="14088" max="14088" width="15.7109375" style="1040" customWidth="1"/>
    <col min="14089" max="14089" width="11.7109375" style="1040" customWidth="1"/>
    <col min="14090" max="14334" width="9.140625" style="1040"/>
    <col min="14335" max="14335" width="11.28515625" style="1040" customWidth="1"/>
    <col min="14336" max="14336" width="12.7109375" style="1040" customWidth="1"/>
    <col min="14337" max="14337" width="9.140625" style="1040" hidden="1" customWidth="1"/>
    <col min="14338" max="14338" width="10.28515625" style="1040" customWidth="1"/>
    <col min="14339" max="14339" width="12.85546875" style="1040" customWidth="1"/>
    <col min="14340" max="14340" width="9.140625" style="1040" hidden="1" customWidth="1"/>
    <col min="14341" max="14341" width="13" style="1040" customWidth="1"/>
    <col min="14342" max="14342" width="12.140625" style="1040" customWidth="1"/>
    <col min="14343" max="14343" width="13.28515625" style="1040" customWidth="1"/>
    <col min="14344" max="14344" width="15.7109375" style="1040" customWidth="1"/>
    <col min="14345" max="14345" width="11.7109375" style="1040" customWidth="1"/>
    <col min="14346" max="14590" width="9.140625" style="1040"/>
    <col min="14591" max="14591" width="11.28515625" style="1040" customWidth="1"/>
    <col min="14592" max="14592" width="12.7109375" style="1040" customWidth="1"/>
    <col min="14593" max="14593" width="9.140625" style="1040" hidden="1" customWidth="1"/>
    <col min="14594" max="14594" width="10.28515625" style="1040" customWidth="1"/>
    <col min="14595" max="14595" width="12.85546875" style="1040" customWidth="1"/>
    <col min="14596" max="14596" width="9.140625" style="1040" hidden="1" customWidth="1"/>
    <col min="14597" max="14597" width="13" style="1040" customWidth="1"/>
    <col min="14598" max="14598" width="12.140625" style="1040" customWidth="1"/>
    <col min="14599" max="14599" width="13.28515625" style="1040" customWidth="1"/>
    <col min="14600" max="14600" width="15.7109375" style="1040" customWidth="1"/>
    <col min="14601" max="14601" width="11.7109375" style="1040" customWidth="1"/>
    <col min="14602" max="14846" width="9.140625" style="1040"/>
    <col min="14847" max="14847" width="11.28515625" style="1040" customWidth="1"/>
    <col min="14848" max="14848" width="12.7109375" style="1040" customWidth="1"/>
    <col min="14849" max="14849" width="9.140625" style="1040" hidden="1" customWidth="1"/>
    <col min="14850" max="14850" width="10.28515625" style="1040" customWidth="1"/>
    <col min="14851" max="14851" width="12.85546875" style="1040" customWidth="1"/>
    <col min="14852" max="14852" width="9.140625" style="1040" hidden="1" customWidth="1"/>
    <col min="14853" max="14853" width="13" style="1040" customWidth="1"/>
    <col min="14854" max="14854" width="12.140625" style="1040" customWidth="1"/>
    <col min="14855" max="14855" width="13.28515625" style="1040" customWidth="1"/>
    <col min="14856" max="14856" width="15.7109375" style="1040" customWidth="1"/>
    <col min="14857" max="14857" width="11.7109375" style="1040" customWidth="1"/>
    <col min="14858" max="15102" width="9.140625" style="1040"/>
    <col min="15103" max="15103" width="11.28515625" style="1040" customWidth="1"/>
    <col min="15104" max="15104" width="12.7109375" style="1040" customWidth="1"/>
    <col min="15105" max="15105" width="9.140625" style="1040" hidden="1" customWidth="1"/>
    <col min="15106" max="15106" width="10.28515625" style="1040" customWidth="1"/>
    <col min="15107" max="15107" width="12.85546875" style="1040" customWidth="1"/>
    <col min="15108" max="15108" width="9.140625" style="1040" hidden="1" customWidth="1"/>
    <col min="15109" max="15109" width="13" style="1040" customWidth="1"/>
    <col min="15110" max="15110" width="12.140625" style="1040" customWidth="1"/>
    <col min="15111" max="15111" width="13.28515625" style="1040" customWidth="1"/>
    <col min="15112" max="15112" width="15.7109375" style="1040" customWidth="1"/>
    <col min="15113" max="15113" width="11.7109375" style="1040" customWidth="1"/>
    <col min="15114" max="15358" width="9.140625" style="1040"/>
    <col min="15359" max="15359" width="11.28515625" style="1040" customWidth="1"/>
    <col min="15360" max="15360" width="12.7109375" style="1040" customWidth="1"/>
    <col min="15361" max="15361" width="9.140625" style="1040" hidden="1" customWidth="1"/>
    <col min="15362" max="15362" width="10.28515625" style="1040" customWidth="1"/>
    <col min="15363" max="15363" width="12.85546875" style="1040" customWidth="1"/>
    <col min="15364" max="15364" width="9.140625" style="1040" hidden="1" customWidth="1"/>
    <col min="15365" max="15365" width="13" style="1040" customWidth="1"/>
    <col min="15366" max="15366" width="12.140625" style="1040" customWidth="1"/>
    <col min="15367" max="15367" width="13.28515625" style="1040" customWidth="1"/>
    <col min="15368" max="15368" width="15.7109375" style="1040" customWidth="1"/>
    <col min="15369" max="15369" width="11.7109375" style="1040" customWidth="1"/>
    <col min="15370" max="15614" width="9.140625" style="1040"/>
    <col min="15615" max="15615" width="11.28515625" style="1040" customWidth="1"/>
    <col min="15616" max="15616" width="12.7109375" style="1040" customWidth="1"/>
    <col min="15617" max="15617" width="9.140625" style="1040" hidden="1" customWidth="1"/>
    <col min="15618" max="15618" width="10.28515625" style="1040" customWidth="1"/>
    <col min="15619" max="15619" width="12.85546875" style="1040" customWidth="1"/>
    <col min="15620" max="15620" width="9.140625" style="1040" hidden="1" customWidth="1"/>
    <col min="15621" max="15621" width="13" style="1040" customWidth="1"/>
    <col min="15622" max="15622" width="12.140625" style="1040" customWidth="1"/>
    <col min="15623" max="15623" width="13.28515625" style="1040" customWidth="1"/>
    <col min="15624" max="15624" width="15.7109375" style="1040" customWidth="1"/>
    <col min="15625" max="15625" width="11.7109375" style="1040" customWidth="1"/>
    <col min="15626" max="15870" width="9.140625" style="1040"/>
    <col min="15871" max="15871" width="11.28515625" style="1040" customWidth="1"/>
    <col min="15872" max="15872" width="12.7109375" style="1040" customWidth="1"/>
    <col min="15873" max="15873" width="9.140625" style="1040" hidden="1" customWidth="1"/>
    <col min="15874" max="15874" width="10.28515625" style="1040" customWidth="1"/>
    <col min="15875" max="15875" width="12.85546875" style="1040" customWidth="1"/>
    <col min="15876" max="15876" width="9.140625" style="1040" hidden="1" customWidth="1"/>
    <col min="15877" max="15877" width="13" style="1040" customWidth="1"/>
    <col min="15878" max="15878" width="12.140625" style="1040" customWidth="1"/>
    <col min="15879" max="15879" width="13.28515625" style="1040" customWidth="1"/>
    <col min="15880" max="15880" width="15.7109375" style="1040" customWidth="1"/>
    <col min="15881" max="15881" width="11.7109375" style="1040" customWidth="1"/>
    <col min="15882" max="16126" width="9.140625" style="1040"/>
    <col min="16127" max="16127" width="11.28515625" style="1040" customWidth="1"/>
    <col min="16128" max="16128" width="12.7109375" style="1040" customWidth="1"/>
    <col min="16129" max="16129" width="9.140625" style="1040" hidden="1" customWidth="1"/>
    <col min="16130" max="16130" width="10.28515625" style="1040" customWidth="1"/>
    <col min="16131" max="16131" width="12.85546875" style="1040" customWidth="1"/>
    <col min="16132" max="16132" width="9.140625" style="1040" hidden="1" customWidth="1"/>
    <col min="16133" max="16133" width="13" style="1040" customWidth="1"/>
    <col min="16134" max="16134" width="12.140625" style="1040" customWidth="1"/>
    <col min="16135" max="16135" width="13.28515625" style="1040" customWidth="1"/>
    <col min="16136" max="16136" width="15.7109375" style="1040" customWidth="1"/>
    <col min="16137" max="16137" width="11.7109375" style="1040" customWidth="1"/>
    <col min="16138" max="16384" width="9.140625" style="1040"/>
  </cols>
  <sheetData>
    <row r="1" spans="1:11" s="1039" customFormat="1" ht="17.25" x14ac:dyDescent="0.3">
      <c r="A1" s="1038" t="s">
        <v>2998</v>
      </c>
    </row>
    <row r="2" spans="1:11" ht="12.75" customHeight="1" thickBot="1" x14ac:dyDescent="0.3">
      <c r="I2" s="286" t="s">
        <v>416</v>
      </c>
    </row>
    <row r="3" spans="1:11" s="1045" customFormat="1" ht="17.25" thickTop="1" x14ac:dyDescent="0.3">
      <c r="A3" s="1041"/>
      <c r="B3" s="1042" t="s">
        <v>2999</v>
      </c>
      <c r="C3" s="1043" t="s">
        <v>3000</v>
      </c>
      <c r="D3" s="1043" t="s">
        <v>3001</v>
      </c>
      <c r="E3" s="1043" t="s">
        <v>3001</v>
      </c>
      <c r="F3" s="1043" t="s">
        <v>3001</v>
      </c>
      <c r="G3" s="1043" t="s">
        <v>3002</v>
      </c>
      <c r="H3" s="1043" t="s">
        <v>3002</v>
      </c>
      <c r="I3" s="1044" t="s">
        <v>3003</v>
      </c>
    </row>
    <row r="4" spans="1:11" s="1045" customFormat="1" ht="16.5" x14ac:dyDescent="0.3">
      <c r="A4" s="1046"/>
      <c r="B4" s="1047" t="s">
        <v>3004</v>
      </c>
      <c r="C4" s="1048" t="s">
        <v>3005</v>
      </c>
      <c r="D4" s="1048" t="s">
        <v>3006</v>
      </c>
      <c r="E4" s="1048" t="s">
        <v>3006</v>
      </c>
      <c r="F4" s="1048" t="s">
        <v>3007</v>
      </c>
      <c r="G4" s="1048" t="s">
        <v>3008</v>
      </c>
      <c r="H4" s="1048" t="s">
        <v>3008</v>
      </c>
      <c r="I4" s="1049" t="s">
        <v>119</v>
      </c>
    </row>
    <row r="5" spans="1:11" s="1045" customFormat="1" ht="16.5" x14ac:dyDescent="0.3">
      <c r="A5" s="1046"/>
      <c r="B5" s="1047" t="s">
        <v>3009</v>
      </c>
      <c r="C5" s="1048" t="s">
        <v>3009</v>
      </c>
      <c r="D5" s="1048" t="s">
        <v>3010</v>
      </c>
      <c r="E5" s="1048" t="s">
        <v>3010</v>
      </c>
      <c r="F5" s="1048" t="s">
        <v>3011</v>
      </c>
      <c r="G5" s="1048" t="s">
        <v>3010</v>
      </c>
      <c r="H5" s="1048" t="s">
        <v>3010</v>
      </c>
      <c r="I5" s="1049" t="s">
        <v>3012</v>
      </c>
    </row>
    <row r="6" spans="1:11" s="1045" customFormat="1" ht="16.5" x14ac:dyDescent="0.3">
      <c r="A6" s="1046"/>
      <c r="B6" s="1047"/>
      <c r="C6" s="1048" t="s">
        <v>3013</v>
      </c>
      <c r="D6" s="1048" t="s">
        <v>3014</v>
      </c>
      <c r="E6" s="1048" t="s">
        <v>3015</v>
      </c>
      <c r="F6" s="1048" t="s">
        <v>3016</v>
      </c>
      <c r="G6" s="1048" t="s">
        <v>3017</v>
      </c>
      <c r="H6" s="1048" t="s">
        <v>3005</v>
      </c>
      <c r="I6" s="1049" t="s">
        <v>3018</v>
      </c>
    </row>
    <row r="7" spans="1:11" s="1045" customFormat="1" ht="16.5" x14ac:dyDescent="0.3">
      <c r="A7" s="1046"/>
      <c r="B7" s="1047"/>
      <c r="C7" s="1048"/>
      <c r="D7" s="1048" t="s">
        <v>3019</v>
      </c>
      <c r="E7" s="1048" t="s">
        <v>3019</v>
      </c>
      <c r="F7" s="1048" t="s">
        <v>3020</v>
      </c>
      <c r="G7" s="1048" t="s">
        <v>3021</v>
      </c>
      <c r="H7" s="1048" t="s">
        <v>3022</v>
      </c>
      <c r="I7" s="1049" t="s">
        <v>3023</v>
      </c>
    </row>
    <row r="8" spans="1:11" s="1045" customFormat="1" ht="17.25" customHeight="1" x14ac:dyDescent="0.3">
      <c r="A8" s="1046"/>
      <c r="B8" s="1047"/>
      <c r="C8" s="1048"/>
      <c r="D8" s="1048" t="s">
        <v>3024</v>
      </c>
      <c r="E8" s="1048" t="s">
        <v>3025</v>
      </c>
      <c r="F8" s="1048" t="s">
        <v>3026</v>
      </c>
      <c r="G8" s="1048"/>
      <c r="H8" s="1048" t="s">
        <v>3027</v>
      </c>
      <c r="I8" s="1049" t="s">
        <v>3028</v>
      </c>
    </row>
    <row r="9" spans="1:11" s="1045" customFormat="1" ht="18.75" customHeight="1" thickBot="1" x14ac:dyDescent="0.35">
      <c r="A9" s="1050"/>
      <c r="B9" s="1051"/>
      <c r="C9" s="1052"/>
      <c r="D9" s="1052"/>
      <c r="E9" s="1052"/>
      <c r="F9" s="1052"/>
      <c r="G9" s="1052"/>
      <c r="H9" s="1052"/>
      <c r="I9" s="1053" t="s">
        <v>3029</v>
      </c>
    </row>
    <row r="10" spans="1:11" ht="17.25" hidden="1" x14ac:dyDescent="0.3">
      <c r="A10" s="1054">
        <v>38687</v>
      </c>
      <c r="B10" s="1055"/>
      <c r="C10" s="1055" t="s">
        <v>3030</v>
      </c>
      <c r="D10" s="1055" t="s">
        <v>1392</v>
      </c>
      <c r="E10" s="1056" t="s">
        <v>3031</v>
      </c>
      <c r="F10" s="1056" t="s">
        <v>3032</v>
      </c>
      <c r="G10" s="1055">
        <v>5.7</v>
      </c>
      <c r="H10" s="1055">
        <v>10.81</v>
      </c>
      <c r="I10" s="1057">
        <v>7.45</v>
      </c>
    </row>
    <row r="11" spans="1:11" ht="17.25" hidden="1" x14ac:dyDescent="0.3">
      <c r="A11" s="1054">
        <v>38718</v>
      </c>
      <c r="B11" s="1055"/>
      <c r="C11" s="1055" t="s">
        <v>3030</v>
      </c>
      <c r="D11" s="1055" t="s">
        <v>1392</v>
      </c>
      <c r="E11" s="1056" t="s">
        <v>3031</v>
      </c>
      <c r="F11" s="1056" t="s">
        <v>3032</v>
      </c>
      <c r="G11" s="1055">
        <v>5.76</v>
      </c>
      <c r="H11" s="1055">
        <v>10.85</v>
      </c>
      <c r="I11" s="1057">
        <v>7.52</v>
      </c>
      <c r="K11" s="1058"/>
    </row>
    <row r="12" spans="1:11" ht="17.25" hidden="1" x14ac:dyDescent="0.3">
      <c r="A12" s="1054">
        <v>38749</v>
      </c>
      <c r="B12" s="1055"/>
      <c r="C12" s="1055" t="s">
        <v>3030</v>
      </c>
      <c r="D12" s="1055" t="s">
        <v>1392</v>
      </c>
      <c r="E12" s="1056" t="s">
        <v>3031</v>
      </c>
      <c r="F12" s="1056" t="s">
        <v>3032</v>
      </c>
      <c r="G12" s="1055">
        <v>6.34</v>
      </c>
      <c r="H12" s="1055">
        <v>10.84</v>
      </c>
      <c r="I12" s="1057">
        <v>7.49</v>
      </c>
      <c r="K12" s="1058"/>
    </row>
    <row r="13" spans="1:11" ht="17.25" hidden="1" x14ac:dyDescent="0.3">
      <c r="A13" s="1054">
        <v>38777</v>
      </c>
      <c r="B13" s="1055"/>
      <c r="C13" s="1055" t="s">
        <v>3030</v>
      </c>
      <c r="D13" s="1055" t="s">
        <v>1392</v>
      </c>
      <c r="E13" s="1056" t="s">
        <v>3031</v>
      </c>
      <c r="F13" s="1056" t="s">
        <v>3032</v>
      </c>
      <c r="G13" s="1055">
        <v>5.76</v>
      </c>
      <c r="H13" s="1055">
        <v>10.73</v>
      </c>
      <c r="I13" s="1057">
        <v>7.53</v>
      </c>
      <c r="K13" s="1058"/>
    </row>
    <row r="14" spans="1:11" ht="17.25" hidden="1" x14ac:dyDescent="0.3">
      <c r="A14" s="1054">
        <v>38808</v>
      </c>
      <c r="B14" s="1055"/>
      <c r="C14" s="1055" t="s">
        <v>3030</v>
      </c>
      <c r="D14" s="1055" t="s">
        <v>1392</v>
      </c>
      <c r="E14" s="1056" t="s">
        <v>3031</v>
      </c>
      <c r="F14" s="1056" t="s">
        <v>3032</v>
      </c>
      <c r="G14" s="1055">
        <v>5.79</v>
      </c>
      <c r="H14" s="1055">
        <v>10.74</v>
      </c>
      <c r="I14" s="1057">
        <v>7.49</v>
      </c>
      <c r="K14" s="1058"/>
    </row>
    <row r="15" spans="1:11" ht="17.25" hidden="1" x14ac:dyDescent="0.3">
      <c r="A15" s="1054">
        <v>38838</v>
      </c>
      <c r="B15" s="1055"/>
      <c r="C15" s="1055" t="s">
        <v>3030</v>
      </c>
      <c r="D15" s="1055" t="s">
        <v>1392</v>
      </c>
      <c r="E15" s="1056" t="s">
        <v>3031</v>
      </c>
      <c r="F15" s="1056" t="s">
        <v>3032</v>
      </c>
      <c r="G15" s="1055">
        <v>5.8</v>
      </c>
      <c r="H15" s="1055">
        <v>10.8</v>
      </c>
      <c r="I15" s="1057">
        <v>7.47</v>
      </c>
      <c r="K15" s="1058"/>
    </row>
    <row r="16" spans="1:11" ht="17.25" hidden="1" x14ac:dyDescent="0.3">
      <c r="A16" s="1054">
        <v>38869</v>
      </c>
      <c r="B16" s="1055"/>
      <c r="C16" s="1055" t="s">
        <v>3030</v>
      </c>
      <c r="D16" s="1055" t="s">
        <v>1392</v>
      </c>
      <c r="E16" s="1056" t="s">
        <v>3031</v>
      </c>
      <c r="F16" s="1056" t="s">
        <v>3032</v>
      </c>
      <c r="G16" s="1055">
        <v>5.52</v>
      </c>
      <c r="H16" s="1055">
        <v>11.08</v>
      </c>
      <c r="I16" s="1057">
        <v>7.33</v>
      </c>
      <c r="K16" s="1058"/>
    </row>
    <row r="17" spans="1:11" ht="17.25" hidden="1" x14ac:dyDescent="0.3">
      <c r="A17" s="1054">
        <v>38899</v>
      </c>
      <c r="B17" s="1055"/>
      <c r="C17" s="1055" t="s">
        <v>3033</v>
      </c>
      <c r="D17" s="1055" t="s">
        <v>1393</v>
      </c>
      <c r="E17" s="1056" t="s">
        <v>3034</v>
      </c>
      <c r="F17" s="1056" t="s">
        <v>3035</v>
      </c>
      <c r="G17" s="1055">
        <v>6.24</v>
      </c>
      <c r="H17" s="1055">
        <v>11.51</v>
      </c>
      <c r="I17" s="1057">
        <v>7.35</v>
      </c>
      <c r="K17" s="1058"/>
    </row>
    <row r="18" spans="1:11" ht="17.25" hidden="1" x14ac:dyDescent="0.3">
      <c r="A18" s="1054">
        <v>38930</v>
      </c>
      <c r="B18" s="1055"/>
      <c r="C18" s="1055" t="s">
        <v>3033</v>
      </c>
      <c r="D18" s="1055" t="s">
        <v>1393</v>
      </c>
      <c r="E18" s="1056" t="s">
        <v>3034</v>
      </c>
      <c r="F18" s="1056" t="s">
        <v>3035</v>
      </c>
      <c r="G18" s="1055">
        <v>6.24</v>
      </c>
      <c r="H18" s="1055">
        <v>11.48</v>
      </c>
      <c r="I18" s="1057">
        <v>7.3</v>
      </c>
      <c r="K18" s="1058"/>
    </row>
    <row r="19" spans="1:11" ht="17.25" hidden="1" x14ac:dyDescent="0.3">
      <c r="A19" s="1054">
        <v>38961</v>
      </c>
      <c r="B19" s="1055"/>
      <c r="C19" s="1055" t="s">
        <v>3036</v>
      </c>
      <c r="D19" s="1055" t="s">
        <v>1394</v>
      </c>
      <c r="E19" s="1056" t="s">
        <v>3037</v>
      </c>
      <c r="F19" s="1056" t="s">
        <v>3038</v>
      </c>
      <c r="G19" s="1055">
        <v>7</v>
      </c>
      <c r="H19" s="1055">
        <v>12.29</v>
      </c>
      <c r="I19" s="1057">
        <v>9.2100000000000009</v>
      </c>
      <c r="K19" s="1058"/>
    </row>
    <row r="20" spans="1:11" ht="17.25" hidden="1" x14ac:dyDescent="0.3">
      <c r="A20" s="1054">
        <v>38991</v>
      </c>
      <c r="B20" s="1055"/>
      <c r="C20" s="1055" t="s">
        <v>3036</v>
      </c>
      <c r="D20" s="1055" t="s">
        <v>1394</v>
      </c>
      <c r="E20" s="1056" t="s">
        <v>3037</v>
      </c>
      <c r="F20" s="1056" t="s">
        <v>3038</v>
      </c>
      <c r="G20" s="1055">
        <v>7.04</v>
      </c>
      <c r="H20" s="1055">
        <v>12.28</v>
      </c>
      <c r="I20" s="1057">
        <v>10.210000000000001</v>
      </c>
      <c r="K20" s="1058"/>
    </row>
    <row r="21" spans="1:11" ht="17.25" hidden="1" x14ac:dyDescent="0.3">
      <c r="A21" s="1054">
        <v>39022</v>
      </c>
      <c r="B21" s="1055"/>
      <c r="C21" s="1055" t="s">
        <v>3036</v>
      </c>
      <c r="D21" s="1055" t="s">
        <v>1394</v>
      </c>
      <c r="E21" s="1056" t="s">
        <v>3037</v>
      </c>
      <c r="F21" s="1056" t="s">
        <v>3038</v>
      </c>
      <c r="G21" s="1055">
        <v>7.13</v>
      </c>
      <c r="H21" s="1055">
        <v>12.2</v>
      </c>
      <c r="I21" s="1057">
        <v>10.74</v>
      </c>
      <c r="K21" s="1058"/>
    </row>
    <row r="22" spans="1:11" ht="18" hidden="1" customHeight="1" x14ac:dyDescent="0.3">
      <c r="A22" s="1054">
        <v>39052</v>
      </c>
      <c r="B22" s="1055">
        <v>8.5</v>
      </c>
      <c r="C22" s="1055" t="s">
        <v>3036</v>
      </c>
      <c r="D22" s="1055" t="s">
        <v>1394</v>
      </c>
      <c r="E22" s="1056" t="s">
        <v>3039</v>
      </c>
      <c r="F22" s="1056" t="s">
        <v>3038</v>
      </c>
      <c r="G22" s="1055">
        <v>7.12</v>
      </c>
      <c r="H22" s="1055">
        <v>12.2</v>
      </c>
      <c r="I22" s="1057">
        <v>11.98</v>
      </c>
      <c r="K22" s="1058"/>
    </row>
    <row r="23" spans="1:11" ht="18" hidden="1" customHeight="1" x14ac:dyDescent="0.3">
      <c r="A23" s="1054">
        <v>39083</v>
      </c>
      <c r="B23" s="1055">
        <v>8.5</v>
      </c>
      <c r="C23" s="1055" t="s">
        <v>3036</v>
      </c>
      <c r="D23" s="1055" t="s">
        <v>1394</v>
      </c>
      <c r="E23" s="1056" t="s">
        <v>3040</v>
      </c>
      <c r="F23" s="1056" t="s">
        <v>3038</v>
      </c>
      <c r="G23" s="1055">
        <v>7.26</v>
      </c>
      <c r="H23" s="1055">
        <v>12.22</v>
      </c>
      <c r="I23" s="1057">
        <v>13.07</v>
      </c>
      <c r="K23" s="1058"/>
    </row>
    <row r="24" spans="1:11" ht="18" hidden="1" customHeight="1" x14ac:dyDescent="0.3">
      <c r="A24" s="1054">
        <v>39114</v>
      </c>
      <c r="B24" s="1055">
        <v>8.5</v>
      </c>
      <c r="C24" s="1055" t="s">
        <v>3036</v>
      </c>
      <c r="D24" s="1055" t="s">
        <v>1394</v>
      </c>
      <c r="E24" s="1056" t="s">
        <v>3040</v>
      </c>
      <c r="F24" s="1056" t="s">
        <v>3038</v>
      </c>
      <c r="G24" s="1055">
        <v>7.26</v>
      </c>
      <c r="H24" s="1055">
        <v>12.23</v>
      </c>
      <c r="I24" s="1057">
        <v>13.13</v>
      </c>
      <c r="K24" s="1058"/>
    </row>
    <row r="25" spans="1:11" ht="18" hidden="1" customHeight="1" x14ac:dyDescent="0.3">
      <c r="A25" s="1054">
        <v>39142</v>
      </c>
      <c r="B25" s="1055">
        <v>8.5</v>
      </c>
      <c r="C25" s="1055" t="s">
        <v>3036</v>
      </c>
      <c r="D25" s="1055" t="s">
        <v>1394</v>
      </c>
      <c r="E25" s="1056" t="s">
        <v>3041</v>
      </c>
      <c r="F25" s="1056" t="s">
        <v>3038</v>
      </c>
      <c r="G25" s="1055">
        <v>7.35</v>
      </c>
      <c r="H25" s="1055">
        <v>12.31</v>
      </c>
      <c r="I25" s="1057">
        <v>11.94</v>
      </c>
      <c r="K25" s="1058"/>
    </row>
    <row r="26" spans="1:11" ht="18" hidden="1" customHeight="1" x14ac:dyDescent="0.3">
      <c r="A26" s="1054">
        <v>39173</v>
      </c>
      <c r="B26" s="1055">
        <v>8.5</v>
      </c>
      <c r="C26" s="1055" t="s">
        <v>3036</v>
      </c>
      <c r="D26" s="1055" t="s">
        <v>1394</v>
      </c>
      <c r="E26" s="1056" t="s">
        <v>3042</v>
      </c>
      <c r="F26" s="1056" t="s">
        <v>3038</v>
      </c>
      <c r="G26" s="1055">
        <v>7.36</v>
      </c>
      <c r="H26" s="1055">
        <v>12.43</v>
      </c>
      <c r="I26" s="1057">
        <v>11.52</v>
      </c>
      <c r="K26" s="1058"/>
    </row>
    <row r="27" spans="1:11" ht="18" hidden="1" customHeight="1" x14ac:dyDescent="0.3">
      <c r="A27" s="1054">
        <v>39203</v>
      </c>
      <c r="B27" s="1055">
        <v>8.5</v>
      </c>
      <c r="C27" s="1055" t="s">
        <v>3036</v>
      </c>
      <c r="D27" s="1055" t="s">
        <v>1394</v>
      </c>
      <c r="E27" s="1056" t="s">
        <v>3040</v>
      </c>
      <c r="F27" s="1056" t="s">
        <v>3038</v>
      </c>
      <c r="G27" s="1055">
        <v>7.3</v>
      </c>
      <c r="H27" s="1055">
        <v>12.35</v>
      </c>
      <c r="I27" s="1057">
        <v>11.65</v>
      </c>
      <c r="K27" s="1058"/>
    </row>
    <row r="28" spans="1:11" ht="18" hidden="1" customHeight="1" x14ac:dyDescent="0.3">
      <c r="A28" s="1054">
        <v>39234</v>
      </c>
      <c r="B28" s="1055">
        <v>8.5</v>
      </c>
      <c r="C28" s="1055" t="s">
        <v>3036</v>
      </c>
      <c r="D28" s="1055" t="s">
        <v>1394</v>
      </c>
      <c r="E28" s="1056" t="s">
        <v>3043</v>
      </c>
      <c r="F28" s="1056" t="s">
        <v>3038</v>
      </c>
      <c r="G28" s="1055">
        <v>7.21</v>
      </c>
      <c r="H28" s="1055">
        <v>12.35</v>
      </c>
      <c r="I28" s="1057">
        <v>11.04</v>
      </c>
      <c r="J28" s="1058"/>
      <c r="K28" s="1058"/>
    </row>
    <row r="29" spans="1:11" ht="18" hidden="1" customHeight="1" x14ac:dyDescent="0.3">
      <c r="A29" s="1054">
        <v>39264</v>
      </c>
      <c r="B29" s="1055">
        <v>9.25</v>
      </c>
      <c r="C29" s="1055" t="s">
        <v>3044</v>
      </c>
      <c r="D29" s="1055" t="s">
        <v>1395</v>
      </c>
      <c r="E29" s="1056" t="s">
        <v>3040</v>
      </c>
      <c r="F29" s="1056" t="s">
        <v>3045</v>
      </c>
      <c r="G29" s="1055">
        <v>7.79</v>
      </c>
      <c r="H29" s="1055">
        <v>12.73</v>
      </c>
      <c r="I29" s="1057">
        <v>11.29</v>
      </c>
      <c r="J29" s="1058"/>
      <c r="K29" s="1058"/>
    </row>
    <row r="30" spans="1:11" ht="18" hidden="1" customHeight="1" x14ac:dyDescent="0.3">
      <c r="A30" s="1054">
        <v>39295</v>
      </c>
      <c r="B30" s="1055">
        <v>9.25</v>
      </c>
      <c r="C30" s="1055" t="s">
        <v>3044</v>
      </c>
      <c r="D30" s="1055" t="s">
        <v>1395</v>
      </c>
      <c r="E30" s="1056" t="s">
        <v>3040</v>
      </c>
      <c r="F30" s="1056" t="s">
        <v>3035</v>
      </c>
      <c r="G30" s="1055">
        <v>7.88</v>
      </c>
      <c r="H30" s="1055">
        <v>12.76</v>
      </c>
      <c r="I30" s="1057">
        <v>10.029999999999999</v>
      </c>
      <c r="J30" s="1058"/>
      <c r="K30" s="1058"/>
    </row>
    <row r="31" spans="1:11" ht="18" hidden="1" customHeight="1" x14ac:dyDescent="0.3">
      <c r="A31" s="1054">
        <v>39326</v>
      </c>
      <c r="B31" s="1055">
        <v>9.25</v>
      </c>
      <c r="C31" s="1055" t="s">
        <v>3044</v>
      </c>
      <c r="D31" s="1055" t="s">
        <v>1395</v>
      </c>
      <c r="E31" s="1056" t="s">
        <v>3040</v>
      </c>
      <c r="F31" s="1056" t="s">
        <v>3046</v>
      </c>
      <c r="G31" s="1055">
        <v>7.79</v>
      </c>
      <c r="H31" s="1055">
        <v>12.72</v>
      </c>
      <c r="I31" s="1057">
        <v>9.4499999999999993</v>
      </c>
      <c r="J31" s="1058"/>
      <c r="K31" s="1058"/>
    </row>
    <row r="32" spans="1:11" ht="18" hidden="1" customHeight="1" x14ac:dyDescent="0.3">
      <c r="A32" s="1054">
        <v>39356</v>
      </c>
      <c r="B32" s="1055">
        <v>9.25</v>
      </c>
      <c r="C32" s="1055" t="s">
        <v>3047</v>
      </c>
      <c r="D32" s="1055" t="s">
        <v>1395</v>
      </c>
      <c r="E32" s="1056" t="s">
        <v>3042</v>
      </c>
      <c r="F32" s="1056" t="s">
        <v>3048</v>
      </c>
      <c r="G32" s="1055">
        <v>7.72</v>
      </c>
      <c r="H32" s="1055">
        <v>12.77</v>
      </c>
      <c r="I32" s="1057">
        <v>9.14</v>
      </c>
      <c r="J32" s="1058"/>
      <c r="K32" s="1058"/>
    </row>
    <row r="33" spans="1:11" ht="18" hidden="1" customHeight="1" x14ac:dyDescent="0.3">
      <c r="A33" s="1054">
        <v>39387</v>
      </c>
      <c r="B33" s="1055">
        <v>9.25</v>
      </c>
      <c r="C33" s="1055" t="s">
        <v>3047</v>
      </c>
      <c r="D33" s="1055" t="s">
        <v>1395</v>
      </c>
      <c r="E33" s="1056" t="s">
        <v>3049</v>
      </c>
      <c r="F33" s="1056" t="s">
        <v>3046</v>
      </c>
      <c r="G33" s="1055">
        <v>7.72</v>
      </c>
      <c r="H33" s="1055">
        <v>12.82</v>
      </c>
      <c r="I33" s="1057">
        <v>9.16</v>
      </c>
      <c r="J33" s="1058"/>
      <c r="K33" s="1058"/>
    </row>
    <row r="34" spans="1:11" ht="18" hidden="1" customHeight="1" x14ac:dyDescent="0.3">
      <c r="A34" s="1054">
        <v>39417</v>
      </c>
      <c r="B34" s="1055">
        <v>9.25</v>
      </c>
      <c r="C34" s="1055" t="s">
        <v>3047</v>
      </c>
      <c r="D34" s="1055" t="s">
        <v>1395</v>
      </c>
      <c r="E34" s="1056" t="s">
        <v>3049</v>
      </c>
      <c r="F34" s="1056" t="s">
        <v>3046</v>
      </c>
      <c r="G34" s="1055">
        <v>7.43</v>
      </c>
      <c r="H34" s="1055">
        <v>12.84</v>
      </c>
      <c r="I34" s="1057">
        <v>10.029999999999999</v>
      </c>
      <c r="J34" s="1058"/>
      <c r="K34" s="1058"/>
    </row>
    <row r="35" spans="1:11" ht="18" hidden="1" customHeight="1" x14ac:dyDescent="0.3">
      <c r="A35" s="1054">
        <v>39455</v>
      </c>
      <c r="B35" s="1055">
        <v>9.25</v>
      </c>
      <c r="C35" s="1055" t="s">
        <v>3047</v>
      </c>
      <c r="D35" s="1055" t="s">
        <v>1395</v>
      </c>
      <c r="E35" s="1056" t="s">
        <v>3040</v>
      </c>
      <c r="F35" s="1056" t="s">
        <v>3046</v>
      </c>
      <c r="G35" s="1055">
        <v>7.58</v>
      </c>
      <c r="H35" s="1055">
        <v>13.03</v>
      </c>
      <c r="I35" s="1057">
        <v>9.85</v>
      </c>
      <c r="J35" s="1058"/>
      <c r="K35" s="1058"/>
    </row>
    <row r="36" spans="1:11" ht="18" hidden="1" customHeight="1" x14ac:dyDescent="0.3">
      <c r="A36" s="1054">
        <v>39486</v>
      </c>
      <c r="B36" s="1055">
        <v>9</v>
      </c>
      <c r="C36" s="1055" t="s">
        <v>3050</v>
      </c>
      <c r="D36" s="1055" t="s">
        <v>429</v>
      </c>
      <c r="E36" s="1056" t="s">
        <v>3051</v>
      </c>
      <c r="F36" s="1056" t="s">
        <v>3052</v>
      </c>
      <c r="G36" s="1055">
        <v>7.36</v>
      </c>
      <c r="H36" s="1055">
        <v>12.87</v>
      </c>
      <c r="I36" s="1057">
        <v>8.26</v>
      </c>
      <c r="J36" s="1058"/>
      <c r="K36" s="1058"/>
    </row>
    <row r="37" spans="1:11" ht="18" hidden="1" customHeight="1" x14ac:dyDescent="0.3">
      <c r="A37" s="1054">
        <v>39515</v>
      </c>
      <c r="B37" s="1055">
        <v>8.5</v>
      </c>
      <c r="C37" s="1055" t="s">
        <v>3053</v>
      </c>
      <c r="D37" s="1055" t="s">
        <v>430</v>
      </c>
      <c r="E37" s="1056" t="s">
        <v>3051</v>
      </c>
      <c r="F37" s="1056" t="s">
        <v>3054</v>
      </c>
      <c r="G37" s="1055">
        <v>7.08</v>
      </c>
      <c r="H37" s="1055">
        <v>12.46</v>
      </c>
      <c r="I37" s="1057">
        <v>7.51</v>
      </c>
      <c r="J37" s="1058"/>
      <c r="K37" s="1058"/>
    </row>
    <row r="38" spans="1:11" ht="18" hidden="1" customHeight="1" x14ac:dyDescent="0.3">
      <c r="A38" s="1054">
        <v>39546</v>
      </c>
      <c r="B38" s="1055">
        <v>8.5</v>
      </c>
      <c r="C38" s="1055" t="s">
        <v>3053</v>
      </c>
      <c r="D38" s="1055" t="s">
        <v>1396</v>
      </c>
      <c r="E38" s="1056" t="s">
        <v>3051</v>
      </c>
      <c r="F38" s="1056" t="s">
        <v>3055</v>
      </c>
      <c r="G38" s="1055">
        <v>6.91</v>
      </c>
      <c r="H38" s="1055">
        <v>12.49</v>
      </c>
      <c r="I38" s="1057">
        <v>7.56</v>
      </c>
      <c r="J38" s="1058"/>
      <c r="K38" s="1058"/>
    </row>
    <row r="39" spans="1:11" ht="18" hidden="1" customHeight="1" x14ac:dyDescent="0.3">
      <c r="A39" s="1054">
        <v>39576</v>
      </c>
      <c r="B39" s="1055">
        <v>8</v>
      </c>
      <c r="C39" s="1055" t="s">
        <v>3056</v>
      </c>
      <c r="D39" s="1055" t="s">
        <v>1397</v>
      </c>
      <c r="E39" s="1056" t="s">
        <v>3051</v>
      </c>
      <c r="F39" s="1056" t="s">
        <v>3057</v>
      </c>
      <c r="G39" s="1055">
        <v>6.54</v>
      </c>
      <c r="H39" s="1055">
        <v>12.03</v>
      </c>
      <c r="I39" s="1057">
        <v>7.33</v>
      </c>
      <c r="J39" s="1058"/>
      <c r="K39" s="1058"/>
    </row>
    <row r="40" spans="1:11" ht="18" hidden="1" customHeight="1" x14ac:dyDescent="0.3">
      <c r="A40" s="1054">
        <v>39607</v>
      </c>
      <c r="B40" s="1055">
        <v>8</v>
      </c>
      <c r="C40" s="1055" t="s">
        <v>3056</v>
      </c>
      <c r="D40" s="1055" t="s">
        <v>1397</v>
      </c>
      <c r="E40" s="1056" t="s">
        <v>3058</v>
      </c>
      <c r="F40" s="1056" t="s">
        <v>3059</v>
      </c>
      <c r="G40" s="1055">
        <v>6.4</v>
      </c>
      <c r="H40" s="1055">
        <v>12.03</v>
      </c>
      <c r="I40" s="1057">
        <v>7.37</v>
      </c>
      <c r="J40" s="1058"/>
      <c r="K40" s="1058"/>
    </row>
    <row r="41" spans="1:11" ht="17.25" hidden="1" x14ac:dyDescent="0.3">
      <c r="A41" s="1054">
        <v>39637</v>
      </c>
      <c r="B41" s="1055">
        <v>8.25</v>
      </c>
      <c r="C41" s="1055" t="s">
        <v>3056</v>
      </c>
      <c r="D41" s="1055" t="s">
        <v>901</v>
      </c>
      <c r="E41" s="1056" t="s">
        <v>3058</v>
      </c>
      <c r="F41" s="1056" t="s">
        <v>3060</v>
      </c>
      <c r="G41" s="1055">
        <v>6.6</v>
      </c>
      <c r="H41" s="1055">
        <v>12.04</v>
      </c>
      <c r="I41" s="1057">
        <v>7.36</v>
      </c>
      <c r="J41" s="1058"/>
      <c r="K41" s="1058"/>
    </row>
    <row r="42" spans="1:11" ht="17.25" hidden="1" x14ac:dyDescent="0.3">
      <c r="A42" s="1054">
        <v>39668</v>
      </c>
      <c r="B42" s="1055">
        <v>8.25</v>
      </c>
      <c r="C42" s="1055" t="s">
        <v>3053</v>
      </c>
      <c r="D42" s="1055" t="s">
        <v>901</v>
      </c>
      <c r="E42" s="1056" t="s">
        <v>3058</v>
      </c>
      <c r="F42" s="1056" t="s">
        <v>3061</v>
      </c>
      <c r="G42" s="1055">
        <v>6.65</v>
      </c>
      <c r="H42" s="1055">
        <v>12.31</v>
      </c>
      <c r="I42" s="1057">
        <v>7.93</v>
      </c>
      <c r="J42" s="1058"/>
      <c r="K42" s="1058"/>
    </row>
    <row r="43" spans="1:11" ht="18" hidden="1" customHeight="1" x14ac:dyDescent="0.3">
      <c r="A43" s="1054">
        <v>39699</v>
      </c>
      <c r="B43" s="1055">
        <v>8.25</v>
      </c>
      <c r="C43" s="1055" t="s">
        <v>3053</v>
      </c>
      <c r="D43" s="1055" t="s">
        <v>901</v>
      </c>
      <c r="E43" s="1056" t="s">
        <v>3058</v>
      </c>
      <c r="F43" s="1056" t="s">
        <v>3062</v>
      </c>
      <c r="G43" s="1055">
        <v>6.7</v>
      </c>
      <c r="H43" s="1055">
        <v>12.27</v>
      </c>
      <c r="I43" s="1057">
        <v>8.91</v>
      </c>
      <c r="J43" s="1058"/>
      <c r="K43" s="1058"/>
    </row>
    <row r="44" spans="1:11" ht="18" hidden="1" customHeight="1" x14ac:dyDescent="0.3">
      <c r="A44" s="1054">
        <v>39729</v>
      </c>
      <c r="B44" s="1055">
        <v>7.75</v>
      </c>
      <c r="C44" s="1055" t="s">
        <v>3053</v>
      </c>
      <c r="D44" s="1055" t="s">
        <v>901</v>
      </c>
      <c r="E44" s="1056" t="s">
        <v>3058</v>
      </c>
      <c r="F44" s="1056" t="s">
        <v>3062</v>
      </c>
      <c r="G44" s="1055">
        <v>6.76</v>
      </c>
      <c r="H44" s="1055">
        <v>12.26</v>
      </c>
      <c r="I44" s="1057">
        <v>9.4</v>
      </c>
      <c r="J44" s="1058"/>
      <c r="K44" s="1058"/>
    </row>
    <row r="45" spans="1:11" ht="18" hidden="1" customHeight="1" x14ac:dyDescent="0.3">
      <c r="A45" s="1054">
        <v>39760</v>
      </c>
      <c r="B45" s="1055">
        <v>7.75</v>
      </c>
      <c r="C45" s="1055" t="s">
        <v>3063</v>
      </c>
      <c r="D45" s="1055" t="s">
        <v>1398</v>
      </c>
      <c r="E45" s="1056" t="s">
        <v>2335</v>
      </c>
      <c r="F45" s="1056" t="s">
        <v>3064</v>
      </c>
      <c r="G45" s="1055">
        <v>6.38</v>
      </c>
      <c r="H45" s="1055">
        <v>11.74</v>
      </c>
      <c r="I45" s="1057">
        <v>9.24</v>
      </c>
      <c r="J45" s="1058"/>
      <c r="K45" s="1058"/>
    </row>
    <row r="46" spans="1:11" ht="18" hidden="1" customHeight="1" x14ac:dyDescent="0.3">
      <c r="A46" s="1054">
        <v>39790</v>
      </c>
      <c r="B46" s="1055">
        <v>6.75</v>
      </c>
      <c r="C46" s="1055" t="s">
        <v>3065</v>
      </c>
      <c r="D46" s="1055" t="s">
        <v>1399</v>
      </c>
      <c r="E46" s="1056" t="s">
        <v>3058</v>
      </c>
      <c r="F46" s="1056" t="s">
        <v>3066</v>
      </c>
      <c r="G46" s="1055">
        <v>5.77</v>
      </c>
      <c r="H46" s="1055">
        <v>11.04</v>
      </c>
      <c r="I46" s="1057">
        <v>8.9600000000000009</v>
      </c>
      <c r="J46" s="1058"/>
      <c r="K46" s="1058"/>
    </row>
    <row r="47" spans="1:11" ht="18" hidden="1" customHeight="1" x14ac:dyDescent="0.3">
      <c r="A47" s="1054">
        <v>39821</v>
      </c>
      <c r="B47" s="1055">
        <v>6.75</v>
      </c>
      <c r="C47" s="1055" t="s">
        <v>3065</v>
      </c>
      <c r="D47" s="1055" t="s">
        <v>1399</v>
      </c>
      <c r="E47" s="1056" t="s">
        <v>3058</v>
      </c>
      <c r="F47" s="1056" t="s">
        <v>3066</v>
      </c>
      <c r="G47" s="1055">
        <v>5.79</v>
      </c>
      <c r="H47" s="1055">
        <v>10.99</v>
      </c>
      <c r="I47" s="1057">
        <v>8.0399999999999991</v>
      </c>
      <c r="J47" s="1058"/>
      <c r="K47" s="1058"/>
    </row>
    <row r="48" spans="1:11" ht="18" hidden="1" customHeight="1" x14ac:dyDescent="0.3">
      <c r="A48" s="1054">
        <v>39852</v>
      </c>
      <c r="B48" s="1055">
        <v>6.75</v>
      </c>
      <c r="C48" s="1055" t="s">
        <v>3065</v>
      </c>
      <c r="D48" s="1055" t="s">
        <v>1399</v>
      </c>
      <c r="E48" s="1056" t="s">
        <v>3058</v>
      </c>
      <c r="F48" s="1056" t="s">
        <v>3066</v>
      </c>
      <c r="G48" s="1055">
        <v>5.79</v>
      </c>
      <c r="H48" s="1055">
        <v>10.98</v>
      </c>
      <c r="I48" s="1057">
        <v>7.02</v>
      </c>
      <c r="J48" s="1058"/>
      <c r="K48" s="1058"/>
    </row>
    <row r="49" spans="1:11" ht="18" hidden="1" customHeight="1" x14ac:dyDescent="0.3">
      <c r="A49" s="1054">
        <v>39880</v>
      </c>
      <c r="B49" s="1055">
        <v>5.75</v>
      </c>
      <c r="C49" s="1055" t="s">
        <v>3067</v>
      </c>
      <c r="D49" s="1055" t="s">
        <v>1400</v>
      </c>
      <c r="E49" s="1056" t="s">
        <v>3051</v>
      </c>
      <c r="F49" s="1056" t="s">
        <v>3066</v>
      </c>
      <c r="G49" s="1055">
        <v>5.44</v>
      </c>
      <c r="H49" s="1055">
        <v>10.54</v>
      </c>
      <c r="I49" s="1057">
        <v>6.07</v>
      </c>
      <c r="J49" s="1058"/>
      <c r="K49" s="1058"/>
    </row>
    <row r="50" spans="1:11" ht="18" hidden="1" customHeight="1" x14ac:dyDescent="0.3">
      <c r="A50" s="1054">
        <v>39911</v>
      </c>
      <c r="B50" s="1055">
        <v>5.75</v>
      </c>
      <c r="C50" s="1055" t="s">
        <v>3068</v>
      </c>
      <c r="D50" s="1055" t="s">
        <v>1401</v>
      </c>
      <c r="E50" s="1056" t="s">
        <v>3069</v>
      </c>
      <c r="F50" s="1056" t="s">
        <v>3066</v>
      </c>
      <c r="G50" s="1055">
        <v>4.79</v>
      </c>
      <c r="H50" s="1055">
        <v>10.220000000000001</v>
      </c>
      <c r="I50" s="1057">
        <v>5.09</v>
      </c>
      <c r="J50" s="1058"/>
      <c r="K50" s="1058"/>
    </row>
    <row r="51" spans="1:11" ht="18" hidden="1" customHeight="1" x14ac:dyDescent="0.3">
      <c r="A51" s="1054">
        <v>39941</v>
      </c>
      <c r="B51" s="1055">
        <v>5.75</v>
      </c>
      <c r="C51" s="1055" t="s">
        <v>3068</v>
      </c>
      <c r="D51" s="1055" t="s">
        <v>1401</v>
      </c>
      <c r="E51" s="1056" t="s">
        <v>3069</v>
      </c>
      <c r="F51" s="1056" t="s">
        <v>3066</v>
      </c>
      <c r="G51" s="1055">
        <v>4.8099999999999996</v>
      </c>
      <c r="H51" s="1055">
        <v>10.210000000000001</v>
      </c>
      <c r="I51" s="1057">
        <v>4.79</v>
      </c>
      <c r="J51" s="1058"/>
      <c r="K51" s="1058"/>
    </row>
    <row r="52" spans="1:11" ht="18" hidden="1" customHeight="1" x14ac:dyDescent="0.3">
      <c r="A52" s="1054">
        <v>39972</v>
      </c>
      <c r="B52" s="1055">
        <v>5.75</v>
      </c>
      <c r="C52" s="1055" t="s">
        <v>3068</v>
      </c>
      <c r="D52" s="1055" t="s">
        <v>1401</v>
      </c>
      <c r="E52" s="1056" t="s">
        <v>3069</v>
      </c>
      <c r="F52" s="1056" t="s">
        <v>3066</v>
      </c>
      <c r="G52" s="1055">
        <v>4.78</v>
      </c>
      <c r="H52" s="1055">
        <v>10.119999999999999</v>
      </c>
      <c r="I52" s="1057">
        <v>4.72</v>
      </c>
      <c r="J52" s="1058"/>
      <c r="K52" s="1058"/>
    </row>
    <row r="53" spans="1:11" ht="18" hidden="1" customHeight="1" x14ac:dyDescent="0.3">
      <c r="A53" s="1054">
        <v>40002</v>
      </c>
      <c r="B53" s="1055">
        <v>5.75</v>
      </c>
      <c r="C53" s="1055" t="s">
        <v>3068</v>
      </c>
      <c r="D53" s="1055" t="s">
        <v>1401</v>
      </c>
      <c r="E53" s="1056" t="s">
        <v>3069</v>
      </c>
      <c r="F53" s="1056" t="s">
        <v>3066</v>
      </c>
      <c r="G53" s="1055">
        <v>4.75</v>
      </c>
      <c r="H53" s="1055">
        <v>10.16</v>
      </c>
      <c r="I53" s="1057">
        <v>4.66</v>
      </c>
      <c r="J53" s="1058"/>
      <c r="K53" s="1058"/>
    </row>
    <row r="54" spans="1:11" ht="18" hidden="1" customHeight="1" x14ac:dyDescent="0.3">
      <c r="A54" s="1054">
        <v>40033</v>
      </c>
      <c r="B54" s="1055">
        <v>5.75</v>
      </c>
      <c r="C54" s="1055" t="s">
        <v>3068</v>
      </c>
      <c r="D54" s="1055" t="s">
        <v>1401</v>
      </c>
      <c r="E54" s="1056" t="s">
        <v>3069</v>
      </c>
      <c r="F54" s="1056" t="s">
        <v>3066</v>
      </c>
      <c r="G54" s="1055">
        <v>4.74</v>
      </c>
      <c r="H54" s="1055">
        <v>10.119999999999999</v>
      </c>
      <c r="I54" s="1057">
        <v>4.5</v>
      </c>
      <c r="J54" s="1058"/>
      <c r="K54" s="1058"/>
    </row>
    <row r="55" spans="1:11" ht="18" hidden="1" customHeight="1" x14ac:dyDescent="0.3">
      <c r="A55" s="1054">
        <v>40064</v>
      </c>
      <c r="B55" s="1055">
        <v>5.75</v>
      </c>
      <c r="C55" s="1055" t="s">
        <v>3068</v>
      </c>
      <c r="D55" s="1055" t="s">
        <v>1401</v>
      </c>
      <c r="E55" s="1056" t="s">
        <v>3069</v>
      </c>
      <c r="F55" s="1056" t="s">
        <v>3066</v>
      </c>
      <c r="G55" s="1055">
        <v>4.66</v>
      </c>
      <c r="H55" s="1055">
        <v>10.09</v>
      </c>
      <c r="I55" s="1057">
        <v>4.45</v>
      </c>
      <c r="J55" s="1058"/>
      <c r="K55" s="1058"/>
    </row>
    <row r="56" spans="1:11" ht="18" hidden="1" customHeight="1" x14ac:dyDescent="0.3">
      <c r="A56" s="1054">
        <v>40094</v>
      </c>
      <c r="B56" s="1055">
        <v>5.75</v>
      </c>
      <c r="C56" s="1055" t="s">
        <v>3068</v>
      </c>
      <c r="D56" s="1055" t="s">
        <v>1401</v>
      </c>
      <c r="E56" s="1056" t="s">
        <v>3069</v>
      </c>
      <c r="F56" s="1056" t="s">
        <v>3066</v>
      </c>
      <c r="G56" s="1055">
        <v>4.6500000000000004</v>
      </c>
      <c r="H56" s="1055">
        <v>10.15</v>
      </c>
      <c r="I56" s="1057">
        <v>4.71</v>
      </c>
      <c r="J56" s="1058"/>
      <c r="K56" s="1058"/>
    </row>
    <row r="57" spans="1:11" ht="18" hidden="1" customHeight="1" x14ac:dyDescent="0.3">
      <c r="A57" s="1054">
        <v>40125</v>
      </c>
      <c r="B57" s="1055">
        <v>5.75</v>
      </c>
      <c r="C57" s="1055" t="s">
        <v>3068</v>
      </c>
      <c r="D57" s="1055" t="s">
        <v>1401</v>
      </c>
      <c r="E57" s="1056" t="s">
        <v>3069</v>
      </c>
      <c r="F57" s="1056" t="s">
        <v>3066</v>
      </c>
      <c r="G57" s="1055">
        <v>4.66</v>
      </c>
      <c r="H57" s="1055">
        <v>10.08</v>
      </c>
      <c r="I57" s="1057">
        <v>4.49</v>
      </c>
      <c r="J57" s="1058"/>
      <c r="K57" s="1058"/>
    </row>
    <row r="58" spans="1:11" ht="18" hidden="1" customHeight="1" x14ac:dyDescent="0.3">
      <c r="A58" s="1054">
        <v>40155</v>
      </c>
      <c r="B58" s="1055">
        <v>5.75</v>
      </c>
      <c r="C58" s="1055" t="s">
        <v>3068</v>
      </c>
      <c r="D58" s="1055" t="s">
        <v>1401</v>
      </c>
      <c r="E58" s="1056" t="s">
        <v>3069</v>
      </c>
      <c r="F58" s="1056" t="s">
        <v>3066</v>
      </c>
      <c r="G58" s="1055">
        <v>4.57</v>
      </c>
      <c r="H58" s="1055">
        <v>10.08</v>
      </c>
      <c r="I58" s="1057">
        <v>4.4000000000000004</v>
      </c>
      <c r="J58" s="1058"/>
      <c r="K58" s="1058"/>
    </row>
    <row r="59" spans="1:11" ht="18" hidden="1" customHeight="1" x14ac:dyDescent="0.3">
      <c r="A59" s="1054">
        <v>40186</v>
      </c>
      <c r="B59" s="1055">
        <v>5.75</v>
      </c>
      <c r="C59" s="1055" t="s">
        <v>3068</v>
      </c>
      <c r="D59" s="1055" t="s">
        <v>1401</v>
      </c>
      <c r="E59" s="1056" t="s">
        <v>3069</v>
      </c>
      <c r="F59" s="1056" t="s">
        <v>3070</v>
      </c>
      <c r="G59" s="1055" t="s">
        <v>3071</v>
      </c>
      <c r="H59" s="1055">
        <v>10.050000000000001</v>
      </c>
      <c r="I59" s="1057">
        <v>4.5199999999999996</v>
      </c>
      <c r="J59" s="1058"/>
      <c r="K59" s="1058"/>
    </row>
    <row r="60" spans="1:11" ht="18" hidden="1" customHeight="1" x14ac:dyDescent="0.3">
      <c r="A60" s="1054">
        <v>40217</v>
      </c>
      <c r="B60" s="1055">
        <v>5.75</v>
      </c>
      <c r="C60" s="1055" t="s">
        <v>3068</v>
      </c>
      <c r="D60" s="1055" t="s">
        <v>1401</v>
      </c>
      <c r="E60" s="1056" t="s">
        <v>3069</v>
      </c>
      <c r="F60" s="1056" t="s">
        <v>3070</v>
      </c>
      <c r="G60" s="1055">
        <v>4.55</v>
      </c>
      <c r="H60" s="1055">
        <v>10.01</v>
      </c>
      <c r="I60" s="1057">
        <v>4.4800000000000004</v>
      </c>
      <c r="J60" s="1058"/>
      <c r="K60" s="1058"/>
    </row>
    <row r="61" spans="1:11" ht="18" hidden="1" customHeight="1" x14ac:dyDescent="0.3">
      <c r="A61" s="1054">
        <v>40245</v>
      </c>
      <c r="B61" s="1055">
        <v>5.75</v>
      </c>
      <c r="C61" s="1055" t="s">
        <v>3068</v>
      </c>
      <c r="D61" s="1055" t="s">
        <v>1401</v>
      </c>
      <c r="E61" s="1056" t="s">
        <v>3069</v>
      </c>
      <c r="F61" s="1056" t="s">
        <v>3070</v>
      </c>
      <c r="G61" s="1055">
        <v>4.5199999999999996</v>
      </c>
      <c r="H61" s="1055">
        <v>9.99</v>
      </c>
      <c r="I61" s="1057">
        <v>4.24</v>
      </c>
      <c r="J61" s="1058"/>
      <c r="K61" s="1058"/>
    </row>
    <row r="62" spans="1:11" ht="18" hidden="1" customHeight="1" x14ac:dyDescent="0.3">
      <c r="A62" s="1054">
        <v>40276</v>
      </c>
      <c r="B62" s="1055">
        <v>5.75</v>
      </c>
      <c r="C62" s="1055" t="s">
        <v>3068</v>
      </c>
      <c r="D62" s="1055" t="s">
        <v>1401</v>
      </c>
      <c r="E62" s="1056" t="s">
        <v>3069</v>
      </c>
      <c r="F62" s="1056" t="s">
        <v>3070</v>
      </c>
      <c r="G62" s="1055">
        <v>4.5599999999999996</v>
      </c>
      <c r="H62" s="1055">
        <v>10.029999999999999</v>
      </c>
      <c r="I62" s="1057">
        <v>4.49</v>
      </c>
      <c r="J62" s="1058"/>
      <c r="K62" s="1058"/>
    </row>
    <row r="63" spans="1:11" ht="18" hidden="1" customHeight="1" x14ac:dyDescent="0.3">
      <c r="A63" s="1054">
        <v>40306</v>
      </c>
      <c r="B63" s="1055">
        <v>5.75</v>
      </c>
      <c r="C63" s="1055" t="s">
        <v>3068</v>
      </c>
      <c r="D63" s="1055" t="s">
        <v>1401</v>
      </c>
      <c r="E63" s="1056" t="s">
        <v>3069</v>
      </c>
      <c r="F63" s="1056" t="s">
        <v>3070</v>
      </c>
      <c r="G63" s="1055">
        <v>4.5199999999999996</v>
      </c>
      <c r="H63" s="1055">
        <v>10.02</v>
      </c>
      <c r="I63" s="1057">
        <v>3.91</v>
      </c>
      <c r="J63" s="1058"/>
      <c r="K63" s="1058"/>
    </row>
    <row r="64" spans="1:11" ht="18" hidden="1" customHeight="1" x14ac:dyDescent="0.3">
      <c r="A64" s="1054">
        <v>40337</v>
      </c>
      <c r="B64" s="1055">
        <v>5.75</v>
      </c>
      <c r="C64" s="1055" t="s">
        <v>3068</v>
      </c>
      <c r="D64" s="1055" t="s">
        <v>1401</v>
      </c>
      <c r="E64" s="1056" t="s">
        <v>3069</v>
      </c>
      <c r="F64" s="1056" t="s">
        <v>3070</v>
      </c>
      <c r="G64" s="1055">
        <v>4.57</v>
      </c>
      <c r="H64" s="1055">
        <v>10.06</v>
      </c>
      <c r="I64" s="1057">
        <v>3.48</v>
      </c>
      <c r="J64" s="1058"/>
      <c r="K64" s="1058"/>
    </row>
    <row r="65" spans="1:11" ht="18" hidden="1" customHeight="1" x14ac:dyDescent="0.3">
      <c r="A65" s="1054">
        <v>40367</v>
      </c>
      <c r="B65" s="1055">
        <v>5.75</v>
      </c>
      <c r="C65" s="1055" t="s">
        <v>3068</v>
      </c>
      <c r="D65" s="1055" t="s">
        <v>1401</v>
      </c>
      <c r="E65" s="1056" t="s">
        <v>3069</v>
      </c>
      <c r="F65" s="1056" t="s">
        <v>3070</v>
      </c>
      <c r="G65" s="1059">
        <v>4.58</v>
      </c>
      <c r="H65" s="1059">
        <v>9.98</v>
      </c>
      <c r="I65" s="1057">
        <v>3.77</v>
      </c>
      <c r="J65" s="1058"/>
      <c r="K65" s="1058"/>
    </row>
    <row r="66" spans="1:11" ht="18" hidden="1" customHeight="1" x14ac:dyDescent="0.3">
      <c r="A66" s="1054">
        <v>40398</v>
      </c>
      <c r="B66" s="1055">
        <v>5.75</v>
      </c>
      <c r="C66" s="1055" t="s">
        <v>3068</v>
      </c>
      <c r="D66" s="1055" t="s">
        <v>1401</v>
      </c>
      <c r="E66" s="1056" t="s">
        <v>3069</v>
      </c>
      <c r="F66" s="1056" t="s">
        <v>3070</v>
      </c>
      <c r="G66" s="1059">
        <v>4.5599999999999996</v>
      </c>
      <c r="H66" s="1059">
        <v>9.91</v>
      </c>
      <c r="I66" s="1057">
        <v>2.92</v>
      </c>
      <c r="J66" s="1058"/>
      <c r="K66" s="1058"/>
    </row>
    <row r="67" spans="1:11" ht="18" hidden="1" customHeight="1" x14ac:dyDescent="0.3">
      <c r="A67" s="1054">
        <v>40429</v>
      </c>
      <c r="B67" s="1055">
        <v>4.75</v>
      </c>
      <c r="C67" s="1055" t="s">
        <v>3072</v>
      </c>
      <c r="D67" s="1055" t="s">
        <v>1402</v>
      </c>
      <c r="E67" s="1056" t="s">
        <v>3073</v>
      </c>
      <c r="F67" s="1056" t="s">
        <v>3070</v>
      </c>
      <c r="G67" s="1055">
        <v>4.5</v>
      </c>
      <c r="H67" s="1055">
        <v>9.9</v>
      </c>
      <c r="I67" s="1057">
        <v>2.81</v>
      </c>
      <c r="J67" s="1058"/>
      <c r="K67" s="1058"/>
    </row>
    <row r="68" spans="1:11" ht="18" hidden="1" customHeight="1" x14ac:dyDescent="0.3">
      <c r="A68" s="1060" t="s">
        <v>1303</v>
      </c>
      <c r="B68" s="1055">
        <v>4.75</v>
      </c>
      <c r="C68" s="1055" t="s">
        <v>3074</v>
      </c>
      <c r="D68" s="1055" t="s">
        <v>1403</v>
      </c>
      <c r="E68" s="1056" t="s">
        <v>3073</v>
      </c>
      <c r="F68" s="1056" t="s">
        <v>3075</v>
      </c>
      <c r="G68" s="1055">
        <v>3.85</v>
      </c>
      <c r="H68" s="1055">
        <v>9.23</v>
      </c>
      <c r="I68" s="1057">
        <v>4.42</v>
      </c>
      <c r="J68" s="1058"/>
      <c r="K68" s="1058"/>
    </row>
    <row r="69" spans="1:11" ht="18" hidden="1" customHeight="1" x14ac:dyDescent="0.3">
      <c r="A69" s="1060" t="s">
        <v>3076</v>
      </c>
      <c r="B69" s="1055">
        <v>4.75</v>
      </c>
      <c r="C69" s="1055" t="s">
        <v>3074</v>
      </c>
      <c r="D69" s="1055" t="s">
        <v>1403</v>
      </c>
      <c r="E69" s="1056" t="s">
        <v>3077</v>
      </c>
      <c r="F69" s="1056" t="s">
        <v>3078</v>
      </c>
      <c r="G69" s="1055">
        <v>3.78</v>
      </c>
      <c r="H69" s="1055">
        <v>9.26</v>
      </c>
      <c r="I69" s="1057">
        <v>3.85</v>
      </c>
      <c r="J69" s="1058"/>
      <c r="K69" s="1058"/>
    </row>
    <row r="70" spans="1:11" ht="18" hidden="1" customHeight="1" x14ac:dyDescent="0.3">
      <c r="A70" s="1060" t="s">
        <v>1305</v>
      </c>
      <c r="B70" s="1055">
        <v>4.75</v>
      </c>
      <c r="C70" s="1055" t="s">
        <v>3074</v>
      </c>
      <c r="D70" s="1055" t="s">
        <v>1403</v>
      </c>
      <c r="E70" s="1056" t="s">
        <v>3077</v>
      </c>
      <c r="F70" s="1056" t="s">
        <v>3078</v>
      </c>
      <c r="G70" s="1055">
        <v>3.65</v>
      </c>
      <c r="H70" s="1055">
        <v>9.2200000000000006</v>
      </c>
      <c r="I70" s="1057">
        <v>3.07</v>
      </c>
      <c r="J70" s="1058"/>
      <c r="K70" s="1058"/>
    </row>
    <row r="71" spans="1:11" ht="18" hidden="1" customHeight="1" x14ac:dyDescent="0.3">
      <c r="A71" s="1060" t="s">
        <v>3079</v>
      </c>
      <c r="B71" s="1055">
        <v>4.75</v>
      </c>
      <c r="C71" s="1055" t="s">
        <v>3074</v>
      </c>
      <c r="D71" s="1055" t="s">
        <v>1403</v>
      </c>
      <c r="E71" s="1056" t="s">
        <v>3077</v>
      </c>
      <c r="F71" s="1056" t="s">
        <v>3078</v>
      </c>
      <c r="G71" s="1055">
        <v>3.59</v>
      </c>
      <c r="H71" s="1055">
        <v>9.17</v>
      </c>
      <c r="I71" s="1057">
        <v>3.04</v>
      </c>
      <c r="J71" s="1058"/>
      <c r="K71" s="1058"/>
    </row>
    <row r="72" spans="1:11" ht="18.75" hidden="1" customHeight="1" x14ac:dyDescent="0.3">
      <c r="A72" s="1060" t="s">
        <v>3080</v>
      </c>
      <c r="B72" s="1055">
        <v>4.75</v>
      </c>
      <c r="C72" s="1055" t="s">
        <v>3074</v>
      </c>
      <c r="D72" s="1055" t="s">
        <v>1403</v>
      </c>
      <c r="E72" s="1056" t="s">
        <v>3077</v>
      </c>
      <c r="F72" s="1056" t="s">
        <v>3078</v>
      </c>
      <c r="G72" s="1055">
        <v>3.56</v>
      </c>
      <c r="H72" s="1055">
        <v>9.1199999999999992</v>
      </c>
      <c r="I72" s="1057">
        <v>2.77</v>
      </c>
      <c r="J72" s="1058"/>
      <c r="K72" s="1058"/>
    </row>
    <row r="73" spans="1:11" ht="18.75" hidden="1" customHeight="1" x14ac:dyDescent="0.3">
      <c r="A73" s="1061" t="s">
        <v>3081</v>
      </c>
      <c r="B73" s="1055">
        <v>5.25</v>
      </c>
      <c r="C73" s="1055" t="s">
        <v>3072</v>
      </c>
      <c r="D73" s="1055" t="s">
        <v>1403</v>
      </c>
      <c r="E73" s="1056" t="s">
        <v>3077</v>
      </c>
      <c r="F73" s="1056" t="s">
        <v>3078</v>
      </c>
      <c r="G73" s="1055">
        <v>3.81</v>
      </c>
      <c r="H73" s="1055">
        <v>9.14</v>
      </c>
      <c r="I73" s="1057">
        <v>2.39</v>
      </c>
      <c r="J73" s="1062"/>
      <c r="K73" s="1058"/>
    </row>
    <row r="74" spans="1:11" ht="18.75" hidden="1" customHeight="1" x14ac:dyDescent="0.3">
      <c r="A74" s="1061">
        <v>40634</v>
      </c>
      <c r="B74" s="1055">
        <v>5.25</v>
      </c>
      <c r="C74" s="1055" t="s">
        <v>3072</v>
      </c>
      <c r="D74" s="1055" t="s">
        <v>1403</v>
      </c>
      <c r="E74" s="1056" t="s">
        <v>3077</v>
      </c>
      <c r="F74" s="1056" t="s">
        <v>3078</v>
      </c>
      <c r="G74" s="1055">
        <v>4.13</v>
      </c>
      <c r="H74" s="1055">
        <v>9.4700000000000006</v>
      </c>
      <c r="I74" s="1057">
        <v>4.1500000000000004</v>
      </c>
      <c r="J74" s="1062"/>
      <c r="K74" s="1058"/>
    </row>
    <row r="75" spans="1:11" ht="18.75" hidden="1" customHeight="1" x14ac:dyDescent="0.3">
      <c r="A75" s="1061">
        <v>40664</v>
      </c>
      <c r="B75" s="1055">
        <v>5.25</v>
      </c>
      <c r="C75" s="1055" t="s">
        <v>3082</v>
      </c>
      <c r="D75" s="1055" t="s">
        <v>1403</v>
      </c>
      <c r="E75" s="1056" t="s">
        <v>3077</v>
      </c>
      <c r="F75" s="1056" t="s">
        <v>3078</v>
      </c>
      <c r="G75" s="1055">
        <v>4.12</v>
      </c>
      <c r="H75" s="1055">
        <v>9.4499999999999993</v>
      </c>
      <c r="I75" s="1057">
        <v>4.0599999999999996</v>
      </c>
      <c r="J75" s="1062"/>
      <c r="K75" s="1058"/>
    </row>
    <row r="76" spans="1:11" ht="18.75" hidden="1" customHeight="1" x14ac:dyDescent="0.3">
      <c r="A76" s="1061">
        <v>40695</v>
      </c>
      <c r="B76" s="1055">
        <v>5.5</v>
      </c>
      <c r="C76" s="1055" t="s">
        <v>3082</v>
      </c>
      <c r="D76" s="1055" t="s">
        <v>1404</v>
      </c>
      <c r="E76" s="1056" t="s">
        <v>3077</v>
      </c>
      <c r="F76" s="1056" t="s">
        <v>3078</v>
      </c>
      <c r="G76" s="1055">
        <v>4.25</v>
      </c>
      <c r="H76" s="1055">
        <v>9.58</v>
      </c>
      <c r="I76" s="1057">
        <v>4.33</v>
      </c>
      <c r="J76" s="1062"/>
      <c r="K76" s="1058"/>
    </row>
    <row r="77" spans="1:11" ht="18.75" hidden="1" customHeight="1" x14ac:dyDescent="0.3">
      <c r="A77" s="1061">
        <v>40725</v>
      </c>
      <c r="B77" s="1055">
        <v>5.5</v>
      </c>
      <c r="C77" s="1055" t="s">
        <v>419</v>
      </c>
      <c r="D77" s="1055" t="s">
        <v>1404</v>
      </c>
      <c r="E77" s="1056" t="s">
        <v>3077</v>
      </c>
      <c r="F77" s="1056" t="s">
        <v>3078</v>
      </c>
      <c r="G77" s="1055">
        <v>4.37</v>
      </c>
      <c r="H77" s="1055">
        <v>9.65</v>
      </c>
      <c r="I77" s="1057">
        <v>4.4000000000000004</v>
      </c>
      <c r="J77" s="1062"/>
      <c r="K77" s="1058"/>
    </row>
    <row r="78" spans="1:11" ht="18.75" hidden="1" customHeight="1" x14ac:dyDescent="0.3">
      <c r="A78" s="1061">
        <v>40756</v>
      </c>
      <c r="B78" s="1055">
        <v>5.5</v>
      </c>
      <c r="C78" s="1055" t="s">
        <v>419</v>
      </c>
      <c r="D78" s="1055" t="s">
        <v>1404</v>
      </c>
      <c r="E78" s="1056" t="s">
        <v>3077</v>
      </c>
      <c r="F78" s="1056" t="s">
        <v>3083</v>
      </c>
      <c r="G78" s="1055">
        <v>4.33</v>
      </c>
      <c r="H78" s="1055">
        <v>9.66</v>
      </c>
      <c r="I78" s="1057">
        <v>4.42</v>
      </c>
      <c r="J78" s="1062"/>
      <c r="K78" s="1058"/>
    </row>
    <row r="79" spans="1:11" ht="18.75" hidden="1" customHeight="1" x14ac:dyDescent="0.3">
      <c r="A79" s="1061">
        <v>40787</v>
      </c>
      <c r="B79" s="1055">
        <v>5.5</v>
      </c>
      <c r="C79" s="1055" t="s">
        <v>419</v>
      </c>
      <c r="D79" s="1055" t="s">
        <v>1404</v>
      </c>
      <c r="E79" s="1056" t="s">
        <v>3077</v>
      </c>
      <c r="F79" s="1056" t="s">
        <v>3083</v>
      </c>
      <c r="G79" s="1055">
        <v>4.34</v>
      </c>
      <c r="H79" s="1055">
        <v>9.33</v>
      </c>
      <c r="I79" s="1057">
        <v>4.45</v>
      </c>
      <c r="J79" s="1062"/>
      <c r="K79" s="1058"/>
    </row>
    <row r="80" spans="1:11" ht="18.75" hidden="1" customHeight="1" x14ac:dyDescent="0.3">
      <c r="A80" s="1061">
        <v>40817</v>
      </c>
      <c r="B80" s="1055">
        <v>5.5</v>
      </c>
      <c r="C80" s="1055" t="s">
        <v>419</v>
      </c>
      <c r="D80" s="1055" t="s">
        <v>1404</v>
      </c>
      <c r="E80" s="1056" t="s">
        <v>3077</v>
      </c>
      <c r="F80" s="1056" t="s">
        <v>3083</v>
      </c>
      <c r="G80" s="1055">
        <v>4.34</v>
      </c>
      <c r="H80" s="1055">
        <v>9.32</v>
      </c>
      <c r="I80" s="1057">
        <v>4.42</v>
      </c>
      <c r="J80" s="1045"/>
      <c r="K80" s="1063"/>
    </row>
    <row r="81" spans="1:11" ht="18.75" hidden="1" customHeight="1" x14ac:dyDescent="0.3">
      <c r="A81" s="1061">
        <v>40848</v>
      </c>
      <c r="B81" s="1055">
        <v>5.5</v>
      </c>
      <c r="C81" s="1055" t="s">
        <v>419</v>
      </c>
      <c r="D81" s="1055" t="s">
        <v>1404</v>
      </c>
      <c r="E81" s="1056" t="s">
        <v>3077</v>
      </c>
      <c r="F81" s="1056" t="s">
        <v>3084</v>
      </c>
      <c r="G81" s="1055">
        <v>4.32</v>
      </c>
      <c r="H81" s="1055">
        <v>9.27</v>
      </c>
      <c r="I81" s="1057">
        <v>4.51</v>
      </c>
      <c r="J81" s="1045"/>
      <c r="K81" s="1063"/>
    </row>
    <row r="82" spans="1:11" ht="18.75" hidden="1" customHeight="1" x14ac:dyDescent="0.3">
      <c r="A82" s="1061">
        <v>40878</v>
      </c>
      <c r="B82" s="1055">
        <v>5.4</v>
      </c>
      <c r="C82" s="1055" t="s">
        <v>419</v>
      </c>
      <c r="D82" s="1055" t="s">
        <v>1404</v>
      </c>
      <c r="E82" s="1056" t="s">
        <v>3077</v>
      </c>
      <c r="F82" s="1056" t="s">
        <v>3085</v>
      </c>
      <c r="G82" s="1055">
        <v>4.29</v>
      </c>
      <c r="H82" s="1055">
        <v>9.1999999999999993</v>
      </c>
      <c r="I82" s="1057">
        <v>4.59</v>
      </c>
      <c r="J82" s="1045"/>
    </row>
    <row r="83" spans="1:11" ht="18.75" hidden="1" customHeight="1" x14ac:dyDescent="0.3">
      <c r="A83" s="1061">
        <v>40910</v>
      </c>
      <c r="B83" s="1055">
        <v>5.4</v>
      </c>
      <c r="C83" s="1055" t="s">
        <v>419</v>
      </c>
      <c r="D83" s="1055" t="s">
        <v>1404</v>
      </c>
      <c r="E83" s="1056" t="s">
        <v>3077</v>
      </c>
      <c r="F83" s="1056" t="s">
        <v>3085</v>
      </c>
      <c r="G83" s="1055">
        <v>4.1500000000000004</v>
      </c>
      <c r="H83" s="1055">
        <v>9.09</v>
      </c>
      <c r="I83" s="1057">
        <v>4.33</v>
      </c>
      <c r="J83" s="1045"/>
    </row>
    <row r="84" spans="1:11" ht="18.75" hidden="1" customHeight="1" x14ac:dyDescent="0.3">
      <c r="A84" s="1061">
        <v>40941</v>
      </c>
      <c r="B84" s="1055">
        <v>5.4</v>
      </c>
      <c r="C84" s="1055" t="s">
        <v>419</v>
      </c>
      <c r="D84" s="1055" t="s">
        <v>1404</v>
      </c>
      <c r="E84" s="1056" t="s">
        <v>3077</v>
      </c>
      <c r="F84" s="1056" t="s">
        <v>3085</v>
      </c>
      <c r="G84" s="1055">
        <v>4.13</v>
      </c>
      <c r="H84" s="1055">
        <v>9.06</v>
      </c>
      <c r="I84" s="1057">
        <v>4.25</v>
      </c>
      <c r="J84" s="1045"/>
    </row>
    <row r="85" spans="1:11" ht="18.75" hidden="1" customHeight="1" x14ac:dyDescent="0.3">
      <c r="A85" s="1061">
        <v>40970</v>
      </c>
      <c r="B85" s="1055">
        <v>4.9000000000000004</v>
      </c>
      <c r="C85" s="1055" t="s">
        <v>3086</v>
      </c>
      <c r="D85" s="1055" t="s">
        <v>1405</v>
      </c>
      <c r="E85" s="1056" t="s">
        <v>3087</v>
      </c>
      <c r="F85" s="1056" t="s">
        <v>3088</v>
      </c>
      <c r="G85" s="1055">
        <v>3.86</v>
      </c>
      <c r="H85" s="1055">
        <v>8.9600000000000009</v>
      </c>
      <c r="I85" s="1057">
        <v>4.08</v>
      </c>
      <c r="J85" s="1045"/>
    </row>
    <row r="86" spans="1:11" ht="18.75" hidden="1" customHeight="1" x14ac:dyDescent="0.3">
      <c r="A86" s="1061">
        <v>41001</v>
      </c>
      <c r="B86" s="1055">
        <v>4.9000000000000004</v>
      </c>
      <c r="C86" s="1055" t="s">
        <v>420</v>
      </c>
      <c r="D86" s="1055" t="s">
        <v>1406</v>
      </c>
      <c r="E86" s="1056" t="s">
        <v>3089</v>
      </c>
      <c r="F86" s="1056" t="s">
        <v>3090</v>
      </c>
      <c r="G86" s="1055">
        <v>3.8</v>
      </c>
      <c r="H86" s="1055">
        <v>8.57</v>
      </c>
      <c r="I86" s="1057">
        <v>3.77</v>
      </c>
      <c r="J86" s="1045"/>
    </row>
    <row r="87" spans="1:11" ht="18.75" hidden="1" customHeight="1" x14ac:dyDescent="0.3">
      <c r="A87" s="1061">
        <v>41031</v>
      </c>
      <c r="B87" s="1055">
        <v>4.9000000000000004</v>
      </c>
      <c r="C87" s="1055" t="s">
        <v>421</v>
      </c>
      <c r="D87" s="1055" t="s">
        <v>1406</v>
      </c>
      <c r="E87" s="1056" t="s">
        <v>3089</v>
      </c>
      <c r="F87" s="1056" t="s">
        <v>3091</v>
      </c>
      <c r="G87" s="1055">
        <v>3.82</v>
      </c>
      <c r="H87" s="1055">
        <v>8.59</v>
      </c>
      <c r="I87" s="1057">
        <v>3.71</v>
      </c>
      <c r="J87" s="1045"/>
    </row>
    <row r="88" spans="1:11" ht="18.75" hidden="1" customHeight="1" x14ac:dyDescent="0.3">
      <c r="A88" s="1061">
        <v>41062</v>
      </c>
      <c r="B88" s="1055">
        <v>4.9000000000000004</v>
      </c>
      <c r="C88" s="1055" t="s">
        <v>421</v>
      </c>
      <c r="D88" s="1055" t="s">
        <v>1406</v>
      </c>
      <c r="E88" s="1056" t="s">
        <v>3092</v>
      </c>
      <c r="F88" s="1056" t="s">
        <v>3090</v>
      </c>
      <c r="G88" s="1055">
        <v>3.65</v>
      </c>
      <c r="H88" s="1055">
        <v>8.5299999999999994</v>
      </c>
      <c r="I88" s="1057">
        <v>3.44</v>
      </c>
      <c r="J88" s="1045"/>
    </row>
    <row r="89" spans="1:11" ht="18.75" hidden="1" customHeight="1" x14ac:dyDescent="0.3">
      <c r="A89" s="1061">
        <v>41092</v>
      </c>
      <c r="B89" s="1055">
        <v>4.9000000000000004</v>
      </c>
      <c r="C89" s="1055" t="s">
        <v>421</v>
      </c>
      <c r="D89" s="1055" t="s">
        <v>1406</v>
      </c>
      <c r="E89" s="1056" t="s">
        <v>3092</v>
      </c>
      <c r="F89" s="1056" t="s">
        <v>3090</v>
      </c>
      <c r="G89" s="1055">
        <v>3.64</v>
      </c>
      <c r="H89" s="1055">
        <v>8.52</v>
      </c>
      <c r="I89" s="1057">
        <v>3.55</v>
      </c>
      <c r="J89" s="1045"/>
    </row>
    <row r="90" spans="1:11" ht="18.75" hidden="1" customHeight="1" x14ac:dyDescent="0.3">
      <c r="A90" s="1061">
        <v>41123</v>
      </c>
      <c r="B90" s="1055">
        <v>4.9000000000000004</v>
      </c>
      <c r="C90" s="1055" t="s">
        <v>421</v>
      </c>
      <c r="D90" s="1055" t="s">
        <v>1406</v>
      </c>
      <c r="E90" s="1056" t="s">
        <v>3092</v>
      </c>
      <c r="F90" s="1056" t="s">
        <v>3090</v>
      </c>
      <c r="G90" s="1055">
        <v>3.67</v>
      </c>
      <c r="H90" s="1055">
        <v>8.5399999999999991</v>
      </c>
      <c r="I90" s="1057">
        <v>3.56</v>
      </c>
      <c r="J90" s="1045"/>
    </row>
    <row r="91" spans="1:11" ht="18.75" hidden="1" customHeight="1" x14ac:dyDescent="0.3">
      <c r="A91" s="1061">
        <v>41154</v>
      </c>
      <c r="B91" s="1055">
        <v>4.9000000000000004</v>
      </c>
      <c r="C91" s="1055" t="s">
        <v>421</v>
      </c>
      <c r="D91" s="1055" t="s">
        <v>1406</v>
      </c>
      <c r="E91" s="1056" t="s">
        <v>3092</v>
      </c>
      <c r="F91" s="1056" t="s">
        <v>3090</v>
      </c>
      <c r="G91" s="1055">
        <v>3.63</v>
      </c>
      <c r="H91" s="1055">
        <v>8.49</v>
      </c>
      <c r="I91" s="1057">
        <v>3.6</v>
      </c>
      <c r="J91" s="1045"/>
    </row>
    <row r="92" spans="1:11" ht="18.75" hidden="1" customHeight="1" x14ac:dyDescent="0.3">
      <c r="A92" s="1061">
        <v>41184</v>
      </c>
      <c r="B92" s="1055">
        <v>4.9000000000000004</v>
      </c>
      <c r="C92" s="1055" t="s">
        <v>421</v>
      </c>
      <c r="D92" s="1055" t="s">
        <v>1406</v>
      </c>
      <c r="E92" s="1056" t="s">
        <v>3092</v>
      </c>
      <c r="F92" s="1056" t="s">
        <v>3090</v>
      </c>
      <c r="G92" s="1055">
        <v>3.65</v>
      </c>
      <c r="H92" s="1055">
        <v>8.52</v>
      </c>
      <c r="I92" s="1057">
        <v>3.23</v>
      </c>
      <c r="J92" s="1045"/>
    </row>
    <row r="93" spans="1:11" ht="18.75" hidden="1" customHeight="1" x14ac:dyDescent="0.3">
      <c r="A93" s="1061">
        <v>41215</v>
      </c>
      <c r="B93" s="1055">
        <v>4.9000000000000004</v>
      </c>
      <c r="C93" s="1055" t="s">
        <v>421</v>
      </c>
      <c r="D93" s="1055" t="s">
        <v>1406</v>
      </c>
      <c r="E93" s="1056" t="s">
        <v>3093</v>
      </c>
      <c r="F93" s="1056" t="s">
        <v>3090</v>
      </c>
      <c r="G93" s="1064">
        <v>3.64</v>
      </c>
      <c r="H93" s="1064">
        <v>8.48</v>
      </c>
      <c r="I93" s="1057">
        <v>3.09</v>
      </c>
      <c r="J93" s="1045"/>
    </row>
    <row r="94" spans="1:11" ht="18.75" hidden="1" customHeight="1" x14ac:dyDescent="0.3">
      <c r="A94" s="1061">
        <v>41245</v>
      </c>
      <c r="B94" s="1055">
        <v>4.9000000000000004</v>
      </c>
      <c r="C94" s="1055" t="s">
        <v>421</v>
      </c>
      <c r="D94" s="1055" t="s">
        <v>1406</v>
      </c>
      <c r="E94" s="1056" t="s">
        <v>3093</v>
      </c>
      <c r="F94" s="1056" t="s">
        <v>3090</v>
      </c>
      <c r="G94" s="1064">
        <v>3.48</v>
      </c>
      <c r="H94" s="1064">
        <v>8.42</v>
      </c>
      <c r="I94" s="1057">
        <v>2.92</v>
      </c>
      <c r="J94" s="1045"/>
    </row>
    <row r="95" spans="1:11" ht="18.75" hidden="1" customHeight="1" x14ac:dyDescent="0.3">
      <c r="A95" s="1061">
        <v>41276</v>
      </c>
      <c r="B95" s="1055">
        <v>4.9000000000000004</v>
      </c>
      <c r="C95" s="1055" t="s">
        <v>421</v>
      </c>
      <c r="D95" s="1055" t="s">
        <v>1406</v>
      </c>
      <c r="E95" s="1056" t="s">
        <v>3093</v>
      </c>
      <c r="F95" s="1056" t="s">
        <v>3090</v>
      </c>
      <c r="G95" s="1064">
        <v>3.32</v>
      </c>
      <c r="H95" s="1064">
        <v>8.42</v>
      </c>
      <c r="I95" s="1057">
        <v>2.88</v>
      </c>
      <c r="J95" s="1045"/>
    </row>
    <row r="96" spans="1:11" ht="18.75" hidden="1" customHeight="1" x14ac:dyDescent="0.3">
      <c r="A96" s="1061">
        <v>41307</v>
      </c>
      <c r="B96" s="1055">
        <v>4.9000000000000004</v>
      </c>
      <c r="C96" s="1055" t="s">
        <v>421</v>
      </c>
      <c r="D96" s="1055" t="s">
        <v>1406</v>
      </c>
      <c r="E96" s="1056" t="s">
        <v>2726</v>
      </c>
      <c r="F96" s="1056" t="s">
        <v>3094</v>
      </c>
      <c r="G96" s="1064">
        <v>3.42</v>
      </c>
      <c r="H96" s="1064">
        <v>8.39</v>
      </c>
      <c r="I96" s="1057">
        <v>2.67</v>
      </c>
      <c r="J96" s="1045"/>
    </row>
    <row r="97" spans="1:12" ht="18.75" hidden="1" customHeight="1" x14ac:dyDescent="0.3">
      <c r="A97" s="1061">
        <v>41335</v>
      </c>
      <c r="B97" s="1055">
        <v>4.9000000000000004</v>
      </c>
      <c r="C97" s="1055" t="s">
        <v>421</v>
      </c>
      <c r="D97" s="1055" t="s">
        <v>1406</v>
      </c>
      <c r="E97" s="1056" t="s">
        <v>2728</v>
      </c>
      <c r="F97" s="1056" t="s">
        <v>3095</v>
      </c>
      <c r="G97" s="1064">
        <v>3.41</v>
      </c>
      <c r="H97" s="1064">
        <v>8.36</v>
      </c>
      <c r="I97" s="1057">
        <v>2.37</v>
      </c>
      <c r="J97" s="1045"/>
    </row>
    <row r="98" spans="1:12" ht="18.75" hidden="1" customHeight="1" x14ac:dyDescent="0.3">
      <c r="A98" s="1061">
        <v>41366</v>
      </c>
      <c r="B98" s="1055">
        <v>4.9000000000000004</v>
      </c>
      <c r="C98" s="1055" t="s">
        <v>421</v>
      </c>
      <c r="D98" s="1055" t="s">
        <v>1406</v>
      </c>
      <c r="E98" s="1056" t="s">
        <v>3096</v>
      </c>
      <c r="F98" s="1056" t="s">
        <v>3097</v>
      </c>
      <c r="G98" s="1064">
        <v>3.45</v>
      </c>
      <c r="H98" s="1064">
        <v>8.33</v>
      </c>
      <c r="I98" s="1057">
        <v>2.33</v>
      </c>
      <c r="J98" s="1045"/>
    </row>
    <row r="99" spans="1:12" ht="18.75" hidden="1" customHeight="1" x14ac:dyDescent="0.3">
      <c r="A99" s="1061">
        <v>41396</v>
      </c>
      <c r="B99" s="1055">
        <v>4.9000000000000004</v>
      </c>
      <c r="C99" s="1055" t="s">
        <v>421</v>
      </c>
      <c r="D99" s="1055" t="s">
        <v>1406</v>
      </c>
      <c r="E99" s="1056" t="s">
        <v>2726</v>
      </c>
      <c r="F99" s="1056" t="s">
        <v>3098</v>
      </c>
      <c r="G99" s="1064">
        <v>3.47</v>
      </c>
      <c r="H99" s="1064">
        <v>8.42</v>
      </c>
      <c r="I99" s="1057">
        <v>2.3199999999999998</v>
      </c>
      <c r="J99" s="1045"/>
      <c r="L99" s="1065"/>
    </row>
    <row r="100" spans="1:12" ht="18.75" hidden="1" customHeight="1" x14ac:dyDescent="0.3">
      <c r="A100" s="1061">
        <v>41427</v>
      </c>
      <c r="B100" s="1055">
        <v>4.6500000000000004</v>
      </c>
      <c r="C100" s="1055" t="s">
        <v>421</v>
      </c>
      <c r="D100" s="1055" t="s">
        <v>1407</v>
      </c>
      <c r="E100" s="1056" t="s">
        <v>2726</v>
      </c>
      <c r="F100" s="1056" t="s">
        <v>3099</v>
      </c>
      <c r="G100" s="1064">
        <v>3.28</v>
      </c>
      <c r="H100" s="1064">
        <v>8.26</v>
      </c>
      <c r="I100" s="1057">
        <v>2.72</v>
      </c>
      <c r="J100" s="1045"/>
    </row>
    <row r="101" spans="1:12" ht="18.75" hidden="1" customHeight="1" x14ac:dyDescent="0.3">
      <c r="A101" s="1066">
        <v>41457</v>
      </c>
      <c r="B101" s="1055">
        <v>4.6500000000000004</v>
      </c>
      <c r="C101" s="1055" t="s">
        <v>3100</v>
      </c>
      <c r="D101" s="1055" t="s">
        <v>1408</v>
      </c>
      <c r="E101" s="1056" t="s">
        <v>2726</v>
      </c>
      <c r="F101" s="1056" t="s">
        <v>3101</v>
      </c>
      <c r="G101" s="1064">
        <v>3.21</v>
      </c>
      <c r="H101" s="1064">
        <v>8.2200000000000006</v>
      </c>
      <c r="I101" s="1057">
        <v>2.94</v>
      </c>
      <c r="J101" s="1045"/>
    </row>
    <row r="102" spans="1:12" ht="18.75" hidden="1" customHeight="1" x14ac:dyDescent="0.3">
      <c r="A102" s="1066">
        <v>41488</v>
      </c>
      <c r="B102" s="1055">
        <v>4.6500000000000004</v>
      </c>
      <c r="C102" s="1055" t="s">
        <v>3100</v>
      </c>
      <c r="D102" s="1055" t="s">
        <v>1408</v>
      </c>
      <c r="E102" s="1056" t="s">
        <v>3102</v>
      </c>
      <c r="F102" s="1056" t="s">
        <v>3103</v>
      </c>
      <c r="G102" s="1064">
        <v>3.24</v>
      </c>
      <c r="H102" s="1064">
        <v>8.18</v>
      </c>
      <c r="I102" s="1057">
        <v>2.85</v>
      </c>
      <c r="J102" s="1045"/>
    </row>
    <row r="103" spans="1:12" ht="18.75" hidden="1" customHeight="1" x14ac:dyDescent="0.3">
      <c r="A103" s="1066">
        <v>41519</v>
      </c>
      <c r="B103" s="1055">
        <v>4.6500000000000004</v>
      </c>
      <c r="C103" s="1055" t="s">
        <v>3100</v>
      </c>
      <c r="D103" s="1055" t="s">
        <v>1408</v>
      </c>
      <c r="E103" s="1056" t="s">
        <v>2726</v>
      </c>
      <c r="F103" s="1056" t="s">
        <v>3104</v>
      </c>
      <c r="G103" s="1064">
        <v>3.26</v>
      </c>
      <c r="H103" s="1064">
        <v>8.15</v>
      </c>
      <c r="I103" s="1057">
        <v>2.73</v>
      </c>
      <c r="J103" s="1045"/>
    </row>
    <row r="104" spans="1:12" ht="18.75" hidden="1" customHeight="1" x14ac:dyDescent="0.3">
      <c r="A104" s="1066">
        <v>41549</v>
      </c>
      <c r="B104" s="1055">
        <v>4.6500000000000004</v>
      </c>
      <c r="C104" s="1055" t="s">
        <v>422</v>
      </c>
      <c r="D104" s="1055" t="s">
        <v>1409</v>
      </c>
      <c r="E104" s="1056" t="s">
        <v>2726</v>
      </c>
      <c r="F104" s="1056" t="s">
        <v>3105</v>
      </c>
      <c r="G104" s="1064">
        <v>3.26</v>
      </c>
      <c r="H104" s="1064">
        <v>8.1</v>
      </c>
      <c r="I104" s="1057">
        <v>3.29</v>
      </c>
      <c r="J104" s="1045"/>
    </row>
    <row r="105" spans="1:12" ht="18.75" hidden="1" customHeight="1" x14ac:dyDescent="0.3">
      <c r="A105" s="1066">
        <v>41580</v>
      </c>
      <c r="B105" s="1055">
        <v>4.6500000000000004</v>
      </c>
      <c r="C105" s="1055" t="s">
        <v>422</v>
      </c>
      <c r="D105" s="1055" t="s">
        <v>1409</v>
      </c>
      <c r="E105" s="1056" t="s">
        <v>3106</v>
      </c>
      <c r="F105" s="1056" t="s">
        <v>3104</v>
      </c>
      <c r="G105" s="1064">
        <v>3.25</v>
      </c>
      <c r="H105" s="1064">
        <v>8.09</v>
      </c>
      <c r="I105" s="1057">
        <v>3.52</v>
      </c>
      <c r="J105" s="1045"/>
    </row>
    <row r="106" spans="1:12" ht="18.75" hidden="1" customHeight="1" x14ac:dyDescent="0.3">
      <c r="A106" s="1067">
        <v>41610</v>
      </c>
      <c r="B106" s="1068">
        <v>4.6500000000000004</v>
      </c>
      <c r="C106" s="1068" t="s">
        <v>422</v>
      </c>
      <c r="D106" s="1068" t="s">
        <v>1409</v>
      </c>
      <c r="E106" s="1069" t="s">
        <v>3107</v>
      </c>
      <c r="F106" s="1069" t="s">
        <v>3108</v>
      </c>
      <c r="G106" s="1068">
        <v>3.2174550585821531</v>
      </c>
      <c r="H106" s="1068">
        <v>8.07</v>
      </c>
      <c r="I106" s="1070">
        <v>3.64</v>
      </c>
      <c r="J106" s="1045"/>
    </row>
    <row r="107" spans="1:12" ht="18.75" hidden="1" customHeight="1" x14ac:dyDescent="0.3">
      <c r="A107" s="1067">
        <v>41641</v>
      </c>
      <c r="B107" s="1068">
        <v>4.6500000000000004</v>
      </c>
      <c r="C107" s="1068" t="s">
        <v>422</v>
      </c>
      <c r="D107" s="1068" t="s">
        <v>1409</v>
      </c>
      <c r="E107" s="1069" t="s">
        <v>3109</v>
      </c>
      <c r="F107" s="1069" t="s">
        <v>3110</v>
      </c>
      <c r="G107" s="1068">
        <v>3.27</v>
      </c>
      <c r="H107" s="1068">
        <v>8.14</v>
      </c>
      <c r="I107" s="1070">
        <v>3.53</v>
      </c>
      <c r="J107" s="1045"/>
    </row>
    <row r="108" spans="1:12" ht="18.75" hidden="1" customHeight="1" x14ac:dyDescent="0.3">
      <c r="A108" s="1067">
        <v>41672</v>
      </c>
      <c r="B108" s="1068">
        <v>4.6500000000000004</v>
      </c>
      <c r="C108" s="1068" t="s">
        <v>422</v>
      </c>
      <c r="D108" s="1068" t="s">
        <v>1409</v>
      </c>
      <c r="E108" s="1069" t="s">
        <v>3107</v>
      </c>
      <c r="F108" s="1069" t="s">
        <v>3111</v>
      </c>
      <c r="G108" s="1068">
        <v>3.16</v>
      </c>
      <c r="H108" s="1068">
        <v>8.1199999999999992</v>
      </c>
      <c r="I108" s="1070">
        <v>3.23</v>
      </c>
      <c r="J108" s="1045"/>
    </row>
    <row r="109" spans="1:12" ht="18.75" hidden="1" customHeight="1" x14ac:dyDescent="0.3">
      <c r="A109" s="1067">
        <v>41700</v>
      </c>
      <c r="B109" s="1068">
        <v>4.6500000000000004</v>
      </c>
      <c r="C109" s="1068" t="s">
        <v>422</v>
      </c>
      <c r="D109" s="1068" t="s">
        <v>1410</v>
      </c>
      <c r="E109" s="1069" t="s">
        <v>3107</v>
      </c>
      <c r="F109" s="1069" t="s">
        <v>3112</v>
      </c>
      <c r="G109" s="1068">
        <v>3.18</v>
      </c>
      <c r="H109" s="1068">
        <v>8.1199999999999992</v>
      </c>
      <c r="I109" s="1070">
        <v>3.05</v>
      </c>
      <c r="J109" s="1045"/>
    </row>
    <row r="110" spans="1:12" ht="18.75" hidden="1" customHeight="1" x14ac:dyDescent="0.3">
      <c r="A110" s="1067">
        <v>41731</v>
      </c>
      <c r="B110" s="1068">
        <v>4.6500000000000004</v>
      </c>
      <c r="C110" s="1068" t="s">
        <v>422</v>
      </c>
      <c r="D110" s="1068" t="s">
        <v>1410</v>
      </c>
      <c r="E110" s="1069" t="s">
        <v>3113</v>
      </c>
      <c r="F110" s="1069" t="s">
        <v>3114</v>
      </c>
      <c r="G110" s="1068">
        <v>3.1551113181666208</v>
      </c>
      <c r="H110" s="1068">
        <v>8.0825323835957139</v>
      </c>
      <c r="I110" s="1070">
        <v>2.98</v>
      </c>
      <c r="J110" s="1045"/>
    </row>
    <row r="111" spans="1:12" ht="18.75" hidden="1" customHeight="1" x14ac:dyDescent="0.3">
      <c r="A111" s="1067">
        <v>41761</v>
      </c>
      <c r="B111" s="1068">
        <v>4.6500000000000004</v>
      </c>
      <c r="C111" s="1068" t="s">
        <v>422</v>
      </c>
      <c r="D111" s="1068" t="s">
        <v>1410</v>
      </c>
      <c r="E111" s="1069" t="s">
        <v>3107</v>
      </c>
      <c r="F111" s="1069" t="s">
        <v>3115</v>
      </c>
      <c r="G111" s="1068">
        <v>3.38</v>
      </c>
      <c r="H111" s="1068">
        <v>8.11</v>
      </c>
      <c r="I111" s="1070">
        <v>2.78</v>
      </c>
      <c r="J111" s="1045"/>
    </row>
    <row r="112" spans="1:12" ht="18.75" hidden="1" customHeight="1" x14ac:dyDescent="0.3">
      <c r="A112" s="1067">
        <v>41792</v>
      </c>
      <c r="B112" s="1068">
        <v>4.6500000000000004</v>
      </c>
      <c r="C112" s="1068" t="s">
        <v>422</v>
      </c>
      <c r="D112" s="1068" t="s">
        <v>1410</v>
      </c>
      <c r="E112" s="1069" t="s">
        <v>3113</v>
      </c>
      <c r="F112" s="1069" t="s">
        <v>3116</v>
      </c>
      <c r="G112" s="1068">
        <v>3.3</v>
      </c>
      <c r="H112" s="1068">
        <v>8.0399999999999991</v>
      </c>
      <c r="I112" s="1070">
        <v>2.48</v>
      </c>
      <c r="J112" s="1045"/>
    </row>
    <row r="113" spans="1:11" ht="18.75" hidden="1" customHeight="1" x14ac:dyDescent="0.3">
      <c r="A113" s="1067">
        <v>41822</v>
      </c>
      <c r="B113" s="1068">
        <v>4.6500000000000004</v>
      </c>
      <c r="C113" s="1068" t="s">
        <v>422</v>
      </c>
      <c r="D113" s="1068" t="s">
        <v>1410</v>
      </c>
      <c r="E113" s="1069" t="s">
        <v>3107</v>
      </c>
      <c r="F113" s="1069" t="s">
        <v>3112</v>
      </c>
      <c r="G113" s="1071">
        <v>3.298881731933109</v>
      </c>
      <c r="H113" s="1071">
        <v>7.9800628050706601</v>
      </c>
      <c r="I113" s="1070">
        <v>2.1</v>
      </c>
      <c r="J113" s="1045"/>
    </row>
    <row r="114" spans="1:11" ht="18.75" hidden="1" customHeight="1" x14ac:dyDescent="0.3">
      <c r="A114" s="1067">
        <v>41853</v>
      </c>
      <c r="B114" s="1068">
        <v>4.6500000000000004</v>
      </c>
      <c r="C114" s="1068" t="s">
        <v>422</v>
      </c>
      <c r="D114" s="1068" t="s">
        <v>1410</v>
      </c>
      <c r="E114" s="1069" t="s">
        <v>3117</v>
      </c>
      <c r="F114" s="1069" t="s">
        <v>3118</v>
      </c>
      <c r="G114" s="1071">
        <v>3.2930000000000001</v>
      </c>
      <c r="H114" s="1071">
        <v>7.98</v>
      </c>
      <c r="I114" s="1070">
        <v>1.17</v>
      </c>
      <c r="J114" s="1045"/>
    </row>
    <row r="115" spans="1:11" ht="18.75" hidden="1" customHeight="1" x14ac:dyDescent="0.3">
      <c r="A115" s="1067">
        <v>41884</v>
      </c>
      <c r="B115" s="1068">
        <v>4.6500000000000004</v>
      </c>
      <c r="C115" s="1068" t="s">
        <v>422</v>
      </c>
      <c r="D115" s="1068" t="s">
        <v>1410</v>
      </c>
      <c r="E115" s="1069" t="s">
        <v>3117</v>
      </c>
      <c r="F115" s="1069" t="s">
        <v>3119</v>
      </c>
      <c r="G115" s="1071">
        <v>3.27</v>
      </c>
      <c r="H115" s="1071">
        <v>7.95</v>
      </c>
      <c r="I115" s="1070">
        <v>1.71</v>
      </c>
      <c r="J115" s="1045"/>
    </row>
    <row r="116" spans="1:11" ht="18.75" hidden="1" customHeight="1" x14ac:dyDescent="0.3">
      <c r="A116" s="1067">
        <v>41914</v>
      </c>
      <c r="B116" s="1068">
        <v>4.6500000000000004</v>
      </c>
      <c r="C116" s="1068" t="s">
        <v>422</v>
      </c>
      <c r="D116" s="1068" t="s">
        <v>1410</v>
      </c>
      <c r="E116" s="1069" t="s">
        <v>3120</v>
      </c>
      <c r="F116" s="1069" t="s">
        <v>3121</v>
      </c>
      <c r="G116" s="1071">
        <v>3.27</v>
      </c>
      <c r="H116" s="1071">
        <v>7.94</v>
      </c>
      <c r="I116" s="1070">
        <v>1.47</v>
      </c>
      <c r="J116" s="1045"/>
    </row>
    <row r="117" spans="1:11" ht="18.75" hidden="1" customHeight="1" x14ac:dyDescent="0.3">
      <c r="A117" s="1067">
        <v>41945</v>
      </c>
      <c r="B117" s="1068">
        <v>4.6500000000000004</v>
      </c>
      <c r="C117" s="1068" t="s">
        <v>422</v>
      </c>
      <c r="D117" s="1068" t="s">
        <v>1410</v>
      </c>
      <c r="E117" s="1069" t="s">
        <v>3120</v>
      </c>
      <c r="F117" s="1069" t="s">
        <v>3122</v>
      </c>
      <c r="G117" s="1071">
        <v>3.24</v>
      </c>
      <c r="H117" s="1071">
        <v>7.83</v>
      </c>
      <c r="I117" s="1070">
        <v>1.44</v>
      </c>
      <c r="J117" s="1045"/>
    </row>
    <row r="118" spans="1:11" ht="18.75" hidden="1" customHeight="1" x14ac:dyDescent="0.3">
      <c r="A118" s="1067">
        <v>41975</v>
      </c>
      <c r="B118" s="1068">
        <v>4.6500000000000004</v>
      </c>
      <c r="C118" s="1068" t="s">
        <v>422</v>
      </c>
      <c r="D118" s="1068" t="s">
        <v>431</v>
      </c>
      <c r="E118" s="1069" t="s">
        <v>3123</v>
      </c>
      <c r="F118" s="1069" t="s">
        <v>3101</v>
      </c>
      <c r="G118" s="1071">
        <v>3.2</v>
      </c>
      <c r="H118" s="1071">
        <v>7.79</v>
      </c>
      <c r="I118" s="1070">
        <v>2.44</v>
      </c>
      <c r="J118" s="1045"/>
    </row>
    <row r="119" spans="1:11" ht="18.75" hidden="1" customHeight="1" x14ac:dyDescent="0.3">
      <c r="A119" s="1067">
        <v>42006</v>
      </c>
      <c r="B119" s="1068">
        <v>4.6500000000000004</v>
      </c>
      <c r="C119" s="1068" t="s">
        <v>422</v>
      </c>
      <c r="D119" s="1068" t="s">
        <v>432</v>
      </c>
      <c r="E119" s="1069" t="s">
        <v>3124</v>
      </c>
      <c r="F119" s="1069" t="s">
        <v>3118</v>
      </c>
      <c r="G119" s="1071">
        <v>3.18</v>
      </c>
      <c r="H119" s="1071">
        <v>7.7200728639789542</v>
      </c>
      <c r="I119" s="1070">
        <v>2.82</v>
      </c>
      <c r="J119" s="1045"/>
    </row>
    <row r="120" spans="1:11" ht="18.75" hidden="1" customHeight="1" x14ac:dyDescent="0.3">
      <c r="A120" s="1067">
        <v>42037</v>
      </c>
      <c r="B120" s="1068">
        <v>4.6500000000000004</v>
      </c>
      <c r="C120" s="1068" t="s">
        <v>422</v>
      </c>
      <c r="D120" s="1068" t="s">
        <v>432</v>
      </c>
      <c r="E120" s="1069" t="s">
        <v>3124</v>
      </c>
      <c r="F120" s="1069" t="s">
        <v>3099</v>
      </c>
      <c r="G120" s="1071">
        <v>3.2</v>
      </c>
      <c r="H120" s="1071">
        <v>7.75</v>
      </c>
      <c r="I120" s="1070">
        <v>2.36</v>
      </c>
      <c r="J120" s="1045"/>
    </row>
    <row r="121" spans="1:11" ht="18.75" hidden="1" customHeight="1" x14ac:dyDescent="0.3">
      <c r="A121" s="1067">
        <v>42065</v>
      </c>
      <c r="B121" s="1068">
        <v>4.6500000000000004</v>
      </c>
      <c r="C121" s="1068" t="s">
        <v>422</v>
      </c>
      <c r="D121" s="1068" t="s">
        <v>432</v>
      </c>
      <c r="E121" s="1069" t="s">
        <v>3124</v>
      </c>
      <c r="F121" s="1069" t="s">
        <v>3121</v>
      </c>
      <c r="G121" s="1071">
        <v>3.17</v>
      </c>
      <c r="H121" s="1071">
        <v>7.81</v>
      </c>
      <c r="I121" s="1070">
        <v>1.88</v>
      </c>
      <c r="J121" s="1045"/>
    </row>
    <row r="122" spans="1:11" ht="18.75" hidden="1" customHeight="1" x14ac:dyDescent="0.3">
      <c r="A122" s="1067">
        <v>42096</v>
      </c>
      <c r="B122" s="1068">
        <v>4.6500000000000004</v>
      </c>
      <c r="C122" s="1068" t="s">
        <v>422</v>
      </c>
      <c r="D122" s="1068" t="s">
        <v>432</v>
      </c>
      <c r="E122" s="1069" t="s">
        <v>3120</v>
      </c>
      <c r="F122" s="1069" t="s">
        <v>3125</v>
      </c>
      <c r="G122" s="1071">
        <v>3.0515322413801469</v>
      </c>
      <c r="H122" s="1071">
        <v>7.75</v>
      </c>
      <c r="I122" s="1070">
        <v>1.47</v>
      </c>
      <c r="J122" s="1045"/>
    </row>
    <row r="123" spans="1:11" ht="18.75" hidden="1" customHeight="1" x14ac:dyDescent="0.3">
      <c r="A123" s="1067">
        <v>42126</v>
      </c>
      <c r="B123" s="1068">
        <v>4.6500000000000004</v>
      </c>
      <c r="C123" s="1068" t="s">
        <v>422</v>
      </c>
      <c r="D123" s="1068" t="s">
        <v>432</v>
      </c>
      <c r="E123" s="1069" t="s">
        <v>3120</v>
      </c>
      <c r="F123" s="1069" t="s">
        <v>3126</v>
      </c>
      <c r="G123" s="1071">
        <v>2.84</v>
      </c>
      <c r="H123" s="1071">
        <v>7.7</v>
      </c>
      <c r="I123" s="1070">
        <v>1.44</v>
      </c>
      <c r="J123" s="1045"/>
      <c r="K123" s="1072"/>
    </row>
    <row r="124" spans="1:11" ht="18.75" hidden="1" customHeight="1" x14ac:dyDescent="0.3">
      <c r="A124" s="1067">
        <v>42157</v>
      </c>
      <c r="B124" s="1068">
        <v>4.6500000000000004</v>
      </c>
      <c r="C124" s="1068" t="s">
        <v>422</v>
      </c>
      <c r="D124" s="1068" t="s">
        <v>432</v>
      </c>
      <c r="E124" s="1069" t="s">
        <v>3127</v>
      </c>
      <c r="F124" s="1069" t="s">
        <v>3128</v>
      </c>
      <c r="G124" s="1071">
        <v>2.82</v>
      </c>
      <c r="H124" s="1071">
        <v>7.68</v>
      </c>
      <c r="I124" s="1070">
        <v>1.78</v>
      </c>
      <c r="J124" s="1045"/>
      <c r="K124" s="1072"/>
    </row>
    <row r="125" spans="1:11" ht="18.75" hidden="1" customHeight="1" x14ac:dyDescent="0.3">
      <c r="A125" s="1067">
        <v>42187</v>
      </c>
      <c r="B125" s="1068">
        <v>4.6500000000000004</v>
      </c>
      <c r="C125" s="1068" t="s">
        <v>422</v>
      </c>
      <c r="D125" s="1068" t="s">
        <v>432</v>
      </c>
      <c r="E125" s="1069" t="s">
        <v>3124</v>
      </c>
      <c r="F125" s="1069" t="s">
        <v>3128</v>
      </c>
      <c r="G125" s="1071">
        <v>2.8</v>
      </c>
      <c r="H125" s="1071">
        <v>7.64</v>
      </c>
      <c r="I125" s="1070">
        <v>1.79</v>
      </c>
      <c r="J125" s="1045"/>
      <c r="K125" s="1072"/>
    </row>
    <row r="126" spans="1:11" ht="18.75" hidden="1" customHeight="1" x14ac:dyDescent="0.3">
      <c r="A126" s="1067">
        <v>42218</v>
      </c>
      <c r="B126" s="1068">
        <v>4.6500000000000004</v>
      </c>
      <c r="C126" s="1068" t="s">
        <v>422</v>
      </c>
      <c r="D126" s="1068" t="s">
        <v>432</v>
      </c>
      <c r="E126" s="1069" t="s">
        <v>3129</v>
      </c>
      <c r="F126" s="1069" t="s">
        <v>3128</v>
      </c>
      <c r="G126" s="1071">
        <v>2.8068282217058096</v>
      </c>
      <c r="H126" s="1071">
        <v>7.615889360455923</v>
      </c>
      <c r="I126" s="1070">
        <v>1.67</v>
      </c>
      <c r="J126" s="1045"/>
      <c r="K126" s="1072"/>
    </row>
    <row r="127" spans="1:11" ht="18.75" hidden="1" customHeight="1" x14ac:dyDescent="0.3">
      <c r="A127" s="1067">
        <v>42249</v>
      </c>
      <c r="B127" s="1068">
        <v>4.6500000000000004</v>
      </c>
      <c r="C127" s="1068" t="s">
        <v>422</v>
      </c>
      <c r="D127" s="1068" t="s">
        <v>432</v>
      </c>
      <c r="E127" s="1069" t="s">
        <v>3129</v>
      </c>
      <c r="F127" s="1069" t="s">
        <v>3130</v>
      </c>
      <c r="G127" s="1071">
        <v>2.83</v>
      </c>
      <c r="H127" s="1071">
        <v>7.55</v>
      </c>
      <c r="I127" s="1070">
        <v>1.96</v>
      </c>
      <c r="J127" s="1045"/>
      <c r="K127" s="1072"/>
    </row>
    <row r="128" spans="1:11" ht="18.75" hidden="1" customHeight="1" x14ac:dyDescent="0.3">
      <c r="A128" s="1067">
        <v>42279</v>
      </c>
      <c r="B128" s="1068">
        <v>4.6500000000000004</v>
      </c>
      <c r="C128" s="1068" t="s">
        <v>422</v>
      </c>
      <c r="D128" s="1068" t="s">
        <v>432</v>
      </c>
      <c r="E128" s="1069" t="s">
        <v>3131</v>
      </c>
      <c r="F128" s="1069" t="s">
        <v>3132</v>
      </c>
      <c r="G128" s="1071">
        <v>2.808737315412309</v>
      </c>
      <c r="H128" s="1071">
        <v>7.4735343910847893</v>
      </c>
      <c r="I128" s="1070">
        <v>2.34</v>
      </c>
      <c r="J128" s="1045"/>
      <c r="K128" s="1072"/>
    </row>
    <row r="129" spans="1:11" ht="18.75" hidden="1" customHeight="1" x14ac:dyDescent="0.3">
      <c r="A129" s="1067">
        <v>42310</v>
      </c>
      <c r="B129" s="1068">
        <v>4.4000000000000004</v>
      </c>
      <c r="C129" s="1068" t="s">
        <v>422</v>
      </c>
      <c r="D129" s="1068" t="s">
        <v>432</v>
      </c>
      <c r="E129" s="1069" t="s">
        <v>3131</v>
      </c>
      <c r="F129" s="1069" t="s">
        <v>3133</v>
      </c>
      <c r="G129" s="1071">
        <v>2.66</v>
      </c>
      <c r="H129" s="1071">
        <v>7.28</v>
      </c>
      <c r="I129" s="1070">
        <v>2.74</v>
      </c>
      <c r="J129" s="1073"/>
      <c r="K129" s="1072"/>
    </row>
    <row r="130" spans="1:11" ht="18.75" hidden="1" customHeight="1" x14ac:dyDescent="0.3">
      <c r="A130" s="1067">
        <v>42340</v>
      </c>
      <c r="B130" s="1068">
        <v>4.4000000000000004</v>
      </c>
      <c r="C130" s="1068" t="s">
        <v>422</v>
      </c>
      <c r="D130" s="1068" t="s">
        <v>432</v>
      </c>
      <c r="E130" s="1069" t="s">
        <v>3131</v>
      </c>
      <c r="F130" s="1069" t="s">
        <v>3133</v>
      </c>
      <c r="G130" s="1071">
        <v>2.6262079505853757</v>
      </c>
      <c r="H130" s="1071">
        <v>7.2387669228824993</v>
      </c>
      <c r="I130" s="1070">
        <v>3.45</v>
      </c>
      <c r="J130" s="1073"/>
      <c r="K130" s="1072"/>
    </row>
    <row r="131" spans="1:11" ht="18.75" hidden="1" customHeight="1" x14ac:dyDescent="0.3">
      <c r="A131" s="1067">
        <v>42371</v>
      </c>
      <c r="B131" s="1068">
        <v>4.4000000000000004</v>
      </c>
      <c r="C131" s="1068" t="s">
        <v>422</v>
      </c>
      <c r="D131" s="1068" t="s">
        <v>432</v>
      </c>
      <c r="E131" s="1069" t="s">
        <v>3134</v>
      </c>
      <c r="F131" s="1069" t="s">
        <v>3135</v>
      </c>
      <c r="G131" s="1071">
        <v>2.62</v>
      </c>
      <c r="H131" s="1071">
        <v>7.23</v>
      </c>
      <c r="I131" s="1070">
        <v>3.18</v>
      </c>
      <c r="J131" s="1045"/>
      <c r="K131" s="1072"/>
    </row>
    <row r="132" spans="1:11" ht="18.75" hidden="1" customHeight="1" x14ac:dyDescent="0.3">
      <c r="A132" s="1067">
        <v>42402</v>
      </c>
      <c r="B132" s="1068">
        <v>4.4000000000000004</v>
      </c>
      <c r="C132" s="1068" t="s">
        <v>422</v>
      </c>
      <c r="D132" s="1068" t="s">
        <v>432</v>
      </c>
      <c r="E132" s="1069" t="s">
        <v>3134</v>
      </c>
      <c r="F132" s="1069" t="s">
        <v>3135</v>
      </c>
      <c r="G132" s="1071">
        <v>2.59</v>
      </c>
      <c r="H132" s="1071">
        <v>7.23</v>
      </c>
      <c r="I132" s="1070">
        <v>2.52</v>
      </c>
      <c r="J132" s="1045"/>
      <c r="K132" s="1072"/>
    </row>
    <row r="133" spans="1:11" ht="18.75" hidden="1" customHeight="1" x14ac:dyDescent="0.3">
      <c r="A133" s="1067">
        <v>42431</v>
      </c>
      <c r="B133" s="1068">
        <v>4.4000000000000004</v>
      </c>
      <c r="C133" s="1068" t="s">
        <v>422</v>
      </c>
      <c r="D133" s="1068" t="s">
        <v>432</v>
      </c>
      <c r="E133" s="1069" t="s">
        <v>3134</v>
      </c>
      <c r="F133" s="1069" t="s">
        <v>3136</v>
      </c>
      <c r="G133" s="1071">
        <v>2.58</v>
      </c>
      <c r="H133" s="1071">
        <v>7.21</v>
      </c>
      <c r="I133" s="1070">
        <v>2.75</v>
      </c>
      <c r="J133" s="1045"/>
      <c r="K133" s="1072"/>
    </row>
    <row r="134" spans="1:11" ht="18.75" hidden="1" customHeight="1" x14ac:dyDescent="0.3">
      <c r="A134" s="1067">
        <v>42462</v>
      </c>
      <c r="B134" s="1068">
        <v>4.4000000000000004</v>
      </c>
      <c r="C134" s="1068" t="s">
        <v>422</v>
      </c>
      <c r="D134" s="1068" t="s">
        <v>432</v>
      </c>
      <c r="E134" s="1069" t="s">
        <v>3134</v>
      </c>
      <c r="F134" s="1069" t="s">
        <v>3137</v>
      </c>
      <c r="G134" s="1071">
        <v>2.62</v>
      </c>
      <c r="H134" s="1071">
        <v>7.19</v>
      </c>
      <c r="I134" s="1070">
        <v>2.84</v>
      </c>
      <c r="J134" s="1045"/>
      <c r="K134" s="1072"/>
    </row>
    <row r="135" spans="1:11" ht="18.75" hidden="1" customHeight="1" x14ac:dyDescent="0.3">
      <c r="A135" s="1067">
        <v>42491</v>
      </c>
      <c r="B135" s="1068">
        <v>4.4000000000000004</v>
      </c>
      <c r="C135" s="1068" t="s">
        <v>422</v>
      </c>
      <c r="D135" s="1068" t="s">
        <v>432</v>
      </c>
      <c r="E135" s="1069" t="s">
        <v>3134</v>
      </c>
      <c r="F135" s="1069" t="s">
        <v>3137</v>
      </c>
      <c r="G135" s="1071">
        <v>2.57</v>
      </c>
      <c r="H135" s="1071">
        <v>7.21</v>
      </c>
      <c r="I135" s="1070">
        <v>2.65</v>
      </c>
      <c r="J135" s="1045"/>
      <c r="K135" s="1072"/>
    </row>
    <row r="136" spans="1:11" ht="18.75" hidden="1" customHeight="1" x14ac:dyDescent="0.3">
      <c r="A136" s="1067">
        <v>42522</v>
      </c>
      <c r="B136" s="1068">
        <v>4.4000000000000004</v>
      </c>
      <c r="C136" s="1068" t="s">
        <v>422</v>
      </c>
      <c r="D136" s="1068" t="s">
        <v>432</v>
      </c>
      <c r="E136" s="1069" t="s">
        <v>3134</v>
      </c>
      <c r="F136" s="1069" t="s">
        <v>3138</v>
      </c>
      <c r="G136" s="1071">
        <v>2.5499999999999998</v>
      </c>
      <c r="H136" s="1071">
        <v>7.23</v>
      </c>
      <c r="I136" s="1070">
        <v>2.29</v>
      </c>
      <c r="J136" s="1045"/>
      <c r="K136" s="1072"/>
    </row>
    <row r="137" spans="1:11" ht="18.75" hidden="1" customHeight="1" x14ac:dyDescent="0.3">
      <c r="A137" s="1067">
        <v>42552</v>
      </c>
      <c r="B137" s="1068">
        <v>4</v>
      </c>
      <c r="C137" s="1068" t="s">
        <v>422</v>
      </c>
      <c r="D137" s="1068" t="s">
        <v>432</v>
      </c>
      <c r="E137" s="1069" t="s">
        <v>3134</v>
      </c>
      <c r="F137" s="1069" t="s">
        <v>3138</v>
      </c>
      <c r="G137" s="1071">
        <v>2.5099999999999998</v>
      </c>
      <c r="H137" s="1071">
        <v>7.12</v>
      </c>
      <c r="I137" s="1070">
        <v>2.79</v>
      </c>
      <c r="J137" s="1073"/>
      <c r="K137" s="1072"/>
    </row>
    <row r="138" spans="1:11" ht="18.75" hidden="1" customHeight="1" x14ac:dyDescent="0.3">
      <c r="A138" s="1067">
        <v>42583</v>
      </c>
      <c r="B138" s="1068">
        <v>4</v>
      </c>
      <c r="C138" s="1068" t="s">
        <v>423</v>
      </c>
      <c r="D138" s="1068" t="s">
        <v>895</v>
      </c>
      <c r="E138" s="1069" t="s">
        <v>3134</v>
      </c>
      <c r="F138" s="1069" t="s">
        <v>3139</v>
      </c>
      <c r="G138" s="1071">
        <v>2.2000000000000002</v>
      </c>
      <c r="H138" s="1071">
        <v>6.87</v>
      </c>
      <c r="I138" s="1070">
        <v>2.48</v>
      </c>
      <c r="J138" s="1073"/>
      <c r="K138" s="1072"/>
    </row>
    <row r="139" spans="1:11" ht="18.75" hidden="1" customHeight="1" x14ac:dyDescent="0.3">
      <c r="A139" s="1067">
        <v>42614</v>
      </c>
      <c r="B139" s="1068">
        <v>4</v>
      </c>
      <c r="C139" s="1068" t="s">
        <v>423</v>
      </c>
      <c r="D139" s="1068" t="s">
        <v>895</v>
      </c>
      <c r="E139" s="1069" t="s">
        <v>3134</v>
      </c>
      <c r="F139" s="1069" t="s">
        <v>3140</v>
      </c>
      <c r="G139" s="1071">
        <v>2.16</v>
      </c>
      <c r="H139" s="1071">
        <v>6.84</v>
      </c>
      <c r="I139" s="1070">
        <v>2.46</v>
      </c>
      <c r="J139" s="1073"/>
      <c r="K139" s="1072"/>
    </row>
    <row r="140" spans="1:11" ht="18.75" hidden="1" customHeight="1" x14ac:dyDescent="0.3">
      <c r="A140" s="1067">
        <v>42644</v>
      </c>
      <c r="B140" s="1068">
        <v>4</v>
      </c>
      <c r="C140" s="1068" t="s">
        <v>423</v>
      </c>
      <c r="D140" s="1068" t="s">
        <v>1411</v>
      </c>
      <c r="E140" s="1069" t="s">
        <v>3134</v>
      </c>
      <c r="F140" s="1069" t="s">
        <v>3139</v>
      </c>
      <c r="G140" s="1071">
        <v>2.16</v>
      </c>
      <c r="H140" s="1071">
        <v>6.88</v>
      </c>
      <c r="I140" s="1070">
        <v>2.6</v>
      </c>
      <c r="J140" s="1073"/>
      <c r="K140" s="1072"/>
    </row>
    <row r="141" spans="1:11" ht="18.75" hidden="1" customHeight="1" x14ac:dyDescent="0.3">
      <c r="A141" s="1067">
        <v>42675</v>
      </c>
      <c r="B141" s="1068">
        <v>4</v>
      </c>
      <c r="C141" s="1068" t="s">
        <v>423</v>
      </c>
      <c r="D141" s="1068" t="s">
        <v>1411</v>
      </c>
      <c r="E141" s="1069" t="s">
        <v>3134</v>
      </c>
      <c r="F141" s="1069" t="s">
        <v>3140</v>
      </c>
      <c r="G141" s="1071">
        <v>2.21</v>
      </c>
      <c r="H141" s="1071">
        <v>6.83</v>
      </c>
      <c r="I141" s="1070">
        <v>2.68</v>
      </c>
      <c r="J141" s="1073"/>
      <c r="K141" s="1072"/>
    </row>
    <row r="142" spans="1:11" ht="17.25" hidden="1" thickBot="1" x14ac:dyDescent="0.35">
      <c r="A142" s="1074">
        <v>42705</v>
      </c>
      <c r="B142" s="1075">
        <v>4</v>
      </c>
      <c r="C142" s="1075" t="s">
        <v>423</v>
      </c>
      <c r="D142" s="1075" t="s">
        <v>1411</v>
      </c>
      <c r="E142" s="1076" t="s">
        <v>3134</v>
      </c>
      <c r="F142" s="1076" t="s">
        <v>3141</v>
      </c>
      <c r="G142" s="1077">
        <v>2.21</v>
      </c>
      <c r="H142" s="1077">
        <v>6.86</v>
      </c>
      <c r="I142" s="1078">
        <v>2.87</v>
      </c>
      <c r="J142" s="1073"/>
      <c r="K142" s="1072"/>
    </row>
    <row r="143" spans="1:11" ht="17.25" hidden="1" customHeight="1" x14ac:dyDescent="0.3">
      <c r="A143" s="1079">
        <v>42736</v>
      </c>
      <c r="B143" s="1068">
        <v>4</v>
      </c>
      <c r="C143" s="1068" t="s">
        <v>423</v>
      </c>
      <c r="D143" s="1068" t="s">
        <v>1411</v>
      </c>
      <c r="E143" s="1069" t="s">
        <v>3142</v>
      </c>
      <c r="F143" s="1069" t="s">
        <v>3143</v>
      </c>
      <c r="G143" s="1071">
        <v>2.16</v>
      </c>
      <c r="H143" s="1071">
        <v>6.87</v>
      </c>
      <c r="I143" s="1070">
        <v>2.64</v>
      </c>
      <c r="J143" s="1073"/>
      <c r="K143" s="1072"/>
    </row>
    <row r="144" spans="1:11" ht="18.75" hidden="1" customHeight="1" x14ac:dyDescent="0.3">
      <c r="A144" s="1079">
        <v>42767</v>
      </c>
      <c r="B144" s="1068">
        <v>4</v>
      </c>
      <c r="C144" s="1068" t="s">
        <v>423</v>
      </c>
      <c r="D144" s="1068" t="s">
        <v>1411</v>
      </c>
      <c r="E144" s="1069" t="s">
        <v>3144</v>
      </c>
      <c r="F144" s="1069" t="s">
        <v>3143</v>
      </c>
      <c r="G144" s="1071">
        <v>2.14</v>
      </c>
      <c r="H144" s="1071">
        <v>6.83</v>
      </c>
      <c r="I144" s="1070">
        <v>2.21</v>
      </c>
      <c r="J144" s="1073"/>
      <c r="K144" s="1072"/>
    </row>
    <row r="145" spans="1:11" ht="18.75" hidden="1" customHeight="1" x14ac:dyDescent="0.3">
      <c r="A145" s="1079">
        <v>42795</v>
      </c>
      <c r="B145" s="1068">
        <v>4</v>
      </c>
      <c r="C145" s="1068" t="s">
        <v>423</v>
      </c>
      <c r="D145" s="1068" t="s">
        <v>1411</v>
      </c>
      <c r="E145" s="1069" t="s">
        <v>3142</v>
      </c>
      <c r="F145" s="1069" t="s">
        <v>3128</v>
      </c>
      <c r="G145" s="1071">
        <v>2.14</v>
      </c>
      <c r="H145" s="1071">
        <v>6.74</v>
      </c>
      <c r="I145" s="1070">
        <v>2.5099999999999998</v>
      </c>
      <c r="J145" s="1073"/>
      <c r="K145" s="1072"/>
    </row>
    <row r="146" spans="1:11" ht="18.75" hidden="1" customHeight="1" x14ac:dyDescent="0.3">
      <c r="A146" s="1079">
        <v>42826</v>
      </c>
      <c r="B146" s="1068">
        <v>4</v>
      </c>
      <c r="C146" s="1068" t="s">
        <v>423</v>
      </c>
      <c r="D146" s="1068" t="s">
        <v>1411</v>
      </c>
      <c r="E146" s="1069" t="s">
        <v>3142</v>
      </c>
      <c r="F146" s="1069" t="s">
        <v>3143</v>
      </c>
      <c r="G146" s="1071">
        <v>2.16</v>
      </c>
      <c r="H146" s="1071">
        <v>6.74</v>
      </c>
      <c r="I146" s="1070">
        <v>2.75</v>
      </c>
      <c r="J146" s="1073"/>
      <c r="K146" s="1072"/>
    </row>
    <row r="147" spans="1:11" ht="18.75" hidden="1" customHeight="1" x14ac:dyDescent="0.3">
      <c r="A147" s="1079">
        <v>42856</v>
      </c>
      <c r="B147" s="1068">
        <v>4</v>
      </c>
      <c r="C147" s="1068" t="s">
        <v>423</v>
      </c>
      <c r="D147" s="1068" t="s">
        <v>1411</v>
      </c>
      <c r="E147" s="1069" t="s">
        <v>3145</v>
      </c>
      <c r="F147" s="1069" t="s">
        <v>3128</v>
      </c>
      <c r="G147" s="1071">
        <v>2.13</v>
      </c>
      <c r="H147" s="1071">
        <v>6.76</v>
      </c>
      <c r="I147" s="1070">
        <v>2.12</v>
      </c>
      <c r="J147" s="1073"/>
      <c r="K147" s="1072"/>
    </row>
    <row r="148" spans="1:11" ht="18.75" hidden="1" customHeight="1" x14ac:dyDescent="0.3">
      <c r="A148" s="1079">
        <v>42887</v>
      </c>
      <c r="B148" s="1068">
        <v>4</v>
      </c>
      <c r="C148" s="1068" t="s">
        <v>423</v>
      </c>
      <c r="D148" s="1068" t="s">
        <v>1411</v>
      </c>
      <c r="E148" s="1069" t="s">
        <v>3146</v>
      </c>
      <c r="F148" s="1069" t="s">
        <v>3128</v>
      </c>
      <c r="G148" s="1071">
        <v>2.15</v>
      </c>
      <c r="H148" s="1071">
        <v>6.81</v>
      </c>
      <c r="I148" s="1070">
        <v>2.0499999999999998</v>
      </c>
      <c r="J148" s="1073"/>
      <c r="K148" s="1072"/>
    </row>
    <row r="149" spans="1:11" ht="18.75" hidden="1" customHeight="1" x14ac:dyDescent="0.3">
      <c r="A149" s="1079">
        <v>42917</v>
      </c>
      <c r="B149" s="1068">
        <v>4</v>
      </c>
      <c r="C149" s="1068" t="s">
        <v>423</v>
      </c>
      <c r="D149" s="1068" t="s">
        <v>1412</v>
      </c>
      <c r="E149" s="1069" t="s">
        <v>3146</v>
      </c>
      <c r="F149" s="1069" t="s">
        <v>3128</v>
      </c>
      <c r="G149" s="1071">
        <v>2.14</v>
      </c>
      <c r="H149" s="1071">
        <v>6.78</v>
      </c>
      <c r="I149" s="1070">
        <v>1.97</v>
      </c>
      <c r="J149" s="1073"/>
      <c r="K149" s="1072"/>
    </row>
    <row r="150" spans="1:11" ht="18.75" hidden="1" customHeight="1" x14ac:dyDescent="0.3">
      <c r="A150" s="1079">
        <v>42948</v>
      </c>
      <c r="B150" s="1068">
        <v>4</v>
      </c>
      <c r="C150" s="1068" t="s">
        <v>423</v>
      </c>
      <c r="D150" s="1068" t="s">
        <v>1413</v>
      </c>
      <c r="E150" s="1069" t="s">
        <v>3147</v>
      </c>
      <c r="F150" s="1069" t="s">
        <v>3128</v>
      </c>
      <c r="G150" s="1071">
        <v>2.09</v>
      </c>
      <c r="H150" s="1071">
        <v>6.73</v>
      </c>
      <c r="I150" s="1070">
        <v>2.0499999999999998</v>
      </c>
      <c r="J150" s="1073"/>
      <c r="K150" s="1072"/>
    </row>
    <row r="151" spans="1:11" ht="18.75" hidden="1" customHeight="1" x14ac:dyDescent="0.3">
      <c r="A151" s="1079">
        <v>42979</v>
      </c>
      <c r="B151" s="1068">
        <v>3.5</v>
      </c>
      <c r="C151" s="1068" t="s">
        <v>3148</v>
      </c>
      <c r="D151" s="1068" t="s">
        <v>1414</v>
      </c>
      <c r="E151" s="1069" t="s">
        <v>3146</v>
      </c>
      <c r="F151" s="1069" t="s">
        <v>2502</v>
      </c>
      <c r="G151" s="1071">
        <v>1.75</v>
      </c>
      <c r="H151" s="1071">
        <v>6.28</v>
      </c>
      <c r="I151" s="1070">
        <v>2</v>
      </c>
      <c r="J151" s="1073"/>
      <c r="K151" s="1072"/>
    </row>
    <row r="152" spans="1:11" ht="18.75" hidden="1" customHeight="1" x14ac:dyDescent="0.3">
      <c r="A152" s="1079">
        <v>43009</v>
      </c>
      <c r="B152" s="1068">
        <v>3.5</v>
      </c>
      <c r="C152" s="1068" t="s">
        <v>3148</v>
      </c>
      <c r="D152" s="1068" t="s">
        <v>1415</v>
      </c>
      <c r="E152" s="1069" t="s">
        <v>3149</v>
      </c>
      <c r="F152" s="1069" t="s">
        <v>2502</v>
      </c>
      <c r="G152" s="1071">
        <v>1.68</v>
      </c>
      <c r="H152" s="1071">
        <v>6.15</v>
      </c>
      <c r="I152" s="1070">
        <v>1.78</v>
      </c>
      <c r="J152" s="1073"/>
      <c r="K152" s="1072"/>
    </row>
    <row r="153" spans="1:11" ht="18.75" hidden="1" customHeight="1" x14ac:dyDescent="0.3">
      <c r="A153" s="1079">
        <v>43040</v>
      </c>
      <c r="B153" s="1068">
        <v>3.5</v>
      </c>
      <c r="C153" s="1068" t="s">
        <v>3148</v>
      </c>
      <c r="D153" s="1068" t="s">
        <v>1415</v>
      </c>
      <c r="E153" s="1069" t="s">
        <v>3150</v>
      </c>
      <c r="F153" s="1069" t="s">
        <v>2502</v>
      </c>
      <c r="G153" s="1071">
        <v>1.69</v>
      </c>
      <c r="H153" s="1071">
        <v>6.2</v>
      </c>
      <c r="I153" s="1070">
        <v>1.96</v>
      </c>
      <c r="J153" s="1073"/>
      <c r="K153" s="1072"/>
    </row>
    <row r="154" spans="1:11" ht="18.75" hidden="1" customHeight="1" x14ac:dyDescent="0.3">
      <c r="A154" s="1079">
        <v>43070</v>
      </c>
      <c r="B154" s="1068">
        <v>3.5</v>
      </c>
      <c r="C154" s="1068" t="s">
        <v>3148</v>
      </c>
      <c r="D154" s="1068" t="s">
        <v>1415</v>
      </c>
      <c r="E154" s="1069" t="s">
        <v>3151</v>
      </c>
      <c r="F154" s="1069" t="s">
        <v>2502</v>
      </c>
      <c r="G154" s="1071">
        <v>1.67</v>
      </c>
      <c r="H154" s="1071">
        <v>6.2</v>
      </c>
      <c r="I154" s="1070">
        <v>2.4700000000000002</v>
      </c>
      <c r="J154" s="1073"/>
      <c r="K154" s="1072"/>
    </row>
    <row r="155" spans="1:11" ht="18.75" hidden="1" customHeight="1" x14ac:dyDescent="0.3">
      <c r="A155" s="1079">
        <v>43101</v>
      </c>
      <c r="B155" s="1068">
        <v>3.5</v>
      </c>
      <c r="C155" s="1068" t="s">
        <v>3148</v>
      </c>
      <c r="D155" s="1068" t="s">
        <v>1415</v>
      </c>
      <c r="E155" s="1069" t="s">
        <v>3152</v>
      </c>
      <c r="F155" s="1069" t="s">
        <v>2502</v>
      </c>
      <c r="G155" s="1071">
        <v>1.67</v>
      </c>
      <c r="H155" s="1071">
        <v>6.16</v>
      </c>
      <c r="I155" s="1070">
        <v>2.5099999999999998</v>
      </c>
      <c r="J155" s="1073"/>
      <c r="K155" s="1072"/>
    </row>
    <row r="156" spans="1:11" ht="18.75" hidden="1" customHeight="1" x14ac:dyDescent="0.3">
      <c r="A156" s="1079">
        <v>43132</v>
      </c>
      <c r="B156" s="1068">
        <v>3.5</v>
      </c>
      <c r="C156" s="1068" t="s">
        <v>3148</v>
      </c>
      <c r="D156" s="1068" t="s">
        <v>1415</v>
      </c>
      <c r="E156" s="1069" t="s">
        <v>3145</v>
      </c>
      <c r="F156" s="1069" t="s">
        <v>2502</v>
      </c>
      <c r="G156" s="1071">
        <v>1.68</v>
      </c>
      <c r="H156" s="1071">
        <v>6.13</v>
      </c>
      <c r="I156" s="1070">
        <v>2.91</v>
      </c>
      <c r="J156" s="1073"/>
      <c r="K156" s="1072"/>
    </row>
    <row r="157" spans="1:11" ht="18.75" hidden="1" customHeight="1" x14ac:dyDescent="0.3">
      <c r="A157" s="1079">
        <v>43160</v>
      </c>
      <c r="B157" s="1068">
        <v>3.5</v>
      </c>
      <c r="C157" s="1068" t="s">
        <v>3148</v>
      </c>
      <c r="D157" s="1068" t="s">
        <v>1415</v>
      </c>
      <c r="E157" s="1069" t="s">
        <v>3151</v>
      </c>
      <c r="F157" s="1069" t="s">
        <v>3153</v>
      </c>
      <c r="G157" s="1071">
        <v>1.66</v>
      </c>
      <c r="H157" s="1071">
        <v>6.17</v>
      </c>
      <c r="I157" s="1070">
        <v>3.74</v>
      </c>
      <c r="J157" s="1073"/>
      <c r="K157" s="1072"/>
    </row>
    <row r="158" spans="1:11" ht="18.75" hidden="1" customHeight="1" x14ac:dyDescent="0.3">
      <c r="A158" s="1079">
        <v>43191</v>
      </c>
      <c r="B158" s="1068">
        <v>3.5</v>
      </c>
      <c r="C158" s="1068" t="s">
        <v>3148</v>
      </c>
      <c r="D158" s="1068" t="s">
        <v>1415</v>
      </c>
      <c r="E158" s="1069" t="s">
        <v>3154</v>
      </c>
      <c r="F158" s="1069" t="s">
        <v>3153</v>
      </c>
      <c r="G158" s="1071">
        <v>1.65</v>
      </c>
      <c r="H158" s="1071">
        <v>6.18</v>
      </c>
      <c r="I158" s="1070">
        <v>3.69</v>
      </c>
      <c r="J158" s="1073"/>
      <c r="K158" s="1072"/>
    </row>
    <row r="159" spans="1:11" ht="18.75" hidden="1" customHeight="1" x14ac:dyDescent="0.3">
      <c r="A159" s="1079">
        <v>43221</v>
      </c>
      <c r="B159" s="1068">
        <v>3.5</v>
      </c>
      <c r="C159" s="1068" t="s">
        <v>3148</v>
      </c>
      <c r="D159" s="1068" t="s">
        <v>1415</v>
      </c>
      <c r="E159" s="1069" t="s">
        <v>3155</v>
      </c>
      <c r="F159" s="1069" t="s">
        <v>3153</v>
      </c>
      <c r="G159" s="1071">
        <v>1.65</v>
      </c>
      <c r="H159" s="1071">
        <v>6.19</v>
      </c>
      <c r="I159" s="1070">
        <v>3.52</v>
      </c>
      <c r="J159" s="1073"/>
      <c r="K159" s="1072"/>
    </row>
    <row r="160" spans="1:11" ht="18.75" customHeight="1" x14ac:dyDescent="0.3">
      <c r="A160" s="1079" t="s">
        <v>3156</v>
      </c>
      <c r="B160" s="1068">
        <v>3.5</v>
      </c>
      <c r="C160" s="1068" t="s">
        <v>3148</v>
      </c>
      <c r="D160" s="1068" t="s">
        <v>1415</v>
      </c>
      <c r="E160" s="1069" t="s">
        <v>3144</v>
      </c>
      <c r="F160" s="1069" t="s">
        <v>3153</v>
      </c>
      <c r="G160" s="1071">
        <v>1.64</v>
      </c>
      <c r="H160" s="1071">
        <v>6.24</v>
      </c>
      <c r="I160" s="1070">
        <v>3.68</v>
      </c>
      <c r="J160" s="1073"/>
      <c r="K160" s="1072"/>
    </row>
    <row r="161" spans="1:11" ht="18.75" customHeight="1" x14ac:dyDescent="0.3">
      <c r="A161" s="1079">
        <v>43282</v>
      </c>
      <c r="B161" s="1068">
        <v>3.5</v>
      </c>
      <c r="C161" s="1068" t="s">
        <v>3148</v>
      </c>
      <c r="D161" s="1068" t="s">
        <v>1415</v>
      </c>
      <c r="E161" s="1069" t="s">
        <v>3157</v>
      </c>
      <c r="F161" s="1069" t="s">
        <v>3153</v>
      </c>
      <c r="G161" s="1071">
        <v>1.65</v>
      </c>
      <c r="H161" s="1071">
        <v>6.23</v>
      </c>
      <c r="I161" s="1070">
        <v>3.55</v>
      </c>
      <c r="J161" s="1073"/>
      <c r="K161" s="1072"/>
    </row>
    <row r="162" spans="1:11" ht="18.75" customHeight="1" x14ac:dyDescent="0.3">
      <c r="A162" s="1079">
        <v>43313</v>
      </c>
      <c r="B162" s="1068">
        <v>3.5</v>
      </c>
      <c r="C162" s="1068" t="s">
        <v>3148</v>
      </c>
      <c r="D162" s="1068" t="s">
        <v>433</v>
      </c>
      <c r="E162" s="1069" t="s">
        <v>3158</v>
      </c>
      <c r="F162" s="1069" t="s">
        <v>3153</v>
      </c>
      <c r="G162" s="1071">
        <v>1.66</v>
      </c>
      <c r="H162" s="1071">
        <v>6.22</v>
      </c>
      <c r="I162" s="1070">
        <v>3.62</v>
      </c>
      <c r="J162" s="1073"/>
      <c r="K162" s="1072"/>
    </row>
    <row r="163" spans="1:11" ht="18.75" customHeight="1" x14ac:dyDescent="0.3">
      <c r="A163" s="1079">
        <v>43344</v>
      </c>
      <c r="B163" s="1068">
        <v>3.5</v>
      </c>
      <c r="C163" s="1068" t="s">
        <v>3148</v>
      </c>
      <c r="D163" s="1068" t="s">
        <v>1416</v>
      </c>
      <c r="E163" s="1069" t="s">
        <v>3159</v>
      </c>
      <c r="F163" s="1069" t="s">
        <v>3160</v>
      </c>
      <c r="G163" s="1071">
        <v>1.71</v>
      </c>
      <c r="H163" s="1071">
        <v>6.22</v>
      </c>
      <c r="I163" s="1070">
        <v>3.6</v>
      </c>
      <c r="J163" s="1073"/>
      <c r="K163" s="1072"/>
    </row>
    <row r="164" spans="1:11" ht="18.75" customHeight="1" x14ac:dyDescent="0.3">
      <c r="A164" s="1079">
        <v>43374</v>
      </c>
      <c r="B164" s="1068">
        <v>3.5</v>
      </c>
      <c r="C164" s="1068" t="s">
        <v>3148</v>
      </c>
      <c r="D164" s="1068" t="s">
        <v>1416</v>
      </c>
      <c r="E164" s="1069" t="s">
        <v>3161</v>
      </c>
      <c r="F164" s="1069" t="s">
        <v>2498</v>
      </c>
      <c r="G164" s="1071">
        <v>1.71</v>
      </c>
      <c r="H164" s="1071">
        <v>6.39</v>
      </c>
      <c r="I164" s="1070">
        <v>3.55</v>
      </c>
      <c r="J164" s="1073"/>
      <c r="K164" s="1072"/>
    </row>
    <row r="165" spans="1:11" ht="18.75" customHeight="1" x14ac:dyDescent="0.3">
      <c r="A165" s="1079">
        <v>43405</v>
      </c>
      <c r="B165" s="1068">
        <v>3.5</v>
      </c>
      <c r="C165" s="1068" t="s">
        <v>3148</v>
      </c>
      <c r="D165" s="1068" t="s">
        <v>1416</v>
      </c>
      <c r="E165" s="1069" t="s">
        <v>3162</v>
      </c>
      <c r="F165" s="1069" t="s">
        <v>2499</v>
      </c>
      <c r="G165" s="1071">
        <v>1.7</v>
      </c>
      <c r="H165" s="1071">
        <v>6.34</v>
      </c>
      <c r="I165" s="1070">
        <v>3.58</v>
      </c>
      <c r="J165" s="1073"/>
      <c r="K165" s="1072"/>
    </row>
    <row r="166" spans="1:11" ht="18.75" customHeight="1" x14ac:dyDescent="0.3">
      <c r="A166" s="1079">
        <v>43435</v>
      </c>
      <c r="B166" s="1068">
        <v>3.5</v>
      </c>
      <c r="C166" s="1068" t="s">
        <v>3148</v>
      </c>
      <c r="D166" s="1068" t="s">
        <v>1416</v>
      </c>
      <c r="E166" s="1069" t="s">
        <v>3163</v>
      </c>
      <c r="F166" s="1069" t="s">
        <v>3164</v>
      </c>
      <c r="G166" s="1071">
        <v>1.72</v>
      </c>
      <c r="H166" s="1071">
        <v>6.21</v>
      </c>
      <c r="I166" s="1070">
        <v>3.51</v>
      </c>
      <c r="J166" s="1073"/>
      <c r="K166" s="1072"/>
    </row>
    <row r="167" spans="1:11" ht="18.75" customHeight="1" x14ac:dyDescent="0.3">
      <c r="A167" s="1079">
        <v>43466</v>
      </c>
      <c r="B167" s="1068">
        <v>3.5</v>
      </c>
      <c r="C167" s="1068" t="s">
        <v>3148</v>
      </c>
      <c r="D167" s="1068" t="s">
        <v>1416</v>
      </c>
      <c r="E167" s="1069" t="s">
        <v>3165</v>
      </c>
      <c r="F167" s="1069" t="s">
        <v>3164</v>
      </c>
      <c r="G167" s="1071">
        <v>1.73</v>
      </c>
      <c r="H167" s="1071">
        <v>6.21</v>
      </c>
      <c r="I167" s="1070">
        <v>3.43</v>
      </c>
      <c r="J167" s="1073"/>
      <c r="K167" s="1072"/>
    </row>
    <row r="168" spans="1:11" ht="18.75" customHeight="1" x14ac:dyDescent="0.3">
      <c r="A168" s="1079">
        <v>43497</v>
      </c>
      <c r="B168" s="1068">
        <v>3.5</v>
      </c>
      <c r="C168" s="1068" t="s">
        <v>3148</v>
      </c>
      <c r="D168" s="1068" t="s">
        <v>1416</v>
      </c>
      <c r="E168" s="1069" t="s">
        <v>3166</v>
      </c>
      <c r="F168" s="1069" t="s">
        <v>3164</v>
      </c>
      <c r="G168" s="1071">
        <v>1.73</v>
      </c>
      <c r="H168" s="1071">
        <v>6.3</v>
      </c>
      <c r="I168" s="1070">
        <v>3.45</v>
      </c>
      <c r="J168" s="1073"/>
      <c r="K168" s="1072"/>
    </row>
    <row r="169" spans="1:11" ht="18.75" customHeight="1" x14ac:dyDescent="0.3">
      <c r="A169" s="1079">
        <v>43525</v>
      </c>
      <c r="B169" s="1068">
        <v>3.5</v>
      </c>
      <c r="C169" s="1068" t="s">
        <v>3148</v>
      </c>
      <c r="D169" s="1068" t="s">
        <v>1416</v>
      </c>
      <c r="E169" s="1069" t="s">
        <v>3167</v>
      </c>
      <c r="F169" s="1069" t="s">
        <v>3164</v>
      </c>
      <c r="G169" s="1071">
        <v>1.74</v>
      </c>
      <c r="H169" s="1071">
        <v>6.24</v>
      </c>
      <c r="I169" s="1070">
        <v>3.3</v>
      </c>
      <c r="J169" s="1073"/>
      <c r="K169" s="1072"/>
    </row>
    <row r="170" spans="1:11" ht="18.75" customHeight="1" x14ac:dyDescent="0.3">
      <c r="A170" s="1079">
        <v>43556</v>
      </c>
      <c r="B170" s="1068">
        <v>3.5</v>
      </c>
      <c r="C170" s="1068" t="s">
        <v>3148</v>
      </c>
      <c r="D170" s="1068" t="s">
        <v>1416</v>
      </c>
      <c r="E170" s="1069" t="s">
        <v>3168</v>
      </c>
      <c r="F170" s="1069" t="s">
        <v>2501</v>
      </c>
      <c r="G170" s="1071">
        <v>1.72</v>
      </c>
      <c r="H170" s="1071">
        <v>6.25</v>
      </c>
      <c r="I170" s="1070">
        <v>3.28</v>
      </c>
      <c r="J170" s="1073"/>
      <c r="K170" s="1072"/>
    </row>
    <row r="171" spans="1:11" ht="18.75" customHeight="1" x14ac:dyDescent="0.3">
      <c r="A171" s="1079">
        <v>43586</v>
      </c>
      <c r="B171" s="1068">
        <v>3.5</v>
      </c>
      <c r="C171" s="1068" t="s">
        <v>3148</v>
      </c>
      <c r="D171" s="1068" t="s">
        <v>1416</v>
      </c>
      <c r="E171" s="1069" t="s">
        <v>3169</v>
      </c>
      <c r="F171" s="1069" t="s">
        <v>2501</v>
      </c>
      <c r="G171" s="1071">
        <v>1.73</v>
      </c>
      <c r="H171" s="1071">
        <v>6.24</v>
      </c>
      <c r="I171" s="1070">
        <v>2.95</v>
      </c>
      <c r="J171" s="1073"/>
      <c r="K171" s="1072"/>
    </row>
    <row r="172" spans="1:11" ht="18.75" customHeight="1" x14ac:dyDescent="0.3">
      <c r="A172" s="1079">
        <v>43617</v>
      </c>
      <c r="B172" s="1068">
        <v>3.5</v>
      </c>
      <c r="C172" s="1068" t="s">
        <v>3148</v>
      </c>
      <c r="D172" s="1068" t="s">
        <v>1416</v>
      </c>
      <c r="E172" s="1069" t="s">
        <v>3147</v>
      </c>
      <c r="F172" s="1069" t="s">
        <v>3164</v>
      </c>
      <c r="G172" s="1071">
        <v>1.71</v>
      </c>
      <c r="H172" s="1071">
        <v>6.22</v>
      </c>
      <c r="I172" s="1070">
        <v>2.77</v>
      </c>
      <c r="J172" s="1073"/>
      <c r="K172" s="1072"/>
    </row>
    <row r="173" spans="1:11" ht="18.75" customHeight="1" x14ac:dyDescent="0.3">
      <c r="A173" s="1079">
        <v>43647</v>
      </c>
      <c r="B173" s="1068">
        <v>3.5</v>
      </c>
      <c r="C173" s="1068" t="s">
        <v>3148</v>
      </c>
      <c r="D173" s="1068" t="s">
        <v>1416</v>
      </c>
      <c r="E173" s="1069" t="s">
        <v>3165</v>
      </c>
      <c r="F173" s="1069" t="s">
        <v>3164</v>
      </c>
      <c r="G173" s="1071">
        <v>1.72</v>
      </c>
      <c r="H173" s="1071">
        <v>6.24</v>
      </c>
      <c r="I173" s="1070">
        <v>3.17</v>
      </c>
      <c r="J173" s="1073"/>
      <c r="K173" s="1072"/>
    </row>
    <row r="174" spans="1:11" ht="18.75" customHeight="1" x14ac:dyDescent="0.3">
      <c r="A174" s="1079">
        <v>43678</v>
      </c>
      <c r="B174" s="1068">
        <v>3.35</v>
      </c>
      <c r="C174" s="1068" t="s">
        <v>500</v>
      </c>
      <c r="D174" s="1068" t="s">
        <v>433</v>
      </c>
      <c r="E174" s="1069" t="s">
        <v>3170</v>
      </c>
      <c r="F174" s="1069" t="s">
        <v>3164</v>
      </c>
      <c r="G174" s="1071">
        <v>1.63</v>
      </c>
      <c r="H174" s="1071">
        <v>6.11</v>
      </c>
      <c r="I174" s="1070">
        <v>3.09</v>
      </c>
      <c r="J174" s="1073"/>
      <c r="K174" s="1072"/>
    </row>
    <row r="175" spans="1:11" ht="18.75" customHeight="1" x14ac:dyDescent="0.3">
      <c r="A175" s="1079">
        <v>43709</v>
      </c>
      <c r="B175" s="1068">
        <v>3.35</v>
      </c>
      <c r="C175" s="1068" t="s">
        <v>3171</v>
      </c>
      <c r="D175" s="1068" t="s">
        <v>1415</v>
      </c>
      <c r="E175" s="1069" t="s">
        <v>3172</v>
      </c>
      <c r="F175" s="1069" t="s">
        <v>3164</v>
      </c>
      <c r="G175" s="1071">
        <v>1.61</v>
      </c>
      <c r="H175" s="1071">
        <v>6.08</v>
      </c>
      <c r="I175" s="1070">
        <v>2.7</v>
      </c>
      <c r="J175" s="1073"/>
      <c r="K175" s="1072"/>
    </row>
    <row r="176" spans="1:11" ht="18.75" customHeight="1" x14ac:dyDescent="0.3">
      <c r="A176" s="1079">
        <v>43739</v>
      </c>
      <c r="B176" s="1068">
        <v>3.35</v>
      </c>
      <c r="C176" s="1068" t="s">
        <v>3171</v>
      </c>
      <c r="D176" s="1068" t="s">
        <v>1417</v>
      </c>
      <c r="E176" s="1069" t="s">
        <v>3173</v>
      </c>
      <c r="F176" s="1069" t="s">
        <v>3164</v>
      </c>
      <c r="G176" s="1071">
        <v>1.61</v>
      </c>
      <c r="H176" s="1071">
        <v>6.11</v>
      </c>
      <c r="I176" s="1070">
        <v>2.63</v>
      </c>
      <c r="J176" s="1073"/>
      <c r="K176" s="1072"/>
    </row>
    <row r="177" spans="1:11" ht="18.75" customHeight="1" x14ac:dyDescent="0.3">
      <c r="A177" s="1079">
        <v>43770</v>
      </c>
      <c r="B177" s="1068">
        <v>3.35</v>
      </c>
      <c r="C177" s="1068" t="s">
        <v>3171</v>
      </c>
      <c r="D177" s="1068" t="s">
        <v>1417</v>
      </c>
      <c r="E177" s="1069" t="s">
        <v>3165</v>
      </c>
      <c r="F177" s="1069" t="s">
        <v>3164</v>
      </c>
      <c r="G177" s="1071">
        <v>1.61</v>
      </c>
      <c r="H177" s="1071">
        <v>6.12</v>
      </c>
      <c r="I177" s="1070">
        <v>2.78</v>
      </c>
      <c r="J177" s="1073"/>
      <c r="K177" s="1072"/>
    </row>
    <row r="178" spans="1:11" ht="18.75" customHeight="1" x14ac:dyDescent="0.3">
      <c r="A178" s="1079">
        <v>43800</v>
      </c>
      <c r="B178" s="1068">
        <v>3.35</v>
      </c>
      <c r="C178" s="1068" t="s">
        <v>3171</v>
      </c>
      <c r="D178" s="1068" t="s">
        <v>1417</v>
      </c>
      <c r="E178" s="1069" t="s">
        <v>3174</v>
      </c>
      <c r="F178" s="1069" t="s">
        <v>2940</v>
      </c>
      <c r="G178" s="1071">
        <v>1.57</v>
      </c>
      <c r="H178" s="1071">
        <v>6.09</v>
      </c>
      <c r="I178" s="1070">
        <v>2.72</v>
      </c>
      <c r="J178" s="1073"/>
      <c r="K178" s="1072"/>
    </row>
    <row r="179" spans="1:11" ht="18.75" customHeight="1" x14ac:dyDescent="0.3">
      <c r="A179" s="1079">
        <v>43831</v>
      </c>
      <c r="B179" s="1068">
        <v>3.35</v>
      </c>
      <c r="C179" s="1068" t="s">
        <v>3171</v>
      </c>
      <c r="D179" s="1068" t="s">
        <v>1417</v>
      </c>
      <c r="E179" s="1069" t="s">
        <v>3175</v>
      </c>
      <c r="F179" s="1069" t="s">
        <v>2940</v>
      </c>
      <c r="G179" s="1071">
        <v>1.61</v>
      </c>
      <c r="H179" s="1071">
        <v>6.09</v>
      </c>
      <c r="I179" s="1070">
        <v>2.2599999999999998</v>
      </c>
      <c r="J179" s="1073"/>
      <c r="K179" s="1072"/>
    </row>
    <row r="180" spans="1:11" ht="18.75" customHeight="1" x14ac:dyDescent="0.3">
      <c r="A180" s="1079">
        <v>43862</v>
      </c>
      <c r="B180" s="1068">
        <v>3.35</v>
      </c>
      <c r="C180" s="1068" t="s">
        <v>3171</v>
      </c>
      <c r="D180" s="1068" t="s">
        <v>1417</v>
      </c>
      <c r="E180" s="1069" t="s">
        <v>3176</v>
      </c>
      <c r="F180" s="1069" t="s">
        <v>2940</v>
      </c>
      <c r="G180" s="1071">
        <v>1.56</v>
      </c>
      <c r="H180" s="1071">
        <v>6.07</v>
      </c>
      <c r="I180" s="1070">
        <v>2.19</v>
      </c>
      <c r="J180" s="1073"/>
      <c r="K180" s="1072"/>
    </row>
    <row r="181" spans="1:11" ht="18.75" customHeight="1" x14ac:dyDescent="0.3">
      <c r="A181" s="1079">
        <v>43891</v>
      </c>
      <c r="B181" s="1068">
        <v>2.85</v>
      </c>
      <c r="C181" s="1068" t="s">
        <v>2613</v>
      </c>
      <c r="D181" s="1068" t="s">
        <v>1418</v>
      </c>
      <c r="E181" s="1069" t="s">
        <v>3177</v>
      </c>
      <c r="F181" s="1069" t="s">
        <v>2941</v>
      </c>
      <c r="G181" s="1071">
        <v>1.3</v>
      </c>
      <c r="H181" s="1071">
        <v>5.7</v>
      </c>
      <c r="I181" s="1070">
        <v>1.42</v>
      </c>
      <c r="J181" s="1073"/>
      <c r="K181" s="1072"/>
    </row>
    <row r="182" spans="1:11" ht="18.75" customHeight="1" x14ac:dyDescent="0.3">
      <c r="A182" s="1079">
        <v>43922</v>
      </c>
      <c r="B182" s="1068">
        <v>1.85</v>
      </c>
      <c r="C182" s="1068" t="s">
        <v>3178</v>
      </c>
      <c r="D182" s="1068" t="s">
        <v>1419</v>
      </c>
      <c r="E182" s="1069" t="s">
        <v>3179</v>
      </c>
      <c r="F182" s="1069" t="s">
        <v>2508</v>
      </c>
      <c r="G182" s="1071">
        <v>0.71</v>
      </c>
      <c r="H182" s="1071">
        <v>4.9000000000000004</v>
      </c>
      <c r="I182" s="1070">
        <v>0.43</v>
      </c>
      <c r="J182" s="1073"/>
      <c r="K182" s="1072"/>
    </row>
    <row r="183" spans="1:11" ht="18.75" customHeight="1" x14ac:dyDescent="0.3">
      <c r="A183" s="1079">
        <v>43952</v>
      </c>
      <c r="B183" s="1068">
        <v>1.85</v>
      </c>
      <c r="C183" s="1068" t="s">
        <v>3178</v>
      </c>
      <c r="D183" s="1068" t="s">
        <v>1420</v>
      </c>
      <c r="E183" s="1069" t="s">
        <v>3180</v>
      </c>
      <c r="F183" s="1069" t="s">
        <v>2508</v>
      </c>
      <c r="G183" s="1071">
        <v>0.51</v>
      </c>
      <c r="H183" s="1071">
        <v>4.71</v>
      </c>
      <c r="I183" s="1070">
        <v>0.19</v>
      </c>
      <c r="J183" s="1073"/>
      <c r="K183" s="1072"/>
    </row>
    <row r="184" spans="1:11" ht="18.75" customHeight="1" x14ac:dyDescent="0.3">
      <c r="A184" s="1079">
        <v>43983</v>
      </c>
      <c r="B184" s="1068">
        <v>1.85</v>
      </c>
      <c r="C184" s="1068" t="s">
        <v>3178</v>
      </c>
      <c r="D184" s="1068" t="s">
        <v>1420</v>
      </c>
      <c r="E184" s="1069" t="s">
        <v>3180</v>
      </c>
      <c r="F184" s="1069" t="s">
        <v>3181</v>
      </c>
      <c r="G184" s="1071">
        <v>0.5</v>
      </c>
      <c r="H184" s="1071">
        <v>4.67</v>
      </c>
      <c r="I184" s="1070">
        <v>0.78</v>
      </c>
      <c r="J184" s="1073"/>
      <c r="K184" s="1072"/>
    </row>
    <row r="185" spans="1:11" ht="18.75" customHeight="1" x14ac:dyDescent="0.3">
      <c r="A185" s="1079">
        <v>44013</v>
      </c>
      <c r="B185" s="1068">
        <v>1.85</v>
      </c>
      <c r="C185" s="1068" t="s">
        <v>3178</v>
      </c>
      <c r="D185" s="1068" t="s">
        <v>1420</v>
      </c>
      <c r="E185" s="1069" t="s">
        <v>3182</v>
      </c>
      <c r="F185" s="1069" t="s">
        <v>3181</v>
      </c>
      <c r="G185" s="1071">
        <v>0.49</v>
      </c>
      <c r="H185" s="1071">
        <v>4.6399999999999997</v>
      </c>
      <c r="I185" s="1070" t="s">
        <v>115</v>
      </c>
      <c r="J185" s="1073"/>
      <c r="K185" s="1072"/>
    </row>
    <row r="186" spans="1:11" ht="18.75" customHeight="1" x14ac:dyDescent="0.3">
      <c r="A186" s="1079">
        <v>44044</v>
      </c>
      <c r="B186" s="1068">
        <v>1.85</v>
      </c>
      <c r="C186" s="1068" t="s">
        <v>3178</v>
      </c>
      <c r="D186" s="1068" t="s">
        <v>1420</v>
      </c>
      <c r="E186" s="1069" t="s">
        <v>3183</v>
      </c>
      <c r="F186" s="1069" t="s">
        <v>3181</v>
      </c>
      <c r="G186" s="1071">
        <v>0.5</v>
      </c>
      <c r="H186" s="1071">
        <v>4.71</v>
      </c>
      <c r="I186" s="1070">
        <v>1.3</v>
      </c>
      <c r="J186" s="1073"/>
      <c r="K186" s="1072"/>
    </row>
    <row r="187" spans="1:11" ht="18.75" customHeight="1" x14ac:dyDescent="0.3">
      <c r="A187" s="1079">
        <v>44075</v>
      </c>
      <c r="B187" s="1068">
        <v>1.85</v>
      </c>
      <c r="C187" s="1068" t="s">
        <v>3178</v>
      </c>
      <c r="D187" s="1068" t="s">
        <v>1420</v>
      </c>
      <c r="E187" s="1069" t="s">
        <v>3184</v>
      </c>
      <c r="F187" s="1069" t="s">
        <v>3181</v>
      </c>
      <c r="G187" s="1071">
        <v>0.49</v>
      </c>
      <c r="H187" s="1071">
        <v>4.7300000000000004</v>
      </c>
      <c r="I187" s="1070">
        <v>1.38</v>
      </c>
      <c r="J187" s="1073"/>
      <c r="K187" s="1072"/>
    </row>
    <row r="188" spans="1:11" ht="18.75" customHeight="1" x14ac:dyDescent="0.3">
      <c r="A188" s="1079">
        <v>44105</v>
      </c>
      <c r="B188" s="1068">
        <v>1.85</v>
      </c>
      <c r="C188" s="1068" t="s">
        <v>3178</v>
      </c>
      <c r="D188" s="1068" t="s">
        <v>1420</v>
      </c>
      <c r="E188" s="1069" t="s">
        <v>3184</v>
      </c>
      <c r="F188" s="1069" t="s">
        <v>3181</v>
      </c>
      <c r="G188" s="1071">
        <v>0.49</v>
      </c>
      <c r="H188" s="1071">
        <v>4.7</v>
      </c>
      <c r="I188" s="1070" t="s">
        <v>115</v>
      </c>
      <c r="J188" s="1073"/>
      <c r="K188" s="1072"/>
    </row>
    <row r="189" spans="1:11" ht="18.75" customHeight="1" x14ac:dyDescent="0.3">
      <c r="A189" s="1079">
        <v>44136</v>
      </c>
      <c r="B189" s="1068">
        <v>1.85</v>
      </c>
      <c r="C189" s="1068" t="s">
        <v>3178</v>
      </c>
      <c r="D189" s="1068" t="s">
        <v>1420</v>
      </c>
      <c r="E189" s="1069" t="s">
        <v>3185</v>
      </c>
      <c r="F189" s="1069" t="s">
        <v>3181</v>
      </c>
      <c r="G189" s="1071">
        <v>0.48</v>
      </c>
      <c r="H189" s="1071">
        <v>4.7</v>
      </c>
      <c r="I189" s="1070">
        <v>0.64</v>
      </c>
      <c r="J189" s="1073"/>
      <c r="K189" s="1072"/>
    </row>
    <row r="190" spans="1:11" ht="18.75" customHeight="1" x14ac:dyDescent="0.3">
      <c r="A190" s="1079">
        <v>44166</v>
      </c>
      <c r="B190" s="1068">
        <v>1.85</v>
      </c>
      <c r="C190" s="1068" t="s">
        <v>3178</v>
      </c>
      <c r="D190" s="1068" t="s">
        <v>1420</v>
      </c>
      <c r="E190" s="1069" t="s">
        <v>3186</v>
      </c>
      <c r="F190" s="1069" t="s">
        <v>3181</v>
      </c>
      <c r="G190" s="1071">
        <v>0.47</v>
      </c>
      <c r="H190" s="1071">
        <v>4.7</v>
      </c>
      <c r="I190" s="1070">
        <v>0.31</v>
      </c>
      <c r="J190" s="1073"/>
      <c r="K190" s="1072"/>
    </row>
    <row r="191" spans="1:11" ht="19.5" customHeight="1" x14ac:dyDescent="0.3">
      <c r="A191" s="1079">
        <v>44197</v>
      </c>
      <c r="B191" s="1068">
        <v>1.85</v>
      </c>
      <c r="C191" s="1068" t="s">
        <v>3178</v>
      </c>
      <c r="D191" s="1068" t="s">
        <v>1420</v>
      </c>
      <c r="E191" s="1069" t="s">
        <v>3187</v>
      </c>
      <c r="F191" s="1069" t="s">
        <v>3181</v>
      </c>
      <c r="G191" s="1071">
        <v>0.46</v>
      </c>
      <c r="H191" s="1071">
        <v>4.7</v>
      </c>
      <c r="I191" s="1070">
        <v>0.28999999999999998</v>
      </c>
      <c r="J191" s="1073"/>
      <c r="K191" s="1072"/>
    </row>
    <row r="192" spans="1:11" ht="19.5" customHeight="1" x14ac:dyDescent="0.3">
      <c r="A192" s="1079">
        <v>44228</v>
      </c>
      <c r="B192" s="1068">
        <v>1.85</v>
      </c>
      <c r="C192" s="1068" t="s">
        <v>3178</v>
      </c>
      <c r="D192" s="1068" t="s">
        <v>1420</v>
      </c>
      <c r="E192" s="1069" t="s">
        <v>3180</v>
      </c>
      <c r="F192" s="1069" t="s">
        <v>3181</v>
      </c>
      <c r="G192" s="1071">
        <v>0.44</v>
      </c>
      <c r="H192" s="1071">
        <v>4.67</v>
      </c>
      <c r="I192" s="1070">
        <v>0.24</v>
      </c>
      <c r="J192" s="1073"/>
      <c r="K192" s="1072"/>
    </row>
    <row r="193" spans="1:11" ht="19.5" customHeight="1" x14ac:dyDescent="0.3">
      <c r="A193" s="1079">
        <v>44256</v>
      </c>
      <c r="B193" s="1068">
        <v>1.85</v>
      </c>
      <c r="C193" s="1068" t="s">
        <v>3178</v>
      </c>
      <c r="D193" s="1068" t="s">
        <v>1420</v>
      </c>
      <c r="E193" s="1069" t="s">
        <v>3188</v>
      </c>
      <c r="F193" s="1069" t="s">
        <v>3189</v>
      </c>
      <c r="G193" s="1071">
        <v>0.44</v>
      </c>
      <c r="H193" s="1071">
        <v>4.7</v>
      </c>
      <c r="I193" s="1070">
        <v>0.28000000000000003</v>
      </c>
      <c r="J193" s="1073"/>
      <c r="K193" s="1072"/>
    </row>
    <row r="194" spans="1:11" ht="19.5" customHeight="1" x14ac:dyDescent="0.3">
      <c r="A194" s="1079">
        <v>44287</v>
      </c>
      <c r="B194" s="1068">
        <v>1.85</v>
      </c>
      <c r="C194" s="1068" t="s">
        <v>3178</v>
      </c>
      <c r="D194" s="1068" t="s">
        <v>1420</v>
      </c>
      <c r="E194" s="1069" t="s">
        <v>3190</v>
      </c>
      <c r="F194" s="1069" t="s">
        <v>3181</v>
      </c>
      <c r="G194" s="1071">
        <v>0.43</v>
      </c>
      <c r="H194" s="1071">
        <v>4.5999999999999996</v>
      </c>
      <c r="I194" s="1070">
        <v>0.49</v>
      </c>
      <c r="J194" s="1073"/>
      <c r="K194" s="1072"/>
    </row>
    <row r="195" spans="1:11" ht="19.5" customHeight="1" x14ac:dyDescent="0.3">
      <c r="A195" s="1079">
        <v>44317</v>
      </c>
      <c r="B195" s="1068">
        <v>1.85</v>
      </c>
      <c r="C195" s="1068" t="s">
        <v>3178</v>
      </c>
      <c r="D195" s="1068" t="s">
        <v>1420</v>
      </c>
      <c r="E195" s="1069" t="s">
        <v>3191</v>
      </c>
      <c r="F195" s="1069" t="s">
        <v>3181</v>
      </c>
      <c r="G195" s="1071">
        <v>0.42</v>
      </c>
      <c r="H195" s="1071">
        <v>4.55</v>
      </c>
      <c r="I195" s="1070">
        <v>0.8</v>
      </c>
      <c r="J195" s="1073"/>
      <c r="K195" s="1072"/>
    </row>
    <row r="196" spans="1:11" ht="18.75" customHeight="1" thickBot="1" x14ac:dyDescent="0.35">
      <c r="A196" s="1080">
        <v>44348</v>
      </c>
      <c r="B196" s="1081">
        <v>1.85</v>
      </c>
      <c r="C196" s="1081" t="s">
        <v>3178</v>
      </c>
      <c r="D196" s="1081" t="s">
        <v>1420</v>
      </c>
      <c r="E196" s="1082" t="s">
        <v>3192</v>
      </c>
      <c r="F196" s="1082" t="s">
        <v>3181</v>
      </c>
      <c r="G196" s="1083">
        <v>0.43</v>
      </c>
      <c r="H196" s="1083">
        <v>4.59</v>
      </c>
      <c r="I196" s="1084">
        <v>1.29</v>
      </c>
      <c r="J196" s="1073"/>
      <c r="K196" s="1072"/>
    </row>
    <row r="197" spans="1:11" s="1085" customFormat="1" ht="14.25" customHeight="1" thickTop="1" x14ac:dyDescent="0.25">
      <c r="A197" s="3696"/>
      <c r="B197" s="3696"/>
      <c r="C197" s="3696"/>
      <c r="D197" s="3696"/>
      <c r="E197" s="3696"/>
      <c r="F197" s="3696"/>
      <c r="G197" s="3696"/>
      <c r="H197" s="3696"/>
      <c r="I197" s="3696"/>
    </row>
    <row r="198" spans="1:11" s="1086" customFormat="1" ht="33.75" customHeight="1" x14ac:dyDescent="0.25">
      <c r="A198" s="3701" t="s">
        <v>3193</v>
      </c>
      <c r="B198" s="3701"/>
      <c r="C198" s="3701"/>
      <c r="D198" s="3701"/>
      <c r="E198" s="3701"/>
      <c r="F198" s="3701"/>
      <c r="G198" s="3701"/>
      <c r="H198" s="3701"/>
      <c r="I198" s="3701"/>
    </row>
    <row r="199" spans="1:11" s="1086" customFormat="1" ht="31.5" customHeight="1" x14ac:dyDescent="0.25">
      <c r="A199" s="3701" t="s">
        <v>3194</v>
      </c>
      <c r="B199" s="3701"/>
      <c r="C199" s="3701"/>
      <c r="D199" s="3701"/>
      <c r="E199" s="3701"/>
      <c r="F199" s="3701"/>
      <c r="G199" s="3701"/>
      <c r="H199" s="3701"/>
      <c r="I199" s="3701"/>
    </row>
    <row r="200" spans="1:11" s="1086" customFormat="1" ht="14.25" customHeight="1" x14ac:dyDescent="0.25">
      <c r="A200" s="1087" t="s">
        <v>134</v>
      </c>
      <c r="F200" s="1087"/>
      <c r="G200" s="1088"/>
    </row>
  </sheetData>
  <mergeCells count="3">
    <mergeCell ref="A197:I197"/>
    <mergeCell ref="A198:I198"/>
    <mergeCell ref="A199:I199"/>
  </mergeCells>
  <printOptions horizontalCentered="1"/>
  <pageMargins left="0.75" right="0.75" top="0.75" bottom="0.75" header="0.3" footer="0"/>
  <pageSetup paperSize="9" scale="62"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pageSetUpPr fitToPage="1"/>
  </sheetPr>
  <dimension ref="A1:BWV39"/>
  <sheetViews>
    <sheetView zoomScale="90" zoomScaleNormal="90" zoomScaleSheetLayoutView="90" workbookViewId="0">
      <pane xSplit="1" ySplit="3" topLeftCell="B4" activePane="bottomRight" state="frozen"/>
      <selection activeCell="K39" sqref="K39"/>
      <selection pane="topRight" activeCell="K39" sqref="K39"/>
      <selection pane="bottomLeft" activeCell="K39" sqref="K39"/>
      <selection pane="bottomRight" activeCell="F4" sqref="F4"/>
    </sheetView>
  </sheetViews>
  <sheetFormatPr defaultColWidth="74.28515625" defaultRowHeight="25.5" x14ac:dyDescent="0.5"/>
  <cols>
    <col min="1" max="1" width="97.28515625" style="290" customWidth="1"/>
    <col min="2" max="2" width="12.7109375" style="290" customWidth="1"/>
    <col min="3" max="3" width="12.7109375" style="291" customWidth="1"/>
    <col min="4" max="4" width="12.7109375" style="290" customWidth="1"/>
    <col min="5" max="5" width="5.5703125" style="104" customWidth="1"/>
    <col min="6" max="13" width="7.7109375" style="104" customWidth="1"/>
    <col min="14" max="16384" width="74.28515625" style="104"/>
  </cols>
  <sheetData>
    <row r="1" spans="1:9" ht="17.25" x14ac:dyDescent="0.3">
      <c r="A1" s="3697" t="s">
        <v>3276</v>
      </c>
      <c r="B1" s="3697"/>
      <c r="C1" s="3697"/>
      <c r="D1" s="3697"/>
    </row>
    <row r="2" spans="1:9" ht="18.75" customHeight="1" thickBot="1" x14ac:dyDescent="0.55000000000000004">
      <c r="D2" s="292" t="s">
        <v>198</v>
      </c>
    </row>
    <row r="3" spans="1:9" ht="30" customHeight="1" thickTop="1" thickBot="1" x14ac:dyDescent="0.35">
      <c r="A3" s="201"/>
      <c r="B3" s="91" t="s">
        <v>504</v>
      </c>
      <c r="C3" s="91" t="s">
        <v>273</v>
      </c>
      <c r="D3" s="91" t="s">
        <v>274</v>
      </c>
    </row>
    <row r="4" spans="1:9" s="127" customFormat="1" ht="30" customHeight="1" thickTop="1" x14ac:dyDescent="0.25">
      <c r="A4" s="293" t="s">
        <v>338</v>
      </c>
      <c r="B4" s="294">
        <v>4636.7156247199991</v>
      </c>
      <c r="C4" s="295">
        <v>25.488953300000002</v>
      </c>
      <c r="D4" s="294">
        <v>4662.2045780200006</v>
      </c>
      <c r="G4" s="296"/>
      <c r="H4" s="296"/>
      <c r="I4" s="296"/>
    </row>
    <row r="5" spans="1:9" s="127" customFormat="1" ht="30" customHeight="1" x14ac:dyDescent="0.25">
      <c r="A5" s="226" t="s">
        <v>505</v>
      </c>
      <c r="B5" s="294">
        <v>298.51636287000002</v>
      </c>
      <c r="C5" s="297">
        <v>0.13073645</v>
      </c>
      <c r="D5" s="294">
        <v>298.64709932</v>
      </c>
      <c r="G5" s="296"/>
      <c r="H5" s="296"/>
      <c r="I5" s="296"/>
    </row>
    <row r="6" spans="1:9" s="299" customFormat="1" ht="30" customHeight="1" x14ac:dyDescent="0.25">
      <c r="A6" s="226" t="s">
        <v>282</v>
      </c>
      <c r="B6" s="294">
        <v>0</v>
      </c>
      <c r="C6" s="298">
        <v>0</v>
      </c>
      <c r="D6" s="294">
        <v>0</v>
      </c>
      <c r="G6" s="296"/>
      <c r="H6" s="296"/>
      <c r="I6" s="296"/>
    </row>
    <row r="7" spans="1:9" s="299" customFormat="1" ht="30" customHeight="1" x14ac:dyDescent="0.25">
      <c r="A7" s="226" t="s">
        <v>283</v>
      </c>
      <c r="B7" s="294">
        <v>683.7451648199999</v>
      </c>
      <c r="C7" s="295">
        <v>21.930111850000003</v>
      </c>
      <c r="D7" s="294">
        <v>705.6752766699999</v>
      </c>
      <c r="E7" s="300"/>
      <c r="G7" s="296"/>
      <c r="H7" s="296"/>
      <c r="I7" s="296"/>
    </row>
    <row r="8" spans="1:9" s="299" customFormat="1" ht="30" customHeight="1" x14ac:dyDescent="0.25">
      <c r="A8" s="226" t="s">
        <v>306</v>
      </c>
      <c r="B8" s="294">
        <v>9.9664991599999997</v>
      </c>
      <c r="C8" s="298">
        <v>0</v>
      </c>
      <c r="D8" s="294">
        <v>9.9664991599999997</v>
      </c>
      <c r="G8" s="296"/>
      <c r="H8" s="296"/>
      <c r="I8" s="296"/>
    </row>
    <row r="9" spans="1:9" s="299" customFormat="1" ht="30" customHeight="1" x14ac:dyDescent="0.25">
      <c r="A9" s="226" t="s">
        <v>307</v>
      </c>
      <c r="B9" s="294">
        <v>14.33887923</v>
      </c>
      <c r="C9" s="298">
        <v>0</v>
      </c>
      <c r="D9" s="294">
        <v>14.33887923</v>
      </c>
      <c r="G9" s="296"/>
      <c r="H9" s="296"/>
      <c r="I9" s="296"/>
    </row>
    <row r="10" spans="1:9" s="127" customFormat="1" ht="30" customHeight="1" x14ac:dyDescent="0.25">
      <c r="A10" s="226" t="s">
        <v>308</v>
      </c>
      <c r="B10" s="294">
        <v>566.56245142</v>
      </c>
      <c r="C10" s="298">
        <v>0</v>
      </c>
      <c r="D10" s="294">
        <v>566.56245142</v>
      </c>
      <c r="G10" s="296"/>
      <c r="H10" s="296"/>
      <c r="I10" s="296"/>
    </row>
    <row r="11" spans="1:9" s="127" customFormat="1" ht="30" customHeight="1" x14ac:dyDescent="0.25">
      <c r="A11" s="226" t="s">
        <v>318</v>
      </c>
      <c r="B11" s="294">
        <v>972.14609710999991</v>
      </c>
      <c r="C11" s="295">
        <v>0</v>
      </c>
      <c r="D11" s="294">
        <v>972.14609710999991</v>
      </c>
      <c r="G11" s="296"/>
      <c r="H11" s="296"/>
      <c r="I11" s="296"/>
    </row>
    <row r="12" spans="1:9" s="127" customFormat="1" ht="30" customHeight="1" x14ac:dyDescent="0.25">
      <c r="A12" s="226" t="s">
        <v>322</v>
      </c>
      <c r="B12" s="294">
        <v>593.28722757000003</v>
      </c>
      <c r="C12" s="295">
        <v>6.5005449999999992E-2</v>
      </c>
      <c r="D12" s="294">
        <v>593.35223302000009</v>
      </c>
      <c r="G12" s="296"/>
      <c r="H12" s="296"/>
      <c r="I12" s="296"/>
    </row>
    <row r="13" spans="1:9" s="127" customFormat="1" ht="30" customHeight="1" x14ac:dyDescent="0.25">
      <c r="A13" s="226" t="s">
        <v>328</v>
      </c>
      <c r="B13" s="294">
        <v>218.20273256000002</v>
      </c>
      <c r="C13" s="295">
        <v>3.1567039000000001</v>
      </c>
      <c r="D13" s="294">
        <v>221.35943646000001</v>
      </c>
      <c r="G13" s="296"/>
      <c r="H13" s="296"/>
      <c r="I13" s="296"/>
    </row>
    <row r="14" spans="1:9" s="127" customFormat="1" ht="30" customHeight="1" x14ac:dyDescent="0.25">
      <c r="A14" s="226" t="s">
        <v>339</v>
      </c>
      <c r="B14" s="294">
        <v>94.890389920000004</v>
      </c>
      <c r="C14" s="298">
        <v>0.20639564999999999</v>
      </c>
      <c r="D14" s="294">
        <v>95.096785570000009</v>
      </c>
      <c r="G14" s="296"/>
      <c r="H14" s="296"/>
      <c r="I14" s="296"/>
    </row>
    <row r="15" spans="1:9" s="127" customFormat="1" ht="30" customHeight="1" x14ac:dyDescent="0.25">
      <c r="A15" s="226" t="s">
        <v>346</v>
      </c>
      <c r="B15" s="294">
        <v>65.526346790000005</v>
      </c>
      <c r="C15" s="298">
        <v>0</v>
      </c>
      <c r="D15" s="294">
        <v>65.526346790000005</v>
      </c>
      <c r="G15" s="296"/>
      <c r="H15" s="296"/>
      <c r="I15" s="296"/>
    </row>
    <row r="16" spans="1:9" s="127" customFormat="1" ht="30" customHeight="1" x14ac:dyDescent="0.25">
      <c r="A16" s="226" t="s">
        <v>347</v>
      </c>
      <c r="B16" s="294">
        <v>328.08310026000004</v>
      </c>
      <c r="C16" s="295">
        <v>0</v>
      </c>
      <c r="D16" s="294">
        <v>328.08310026000004</v>
      </c>
      <c r="G16" s="296"/>
      <c r="H16" s="296"/>
      <c r="I16" s="296"/>
    </row>
    <row r="17" spans="1:1972" s="127" customFormat="1" ht="30" customHeight="1" x14ac:dyDescent="0.25">
      <c r="A17" s="226" t="s">
        <v>354</v>
      </c>
      <c r="B17" s="294">
        <v>507.09798966000005</v>
      </c>
      <c r="C17" s="298">
        <v>0</v>
      </c>
      <c r="D17" s="294">
        <v>507.09798966000005</v>
      </c>
      <c r="G17" s="296"/>
      <c r="H17" s="296"/>
      <c r="I17" s="296"/>
    </row>
    <row r="18" spans="1:1972" s="127" customFormat="1" ht="30" customHeight="1" x14ac:dyDescent="0.25">
      <c r="A18" s="226" t="s">
        <v>361</v>
      </c>
      <c r="B18" s="294">
        <v>31.110007539999998</v>
      </c>
      <c r="C18" s="298">
        <v>0</v>
      </c>
      <c r="D18" s="294">
        <v>31.110007539999998</v>
      </c>
      <c r="G18" s="296"/>
      <c r="H18" s="296"/>
      <c r="I18" s="296"/>
    </row>
    <row r="19" spans="1:1972" s="127" customFormat="1" ht="30" customHeight="1" x14ac:dyDescent="0.25">
      <c r="A19" s="226" t="s">
        <v>367</v>
      </c>
      <c r="B19" s="294">
        <v>61.021077600000012</v>
      </c>
      <c r="C19" s="298">
        <v>0</v>
      </c>
      <c r="D19" s="294">
        <v>61.021077600000012</v>
      </c>
      <c r="G19" s="296"/>
      <c r="H19" s="296"/>
      <c r="I19" s="296"/>
    </row>
    <row r="20" spans="1:1972" s="127" customFormat="1" ht="30" customHeight="1" x14ac:dyDescent="0.25">
      <c r="A20" s="226" t="s">
        <v>370</v>
      </c>
      <c r="B20" s="294">
        <v>114.43507274</v>
      </c>
      <c r="C20" s="295">
        <v>0</v>
      </c>
      <c r="D20" s="294">
        <v>114.43507274</v>
      </c>
      <c r="G20" s="296"/>
      <c r="H20" s="296"/>
      <c r="I20" s="296"/>
    </row>
    <row r="21" spans="1:1972" s="127" customFormat="1" ht="30" customHeight="1" thickBot="1" x14ac:dyDescent="0.3">
      <c r="A21" s="226" t="s">
        <v>375</v>
      </c>
      <c r="B21" s="294">
        <v>77.786225470000005</v>
      </c>
      <c r="C21" s="298">
        <v>0</v>
      </c>
      <c r="D21" s="294">
        <v>77.786225470000005</v>
      </c>
      <c r="G21" s="296"/>
      <c r="H21" s="296"/>
      <c r="I21" s="296"/>
    </row>
    <row r="22" spans="1:1972" s="127" customFormat="1" ht="30" customHeight="1" x14ac:dyDescent="0.25">
      <c r="A22" s="301" t="s">
        <v>379</v>
      </c>
      <c r="B22" s="302">
        <v>47852.257565170003</v>
      </c>
      <c r="C22" s="302">
        <v>0</v>
      </c>
      <c r="D22" s="303">
        <v>47852.257565170003</v>
      </c>
      <c r="G22" s="296"/>
      <c r="H22" s="296"/>
      <c r="I22" s="296"/>
    </row>
    <row r="23" spans="1:1972" s="127" customFormat="1" ht="30" customHeight="1" x14ac:dyDescent="0.25">
      <c r="A23" s="304" t="s">
        <v>380</v>
      </c>
      <c r="B23" s="305">
        <v>16605.350953579997</v>
      </c>
      <c r="C23" s="305">
        <v>0</v>
      </c>
      <c r="D23" s="306">
        <v>16605.350953579997</v>
      </c>
      <c r="G23" s="296"/>
      <c r="H23" s="296"/>
      <c r="I23" s="296"/>
    </row>
    <row r="24" spans="1:1972" s="309" customFormat="1" ht="30" customHeight="1" x14ac:dyDescent="0.25">
      <c r="A24" s="293" t="s">
        <v>381</v>
      </c>
      <c r="B24" s="307">
        <v>122.55212059999999</v>
      </c>
      <c r="C24" s="307">
        <v>0</v>
      </c>
      <c r="D24" s="308">
        <v>122.55212059999999</v>
      </c>
      <c r="E24" s="127"/>
      <c r="F24" s="127"/>
      <c r="G24" s="296"/>
      <c r="H24" s="296"/>
      <c r="I24" s="296"/>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127"/>
      <c r="IY24" s="127"/>
      <c r="IZ24" s="127"/>
      <c r="JA24" s="127"/>
      <c r="JB24" s="127"/>
      <c r="JC24" s="127"/>
      <c r="JD24" s="127"/>
      <c r="JE24" s="127"/>
      <c r="JF24" s="127"/>
      <c r="JG24" s="127"/>
      <c r="JH24" s="127"/>
      <c r="JI24" s="127"/>
      <c r="JJ24" s="127"/>
      <c r="JK24" s="127"/>
      <c r="JL24" s="127"/>
      <c r="JM24" s="127"/>
      <c r="JN24" s="127"/>
      <c r="JO24" s="127"/>
      <c r="JP24" s="127"/>
      <c r="JQ24" s="127"/>
      <c r="JR24" s="127"/>
      <c r="JS24" s="127"/>
      <c r="JT24" s="127"/>
      <c r="JU24" s="127"/>
      <c r="JV24" s="127"/>
      <c r="JW24" s="127"/>
      <c r="JX24" s="127"/>
      <c r="JY24" s="127"/>
      <c r="JZ24" s="127"/>
      <c r="KA24" s="127"/>
      <c r="KB24" s="127"/>
      <c r="KC24" s="127"/>
      <c r="KD24" s="127"/>
      <c r="KE24" s="127"/>
      <c r="KF24" s="127"/>
      <c r="KG24" s="127"/>
      <c r="KH24" s="127"/>
      <c r="KI24" s="127"/>
      <c r="KJ24" s="127"/>
      <c r="KK24" s="127"/>
      <c r="KL24" s="127"/>
      <c r="KM24" s="127"/>
      <c r="KN24" s="127"/>
      <c r="KO24" s="127"/>
      <c r="KP24" s="127"/>
      <c r="KQ24" s="127"/>
      <c r="KR24" s="127"/>
      <c r="KS24" s="127"/>
      <c r="KT24" s="127"/>
      <c r="KU24" s="127"/>
      <c r="KV24" s="127"/>
      <c r="KW24" s="127"/>
      <c r="KX24" s="127"/>
      <c r="KY24" s="127"/>
      <c r="KZ24" s="127"/>
      <c r="LA24" s="127"/>
      <c r="LB24" s="127"/>
      <c r="LC24" s="127"/>
      <c r="LD24" s="127"/>
      <c r="LE24" s="127"/>
      <c r="LF24" s="127"/>
      <c r="LG24" s="127"/>
      <c r="LH24" s="127"/>
      <c r="LI24" s="127"/>
      <c r="LJ24" s="127"/>
      <c r="LK24" s="127"/>
      <c r="LL24" s="127"/>
      <c r="LM24" s="127"/>
      <c r="LN24" s="127"/>
      <c r="LO24" s="127"/>
      <c r="LP24" s="127"/>
      <c r="LQ24" s="127"/>
      <c r="LR24" s="127"/>
      <c r="LS24" s="127"/>
      <c r="LT24" s="127"/>
      <c r="LU24" s="127"/>
      <c r="LV24" s="127"/>
      <c r="LW24" s="127"/>
      <c r="LX24" s="127"/>
      <c r="LY24" s="127"/>
      <c r="LZ24" s="127"/>
      <c r="MA24" s="127"/>
      <c r="MB24" s="127"/>
      <c r="MC24" s="127"/>
      <c r="MD24" s="127"/>
      <c r="ME24" s="127"/>
      <c r="MF24" s="127"/>
      <c r="MG24" s="127"/>
      <c r="MH24" s="127"/>
      <c r="MI24" s="127"/>
      <c r="MJ24" s="127"/>
      <c r="MK24" s="127"/>
      <c r="ML24" s="127"/>
      <c r="MM24" s="127"/>
      <c r="MN24" s="127"/>
      <c r="MO24" s="127"/>
      <c r="MP24" s="127"/>
      <c r="MQ24" s="127"/>
      <c r="MR24" s="127"/>
      <c r="MS24" s="127"/>
      <c r="MT24" s="127"/>
      <c r="MU24" s="127"/>
      <c r="MV24" s="127"/>
      <c r="MW24" s="127"/>
      <c r="MX24" s="127"/>
      <c r="MY24" s="127"/>
      <c r="MZ24" s="127"/>
      <c r="NA24" s="127"/>
      <c r="NB24" s="127"/>
      <c r="NC24" s="127"/>
      <c r="ND24" s="127"/>
      <c r="NE24" s="127"/>
      <c r="NF24" s="127"/>
      <c r="NG24" s="127"/>
      <c r="NH24" s="127"/>
      <c r="NI24" s="127"/>
      <c r="NJ24" s="127"/>
      <c r="NK24" s="127"/>
      <c r="NL24" s="127"/>
      <c r="NM24" s="127"/>
      <c r="NN24" s="127"/>
      <c r="NO24" s="127"/>
      <c r="NP24" s="127"/>
      <c r="NQ24" s="127"/>
      <c r="NR24" s="127"/>
      <c r="NS24" s="127"/>
      <c r="NT24" s="127"/>
      <c r="NU24" s="127"/>
      <c r="NV24" s="127"/>
      <c r="NW24" s="127"/>
      <c r="NX24" s="127"/>
      <c r="NY24" s="127"/>
      <c r="NZ24" s="127"/>
      <c r="OA24" s="127"/>
      <c r="OB24" s="127"/>
      <c r="OC24" s="127"/>
      <c r="OD24" s="127"/>
      <c r="OE24" s="127"/>
      <c r="OF24" s="127"/>
      <c r="OG24" s="127"/>
      <c r="OH24" s="127"/>
      <c r="OI24" s="127"/>
      <c r="OJ24" s="127"/>
      <c r="OK24" s="127"/>
      <c r="OL24" s="127"/>
      <c r="OM24" s="127"/>
      <c r="ON24" s="127"/>
      <c r="OO24" s="127"/>
      <c r="OP24" s="127"/>
      <c r="OQ24" s="127"/>
      <c r="OR24" s="127"/>
      <c r="OS24" s="127"/>
      <c r="OT24" s="127"/>
      <c r="OU24" s="127"/>
      <c r="OV24" s="127"/>
      <c r="OW24" s="127"/>
      <c r="OX24" s="127"/>
      <c r="OY24" s="127"/>
      <c r="OZ24" s="127"/>
      <c r="PA24" s="127"/>
      <c r="PB24" s="127"/>
      <c r="PC24" s="127"/>
      <c r="PD24" s="127"/>
      <c r="PE24" s="127"/>
      <c r="PF24" s="127"/>
      <c r="PG24" s="127"/>
      <c r="PH24" s="127"/>
      <c r="PI24" s="127"/>
      <c r="PJ24" s="127"/>
      <c r="PK24" s="127"/>
      <c r="PL24" s="127"/>
      <c r="PM24" s="127"/>
      <c r="PN24" s="127"/>
      <c r="PO24" s="127"/>
      <c r="PP24" s="127"/>
      <c r="PQ24" s="127"/>
      <c r="PR24" s="127"/>
      <c r="PS24" s="127"/>
      <c r="PT24" s="127"/>
      <c r="PU24" s="127"/>
      <c r="PV24" s="127"/>
      <c r="PW24" s="127"/>
      <c r="PX24" s="127"/>
      <c r="PY24" s="127"/>
      <c r="PZ24" s="127"/>
      <c r="QA24" s="127"/>
      <c r="QB24" s="127"/>
      <c r="QC24" s="127"/>
      <c r="QD24" s="127"/>
      <c r="QE24" s="127"/>
      <c r="QF24" s="127"/>
      <c r="QG24" s="127"/>
      <c r="QH24" s="127"/>
      <c r="QI24" s="127"/>
      <c r="QJ24" s="127"/>
      <c r="QK24" s="127"/>
      <c r="QL24" s="127"/>
      <c r="QM24" s="127"/>
      <c r="QN24" s="127"/>
      <c r="QO24" s="127"/>
      <c r="QP24" s="127"/>
      <c r="QQ24" s="127"/>
      <c r="QR24" s="127"/>
      <c r="QS24" s="127"/>
      <c r="QT24" s="127"/>
      <c r="QU24" s="127"/>
      <c r="QV24" s="127"/>
      <c r="QW24" s="127"/>
      <c r="QX24" s="127"/>
      <c r="QY24" s="127"/>
      <c r="QZ24" s="127"/>
      <c r="RA24" s="127"/>
      <c r="RB24" s="127"/>
      <c r="RC24" s="127"/>
      <c r="RD24" s="127"/>
      <c r="RE24" s="127"/>
      <c r="RF24" s="127"/>
      <c r="RG24" s="127"/>
      <c r="RH24" s="127"/>
      <c r="RI24" s="127"/>
      <c r="RJ24" s="127"/>
      <c r="RK24" s="127"/>
      <c r="RL24" s="127"/>
      <c r="RM24" s="127"/>
      <c r="RN24" s="127"/>
      <c r="RO24" s="127"/>
      <c r="RP24" s="127"/>
      <c r="RQ24" s="127"/>
      <c r="RR24" s="127"/>
      <c r="RS24" s="127"/>
      <c r="RT24" s="127"/>
      <c r="RU24" s="127"/>
      <c r="RV24" s="127"/>
      <c r="RW24" s="127"/>
      <c r="RX24" s="127"/>
      <c r="RY24" s="127"/>
      <c r="RZ24" s="127"/>
      <c r="SA24" s="127"/>
      <c r="SB24" s="127"/>
      <c r="SC24" s="127"/>
      <c r="SD24" s="127"/>
      <c r="SE24" s="127"/>
      <c r="SF24" s="127"/>
      <c r="SG24" s="127"/>
      <c r="SH24" s="127"/>
      <c r="SI24" s="127"/>
      <c r="SJ24" s="127"/>
      <c r="SK24" s="127"/>
      <c r="SL24" s="127"/>
      <c r="SM24" s="127"/>
      <c r="SN24" s="127"/>
      <c r="SO24" s="127"/>
      <c r="SP24" s="127"/>
      <c r="SQ24" s="127"/>
      <c r="SR24" s="127"/>
      <c r="SS24" s="127"/>
      <c r="ST24" s="127"/>
      <c r="SU24" s="127"/>
      <c r="SV24" s="127"/>
      <c r="SW24" s="127"/>
      <c r="SX24" s="127"/>
      <c r="SY24" s="127"/>
      <c r="SZ24" s="127"/>
      <c r="TA24" s="127"/>
      <c r="TB24" s="127"/>
      <c r="TC24" s="127"/>
      <c r="TD24" s="127"/>
      <c r="TE24" s="127"/>
      <c r="TF24" s="127"/>
      <c r="TG24" s="127"/>
      <c r="TH24" s="127"/>
      <c r="TI24" s="127"/>
      <c r="TJ24" s="127"/>
      <c r="TK24" s="127"/>
      <c r="TL24" s="127"/>
      <c r="TM24" s="127"/>
      <c r="TN24" s="127"/>
      <c r="TO24" s="127"/>
      <c r="TP24" s="127"/>
      <c r="TQ24" s="127"/>
      <c r="TR24" s="127"/>
      <c r="TS24" s="127"/>
      <c r="TT24" s="127"/>
      <c r="TU24" s="127"/>
      <c r="TV24" s="127"/>
      <c r="TW24" s="127"/>
      <c r="TX24" s="127"/>
      <c r="TY24" s="127"/>
      <c r="TZ24" s="127"/>
      <c r="UA24" s="127"/>
      <c r="UB24" s="127"/>
      <c r="UC24" s="127"/>
      <c r="UD24" s="127"/>
      <c r="UE24" s="127"/>
      <c r="UF24" s="127"/>
      <c r="UG24" s="127"/>
      <c r="UH24" s="127"/>
      <c r="UI24" s="127"/>
      <c r="UJ24" s="127"/>
      <c r="UK24" s="127"/>
      <c r="UL24" s="127"/>
      <c r="UM24" s="127"/>
      <c r="UN24" s="127"/>
      <c r="UO24" s="127"/>
      <c r="UP24" s="127"/>
      <c r="UQ24" s="127"/>
      <c r="UR24" s="127"/>
      <c r="US24" s="127"/>
      <c r="UT24" s="127"/>
      <c r="UU24" s="127"/>
      <c r="UV24" s="127"/>
      <c r="UW24" s="127"/>
      <c r="UX24" s="127"/>
      <c r="UY24" s="127"/>
      <c r="UZ24" s="127"/>
      <c r="VA24" s="127"/>
      <c r="VB24" s="127"/>
      <c r="VC24" s="127"/>
      <c r="VD24" s="127"/>
      <c r="VE24" s="127"/>
      <c r="VF24" s="127"/>
      <c r="VG24" s="127"/>
      <c r="VH24" s="127"/>
      <c r="VI24" s="127"/>
      <c r="VJ24" s="127"/>
      <c r="VK24" s="127"/>
      <c r="VL24" s="127"/>
      <c r="VM24" s="127"/>
      <c r="VN24" s="127"/>
      <c r="VO24" s="127"/>
      <c r="VP24" s="127"/>
      <c r="VQ24" s="127"/>
      <c r="VR24" s="127"/>
      <c r="VS24" s="127"/>
      <c r="VT24" s="127"/>
      <c r="VU24" s="127"/>
      <c r="VV24" s="127"/>
      <c r="VW24" s="127"/>
      <c r="VX24" s="127"/>
      <c r="VY24" s="127"/>
      <c r="VZ24" s="127"/>
      <c r="WA24" s="127"/>
      <c r="WB24" s="127"/>
      <c r="WC24" s="127"/>
      <c r="WD24" s="127"/>
      <c r="WE24" s="127"/>
      <c r="WF24" s="127"/>
      <c r="WG24" s="127"/>
      <c r="WH24" s="127"/>
      <c r="WI24" s="127"/>
      <c r="WJ24" s="127"/>
      <c r="WK24" s="127"/>
      <c r="WL24" s="127"/>
      <c r="WM24" s="127"/>
      <c r="WN24" s="127"/>
      <c r="WO24" s="127"/>
      <c r="WP24" s="127"/>
      <c r="WQ24" s="127"/>
      <c r="WR24" s="127"/>
      <c r="WS24" s="127"/>
      <c r="WT24" s="127"/>
      <c r="WU24" s="127"/>
      <c r="WV24" s="127"/>
      <c r="WW24" s="127"/>
      <c r="WX24" s="127"/>
      <c r="WY24" s="127"/>
      <c r="WZ24" s="127"/>
      <c r="XA24" s="127"/>
      <c r="XB24" s="127"/>
      <c r="XC24" s="127"/>
      <c r="XD24" s="127"/>
      <c r="XE24" s="127"/>
      <c r="XF24" s="127"/>
      <c r="XG24" s="127"/>
      <c r="XH24" s="127"/>
      <c r="XI24" s="127"/>
      <c r="XJ24" s="127"/>
      <c r="XK24" s="127"/>
      <c r="XL24" s="127"/>
      <c r="XM24" s="127"/>
      <c r="XN24" s="127"/>
      <c r="XO24" s="127"/>
      <c r="XP24" s="127"/>
      <c r="XQ24" s="127"/>
      <c r="XR24" s="127"/>
      <c r="XS24" s="127"/>
      <c r="XT24" s="127"/>
      <c r="XU24" s="127"/>
      <c r="XV24" s="127"/>
      <c r="XW24" s="127"/>
      <c r="XX24" s="127"/>
      <c r="XY24" s="127"/>
      <c r="XZ24" s="127"/>
      <c r="YA24" s="127"/>
      <c r="YB24" s="127"/>
      <c r="YC24" s="127"/>
      <c r="YD24" s="127"/>
      <c r="YE24" s="127"/>
      <c r="YF24" s="127"/>
      <c r="YG24" s="127"/>
      <c r="YH24" s="127"/>
      <c r="YI24" s="127"/>
      <c r="YJ24" s="127"/>
      <c r="YK24" s="127"/>
      <c r="YL24" s="127"/>
      <c r="YM24" s="127"/>
      <c r="YN24" s="127"/>
      <c r="YO24" s="127"/>
      <c r="YP24" s="127"/>
      <c r="YQ24" s="127"/>
      <c r="YR24" s="127"/>
      <c r="YS24" s="127"/>
      <c r="YT24" s="127"/>
      <c r="YU24" s="127"/>
      <c r="YV24" s="127"/>
      <c r="YW24" s="127"/>
      <c r="YX24" s="127"/>
      <c r="YY24" s="127"/>
      <c r="YZ24" s="127"/>
      <c r="ZA24" s="127"/>
      <c r="ZB24" s="127"/>
      <c r="ZC24" s="127"/>
      <c r="ZD24" s="127"/>
      <c r="ZE24" s="127"/>
      <c r="ZF24" s="127"/>
      <c r="ZG24" s="127"/>
      <c r="ZH24" s="127"/>
      <c r="ZI24" s="127"/>
      <c r="ZJ24" s="127"/>
      <c r="ZK24" s="127"/>
      <c r="ZL24" s="127"/>
      <c r="ZM24" s="127"/>
      <c r="ZN24" s="127"/>
      <c r="ZO24" s="127"/>
      <c r="ZP24" s="127"/>
      <c r="ZQ24" s="127"/>
      <c r="ZR24" s="127"/>
      <c r="ZS24" s="127"/>
      <c r="ZT24" s="127"/>
      <c r="ZU24" s="127"/>
      <c r="ZV24" s="127"/>
      <c r="ZW24" s="127"/>
      <c r="ZX24" s="127"/>
      <c r="ZY24" s="127"/>
      <c r="ZZ24" s="127"/>
      <c r="AAA24" s="127"/>
      <c r="AAB24" s="127"/>
      <c r="AAC24" s="127"/>
      <c r="AAD24" s="127"/>
      <c r="AAE24" s="127"/>
      <c r="AAF24" s="127"/>
      <c r="AAG24" s="127"/>
      <c r="AAH24" s="127"/>
      <c r="AAI24" s="127"/>
      <c r="AAJ24" s="127"/>
      <c r="AAK24" s="127"/>
      <c r="AAL24" s="127"/>
      <c r="AAM24" s="127"/>
      <c r="AAN24" s="127"/>
      <c r="AAO24" s="127"/>
      <c r="AAP24" s="127"/>
      <c r="AAQ24" s="127"/>
      <c r="AAR24" s="127"/>
      <c r="AAS24" s="127"/>
      <c r="AAT24" s="127"/>
      <c r="AAU24" s="127"/>
      <c r="AAV24" s="127"/>
      <c r="AAW24" s="127"/>
      <c r="AAX24" s="127"/>
      <c r="AAY24" s="127"/>
      <c r="AAZ24" s="127"/>
      <c r="ABA24" s="127"/>
      <c r="ABB24" s="127"/>
      <c r="ABC24" s="127"/>
      <c r="ABD24" s="127"/>
      <c r="ABE24" s="127"/>
      <c r="ABF24" s="127"/>
      <c r="ABG24" s="127"/>
      <c r="ABH24" s="127"/>
      <c r="ABI24" s="127"/>
      <c r="ABJ24" s="127"/>
      <c r="ABK24" s="127"/>
      <c r="ABL24" s="127"/>
      <c r="ABM24" s="127"/>
      <c r="ABN24" s="127"/>
      <c r="ABO24" s="127"/>
      <c r="ABP24" s="127"/>
      <c r="ABQ24" s="127"/>
      <c r="ABR24" s="127"/>
      <c r="ABS24" s="127"/>
      <c r="ABT24" s="127"/>
      <c r="ABU24" s="127"/>
      <c r="ABV24" s="127"/>
      <c r="ABW24" s="127"/>
      <c r="ABX24" s="127"/>
      <c r="ABY24" s="127"/>
      <c r="ABZ24" s="127"/>
      <c r="ACA24" s="127"/>
      <c r="ACB24" s="127"/>
      <c r="ACC24" s="127"/>
      <c r="ACD24" s="127"/>
      <c r="ACE24" s="127"/>
      <c r="ACF24" s="127"/>
      <c r="ACG24" s="127"/>
      <c r="ACH24" s="127"/>
      <c r="ACI24" s="127"/>
      <c r="ACJ24" s="127"/>
      <c r="ACK24" s="127"/>
      <c r="ACL24" s="127"/>
      <c r="ACM24" s="127"/>
      <c r="ACN24" s="127"/>
      <c r="ACO24" s="127"/>
      <c r="ACP24" s="127"/>
      <c r="ACQ24" s="127"/>
      <c r="ACR24" s="127"/>
      <c r="ACS24" s="127"/>
      <c r="ACT24" s="127"/>
      <c r="ACU24" s="127"/>
      <c r="ACV24" s="127"/>
      <c r="ACW24" s="127"/>
      <c r="ACX24" s="127"/>
      <c r="ACY24" s="127"/>
      <c r="ACZ24" s="127"/>
      <c r="ADA24" s="127"/>
      <c r="ADB24" s="127"/>
      <c r="ADC24" s="127"/>
      <c r="ADD24" s="127"/>
      <c r="ADE24" s="127"/>
      <c r="ADF24" s="127"/>
      <c r="ADG24" s="127"/>
      <c r="ADH24" s="127"/>
      <c r="ADI24" s="127"/>
      <c r="ADJ24" s="127"/>
      <c r="ADK24" s="127"/>
      <c r="ADL24" s="127"/>
      <c r="ADM24" s="127"/>
      <c r="ADN24" s="127"/>
      <c r="ADO24" s="127"/>
      <c r="ADP24" s="127"/>
      <c r="ADQ24" s="127"/>
      <c r="ADR24" s="127"/>
      <c r="ADS24" s="127"/>
      <c r="ADT24" s="127"/>
      <c r="ADU24" s="127"/>
      <c r="ADV24" s="127"/>
      <c r="ADW24" s="127"/>
      <c r="ADX24" s="127"/>
      <c r="ADY24" s="127"/>
      <c r="ADZ24" s="127"/>
      <c r="AEA24" s="127"/>
      <c r="AEB24" s="127"/>
      <c r="AEC24" s="127"/>
      <c r="AED24" s="127"/>
      <c r="AEE24" s="127"/>
      <c r="AEF24" s="127"/>
      <c r="AEG24" s="127"/>
      <c r="AEH24" s="127"/>
      <c r="AEI24" s="127"/>
      <c r="AEJ24" s="127"/>
      <c r="AEK24" s="127"/>
      <c r="AEL24" s="127"/>
      <c r="AEM24" s="127"/>
      <c r="AEN24" s="127"/>
      <c r="AEO24" s="127"/>
      <c r="AEP24" s="127"/>
      <c r="AEQ24" s="127"/>
      <c r="AER24" s="127"/>
      <c r="AES24" s="127"/>
      <c r="AET24" s="127"/>
      <c r="AEU24" s="127"/>
      <c r="AEV24" s="127"/>
      <c r="AEW24" s="127"/>
      <c r="AEX24" s="127"/>
      <c r="AEY24" s="127"/>
      <c r="AEZ24" s="127"/>
      <c r="AFA24" s="127"/>
      <c r="AFB24" s="127"/>
      <c r="AFC24" s="127"/>
      <c r="AFD24" s="127"/>
      <c r="AFE24" s="127"/>
      <c r="AFF24" s="127"/>
      <c r="AFG24" s="127"/>
      <c r="AFH24" s="127"/>
      <c r="AFI24" s="127"/>
      <c r="AFJ24" s="127"/>
      <c r="AFK24" s="127"/>
      <c r="AFL24" s="127"/>
      <c r="AFM24" s="127"/>
      <c r="AFN24" s="127"/>
      <c r="AFO24" s="127"/>
      <c r="AFP24" s="127"/>
      <c r="AFQ24" s="127"/>
      <c r="AFR24" s="127"/>
      <c r="AFS24" s="127"/>
      <c r="AFT24" s="127"/>
      <c r="AFU24" s="127"/>
      <c r="AFV24" s="127"/>
      <c r="AFW24" s="127"/>
      <c r="AFX24" s="127"/>
      <c r="AFY24" s="127"/>
      <c r="AFZ24" s="127"/>
      <c r="AGA24" s="127"/>
      <c r="AGB24" s="127"/>
      <c r="AGC24" s="127"/>
      <c r="AGD24" s="127"/>
      <c r="AGE24" s="127"/>
      <c r="AGF24" s="127"/>
      <c r="AGG24" s="127"/>
      <c r="AGH24" s="127"/>
      <c r="AGI24" s="127"/>
      <c r="AGJ24" s="127"/>
      <c r="AGK24" s="127"/>
      <c r="AGL24" s="127"/>
      <c r="AGM24" s="127"/>
      <c r="AGN24" s="127"/>
      <c r="AGO24" s="127"/>
      <c r="AGP24" s="127"/>
      <c r="AGQ24" s="127"/>
      <c r="AGR24" s="127"/>
      <c r="AGS24" s="127"/>
      <c r="AGT24" s="127"/>
      <c r="AGU24" s="127"/>
      <c r="AGV24" s="127"/>
      <c r="AGW24" s="127"/>
      <c r="AGX24" s="127"/>
      <c r="AGY24" s="127"/>
      <c r="AGZ24" s="127"/>
      <c r="AHA24" s="127"/>
      <c r="AHB24" s="127"/>
      <c r="AHC24" s="127"/>
      <c r="AHD24" s="127"/>
      <c r="AHE24" s="127"/>
      <c r="AHF24" s="127"/>
      <c r="AHG24" s="127"/>
      <c r="AHH24" s="127"/>
      <c r="AHI24" s="127"/>
      <c r="AHJ24" s="127"/>
      <c r="AHK24" s="127"/>
      <c r="AHL24" s="127"/>
      <c r="AHM24" s="127"/>
      <c r="AHN24" s="127"/>
      <c r="AHO24" s="127"/>
      <c r="AHP24" s="127"/>
      <c r="AHQ24" s="127"/>
      <c r="AHR24" s="127"/>
      <c r="AHS24" s="127"/>
      <c r="AHT24" s="127"/>
      <c r="AHU24" s="127"/>
      <c r="AHV24" s="127"/>
      <c r="AHW24" s="127"/>
      <c r="AHX24" s="127"/>
      <c r="AHY24" s="127"/>
      <c r="AHZ24" s="127"/>
      <c r="AIA24" s="127"/>
      <c r="AIB24" s="127"/>
      <c r="AIC24" s="127"/>
      <c r="AID24" s="127"/>
      <c r="AIE24" s="127"/>
      <c r="AIF24" s="127"/>
      <c r="AIG24" s="127"/>
      <c r="AIH24" s="127"/>
      <c r="AII24" s="127"/>
      <c r="AIJ24" s="127"/>
      <c r="AIK24" s="127"/>
      <c r="AIL24" s="127"/>
      <c r="AIM24" s="127"/>
      <c r="AIN24" s="127"/>
      <c r="AIO24" s="127"/>
      <c r="AIP24" s="127"/>
      <c r="AIQ24" s="127"/>
      <c r="AIR24" s="127"/>
      <c r="AIS24" s="127"/>
      <c r="AIT24" s="127"/>
      <c r="AIU24" s="127"/>
      <c r="AIV24" s="127"/>
      <c r="AIW24" s="127"/>
      <c r="AIX24" s="127"/>
      <c r="AIY24" s="127"/>
      <c r="AIZ24" s="127"/>
      <c r="AJA24" s="127"/>
      <c r="AJB24" s="127"/>
      <c r="AJC24" s="127"/>
      <c r="AJD24" s="127"/>
      <c r="AJE24" s="127"/>
      <c r="AJF24" s="127"/>
      <c r="AJG24" s="127"/>
      <c r="AJH24" s="127"/>
      <c r="AJI24" s="127"/>
      <c r="AJJ24" s="127"/>
      <c r="AJK24" s="127"/>
      <c r="AJL24" s="127"/>
      <c r="AJM24" s="127"/>
      <c r="AJN24" s="127"/>
      <c r="AJO24" s="127"/>
      <c r="AJP24" s="127"/>
      <c r="AJQ24" s="127"/>
      <c r="AJR24" s="127"/>
      <c r="AJS24" s="127"/>
      <c r="AJT24" s="127"/>
      <c r="AJU24" s="127"/>
      <c r="AJV24" s="127"/>
      <c r="AJW24" s="127"/>
      <c r="AJX24" s="127"/>
      <c r="AJY24" s="127"/>
      <c r="AJZ24" s="127"/>
      <c r="AKA24" s="127"/>
      <c r="AKB24" s="127"/>
      <c r="AKC24" s="127"/>
      <c r="AKD24" s="127"/>
      <c r="AKE24" s="127"/>
      <c r="AKF24" s="127"/>
      <c r="AKG24" s="127"/>
      <c r="AKH24" s="127"/>
      <c r="AKI24" s="127"/>
      <c r="AKJ24" s="127"/>
      <c r="AKK24" s="127"/>
      <c r="AKL24" s="127"/>
      <c r="AKM24" s="127"/>
      <c r="AKN24" s="127"/>
      <c r="AKO24" s="127"/>
      <c r="AKP24" s="127"/>
      <c r="AKQ24" s="127"/>
      <c r="AKR24" s="127"/>
      <c r="AKS24" s="127"/>
      <c r="AKT24" s="127"/>
      <c r="AKU24" s="127"/>
      <c r="AKV24" s="127"/>
      <c r="AKW24" s="127"/>
      <c r="AKX24" s="127"/>
      <c r="AKY24" s="127"/>
      <c r="AKZ24" s="127"/>
      <c r="ALA24" s="127"/>
      <c r="ALB24" s="127"/>
      <c r="ALC24" s="127"/>
      <c r="ALD24" s="127"/>
      <c r="ALE24" s="127"/>
      <c r="ALF24" s="127"/>
      <c r="ALG24" s="127"/>
      <c r="ALH24" s="127"/>
      <c r="ALI24" s="127"/>
      <c r="ALJ24" s="127"/>
      <c r="ALK24" s="127"/>
      <c r="ALL24" s="127"/>
      <c r="ALM24" s="127"/>
      <c r="ALN24" s="127"/>
      <c r="ALO24" s="127"/>
      <c r="ALP24" s="127"/>
      <c r="ALQ24" s="127"/>
      <c r="ALR24" s="127"/>
      <c r="ALS24" s="127"/>
      <c r="ALT24" s="127"/>
      <c r="ALU24" s="127"/>
      <c r="ALV24" s="127"/>
      <c r="ALW24" s="127"/>
      <c r="ALX24" s="127"/>
      <c r="ALY24" s="127"/>
      <c r="ALZ24" s="127"/>
      <c r="AMA24" s="127"/>
      <c r="AMB24" s="127"/>
      <c r="AMC24" s="127"/>
      <c r="AMD24" s="127"/>
      <c r="AME24" s="127"/>
      <c r="AMF24" s="127"/>
      <c r="AMG24" s="127"/>
      <c r="AMH24" s="127"/>
      <c r="AMI24" s="127"/>
      <c r="AMJ24" s="127"/>
      <c r="AMK24" s="127"/>
      <c r="AML24" s="127"/>
      <c r="AMM24" s="127"/>
      <c r="AMN24" s="127"/>
      <c r="AMO24" s="127"/>
      <c r="AMP24" s="127"/>
      <c r="AMQ24" s="127"/>
      <c r="AMR24" s="127"/>
      <c r="AMS24" s="127"/>
      <c r="AMT24" s="127"/>
      <c r="AMU24" s="127"/>
      <c r="AMV24" s="127"/>
      <c r="AMW24" s="127"/>
      <c r="AMX24" s="127"/>
      <c r="AMY24" s="127"/>
      <c r="AMZ24" s="127"/>
      <c r="ANA24" s="127"/>
      <c r="ANB24" s="127"/>
      <c r="ANC24" s="127"/>
      <c r="AND24" s="127"/>
      <c r="ANE24" s="127"/>
      <c r="ANF24" s="127"/>
      <c r="ANG24" s="127"/>
      <c r="ANH24" s="127"/>
      <c r="ANI24" s="127"/>
      <c r="ANJ24" s="127"/>
      <c r="ANK24" s="127"/>
      <c r="ANL24" s="127"/>
      <c r="ANM24" s="127"/>
      <c r="ANN24" s="127"/>
      <c r="ANO24" s="127"/>
      <c r="ANP24" s="127"/>
      <c r="ANQ24" s="127"/>
      <c r="ANR24" s="127"/>
      <c r="ANS24" s="127"/>
      <c r="ANT24" s="127"/>
      <c r="ANU24" s="127"/>
      <c r="ANV24" s="127"/>
      <c r="ANW24" s="127"/>
      <c r="ANX24" s="127"/>
      <c r="ANY24" s="127"/>
      <c r="ANZ24" s="127"/>
      <c r="AOA24" s="127"/>
      <c r="AOB24" s="127"/>
      <c r="AOC24" s="127"/>
      <c r="AOD24" s="127"/>
      <c r="AOE24" s="127"/>
      <c r="AOF24" s="127"/>
      <c r="AOG24" s="127"/>
      <c r="AOH24" s="127"/>
      <c r="AOI24" s="127"/>
      <c r="AOJ24" s="127"/>
      <c r="AOK24" s="127"/>
      <c r="AOL24" s="127"/>
      <c r="AOM24" s="127"/>
      <c r="AON24" s="127"/>
      <c r="AOO24" s="127"/>
      <c r="AOP24" s="127"/>
      <c r="AOQ24" s="127"/>
      <c r="AOR24" s="127"/>
      <c r="AOS24" s="127"/>
      <c r="AOT24" s="127"/>
      <c r="AOU24" s="127"/>
      <c r="AOV24" s="127"/>
      <c r="AOW24" s="127"/>
      <c r="AOX24" s="127"/>
      <c r="AOY24" s="127"/>
      <c r="AOZ24" s="127"/>
      <c r="APA24" s="127"/>
      <c r="APB24" s="127"/>
      <c r="APC24" s="127"/>
      <c r="APD24" s="127"/>
      <c r="APE24" s="127"/>
      <c r="APF24" s="127"/>
      <c r="APG24" s="127"/>
      <c r="APH24" s="127"/>
      <c r="API24" s="127"/>
      <c r="APJ24" s="127"/>
      <c r="APK24" s="127"/>
      <c r="APL24" s="127"/>
      <c r="APM24" s="127"/>
      <c r="APN24" s="127"/>
      <c r="APO24" s="127"/>
      <c r="APP24" s="127"/>
      <c r="APQ24" s="127"/>
      <c r="APR24" s="127"/>
      <c r="APS24" s="127"/>
      <c r="APT24" s="127"/>
      <c r="APU24" s="127"/>
      <c r="APV24" s="127"/>
      <c r="APW24" s="127"/>
      <c r="APX24" s="127"/>
      <c r="APY24" s="127"/>
      <c r="APZ24" s="127"/>
      <c r="AQA24" s="127"/>
      <c r="AQB24" s="127"/>
      <c r="AQC24" s="127"/>
      <c r="AQD24" s="127"/>
      <c r="AQE24" s="127"/>
      <c r="AQF24" s="127"/>
      <c r="AQG24" s="127"/>
      <c r="AQH24" s="127"/>
      <c r="AQI24" s="127"/>
      <c r="AQJ24" s="127"/>
      <c r="AQK24" s="127"/>
      <c r="AQL24" s="127"/>
      <c r="AQM24" s="127"/>
      <c r="AQN24" s="127"/>
      <c r="AQO24" s="127"/>
      <c r="AQP24" s="127"/>
      <c r="AQQ24" s="127"/>
      <c r="AQR24" s="127"/>
      <c r="AQS24" s="127"/>
      <c r="AQT24" s="127"/>
      <c r="AQU24" s="127"/>
      <c r="AQV24" s="127"/>
      <c r="AQW24" s="127"/>
      <c r="AQX24" s="127"/>
      <c r="AQY24" s="127"/>
      <c r="AQZ24" s="127"/>
      <c r="ARA24" s="127"/>
      <c r="ARB24" s="127"/>
      <c r="ARC24" s="127"/>
      <c r="ARD24" s="127"/>
      <c r="ARE24" s="127"/>
      <c r="ARF24" s="127"/>
      <c r="ARG24" s="127"/>
      <c r="ARH24" s="127"/>
      <c r="ARI24" s="127"/>
      <c r="ARJ24" s="127"/>
      <c r="ARK24" s="127"/>
      <c r="ARL24" s="127"/>
      <c r="ARM24" s="127"/>
      <c r="ARN24" s="127"/>
      <c r="ARO24" s="127"/>
      <c r="ARP24" s="127"/>
      <c r="ARQ24" s="127"/>
      <c r="ARR24" s="127"/>
      <c r="ARS24" s="127"/>
      <c r="ART24" s="127"/>
      <c r="ARU24" s="127"/>
      <c r="ARV24" s="127"/>
      <c r="ARW24" s="127"/>
      <c r="ARX24" s="127"/>
      <c r="ARY24" s="127"/>
      <c r="ARZ24" s="127"/>
      <c r="ASA24" s="127"/>
      <c r="ASB24" s="127"/>
      <c r="ASC24" s="127"/>
      <c r="ASD24" s="127"/>
      <c r="ASE24" s="127"/>
      <c r="ASF24" s="127"/>
      <c r="ASG24" s="127"/>
      <c r="ASH24" s="127"/>
      <c r="ASI24" s="127"/>
      <c r="ASJ24" s="127"/>
      <c r="ASK24" s="127"/>
      <c r="ASL24" s="127"/>
      <c r="ASM24" s="127"/>
      <c r="ASN24" s="127"/>
      <c r="ASO24" s="127"/>
      <c r="ASP24" s="127"/>
      <c r="ASQ24" s="127"/>
      <c r="ASR24" s="127"/>
      <c r="ASS24" s="127"/>
      <c r="AST24" s="127"/>
      <c r="ASU24" s="127"/>
      <c r="ASV24" s="127"/>
      <c r="ASW24" s="127"/>
      <c r="ASX24" s="127"/>
      <c r="ASY24" s="127"/>
      <c r="ASZ24" s="127"/>
      <c r="ATA24" s="127"/>
      <c r="ATB24" s="127"/>
      <c r="ATC24" s="127"/>
      <c r="ATD24" s="127"/>
      <c r="ATE24" s="127"/>
      <c r="ATF24" s="127"/>
      <c r="ATG24" s="127"/>
      <c r="ATH24" s="127"/>
      <c r="ATI24" s="127"/>
      <c r="ATJ24" s="127"/>
      <c r="ATK24" s="127"/>
      <c r="ATL24" s="127"/>
      <c r="ATM24" s="127"/>
      <c r="ATN24" s="127"/>
      <c r="ATO24" s="127"/>
      <c r="ATP24" s="127"/>
      <c r="ATQ24" s="127"/>
      <c r="ATR24" s="127"/>
      <c r="ATS24" s="127"/>
      <c r="ATT24" s="127"/>
      <c r="ATU24" s="127"/>
      <c r="ATV24" s="127"/>
      <c r="ATW24" s="127"/>
      <c r="ATX24" s="127"/>
      <c r="ATY24" s="127"/>
      <c r="ATZ24" s="127"/>
      <c r="AUA24" s="127"/>
      <c r="AUB24" s="127"/>
      <c r="AUC24" s="127"/>
      <c r="AUD24" s="127"/>
      <c r="AUE24" s="127"/>
      <c r="AUF24" s="127"/>
      <c r="AUG24" s="127"/>
      <c r="AUH24" s="127"/>
      <c r="AUI24" s="127"/>
      <c r="AUJ24" s="127"/>
      <c r="AUK24" s="127"/>
      <c r="AUL24" s="127"/>
      <c r="AUM24" s="127"/>
      <c r="AUN24" s="127"/>
      <c r="AUO24" s="127"/>
      <c r="AUP24" s="127"/>
      <c r="AUQ24" s="127"/>
      <c r="AUR24" s="127"/>
      <c r="AUS24" s="127"/>
      <c r="AUT24" s="127"/>
      <c r="AUU24" s="127"/>
      <c r="AUV24" s="127"/>
      <c r="AUW24" s="127"/>
      <c r="AUX24" s="127"/>
      <c r="AUY24" s="127"/>
      <c r="AUZ24" s="127"/>
      <c r="AVA24" s="127"/>
      <c r="AVB24" s="127"/>
      <c r="AVC24" s="127"/>
      <c r="AVD24" s="127"/>
      <c r="AVE24" s="127"/>
      <c r="AVF24" s="127"/>
      <c r="AVG24" s="127"/>
      <c r="AVH24" s="127"/>
      <c r="AVI24" s="127"/>
      <c r="AVJ24" s="127"/>
      <c r="AVK24" s="127"/>
      <c r="AVL24" s="127"/>
      <c r="AVM24" s="127"/>
      <c r="AVN24" s="127"/>
      <c r="AVO24" s="127"/>
      <c r="AVP24" s="127"/>
      <c r="AVQ24" s="127"/>
      <c r="AVR24" s="127"/>
      <c r="AVS24" s="127"/>
      <c r="AVT24" s="127"/>
      <c r="AVU24" s="127"/>
      <c r="AVV24" s="127"/>
      <c r="AVW24" s="127"/>
      <c r="AVX24" s="127"/>
      <c r="AVY24" s="127"/>
      <c r="AVZ24" s="127"/>
      <c r="AWA24" s="127"/>
      <c r="AWB24" s="127"/>
      <c r="AWC24" s="127"/>
      <c r="AWD24" s="127"/>
      <c r="AWE24" s="127"/>
      <c r="AWF24" s="127"/>
      <c r="AWG24" s="127"/>
      <c r="AWH24" s="127"/>
      <c r="AWI24" s="127"/>
      <c r="AWJ24" s="127"/>
      <c r="AWK24" s="127"/>
      <c r="AWL24" s="127"/>
      <c r="AWM24" s="127"/>
      <c r="AWN24" s="127"/>
      <c r="AWO24" s="127"/>
      <c r="AWP24" s="127"/>
      <c r="AWQ24" s="127"/>
      <c r="AWR24" s="127"/>
      <c r="AWS24" s="127"/>
      <c r="AWT24" s="127"/>
      <c r="AWU24" s="127"/>
      <c r="AWV24" s="127"/>
      <c r="AWW24" s="127"/>
      <c r="AWX24" s="127"/>
      <c r="AWY24" s="127"/>
      <c r="AWZ24" s="127"/>
      <c r="AXA24" s="127"/>
      <c r="AXB24" s="127"/>
      <c r="AXC24" s="127"/>
      <c r="AXD24" s="127"/>
      <c r="AXE24" s="127"/>
      <c r="AXF24" s="127"/>
      <c r="AXG24" s="127"/>
      <c r="AXH24" s="127"/>
      <c r="AXI24" s="127"/>
      <c r="AXJ24" s="127"/>
      <c r="AXK24" s="127"/>
      <c r="AXL24" s="127"/>
      <c r="AXM24" s="127"/>
      <c r="AXN24" s="127"/>
      <c r="AXO24" s="127"/>
      <c r="AXP24" s="127"/>
      <c r="AXQ24" s="127"/>
      <c r="AXR24" s="127"/>
      <c r="AXS24" s="127"/>
      <c r="AXT24" s="127"/>
      <c r="AXU24" s="127"/>
      <c r="AXV24" s="127"/>
      <c r="AXW24" s="127"/>
      <c r="AXX24" s="127"/>
      <c r="AXY24" s="127"/>
      <c r="AXZ24" s="127"/>
      <c r="AYA24" s="127"/>
      <c r="AYB24" s="127"/>
      <c r="AYC24" s="127"/>
      <c r="AYD24" s="127"/>
      <c r="AYE24" s="127"/>
      <c r="AYF24" s="127"/>
      <c r="AYG24" s="127"/>
      <c r="AYH24" s="127"/>
      <c r="AYI24" s="127"/>
      <c r="AYJ24" s="127"/>
      <c r="AYK24" s="127"/>
      <c r="AYL24" s="127"/>
      <c r="AYM24" s="127"/>
      <c r="AYN24" s="127"/>
      <c r="AYO24" s="127"/>
      <c r="AYP24" s="127"/>
      <c r="AYQ24" s="127"/>
      <c r="AYR24" s="127"/>
      <c r="AYS24" s="127"/>
      <c r="AYT24" s="127"/>
      <c r="AYU24" s="127"/>
      <c r="AYV24" s="127"/>
      <c r="AYW24" s="127"/>
      <c r="AYX24" s="127"/>
      <c r="AYY24" s="127"/>
      <c r="AYZ24" s="127"/>
      <c r="AZA24" s="127"/>
      <c r="AZB24" s="127"/>
      <c r="AZC24" s="127"/>
      <c r="AZD24" s="127"/>
      <c r="AZE24" s="127"/>
      <c r="AZF24" s="127"/>
      <c r="AZG24" s="127"/>
      <c r="AZH24" s="127"/>
      <c r="AZI24" s="127"/>
      <c r="AZJ24" s="127"/>
      <c r="AZK24" s="127"/>
      <c r="AZL24" s="127"/>
      <c r="AZM24" s="127"/>
      <c r="AZN24" s="127"/>
      <c r="AZO24" s="127"/>
      <c r="AZP24" s="127"/>
      <c r="AZQ24" s="127"/>
      <c r="AZR24" s="127"/>
      <c r="AZS24" s="127"/>
      <c r="AZT24" s="127"/>
      <c r="AZU24" s="127"/>
      <c r="AZV24" s="127"/>
      <c r="AZW24" s="127"/>
      <c r="AZX24" s="127"/>
      <c r="AZY24" s="127"/>
      <c r="AZZ24" s="127"/>
      <c r="BAA24" s="127"/>
      <c r="BAB24" s="127"/>
      <c r="BAC24" s="127"/>
      <c r="BAD24" s="127"/>
      <c r="BAE24" s="127"/>
      <c r="BAF24" s="127"/>
      <c r="BAG24" s="127"/>
      <c r="BAH24" s="127"/>
      <c r="BAI24" s="127"/>
      <c r="BAJ24" s="127"/>
      <c r="BAK24" s="127"/>
      <c r="BAL24" s="127"/>
      <c r="BAM24" s="127"/>
      <c r="BAN24" s="127"/>
      <c r="BAO24" s="127"/>
      <c r="BAP24" s="127"/>
      <c r="BAQ24" s="127"/>
      <c r="BAR24" s="127"/>
      <c r="BAS24" s="127"/>
      <c r="BAT24" s="127"/>
      <c r="BAU24" s="127"/>
      <c r="BAV24" s="127"/>
      <c r="BAW24" s="127"/>
      <c r="BAX24" s="127"/>
      <c r="BAY24" s="127"/>
      <c r="BAZ24" s="127"/>
      <c r="BBA24" s="127"/>
      <c r="BBB24" s="127"/>
      <c r="BBC24" s="127"/>
      <c r="BBD24" s="127"/>
      <c r="BBE24" s="127"/>
      <c r="BBF24" s="127"/>
      <c r="BBG24" s="127"/>
      <c r="BBH24" s="127"/>
      <c r="BBI24" s="127"/>
      <c r="BBJ24" s="127"/>
      <c r="BBK24" s="127"/>
      <c r="BBL24" s="127"/>
      <c r="BBM24" s="127"/>
      <c r="BBN24" s="127"/>
      <c r="BBO24" s="127"/>
      <c r="BBP24" s="127"/>
      <c r="BBQ24" s="127"/>
      <c r="BBR24" s="127"/>
      <c r="BBS24" s="127"/>
      <c r="BBT24" s="127"/>
      <c r="BBU24" s="127"/>
      <c r="BBV24" s="127"/>
      <c r="BBW24" s="127"/>
      <c r="BBX24" s="127"/>
      <c r="BBY24" s="127"/>
      <c r="BBZ24" s="127"/>
      <c r="BCA24" s="127"/>
      <c r="BCB24" s="127"/>
      <c r="BCC24" s="127"/>
      <c r="BCD24" s="127"/>
      <c r="BCE24" s="127"/>
      <c r="BCF24" s="127"/>
      <c r="BCG24" s="127"/>
      <c r="BCH24" s="127"/>
      <c r="BCI24" s="127"/>
      <c r="BCJ24" s="127"/>
      <c r="BCK24" s="127"/>
      <c r="BCL24" s="127"/>
      <c r="BCM24" s="127"/>
      <c r="BCN24" s="127"/>
      <c r="BCO24" s="127"/>
      <c r="BCP24" s="127"/>
      <c r="BCQ24" s="127"/>
      <c r="BCR24" s="127"/>
      <c r="BCS24" s="127"/>
      <c r="BCT24" s="127"/>
      <c r="BCU24" s="127"/>
      <c r="BCV24" s="127"/>
      <c r="BCW24" s="127"/>
      <c r="BCX24" s="127"/>
      <c r="BCY24" s="127"/>
      <c r="BCZ24" s="127"/>
      <c r="BDA24" s="127"/>
      <c r="BDB24" s="127"/>
      <c r="BDC24" s="127"/>
      <c r="BDD24" s="127"/>
      <c r="BDE24" s="127"/>
      <c r="BDF24" s="127"/>
      <c r="BDG24" s="127"/>
      <c r="BDH24" s="127"/>
      <c r="BDI24" s="127"/>
      <c r="BDJ24" s="127"/>
      <c r="BDK24" s="127"/>
      <c r="BDL24" s="127"/>
      <c r="BDM24" s="127"/>
      <c r="BDN24" s="127"/>
      <c r="BDO24" s="127"/>
      <c r="BDP24" s="127"/>
      <c r="BDQ24" s="127"/>
      <c r="BDR24" s="127"/>
      <c r="BDS24" s="127"/>
      <c r="BDT24" s="127"/>
      <c r="BDU24" s="127"/>
      <c r="BDV24" s="127"/>
      <c r="BDW24" s="127"/>
      <c r="BDX24" s="127"/>
      <c r="BDY24" s="127"/>
      <c r="BDZ24" s="127"/>
      <c r="BEA24" s="127"/>
      <c r="BEB24" s="127"/>
      <c r="BEC24" s="127"/>
      <c r="BED24" s="127"/>
      <c r="BEE24" s="127"/>
      <c r="BEF24" s="127"/>
      <c r="BEG24" s="127"/>
      <c r="BEH24" s="127"/>
      <c r="BEI24" s="127"/>
      <c r="BEJ24" s="127"/>
      <c r="BEK24" s="127"/>
      <c r="BEL24" s="127"/>
      <c r="BEM24" s="127"/>
      <c r="BEN24" s="127"/>
      <c r="BEO24" s="127"/>
      <c r="BEP24" s="127"/>
      <c r="BEQ24" s="127"/>
      <c r="BER24" s="127"/>
      <c r="BES24" s="127"/>
      <c r="BET24" s="127"/>
      <c r="BEU24" s="127"/>
      <c r="BEV24" s="127"/>
      <c r="BEW24" s="127"/>
      <c r="BEX24" s="127"/>
      <c r="BEY24" s="127"/>
      <c r="BEZ24" s="127"/>
      <c r="BFA24" s="127"/>
      <c r="BFB24" s="127"/>
      <c r="BFC24" s="127"/>
      <c r="BFD24" s="127"/>
      <c r="BFE24" s="127"/>
      <c r="BFF24" s="127"/>
      <c r="BFG24" s="127"/>
      <c r="BFH24" s="127"/>
      <c r="BFI24" s="127"/>
      <c r="BFJ24" s="127"/>
      <c r="BFK24" s="127"/>
      <c r="BFL24" s="127"/>
      <c r="BFM24" s="127"/>
      <c r="BFN24" s="127"/>
      <c r="BFO24" s="127"/>
      <c r="BFP24" s="127"/>
      <c r="BFQ24" s="127"/>
      <c r="BFR24" s="127"/>
      <c r="BFS24" s="127"/>
      <c r="BFT24" s="127"/>
      <c r="BFU24" s="127"/>
      <c r="BFV24" s="127"/>
      <c r="BFW24" s="127"/>
      <c r="BFX24" s="127"/>
      <c r="BFY24" s="127"/>
      <c r="BFZ24" s="127"/>
      <c r="BGA24" s="127"/>
      <c r="BGB24" s="127"/>
      <c r="BGC24" s="127"/>
      <c r="BGD24" s="127"/>
      <c r="BGE24" s="127"/>
      <c r="BGF24" s="127"/>
      <c r="BGG24" s="127"/>
      <c r="BGH24" s="127"/>
      <c r="BGI24" s="127"/>
      <c r="BGJ24" s="127"/>
      <c r="BGK24" s="127"/>
      <c r="BGL24" s="127"/>
      <c r="BGM24" s="127"/>
      <c r="BGN24" s="127"/>
      <c r="BGO24" s="127"/>
      <c r="BGP24" s="127"/>
      <c r="BGQ24" s="127"/>
      <c r="BGR24" s="127"/>
      <c r="BGS24" s="127"/>
      <c r="BGT24" s="127"/>
      <c r="BGU24" s="127"/>
      <c r="BGV24" s="127"/>
      <c r="BGW24" s="127"/>
      <c r="BGX24" s="127"/>
      <c r="BGY24" s="127"/>
      <c r="BGZ24" s="127"/>
      <c r="BHA24" s="127"/>
      <c r="BHB24" s="127"/>
      <c r="BHC24" s="127"/>
      <c r="BHD24" s="127"/>
      <c r="BHE24" s="127"/>
      <c r="BHF24" s="127"/>
      <c r="BHG24" s="127"/>
      <c r="BHH24" s="127"/>
      <c r="BHI24" s="127"/>
      <c r="BHJ24" s="127"/>
      <c r="BHK24" s="127"/>
      <c r="BHL24" s="127"/>
      <c r="BHM24" s="127"/>
      <c r="BHN24" s="127"/>
      <c r="BHO24" s="127"/>
      <c r="BHP24" s="127"/>
      <c r="BHQ24" s="127"/>
      <c r="BHR24" s="127"/>
      <c r="BHS24" s="127"/>
      <c r="BHT24" s="127"/>
      <c r="BHU24" s="127"/>
      <c r="BHV24" s="127"/>
      <c r="BHW24" s="127"/>
      <c r="BHX24" s="127"/>
      <c r="BHY24" s="127"/>
      <c r="BHZ24" s="127"/>
      <c r="BIA24" s="127"/>
      <c r="BIB24" s="127"/>
      <c r="BIC24" s="127"/>
      <c r="BID24" s="127"/>
      <c r="BIE24" s="127"/>
      <c r="BIF24" s="127"/>
      <c r="BIG24" s="127"/>
      <c r="BIH24" s="127"/>
      <c r="BII24" s="127"/>
      <c r="BIJ24" s="127"/>
      <c r="BIK24" s="127"/>
      <c r="BIL24" s="127"/>
      <c r="BIM24" s="127"/>
      <c r="BIN24" s="127"/>
      <c r="BIO24" s="127"/>
      <c r="BIP24" s="127"/>
      <c r="BIQ24" s="127"/>
      <c r="BIR24" s="127"/>
      <c r="BIS24" s="127"/>
      <c r="BIT24" s="127"/>
      <c r="BIU24" s="127"/>
      <c r="BIV24" s="127"/>
      <c r="BIW24" s="127"/>
      <c r="BIX24" s="127"/>
      <c r="BIY24" s="127"/>
      <c r="BIZ24" s="127"/>
      <c r="BJA24" s="127"/>
      <c r="BJB24" s="127"/>
      <c r="BJC24" s="127"/>
      <c r="BJD24" s="127"/>
      <c r="BJE24" s="127"/>
      <c r="BJF24" s="127"/>
      <c r="BJG24" s="127"/>
      <c r="BJH24" s="127"/>
      <c r="BJI24" s="127"/>
      <c r="BJJ24" s="127"/>
      <c r="BJK24" s="127"/>
      <c r="BJL24" s="127"/>
      <c r="BJM24" s="127"/>
      <c r="BJN24" s="127"/>
      <c r="BJO24" s="127"/>
      <c r="BJP24" s="127"/>
      <c r="BJQ24" s="127"/>
      <c r="BJR24" s="127"/>
      <c r="BJS24" s="127"/>
      <c r="BJT24" s="127"/>
      <c r="BJU24" s="127"/>
      <c r="BJV24" s="127"/>
      <c r="BJW24" s="127"/>
      <c r="BJX24" s="127"/>
      <c r="BJY24" s="127"/>
      <c r="BJZ24" s="127"/>
      <c r="BKA24" s="127"/>
      <c r="BKB24" s="127"/>
      <c r="BKC24" s="127"/>
      <c r="BKD24" s="127"/>
      <c r="BKE24" s="127"/>
      <c r="BKF24" s="127"/>
      <c r="BKG24" s="127"/>
      <c r="BKH24" s="127"/>
      <c r="BKI24" s="127"/>
      <c r="BKJ24" s="127"/>
      <c r="BKK24" s="127"/>
      <c r="BKL24" s="127"/>
      <c r="BKM24" s="127"/>
      <c r="BKN24" s="127"/>
      <c r="BKO24" s="127"/>
      <c r="BKP24" s="127"/>
      <c r="BKQ24" s="127"/>
      <c r="BKR24" s="127"/>
      <c r="BKS24" s="127"/>
      <c r="BKT24" s="127"/>
      <c r="BKU24" s="127"/>
      <c r="BKV24" s="127"/>
      <c r="BKW24" s="127"/>
      <c r="BKX24" s="127"/>
      <c r="BKY24" s="127"/>
      <c r="BKZ24" s="127"/>
      <c r="BLA24" s="127"/>
      <c r="BLB24" s="127"/>
      <c r="BLC24" s="127"/>
      <c r="BLD24" s="127"/>
      <c r="BLE24" s="127"/>
      <c r="BLF24" s="127"/>
      <c r="BLG24" s="127"/>
      <c r="BLH24" s="127"/>
      <c r="BLI24" s="127"/>
      <c r="BLJ24" s="127"/>
      <c r="BLK24" s="127"/>
      <c r="BLL24" s="127"/>
      <c r="BLM24" s="127"/>
      <c r="BLN24" s="127"/>
      <c r="BLO24" s="127"/>
      <c r="BLP24" s="127"/>
      <c r="BLQ24" s="127"/>
      <c r="BLR24" s="127"/>
      <c r="BLS24" s="127"/>
      <c r="BLT24" s="127"/>
      <c r="BLU24" s="127"/>
      <c r="BLV24" s="127"/>
      <c r="BLW24" s="127"/>
      <c r="BLX24" s="127"/>
      <c r="BLY24" s="127"/>
      <c r="BLZ24" s="127"/>
      <c r="BMA24" s="127"/>
      <c r="BMB24" s="127"/>
      <c r="BMC24" s="127"/>
      <c r="BMD24" s="127"/>
      <c r="BME24" s="127"/>
      <c r="BMF24" s="127"/>
      <c r="BMG24" s="127"/>
      <c r="BMH24" s="127"/>
      <c r="BMI24" s="127"/>
      <c r="BMJ24" s="127"/>
      <c r="BMK24" s="127"/>
      <c r="BML24" s="127"/>
      <c r="BMM24" s="127"/>
      <c r="BMN24" s="127"/>
      <c r="BMO24" s="127"/>
      <c r="BMP24" s="127"/>
      <c r="BMQ24" s="127"/>
      <c r="BMR24" s="127"/>
      <c r="BMS24" s="127"/>
      <c r="BMT24" s="127"/>
      <c r="BMU24" s="127"/>
      <c r="BMV24" s="127"/>
      <c r="BMW24" s="127"/>
      <c r="BMX24" s="127"/>
      <c r="BMY24" s="127"/>
      <c r="BMZ24" s="127"/>
      <c r="BNA24" s="127"/>
      <c r="BNB24" s="127"/>
      <c r="BNC24" s="127"/>
      <c r="BND24" s="127"/>
      <c r="BNE24" s="127"/>
      <c r="BNF24" s="127"/>
      <c r="BNG24" s="127"/>
      <c r="BNH24" s="127"/>
      <c r="BNI24" s="127"/>
      <c r="BNJ24" s="127"/>
      <c r="BNK24" s="127"/>
      <c r="BNL24" s="127"/>
      <c r="BNM24" s="127"/>
      <c r="BNN24" s="127"/>
      <c r="BNO24" s="127"/>
      <c r="BNP24" s="127"/>
      <c r="BNQ24" s="127"/>
      <c r="BNR24" s="127"/>
      <c r="BNS24" s="127"/>
      <c r="BNT24" s="127"/>
      <c r="BNU24" s="127"/>
      <c r="BNV24" s="127"/>
      <c r="BNW24" s="127"/>
      <c r="BNX24" s="127"/>
      <c r="BNY24" s="127"/>
      <c r="BNZ24" s="127"/>
      <c r="BOA24" s="127"/>
      <c r="BOB24" s="127"/>
      <c r="BOC24" s="127"/>
      <c r="BOD24" s="127"/>
      <c r="BOE24" s="127"/>
      <c r="BOF24" s="127"/>
      <c r="BOG24" s="127"/>
      <c r="BOH24" s="127"/>
      <c r="BOI24" s="127"/>
      <c r="BOJ24" s="127"/>
      <c r="BOK24" s="127"/>
      <c r="BOL24" s="127"/>
      <c r="BOM24" s="127"/>
      <c r="BON24" s="127"/>
      <c r="BOO24" s="127"/>
      <c r="BOP24" s="127"/>
      <c r="BOQ24" s="127"/>
      <c r="BOR24" s="127"/>
      <c r="BOS24" s="127"/>
      <c r="BOT24" s="127"/>
      <c r="BOU24" s="127"/>
      <c r="BOV24" s="127"/>
      <c r="BOW24" s="127"/>
      <c r="BOX24" s="127"/>
      <c r="BOY24" s="127"/>
      <c r="BOZ24" s="127"/>
      <c r="BPA24" s="127"/>
      <c r="BPB24" s="127"/>
      <c r="BPC24" s="127"/>
      <c r="BPD24" s="127"/>
      <c r="BPE24" s="127"/>
      <c r="BPF24" s="127"/>
      <c r="BPG24" s="127"/>
      <c r="BPH24" s="127"/>
      <c r="BPI24" s="127"/>
      <c r="BPJ24" s="127"/>
      <c r="BPK24" s="127"/>
      <c r="BPL24" s="127"/>
      <c r="BPM24" s="127"/>
      <c r="BPN24" s="127"/>
      <c r="BPO24" s="127"/>
      <c r="BPP24" s="127"/>
      <c r="BPQ24" s="127"/>
      <c r="BPR24" s="127"/>
      <c r="BPS24" s="127"/>
      <c r="BPT24" s="127"/>
      <c r="BPU24" s="127"/>
      <c r="BPV24" s="127"/>
      <c r="BPW24" s="127"/>
      <c r="BPX24" s="127"/>
      <c r="BPY24" s="127"/>
      <c r="BPZ24" s="127"/>
      <c r="BQA24" s="127"/>
      <c r="BQB24" s="127"/>
      <c r="BQC24" s="127"/>
      <c r="BQD24" s="127"/>
      <c r="BQE24" s="127"/>
      <c r="BQF24" s="127"/>
      <c r="BQG24" s="127"/>
      <c r="BQH24" s="127"/>
      <c r="BQI24" s="127"/>
      <c r="BQJ24" s="127"/>
      <c r="BQK24" s="127"/>
      <c r="BQL24" s="127"/>
      <c r="BQM24" s="127"/>
      <c r="BQN24" s="127"/>
      <c r="BQO24" s="127"/>
      <c r="BQP24" s="127"/>
      <c r="BQQ24" s="127"/>
      <c r="BQR24" s="127"/>
      <c r="BQS24" s="127"/>
      <c r="BQT24" s="127"/>
      <c r="BQU24" s="127"/>
      <c r="BQV24" s="127"/>
      <c r="BQW24" s="127"/>
      <c r="BQX24" s="127"/>
      <c r="BQY24" s="127"/>
      <c r="BQZ24" s="127"/>
      <c r="BRA24" s="127"/>
      <c r="BRB24" s="127"/>
      <c r="BRC24" s="127"/>
      <c r="BRD24" s="127"/>
      <c r="BRE24" s="127"/>
      <c r="BRF24" s="127"/>
      <c r="BRG24" s="127"/>
      <c r="BRH24" s="127"/>
      <c r="BRI24" s="127"/>
      <c r="BRJ24" s="127"/>
      <c r="BRK24" s="127"/>
      <c r="BRL24" s="127"/>
      <c r="BRM24" s="127"/>
      <c r="BRN24" s="127"/>
      <c r="BRO24" s="127"/>
      <c r="BRP24" s="127"/>
      <c r="BRQ24" s="127"/>
      <c r="BRR24" s="127"/>
      <c r="BRS24" s="127"/>
      <c r="BRT24" s="127"/>
      <c r="BRU24" s="127"/>
      <c r="BRV24" s="127"/>
      <c r="BRW24" s="127"/>
      <c r="BRX24" s="127"/>
      <c r="BRY24" s="127"/>
      <c r="BRZ24" s="127"/>
      <c r="BSA24" s="127"/>
      <c r="BSB24" s="127"/>
      <c r="BSC24" s="127"/>
      <c r="BSD24" s="127"/>
      <c r="BSE24" s="127"/>
      <c r="BSF24" s="127"/>
      <c r="BSG24" s="127"/>
      <c r="BSH24" s="127"/>
      <c r="BSI24" s="127"/>
      <c r="BSJ24" s="127"/>
      <c r="BSK24" s="127"/>
      <c r="BSL24" s="127"/>
      <c r="BSM24" s="127"/>
      <c r="BSN24" s="127"/>
      <c r="BSO24" s="127"/>
      <c r="BSP24" s="127"/>
      <c r="BSQ24" s="127"/>
      <c r="BSR24" s="127"/>
      <c r="BSS24" s="127"/>
      <c r="BST24" s="127"/>
      <c r="BSU24" s="127"/>
      <c r="BSV24" s="127"/>
      <c r="BSW24" s="127"/>
      <c r="BSX24" s="127"/>
      <c r="BSY24" s="127"/>
      <c r="BSZ24" s="127"/>
      <c r="BTA24" s="127"/>
      <c r="BTB24" s="127"/>
      <c r="BTC24" s="127"/>
      <c r="BTD24" s="127"/>
      <c r="BTE24" s="127"/>
      <c r="BTF24" s="127"/>
      <c r="BTG24" s="127"/>
      <c r="BTH24" s="127"/>
      <c r="BTI24" s="127"/>
      <c r="BTJ24" s="127"/>
      <c r="BTK24" s="127"/>
      <c r="BTL24" s="127"/>
      <c r="BTM24" s="127"/>
      <c r="BTN24" s="127"/>
      <c r="BTO24" s="127"/>
      <c r="BTP24" s="127"/>
      <c r="BTQ24" s="127"/>
      <c r="BTR24" s="127"/>
      <c r="BTS24" s="127"/>
      <c r="BTT24" s="127"/>
      <c r="BTU24" s="127"/>
      <c r="BTV24" s="127"/>
      <c r="BTW24" s="127"/>
      <c r="BTX24" s="127"/>
      <c r="BTY24" s="127"/>
      <c r="BTZ24" s="127"/>
      <c r="BUA24" s="127"/>
      <c r="BUB24" s="127"/>
      <c r="BUC24" s="127"/>
      <c r="BUD24" s="127"/>
      <c r="BUE24" s="127"/>
      <c r="BUF24" s="127"/>
      <c r="BUG24" s="127"/>
      <c r="BUH24" s="127"/>
      <c r="BUI24" s="127"/>
      <c r="BUJ24" s="127"/>
      <c r="BUK24" s="127"/>
      <c r="BUL24" s="127"/>
      <c r="BUM24" s="127"/>
      <c r="BUN24" s="127"/>
      <c r="BUO24" s="127"/>
      <c r="BUP24" s="127"/>
      <c r="BUQ24" s="127"/>
      <c r="BUR24" s="127"/>
      <c r="BUS24" s="127"/>
      <c r="BUT24" s="127"/>
      <c r="BUU24" s="127"/>
      <c r="BUV24" s="127"/>
      <c r="BUW24" s="127"/>
      <c r="BUX24" s="127"/>
      <c r="BUY24" s="127"/>
      <c r="BUZ24" s="127"/>
      <c r="BVA24" s="127"/>
      <c r="BVB24" s="127"/>
      <c r="BVC24" s="127"/>
      <c r="BVD24" s="127"/>
      <c r="BVE24" s="127"/>
      <c r="BVF24" s="127"/>
      <c r="BVG24" s="127"/>
      <c r="BVH24" s="127"/>
      <c r="BVI24" s="127"/>
      <c r="BVJ24" s="127"/>
      <c r="BVK24" s="127"/>
      <c r="BVL24" s="127"/>
      <c r="BVM24" s="127"/>
      <c r="BVN24" s="127"/>
      <c r="BVO24" s="127"/>
      <c r="BVP24" s="127"/>
      <c r="BVQ24" s="127"/>
      <c r="BVR24" s="127"/>
      <c r="BVS24" s="127"/>
      <c r="BVT24" s="127"/>
      <c r="BVU24" s="127"/>
      <c r="BVV24" s="127"/>
      <c r="BVW24" s="127"/>
      <c r="BVX24" s="127"/>
      <c r="BVY24" s="127"/>
      <c r="BVZ24" s="127"/>
      <c r="BWA24" s="127"/>
      <c r="BWB24" s="127"/>
      <c r="BWC24" s="127"/>
      <c r="BWD24" s="127"/>
      <c r="BWE24" s="127"/>
      <c r="BWF24" s="127"/>
      <c r="BWG24" s="127"/>
      <c r="BWH24" s="127"/>
      <c r="BWI24" s="127"/>
      <c r="BWJ24" s="127"/>
      <c r="BWK24" s="127"/>
      <c r="BWL24" s="127"/>
      <c r="BWM24" s="127"/>
      <c r="BWN24" s="127"/>
      <c r="BWO24" s="127"/>
      <c r="BWP24" s="127"/>
      <c r="BWQ24" s="127"/>
      <c r="BWR24" s="127"/>
      <c r="BWS24" s="127"/>
      <c r="BWT24" s="127"/>
      <c r="BWU24" s="127"/>
      <c r="BWV24" s="127"/>
    </row>
    <row r="25" spans="1:1972" s="312" customFormat="1" ht="30" customHeight="1" thickBot="1" x14ac:dyDescent="0.3">
      <c r="A25" s="293" t="s">
        <v>506</v>
      </c>
      <c r="B25" s="310">
        <v>0</v>
      </c>
      <c r="C25" s="310">
        <v>0</v>
      </c>
      <c r="D25" s="311">
        <v>0</v>
      </c>
      <c r="E25" s="127"/>
      <c r="F25" s="127"/>
      <c r="G25" s="296"/>
      <c r="H25" s="296"/>
      <c r="I25" s="296"/>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7"/>
      <c r="GP25" s="127"/>
      <c r="GQ25" s="127"/>
      <c r="GR25" s="127"/>
      <c r="GS25" s="127"/>
      <c r="GT25" s="127"/>
      <c r="GU25" s="127"/>
      <c r="GV25" s="127"/>
      <c r="GW25" s="127"/>
      <c r="GX25" s="127"/>
      <c r="GY25" s="127"/>
      <c r="GZ25" s="127"/>
      <c r="HA25" s="127"/>
      <c r="HB25" s="127"/>
      <c r="HC25" s="127"/>
      <c r="HD25" s="127"/>
      <c r="HE25" s="127"/>
      <c r="HF25" s="127"/>
      <c r="HG25" s="127"/>
      <c r="HH25" s="127"/>
      <c r="HI25" s="127"/>
      <c r="HJ25" s="127"/>
      <c r="HK25" s="127"/>
      <c r="HL25" s="127"/>
      <c r="HM25" s="127"/>
      <c r="HN25" s="127"/>
      <c r="HO25" s="127"/>
      <c r="HP25" s="127"/>
      <c r="HQ25" s="127"/>
      <c r="HR25" s="127"/>
      <c r="HS25" s="127"/>
      <c r="HT25" s="127"/>
      <c r="HU25" s="127"/>
      <c r="HV25" s="127"/>
      <c r="HW25" s="127"/>
      <c r="HX25" s="127"/>
      <c r="HY25" s="127"/>
      <c r="HZ25" s="127"/>
      <c r="IA25" s="127"/>
      <c r="IB25" s="127"/>
      <c r="IC25" s="127"/>
      <c r="ID25" s="127"/>
      <c r="IE25" s="127"/>
      <c r="IF25" s="127"/>
      <c r="IG25" s="127"/>
      <c r="IH25" s="127"/>
      <c r="II25" s="127"/>
      <c r="IJ25" s="127"/>
      <c r="IK25" s="127"/>
      <c r="IL25" s="127"/>
      <c r="IM25" s="127"/>
      <c r="IN25" s="127"/>
      <c r="IO25" s="127"/>
      <c r="IP25" s="127"/>
      <c r="IQ25" s="127"/>
      <c r="IR25" s="127"/>
      <c r="IS25" s="127"/>
      <c r="IT25" s="127"/>
      <c r="IU25" s="127"/>
      <c r="IV25" s="127"/>
      <c r="IW25" s="127"/>
      <c r="IX25" s="127"/>
      <c r="IY25" s="127"/>
      <c r="IZ25" s="127"/>
      <c r="JA25" s="127"/>
      <c r="JB25" s="127"/>
      <c r="JC25" s="127"/>
      <c r="JD25" s="127"/>
      <c r="JE25" s="127"/>
      <c r="JF25" s="127"/>
      <c r="JG25" s="127"/>
      <c r="JH25" s="127"/>
      <c r="JI25" s="127"/>
      <c r="JJ25" s="127"/>
      <c r="JK25" s="127"/>
      <c r="JL25" s="127"/>
      <c r="JM25" s="127"/>
      <c r="JN25" s="127"/>
      <c r="JO25" s="127"/>
      <c r="JP25" s="127"/>
      <c r="JQ25" s="127"/>
      <c r="JR25" s="127"/>
      <c r="JS25" s="127"/>
      <c r="JT25" s="127"/>
      <c r="JU25" s="127"/>
      <c r="JV25" s="127"/>
      <c r="JW25" s="127"/>
      <c r="JX25" s="127"/>
      <c r="JY25" s="127"/>
      <c r="JZ25" s="127"/>
      <c r="KA25" s="127"/>
      <c r="KB25" s="127"/>
      <c r="KC25" s="127"/>
      <c r="KD25" s="127"/>
      <c r="KE25" s="127"/>
      <c r="KF25" s="127"/>
      <c r="KG25" s="127"/>
      <c r="KH25" s="127"/>
      <c r="KI25" s="127"/>
      <c r="KJ25" s="127"/>
      <c r="KK25" s="127"/>
      <c r="KL25" s="127"/>
      <c r="KM25" s="127"/>
      <c r="KN25" s="127"/>
      <c r="KO25" s="127"/>
      <c r="KP25" s="127"/>
      <c r="KQ25" s="127"/>
      <c r="KR25" s="127"/>
      <c r="KS25" s="127"/>
      <c r="KT25" s="127"/>
      <c r="KU25" s="127"/>
      <c r="KV25" s="127"/>
      <c r="KW25" s="127"/>
      <c r="KX25" s="127"/>
      <c r="KY25" s="127"/>
      <c r="KZ25" s="127"/>
      <c r="LA25" s="127"/>
      <c r="LB25" s="127"/>
      <c r="LC25" s="127"/>
      <c r="LD25" s="127"/>
      <c r="LE25" s="127"/>
      <c r="LF25" s="127"/>
      <c r="LG25" s="127"/>
      <c r="LH25" s="127"/>
      <c r="LI25" s="127"/>
      <c r="LJ25" s="127"/>
      <c r="LK25" s="127"/>
      <c r="LL25" s="127"/>
      <c r="LM25" s="127"/>
      <c r="LN25" s="127"/>
      <c r="LO25" s="127"/>
      <c r="LP25" s="127"/>
      <c r="LQ25" s="127"/>
      <c r="LR25" s="127"/>
      <c r="LS25" s="127"/>
      <c r="LT25" s="127"/>
      <c r="LU25" s="127"/>
      <c r="LV25" s="127"/>
      <c r="LW25" s="127"/>
      <c r="LX25" s="127"/>
      <c r="LY25" s="127"/>
      <c r="LZ25" s="127"/>
      <c r="MA25" s="127"/>
      <c r="MB25" s="127"/>
      <c r="MC25" s="127"/>
      <c r="MD25" s="127"/>
      <c r="ME25" s="127"/>
      <c r="MF25" s="127"/>
      <c r="MG25" s="127"/>
      <c r="MH25" s="127"/>
      <c r="MI25" s="127"/>
      <c r="MJ25" s="127"/>
      <c r="MK25" s="127"/>
      <c r="ML25" s="127"/>
      <c r="MM25" s="127"/>
      <c r="MN25" s="127"/>
      <c r="MO25" s="127"/>
      <c r="MP25" s="127"/>
      <c r="MQ25" s="127"/>
      <c r="MR25" s="127"/>
      <c r="MS25" s="127"/>
      <c r="MT25" s="127"/>
      <c r="MU25" s="127"/>
      <c r="MV25" s="127"/>
      <c r="MW25" s="127"/>
      <c r="MX25" s="127"/>
      <c r="MY25" s="127"/>
      <c r="MZ25" s="127"/>
      <c r="NA25" s="127"/>
      <c r="NB25" s="127"/>
      <c r="NC25" s="127"/>
      <c r="ND25" s="127"/>
      <c r="NE25" s="127"/>
      <c r="NF25" s="127"/>
      <c r="NG25" s="127"/>
      <c r="NH25" s="127"/>
      <c r="NI25" s="127"/>
      <c r="NJ25" s="127"/>
      <c r="NK25" s="127"/>
      <c r="NL25" s="127"/>
      <c r="NM25" s="127"/>
      <c r="NN25" s="127"/>
      <c r="NO25" s="127"/>
      <c r="NP25" s="127"/>
      <c r="NQ25" s="127"/>
      <c r="NR25" s="127"/>
      <c r="NS25" s="127"/>
      <c r="NT25" s="127"/>
      <c r="NU25" s="127"/>
      <c r="NV25" s="127"/>
      <c r="NW25" s="127"/>
      <c r="NX25" s="127"/>
      <c r="NY25" s="127"/>
      <c r="NZ25" s="127"/>
      <c r="OA25" s="127"/>
      <c r="OB25" s="127"/>
      <c r="OC25" s="127"/>
      <c r="OD25" s="127"/>
      <c r="OE25" s="127"/>
      <c r="OF25" s="127"/>
      <c r="OG25" s="127"/>
      <c r="OH25" s="127"/>
      <c r="OI25" s="127"/>
      <c r="OJ25" s="127"/>
      <c r="OK25" s="127"/>
      <c r="OL25" s="127"/>
      <c r="OM25" s="127"/>
      <c r="ON25" s="127"/>
      <c r="OO25" s="127"/>
      <c r="OP25" s="127"/>
      <c r="OQ25" s="127"/>
      <c r="OR25" s="127"/>
      <c r="OS25" s="127"/>
      <c r="OT25" s="127"/>
      <c r="OU25" s="127"/>
      <c r="OV25" s="127"/>
      <c r="OW25" s="127"/>
      <c r="OX25" s="127"/>
      <c r="OY25" s="127"/>
      <c r="OZ25" s="127"/>
      <c r="PA25" s="127"/>
      <c r="PB25" s="127"/>
      <c r="PC25" s="127"/>
      <c r="PD25" s="127"/>
      <c r="PE25" s="127"/>
      <c r="PF25" s="127"/>
      <c r="PG25" s="127"/>
      <c r="PH25" s="127"/>
      <c r="PI25" s="127"/>
      <c r="PJ25" s="127"/>
      <c r="PK25" s="127"/>
      <c r="PL25" s="127"/>
      <c r="PM25" s="127"/>
      <c r="PN25" s="127"/>
      <c r="PO25" s="127"/>
      <c r="PP25" s="127"/>
      <c r="PQ25" s="127"/>
      <c r="PR25" s="127"/>
      <c r="PS25" s="127"/>
      <c r="PT25" s="127"/>
      <c r="PU25" s="127"/>
      <c r="PV25" s="127"/>
      <c r="PW25" s="127"/>
      <c r="PX25" s="127"/>
      <c r="PY25" s="127"/>
      <c r="PZ25" s="127"/>
      <c r="QA25" s="127"/>
      <c r="QB25" s="127"/>
      <c r="QC25" s="127"/>
      <c r="QD25" s="127"/>
      <c r="QE25" s="127"/>
      <c r="QF25" s="127"/>
      <c r="QG25" s="127"/>
      <c r="QH25" s="127"/>
      <c r="QI25" s="127"/>
      <c r="QJ25" s="127"/>
      <c r="QK25" s="127"/>
      <c r="QL25" s="127"/>
      <c r="QM25" s="127"/>
      <c r="QN25" s="127"/>
      <c r="QO25" s="127"/>
      <c r="QP25" s="127"/>
      <c r="QQ25" s="127"/>
      <c r="QR25" s="127"/>
      <c r="QS25" s="127"/>
      <c r="QT25" s="127"/>
      <c r="QU25" s="127"/>
      <c r="QV25" s="127"/>
      <c r="QW25" s="127"/>
      <c r="QX25" s="127"/>
      <c r="QY25" s="127"/>
      <c r="QZ25" s="127"/>
      <c r="RA25" s="127"/>
      <c r="RB25" s="127"/>
      <c r="RC25" s="127"/>
      <c r="RD25" s="127"/>
      <c r="RE25" s="127"/>
      <c r="RF25" s="127"/>
      <c r="RG25" s="127"/>
      <c r="RH25" s="127"/>
      <c r="RI25" s="127"/>
      <c r="RJ25" s="127"/>
      <c r="RK25" s="127"/>
      <c r="RL25" s="127"/>
      <c r="RM25" s="127"/>
      <c r="RN25" s="127"/>
      <c r="RO25" s="127"/>
      <c r="RP25" s="127"/>
      <c r="RQ25" s="127"/>
      <c r="RR25" s="127"/>
      <c r="RS25" s="127"/>
      <c r="RT25" s="127"/>
      <c r="RU25" s="127"/>
      <c r="RV25" s="127"/>
      <c r="RW25" s="127"/>
      <c r="RX25" s="127"/>
      <c r="RY25" s="127"/>
      <c r="RZ25" s="127"/>
      <c r="SA25" s="127"/>
      <c r="SB25" s="127"/>
      <c r="SC25" s="127"/>
      <c r="SD25" s="127"/>
      <c r="SE25" s="127"/>
      <c r="SF25" s="127"/>
      <c r="SG25" s="127"/>
      <c r="SH25" s="127"/>
      <c r="SI25" s="127"/>
      <c r="SJ25" s="127"/>
      <c r="SK25" s="127"/>
      <c r="SL25" s="127"/>
      <c r="SM25" s="127"/>
      <c r="SN25" s="127"/>
      <c r="SO25" s="127"/>
      <c r="SP25" s="127"/>
      <c r="SQ25" s="127"/>
      <c r="SR25" s="127"/>
      <c r="SS25" s="127"/>
      <c r="ST25" s="127"/>
      <c r="SU25" s="127"/>
      <c r="SV25" s="127"/>
      <c r="SW25" s="127"/>
      <c r="SX25" s="127"/>
      <c r="SY25" s="127"/>
      <c r="SZ25" s="127"/>
      <c r="TA25" s="127"/>
      <c r="TB25" s="127"/>
      <c r="TC25" s="127"/>
      <c r="TD25" s="127"/>
      <c r="TE25" s="127"/>
      <c r="TF25" s="127"/>
      <c r="TG25" s="127"/>
      <c r="TH25" s="127"/>
      <c r="TI25" s="127"/>
      <c r="TJ25" s="127"/>
      <c r="TK25" s="127"/>
      <c r="TL25" s="127"/>
      <c r="TM25" s="127"/>
      <c r="TN25" s="127"/>
      <c r="TO25" s="127"/>
      <c r="TP25" s="127"/>
      <c r="TQ25" s="127"/>
      <c r="TR25" s="127"/>
      <c r="TS25" s="127"/>
      <c r="TT25" s="127"/>
      <c r="TU25" s="127"/>
      <c r="TV25" s="127"/>
      <c r="TW25" s="127"/>
      <c r="TX25" s="127"/>
      <c r="TY25" s="127"/>
      <c r="TZ25" s="127"/>
      <c r="UA25" s="127"/>
      <c r="UB25" s="127"/>
      <c r="UC25" s="127"/>
      <c r="UD25" s="127"/>
      <c r="UE25" s="127"/>
      <c r="UF25" s="127"/>
      <c r="UG25" s="127"/>
      <c r="UH25" s="127"/>
      <c r="UI25" s="127"/>
      <c r="UJ25" s="127"/>
      <c r="UK25" s="127"/>
      <c r="UL25" s="127"/>
      <c r="UM25" s="127"/>
      <c r="UN25" s="127"/>
      <c r="UO25" s="127"/>
      <c r="UP25" s="127"/>
      <c r="UQ25" s="127"/>
      <c r="UR25" s="127"/>
      <c r="US25" s="127"/>
      <c r="UT25" s="127"/>
      <c r="UU25" s="127"/>
      <c r="UV25" s="127"/>
      <c r="UW25" s="127"/>
      <c r="UX25" s="127"/>
      <c r="UY25" s="127"/>
      <c r="UZ25" s="127"/>
      <c r="VA25" s="127"/>
      <c r="VB25" s="127"/>
      <c r="VC25" s="127"/>
      <c r="VD25" s="127"/>
      <c r="VE25" s="127"/>
      <c r="VF25" s="127"/>
      <c r="VG25" s="127"/>
      <c r="VH25" s="127"/>
      <c r="VI25" s="127"/>
      <c r="VJ25" s="127"/>
      <c r="VK25" s="127"/>
      <c r="VL25" s="127"/>
      <c r="VM25" s="127"/>
      <c r="VN25" s="127"/>
      <c r="VO25" s="127"/>
      <c r="VP25" s="127"/>
      <c r="VQ25" s="127"/>
      <c r="VR25" s="127"/>
      <c r="VS25" s="127"/>
      <c r="VT25" s="127"/>
      <c r="VU25" s="127"/>
      <c r="VV25" s="127"/>
      <c r="VW25" s="127"/>
      <c r="VX25" s="127"/>
      <c r="VY25" s="127"/>
      <c r="VZ25" s="127"/>
      <c r="WA25" s="127"/>
      <c r="WB25" s="127"/>
      <c r="WC25" s="127"/>
      <c r="WD25" s="127"/>
      <c r="WE25" s="127"/>
      <c r="WF25" s="127"/>
      <c r="WG25" s="127"/>
      <c r="WH25" s="127"/>
      <c r="WI25" s="127"/>
      <c r="WJ25" s="127"/>
      <c r="WK25" s="127"/>
      <c r="WL25" s="127"/>
      <c r="WM25" s="127"/>
      <c r="WN25" s="127"/>
      <c r="WO25" s="127"/>
      <c r="WP25" s="127"/>
      <c r="WQ25" s="127"/>
      <c r="WR25" s="127"/>
      <c r="WS25" s="127"/>
      <c r="WT25" s="127"/>
      <c r="WU25" s="127"/>
      <c r="WV25" s="127"/>
      <c r="WW25" s="127"/>
      <c r="WX25" s="127"/>
      <c r="WY25" s="127"/>
      <c r="WZ25" s="127"/>
      <c r="XA25" s="127"/>
      <c r="XB25" s="127"/>
      <c r="XC25" s="127"/>
      <c r="XD25" s="127"/>
      <c r="XE25" s="127"/>
      <c r="XF25" s="127"/>
      <c r="XG25" s="127"/>
      <c r="XH25" s="127"/>
      <c r="XI25" s="127"/>
      <c r="XJ25" s="127"/>
      <c r="XK25" s="127"/>
      <c r="XL25" s="127"/>
      <c r="XM25" s="127"/>
      <c r="XN25" s="127"/>
      <c r="XO25" s="127"/>
      <c r="XP25" s="127"/>
      <c r="XQ25" s="127"/>
      <c r="XR25" s="127"/>
      <c r="XS25" s="127"/>
      <c r="XT25" s="127"/>
      <c r="XU25" s="127"/>
      <c r="XV25" s="127"/>
      <c r="XW25" s="127"/>
      <c r="XX25" s="127"/>
      <c r="XY25" s="127"/>
      <c r="XZ25" s="127"/>
      <c r="YA25" s="127"/>
      <c r="YB25" s="127"/>
      <c r="YC25" s="127"/>
      <c r="YD25" s="127"/>
      <c r="YE25" s="127"/>
      <c r="YF25" s="127"/>
      <c r="YG25" s="127"/>
      <c r="YH25" s="127"/>
      <c r="YI25" s="127"/>
      <c r="YJ25" s="127"/>
      <c r="YK25" s="127"/>
      <c r="YL25" s="127"/>
      <c r="YM25" s="127"/>
      <c r="YN25" s="127"/>
      <c r="YO25" s="127"/>
      <c r="YP25" s="127"/>
      <c r="YQ25" s="127"/>
      <c r="YR25" s="127"/>
      <c r="YS25" s="127"/>
      <c r="YT25" s="127"/>
      <c r="YU25" s="127"/>
      <c r="YV25" s="127"/>
      <c r="YW25" s="127"/>
      <c r="YX25" s="127"/>
      <c r="YY25" s="127"/>
      <c r="YZ25" s="127"/>
      <c r="ZA25" s="127"/>
      <c r="ZB25" s="127"/>
      <c r="ZC25" s="127"/>
      <c r="ZD25" s="127"/>
      <c r="ZE25" s="127"/>
      <c r="ZF25" s="127"/>
      <c r="ZG25" s="127"/>
      <c r="ZH25" s="127"/>
      <c r="ZI25" s="127"/>
      <c r="ZJ25" s="127"/>
      <c r="ZK25" s="127"/>
      <c r="ZL25" s="127"/>
      <c r="ZM25" s="127"/>
      <c r="ZN25" s="127"/>
      <c r="ZO25" s="127"/>
      <c r="ZP25" s="127"/>
      <c r="ZQ25" s="127"/>
      <c r="ZR25" s="127"/>
      <c r="ZS25" s="127"/>
      <c r="ZT25" s="127"/>
      <c r="ZU25" s="127"/>
      <c r="ZV25" s="127"/>
      <c r="ZW25" s="127"/>
      <c r="ZX25" s="127"/>
      <c r="ZY25" s="127"/>
      <c r="ZZ25" s="127"/>
      <c r="AAA25" s="127"/>
      <c r="AAB25" s="127"/>
      <c r="AAC25" s="127"/>
      <c r="AAD25" s="127"/>
      <c r="AAE25" s="127"/>
      <c r="AAF25" s="127"/>
      <c r="AAG25" s="127"/>
      <c r="AAH25" s="127"/>
      <c r="AAI25" s="127"/>
      <c r="AAJ25" s="127"/>
      <c r="AAK25" s="127"/>
      <c r="AAL25" s="127"/>
      <c r="AAM25" s="127"/>
      <c r="AAN25" s="127"/>
      <c r="AAO25" s="127"/>
      <c r="AAP25" s="127"/>
      <c r="AAQ25" s="127"/>
      <c r="AAR25" s="127"/>
      <c r="AAS25" s="127"/>
      <c r="AAT25" s="127"/>
      <c r="AAU25" s="127"/>
      <c r="AAV25" s="127"/>
      <c r="AAW25" s="127"/>
      <c r="AAX25" s="127"/>
      <c r="AAY25" s="127"/>
      <c r="AAZ25" s="127"/>
      <c r="ABA25" s="127"/>
      <c r="ABB25" s="127"/>
      <c r="ABC25" s="127"/>
      <c r="ABD25" s="127"/>
      <c r="ABE25" s="127"/>
      <c r="ABF25" s="127"/>
      <c r="ABG25" s="127"/>
      <c r="ABH25" s="127"/>
      <c r="ABI25" s="127"/>
      <c r="ABJ25" s="127"/>
      <c r="ABK25" s="127"/>
      <c r="ABL25" s="127"/>
      <c r="ABM25" s="127"/>
      <c r="ABN25" s="127"/>
      <c r="ABO25" s="127"/>
      <c r="ABP25" s="127"/>
      <c r="ABQ25" s="127"/>
      <c r="ABR25" s="127"/>
      <c r="ABS25" s="127"/>
      <c r="ABT25" s="127"/>
      <c r="ABU25" s="127"/>
      <c r="ABV25" s="127"/>
      <c r="ABW25" s="127"/>
      <c r="ABX25" s="127"/>
      <c r="ABY25" s="127"/>
      <c r="ABZ25" s="127"/>
      <c r="ACA25" s="127"/>
      <c r="ACB25" s="127"/>
      <c r="ACC25" s="127"/>
      <c r="ACD25" s="127"/>
      <c r="ACE25" s="127"/>
      <c r="ACF25" s="127"/>
      <c r="ACG25" s="127"/>
      <c r="ACH25" s="127"/>
      <c r="ACI25" s="127"/>
      <c r="ACJ25" s="127"/>
      <c r="ACK25" s="127"/>
      <c r="ACL25" s="127"/>
      <c r="ACM25" s="127"/>
      <c r="ACN25" s="127"/>
      <c r="ACO25" s="127"/>
      <c r="ACP25" s="127"/>
      <c r="ACQ25" s="127"/>
      <c r="ACR25" s="127"/>
      <c r="ACS25" s="127"/>
      <c r="ACT25" s="127"/>
      <c r="ACU25" s="127"/>
      <c r="ACV25" s="127"/>
      <c r="ACW25" s="127"/>
      <c r="ACX25" s="127"/>
      <c r="ACY25" s="127"/>
      <c r="ACZ25" s="127"/>
      <c r="ADA25" s="127"/>
      <c r="ADB25" s="127"/>
      <c r="ADC25" s="127"/>
      <c r="ADD25" s="127"/>
      <c r="ADE25" s="127"/>
      <c r="ADF25" s="127"/>
      <c r="ADG25" s="127"/>
      <c r="ADH25" s="127"/>
      <c r="ADI25" s="127"/>
      <c r="ADJ25" s="127"/>
      <c r="ADK25" s="127"/>
      <c r="ADL25" s="127"/>
      <c r="ADM25" s="127"/>
      <c r="ADN25" s="127"/>
      <c r="ADO25" s="127"/>
      <c r="ADP25" s="127"/>
      <c r="ADQ25" s="127"/>
      <c r="ADR25" s="127"/>
      <c r="ADS25" s="127"/>
      <c r="ADT25" s="127"/>
      <c r="ADU25" s="127"/>
      <c r="ADV25" s="127"/>
      <c r="ADW25" s="127"/>
      <c r="ADX25" s="127"/>
      <c r="ADY25" s="127"/>
      <c r="ADZ25" s="127"/>
      <c r="AEA25" s="127"/>
      <c r="AEB25" s="127"/>
      <c r="AEC25" s="127"/>
      <c r="AED25" s="127"/>
      <c r="AEE25" s="127"/>
      <c r="AEF25" s="127"/>
      <c r="AEG25" s="127"/>
      <c r="AEH25" s="127"/>
      <c r="AEI25" s="127"/>
      <c r="AEJ25" s="127"/>
      <c r="AEK25" s="127"/>
      <c r="AEL25" s="127"/>
      <c r="AEM25" s="127"/>
      <c r="AEN25" s="127"/>
      <c r="AEO25" s="127"/>
      <c r="AEP25" s="127"/>
      <c r="AEQ25" s="127"/>
      <c r="AER25" s="127"/>
      <c r="AES25" s="127"/>
      <c r="AET25" s="127"/>
      <c r="AEU25" s="127"/>
      <c r="AEV25" s="127"/>
      <c r="AEW25" s="127"/>
      <c r="AEX25" s="127"/>
      <c r="AEY25" s="127"/>
      <c r="AEZ25" s="127"/>
      <c r="AFA25" s="127"/>
      <c r="AFB25" s="127"/>
      <c r="AFC25" s="127"/>
      <c r="AFD25" s="127"/>
      <c r="AFE25" s="127"/>
      <c r="AFF25" s="127"/>
      <c r="AFG25" s="127"/>
      <c r="AFH25" s="127"/>
      <c r="AFI25" s="127"/>
      <c r="AFJ25" s="127"/>
      <c r="AFK25" s="127"/>
      <c r="AFL25" s="127"/>
      <c r="AFM25" s="127"/>
      <c r="AFN25" s="127"/>
      <c r="AFO25" s="127"/>
      <c r="AFP25" s="127"/>
      <c r="AFQ25" s="127"/>
      <c r="AFR25" s="127"/>
      <c r="AFS25" s="127"/>
      <c r="AFT25" s="127"/>
      <c r="AFU25" s="127"/>
      <c r="AFV25" s="127"/>
      <c r="AFW25" s="127"/>
      <c r="AFX25" s="127"/>
      <c r="AFY25" s="127"/>
      <c r="AFZ25" s="127"/>
      <c r="AGA25" s="127"/>
      <c r="AGB25" s="127"/>
      <c r="AGC25" s="127"/>
      <c r="AGD25" s="127"/>
      <c r="AGE25" s="127"/>
      <c r="AGF25" s="127"/>
      <c r="AGG25" s="127"/>
      <c r="AGH25" s="127"/>
      <c r="AGI25" s="127"/>
      <c r="AGJ25" s="127"/>
      <c r="AGK25" s="127"/>
      <c r="AGL25" s="127"/>
      <c r="AGM25" s="127"/>
      <c r="AGN25" s="127"/>
      <c r="AGO25" s="127"/>
      <c r="AGP25" s="127"/>
      <c r="AGQ25" s="127"/>
      <c r="AGR25" s="127"/>
      <c r="AGS25" s="127"/>
      <c r="AGT25" s="127"/>
      <c r="AGU25" s="127"/>
      <c r="AGV25" s="127"/>
      <c r="AGW25" s="127"/>
      <c r="AGX25" s="127"/>
      <c r="AGY25" s="127"/>
      <c r="AGZ25" s="127"/>
      <c r="AHA25" s="127"/>
      <c r="AHB25" s="127"/>
      <c r="AHC25" s="127"/>
      <c r="AHD25" s="127"/>
      <c r="AHE25" s="127"/>
      <c r="AHF25" s="127"/>
      <c r="AHG25" s="127"/>
      <c r="AHH25" s="127"/>
      <c r="AHI25" s="127"/>
      <c r="AHJ25" s="127"/>
      <c r="AHK25" s="127"/>
      <c r="AHL25" s="127"/>
      <c r="AHM25" s="127"/>
      <c r="AHN25" s="127"/>
      <c r="AHO25" s="127"/>
      <c r="AHP25" s="127"/>
      <c r="AHQ25" s="127"/>
      <c r="AHR25" s="127"/>
      <c r="AHS25" s="127"/>
      <c r="AHT25" s="127"/>
      <c r="AHU25" s="127"/>
      <c r="AHV25" s="127"/>
      <c r="AHW25" s="127"/>
      <c r="AHX25" s="127"/>
      <c r="AHY25" s="127"/>
      <c r="AHZ25" s="127"/>
      <c r="AIA25" s="127"/>
      <c r="AIB25" s="127"/>
      <c r="AIC25" s="127"/>
      <c r="AID25" s="127"/>
      <c r="AIE25" s="127"/>
      <c r="AIF25" s="127"/>
      <c r="AIG25" s="127"/>
      <c r="AIH25" s="127"/>
      <c r="AII25" s="127"/>
      <c r="AIJ25" s="127"/>
      <c r="AIK25" s="127"/>
      <c r="AIL25" s="127"/>
      <c r="AIM25" s="127"/>
      <c r="AIN25" s="127"/>
      <c r="AIO25" s="127"/>
      <c r="AIP25" s="127"/>
      <c r="AIQ25" s="127"/>
      <c r="AIR25" s="127"/>
      <c r="AIS25" s="127"/>
      <c r="AIT25" s="127"/>
      <c r="AIU25" s="127"/>
      <c r="AIV25" s="127"/>
      <c r="AIW25" s="127"/>
      <c r="AIX25" s="127"/>
      <c r="AIY25" s="127"/>
      <c r="AIZ25" s="127"/>
      <c r="AJA25" s="127"/>
      <c r="AJB25" s="127"/>
      <c r="AJC25" s="127"/>
      <c r="AJD25" s="127"/>
      <c r="AJE25" s="127"/>
      <c r="AJF25" s="127"/>
      <c r="AJG25" s="127"/>
      <c r="AJH25" s="127"/>
      <c r="AJI25" s="127"/>
      <c r="AJJ25" s="127"/>
      <c r="AJK25" s="127"/>
      <c r="AJL25" s="127"/>
      <c r="AJM25" s="127"/>
      <c r="AJN25" s="127"/>
      <c r="AJO25" s="127"/>
      <c r="AJP25" s="127"/>
      <c r="AJQ25" s="127"/>
      <c r="AJR25" s="127"/>
      <c r="AJS25" s="127"/>
      <c r="AJT25" s="127"/>
      <c r="AJU25" s="127"/>
      <c r="AJV25" s="127"/>
      <c r="AJW25" s="127"/>
      <c r="AJX25" s="127"/>
      <c r="AJY25" s="127"/>
      <c r="AJZ25" s="127"/>
      <c r="AKA25" s="127"/>
      <c r="AKB25" s="127"/>
      <c r="AKC25" s="127"/>
      <c r="AKD25" s="127"/>
      <c r="AKE25" s="127"/>
      <c r="AKF25" s="127"/>
      <c r="AKG25" s="127"/>
      <c r="AKH25" s="127"/>
      <c r="AKI25" s="127"/>
      <c r="AKJ25" s="127"/>
      <c r="AKK25" s="127"/>
      <c r="AKL25" s="127"/>
      <c r="AKM25" s="127"/>
      <c r="AKN25" s="127"/>
      <c r="AKO25" s="127"/>
      <c r="AKP25" s="127"/>
      <c r="AKQ25" s="127"/>
      <c r="AKR25" s="127"/>
      <c r="AKS25" s="127"/>
      <c r="AKT25" s="127"/>
      <c r="AKU25" s="127"/>
      <c r="AKV25" s="127"/>
      <c r="AKW25" s="127"/>
      <c r="AKX25" s="127"/>
      <c r="AKY25" s="127"/>
      <c r="AKZ25" s="127"/>
      <c r="ALA25" s="127"/>
      <c r="ALB25" s="127"/>
      <c r="ALC25" s="127"/>
      <c r="ALD25" s="127"/>
      <c r="ALE25" s="127"/>
      <c r="ALF25" s="127"/>
      <c r="ALG25" s="127"/>
      <c r="ALH25" s="127"/>
      <c r="ALI25" s="127"/>
      <c r="ALJ25" s="127"/>
      <c r="ALK25" s="127"/>
      <c r="ALL25" s="127"/>
      <c r="ALM25" s="127"/>
      <c r="ALN25" s="127"/>
      <c r="ALO25" s="127"/>
      <c r="ALP25" s="127"/>
      <c r="ALQ25" s="127"/>
      <c r="ALR25" s="127"/>
      <c r="ALS25" s="127"/>
      <c r="ALT25" s="127"/>
      <c r="ALU25" s="127"/>
      <c r="ALV25" s="127"/>
      <c r="ALW25" s="127"/>
      <c r="ALX25" s="127"/>
      <c r="ALY25" s="127"/>
      <c r="ALZ25" s="127"/>
      <c r="AMA25" s="127"/>
      <c r="AMB25" s="127"/>
      <c r="AMC25" s="127"/>
      <c r="AMD25" s="127"/>
      <c r="AME25" s="127"/>
      <c r="AMF25" s="127"/>
      <c r="AMG25" s="127"/>
      <c r="AMH25" s="127"/>
      <c r="AMI25" s="127"/>
      <c r="AMJ25" s="127"/>
      <c r="AMK25" s="127"/>
      <c r="AML25" s="127"/>
      <c r="AMM25" s="127"/>
      <c r="AMN25" s="127"/>
      <c r="AMO25" s="127"/>
      <c r="AMP25" s="127"/>
      <c r="AMQ25" s="127"/>
      <c r="AMR25" s="127"/>
      <c r="AMS25" s="127"/>
      <c r="AMT25" s="127"/>
      <c r="AMU25" s="127"/>
      <c r="AMV25" s="127"/>
      <c r="AMW25" s="127"/>
      <c r="AMX25" s="127"/>
      <c r="AMY25" s="127"/>
      <c r="AMZ25" s="127"/>
      <c r="ANA25" s="127"/>
      <c r="ANB25" s="127"/>
      <c r="ANC25" s="127"/>
      <c r="AND25" s="127"/>
      <c r="ANE25" s="127"/>
      <c r="ANF25" s="127"/>
      <c r="ANG25" s="127"/>
      <c r="ANH25" s="127"/>
      <c r="ANI25" s="127"/>
      <c r="ANJ25" s="127"/>
      <c r="ANK25" s="127"/>
      <c r="ANL25" s="127"/>
      <c r="ANM25" s="127"/>
      <c r="ANN25" s="127"/>
      <c r="ANO25" s="127"/>
      <c r="ANP25" s="127"/>
      <c r="ANQ25" s="127"/>
      <c r="ANR25" s="127"/>
      <c r="ANS25" s="127"/>
      <c r="ANT25" s="127"/>
      <c r="ANU25" s="127"/>
      <c r="ANV25" s="127"/>
      <c r="ANW25" s="127"/>
      <c r="ANX25" s="127"/>
      <c r="ANY25" s="127"/>
      <c r="ANZ25" s="127"/>
      <c r="AOA25" s="127"/>
      <c r="AOB25" s="127"/>
      <c r="AOC25" s="127"/>
      <c r="AOD25" s="127"/>
      <c r="AOE25" s="127"/>
      <c r="AOF25" s="127"/>
      <c r="AOG25" s="127"/>
      <c r="AOH25" s="127"/>
      <c r="AOI25" s="127"/>
      <c r="AOJ25" s="127"/>
      <c r="AOK25" s="127"/>
      <c r="AOL25" s="127"/>
      <c r="AOM25" s="127"/>
      <c r="AON25" s="127"/>
      <c r="AOO25" s="127"/>
      <c r="AOP25" s="127"/>
      <c r="AOQ25" s="127"/>
      <c r="AOR25" s="127"/>
      <c r="AOS25" s="127"/>
      <c r="AOT25" s="127"/>
      <c r="AOU25" s="127"/>
      <c r="AOV25" s="127"/>
      <c r="AOW25" s="127"/>
      <c r="AOX25" s="127"/>
      <c r="AOY25" s="127"/>
      <c r="AOZ25" s="127"/>
      <c r="APA25" s="127"/>
      <c r="APB25" s="127"/>
      <c r="APC25" s="127"/>
      <c r="APD25" s="127"/>
      <c r="APE25" s="127"/>
      <c r="APF25" s="127"/>
      <c r="APG25" s="127"/>
      <c r="APH25" s="127"/>
      <c r="API25" s="127"/>
      <c r="APJ25" s="127"/>
      <c r="APK25" s="127"/>
      <c r="APL25" s="127"/>
      <c r="APM25" s="127"/>
      <c r="APN25" s="127"/>
      <c r="APO25" s="127"/>
      <c r="APP25" s="127"/>
      <c r="APQ25" s="127"/>
      <c r="APR25" s="127"/>
      <c r="APS25" s="127"/>
      <c r="APT25" s="127"/>
      <c r="APU25" s="127"/>
      <c r="APV25" s="127"/>
      <c r="APW25" s="127"/>
      <c r="APX25" s="127"/>
      <c r="APY25" s="127"/>
      <c r="APZ25" s="127"/>
      <c r="AQA25" s="127"/>
      <c r="AQB25" s="127"/>
      <c r="AQC25" s="127"/>
      <c r="AQD25" s="127"/>
      <c r="AQE25" s="127"/>
      <c r="AQF25" s="127"/>
      <c r="AQG25" s="127"/>
      <c r="AQH25" s="127"/>
      <c r="AQI25" s="127"/>
      <c r="AQJ25" s="127"/>
      <c r="AQK25" s="127"/>
      <c r="AQL25" s="127"/>
      <c r="AQM25" s="127"/>
      <c r="AQN25" s="127"/>
      <c r="AQO25" s="127"/>
      <c r="AQP25" s="127"/>
      <c r="AQQ25" s="127"/>
      <c r="AQR25" s="127"/>
      <c r="AQS25" s="127"/>
      <c r="AQT25" s="127"/>
      <c r="AQU25" s="127"/>
      <c r="AQV25" s="127"/>
      <c r="AQW25" s="127"/>
      <c r="AQX25" s="127"/>
      <c r="AQY25" s="127"/>
      <c r="AQZ25" s="127"/>
      <c r="ARA25" s="127"/>
      <c r="ARB25" s="127"/>
      <c r="ARC25" s="127"/>
      <c r="ARD25" s="127"/>
      <c r="ARE25" s="127"/>
      <c r="ARF25" s="127"/>
      <c r="ARG25" s="127"/>
      <c r="ARH25" s="127"/>
      <c r="ARI25" s="127"/>
      <c r="ARJ25" s="127"/>
      <c r="ARK25" s="127"/>
      <c r="ARL25" s="127"/>
      <c r="ARM25" s="127"/>
      <c r="ARN25" s="127"/>
      <c r="ARO25" s="127"/>
      <c r="ARP25" s="127"/>
      <c r="ARQ25" s="127"/>
      <c r="ARR25" s="127"/>
      <c r="ARS25" s="127"/>
      <c r="ART25" s="127"/>
      <c r="ARU25" s="127"/>
      <c r="ARV25" s="127"/>
      <c r="ARW25" s="127"/>
      <c r="ARX25" s="127"/>
      <c r="ARY25" s="127"/>
      <c r="ARZ25" s="127"/>
      <c r="ASA25" s="127"/>
      <c r="ASB25" s="127"/>
      <c r="ASC25" s="127"/>
      <c r="ASD25" s="127"/>
      <c r="ASE25" s="127"/>
      <c r="ASF25" s="127"/>
      <c r="ASG25" s="127"/>
      <c r="ASH25" s="127"/>
      <c r="ASI25" s="127"/>
      <c r="ASJ25" s="127"/>
      <c r="ASK25" s="127"/>
      <c r="ASL25" s="127"/>
      <c r="ASM25" s="127"/>
      <c r="ASN25" s="127"/>
      <c r="ASO25" s="127"/>
      <c r="ASP25" s="127"/>
      <c r="ASQ25" s="127"/>
      <c r="ASR25" s="127"/>
      <c r="ASS25" s="127"/>
      <c r="AST25" s="127"/>
      <c r="ASU25" s="127"/>
      <c r="ASV25" s="127"/>
      <c r="ASW25" s="127"/>
      <c r="ASX25" s="127"/>
      <c r="ASY25" s="127"/>
      <c r="ASZ25" s="127"/>
      <c r="ATA25" s="127"/>
      <c r="ATB25" s="127"/>
      <c r="ATC25" s="127"/>
      <c r="ATD25" s="127"/>
      <c r="ATE25" s="127"/>
      <c r="ATF25" s="127"/>
      <c r="ATG25" s="127"/>
      <c r="ATH25" s="127"/>
      <c r="ATI25" s="127"/>
      <c r="ATJ25" s="127"/>
      <c r="ATK25" s="127"/>
      <c r="ATL25" s="127"/>
      <c r="ATM25" s="127"/>
      <c r="ATN25" s="127"/>
      <c r="ATO25" s="127"/>
      <c r="ATP25" s="127"/>
      <c r="ATQ25" s="127"/>
      <c r="ATR25" s="127"/>
      <c r="ATS25" s="127"/>
      <c r="ATT25" s="127"/>
      <c r="ATU25" s="127"/>
      <c r="ATV25" s="127"/>
      <c r="ATW25" s="127"/>
      <c r="ATX25" s="127"/>
      <c r="ATY25" s="127"/>
      <c r="ATZ25" s="127"/>
      <c r="AUA25" s="127"/>
      <c r="AUB25" s="127"/>
      <c r="AUC25" s="127"/>
      <c r="AUD25" s="127"/>
      <c r="AUE25" s="127"/>
      <c r="AUF25" s="127"/>
      <c r="AUG25" s="127"/>
      <c r="AUH25" s="127"/>
      <c r="AUI25" s="127"/>
      <c r="AUJ25" s="127"/>
      <c r="AUK25" s="127"/>
      <c r="AUL25" s="127"/>
      <c r="AUM25" s="127"/>
      <c r="AUN25" s="127"/>
      <c r="AUO25" s="127"/>
      <c r="AUP25" s="127"/>
      <c r="AUQ25" s="127"/>
      <c r="AUR25" s="127"/>
      <c r="AUS25" s="127"/>
      <c r="AUT25" s="127"/>
      <c r="AUU25" s="127"/>
      <c r="AUV25" s="127"/>
      <c r="AUW25" s="127"/>
      <c r="AUX25" s="127"/>
      <c r="AUY25" s="127"/>
      <c r="AUZ25" s="127"/>
      <c r="AVA25" s="127"/>
      <c r="AVB25" s="127"/>
      <c r="AVC25" s="127"/>
      <c r="AVD25" s="127"/>
      <c r="AVE25" s="127"/>
      <c r="AVF25" s="127"/>
      <c r="AVG25" s="127"/>
      <c r="AVH25" s="127"/>
      <c r="AVI25" s="127"/>
      <c r="AVJ25" s="127"/>
      <c r="AVK25" s="127"/>
      <c r="AVL25" s="127"/>
      <c r="AVM25" s="127"/>
      <c r="AVN25" s="127"/>
      <c r="AVO25" s="127"/>
      <c r="AVP25" s="127"/>
      <c r="AVQ25" s="127"/>
      <c r="AVR25" s="127"/>
      <c r="AVS25" s="127"/>
      <c r="AVT25" s="127"/>
      <c r="AVU25" s="127"/>
      <c r="AVV25" s="127"/>
      <c r="AVW25" s="127"/>
      <c r="AVX25" s="127"/>
      <c r="AVY25" s="127"/>
      <c r="AVZ25" s="127"/>
      <c r="AWA25" s="127"/>
      <c r="AWB25" s="127"/>
      <c r="AWC25" s="127"/>
      <c r="AWD25" s="127"/>
      <c r="AWE25" s="127"/>
      <c r="AWF25" s="127"/>
      <c r="AWG25" s="127"/>
      <c r="AWH25" s="127"/>
      <c r="AWI25" s="127"/>
      <c r="AWJ25" s="127"/>
      <c r="AWK25" s="127"/>
      <c r="AWL25" s="127"/>
      <c r="AWM25" s="127"/>
      <c r="AWN25" s="127"/>
      <c r="AWO25" s="127"/>
      <c r="AWP25" s="127"/>
      <c r="AWQ25" s="127"/>
      <c r="AWR25" s="127"/>
      <c r="AWS25" s="127"/>
      <c r="AWT25" s="127"/>
      <c r="AWU25" s="127"/>
      <c r="AWV25" s="127"/>
      <c r="AWW25" s="127"/>
      <c r="AWX25" s="127"/>
      <c r="AWY25" s="127"/>
      <c r="AWZ25" s="127"/>
      <c r="AXA25" s="127"/>
      <c r="AXB25" s="127"/>
      <c r="AXC25" s="127"/>
      <c r="AXD25" s="127"/>
      <c r="AXE25" s="127"/>
      <c r="AXF25" s="127"/>
      <c r="AXG25" s="127"/>
      <c r="AXH25" s="127"/>
      <c r="AXI25" s="127"/>
      <c r="AXJ25" s="127"/>
      <c r="AXK25" s="127"/>
      <c r="AXL25" s="127"/>
      <c r="AXM25" s="127"/>
      <c r="AXN25" s="127"/>
      <c r="AXO25" s="127"/>
      <c r="AXP25" s="127"/>
      <c r="AXQ25" s="127"/>
      <c r="AXR25" s="127"/>
      <c r="AXS25" s="127"/>
      <c r="AXT25" s="127"/>
      <c r="AXU25" s="127"/>
      <c r="AXV25" s="127"/>
      <c r="AXW25" s="127"/>
      <c r="AXX25" s="127"/>
      <c r="AXY25" s="127"/>
      <c r="AXZ25" s="127"/>
      <c r="AYA25" s="127"/>
      <c r="AYB25" s="127"/>
      <c r="AYC25" s="127"/>
      <c r="AYD25" s="127"/>
      <c r="AYE25" s="127"/>
      <c r="AYF25" s="127"/>
      <c r="AYG25" s="127"/>
      <c r="AYH25" s="127"/>
      <c r="AYI25" s="127"/>
      <c r="AYJ25" s="127"/>
      <c r="AYK25" s="127"/>
      <c r="AYL25" s="127"/>
      <c r="AYM25" s="127"/>
      <c r="AYN25" s="127"/>
      <c r="AYO25" s="127"/>
      <c r="AYP25" s="127"/>
      <c r="AYQ25" s="127"/>
      <c r="AYR25" s="127"/>
      <c r="AYS25" s="127"/>
      <c r="AYT25" s="127"/>
      <c r="AYU25" s="127"/>
      <c r="AYV25" s="127"/>
      <c r="AYW25" s="127"/>
      <c r="AYX25" s="127"/>
      <c r="AYY25" s="127"/>
      <c r="AYZ25" s="127"/>
      <c r="AZA25" s="127"/>
      <c r="AZB25" s="127"/>
      <c r="AZC25" s="127"/>
      <c r="AZD25" s="127"/>
      <c r="AZE25" s="127"/>
      <c r="AZF25" s="127"/>
      <c r="AZG25" s="127"/>
      <c r="AZH25" s="127"/>
      <c r="AZI25" s="127"/>
      <c r="AZJ25" s="127"/>
      <c r="AZK25" s="127"/>
      <c r="AZL25" s="127"/>
      <c r="AZM25" s="127"/>
      <c r="AZN25" s="127"/>
      <c r="AZO25" s="127"/>
      <c r="AZP25" s="127"/>
      <c r="AZQ25" s="127"/>
      <c r="AZR25" s="127"/>
      <c r="AZS25" s="127"/>
      <c r="AZT25" s="127"/>
      <c r="AZU25" s="127"/>
      <c r="AZV25" s="127"/>
      <c r="AZW25" s="127"/>
      <c r="AZX25" s="127"/>
      <c r="AZY25" s="127"/>
      <c r="AZZ25" s="127"/>
      <c r="BAA25" s="127"/>
      <c r="BAB25" s="127"/>
      <c r="BAC25" s="127"/>
      <c r="BAD25" s="127"/>
      <c r="BAE25" s="127"/>
      <c r="BAF25" s="127"/>
      <c r="BAG25" s="127"/>
      <c r="BAH25" s="127"/>
      <c r="BAI25" s="127"/>
      <c r="BAJ25" s="127"/>
      <c r="BAK25" s="127"/>
      <c r="BAL25" s="127"/>
      <c r="BAM25" s="127"/>
      <c r="BAN25" s="127"/>
      <c r="BAO25" s="127"/>
      <c r="BAP25" s="127"/>
      <c r="BAQ25" s="127"/>
      <c r="BAR25" s="127"/>
      <c r="BAS25" s="127"/>
      <c r="BAT25" s="127"/>
      <c r="BAU25" s="127"/>
      <c r="BAV25" s="127"/>
      <c r="BAW25" s="127"/>
      <c r="BAX25" s="127"/>
      <c r="BAY25" s="127"/>
      <c r="BAZ25" s="127"/>
      <c r="BBA25" s="127"/>
      <c r="BBB25" s="127"/>
      <c r="BBC25" s="127"/>
      <c r="BBD25" s="127"/>
      <c r="BBE25" s="127"/>
      <c r="BBF25" s="127"/>
      <c r="BBG25" s="127"/>
      <c r="BBH25" s="127"/>
      <c r="BBI25" s="127"/>
      <c r="BBJ25" s="127"/>
      <c r="BBK25" s="127"/>
      <c r="BBL25" s="127"/>
      <c r="BBM25" s="127"/>
      <c r="BBN25" s="127"/>
      <c r="BBO25" s="127"/>
      <c r="BBP25" s="127"/>
      <c r="BBQ25" s="127"/>
      <c r="BBR25" s="127"/>
      <c r="BBS25" s="127"/>
      <c r="BBT25" s="127"/>
      <c r="BBU25" s="127"/>
      <c r="BBV25" s="127"/>
      <c r="BBW25" s="127"/>
      <c r="BBX25" s="127"/>
      <c r="BBY25" s="127"/>
      <c r="BBZ25" s="127"/>
      <c r="BCA25" s="127"/>
      <c r="BCB25" s="127"/>
      <c r="BCC25" s="127"/>
      <c r="BCD25" s="127"/>
      <c r="BCE25" s="127"/>
      <c r="BCF25" s="127"/>
      <c r="BCG25" s="127"/>
      <c r="BCH25" s="127"/>
      <c r="BCI25" s="127"/>
      <c r="BCJ25" s="127"/>
      <c r="BCK25" s="127"/>
      <c r="BCL25" s="127"/>
      <c r="BCM25" s="127"/>
      <c r="BCN25" s="127"/>
      <c r="BCO25" s="127"/>
      <c r="BCP25" s="127"/>
      <c r="BCQ25" s="127"/>
      <c r="BCR25" s="127"/>
      <c r="BCS25" s="127"/>
      <c r="BCT25" s="127"/>
      <c r="BCU25" s="127"/>
      <c r="BCV25" s="127"/>
      <c r="BCW25" s="127"/>
      <c r="BCX25" s="127"/>
      <c r="BCY25" s="127"/>
      <c r="BCZ25" s="127"/>
      <c r="BDA25" s="127"/>
      <c r="BDB25" s="127"/>
      <c r="BDC25" s="127"/>
      <c r="BDD25" s="127"/>
      <c r="BDE25" s="127"/>
      <c r="BDF25" s="127"/>
      <c r="BDG25" s="127"/>
      <c r="BDH25" s="127"/>
      <c r="BDI25" s="127"/>
      <c r="BDJ25" s="127"/>
      <c r="BDK25" s="127"/>
      <c r="BDL25" s="127"/>
      <c r="BDM25" s="127"/>
      <c r="BDN25" s="127"/>
      <c r="BDO25" s="127"/>
      <c r="BDP25" s="127"/>
      <c r="BDQ25" s="127"/>
      <c r="BDR25" s="127"/>
      <c r="BDS25" s="127"/>
      <c r="BDT25" s="127"/>
      <c r="BDU25" s="127"/>
      <c r="BDV25" s="127"/>
      <c r="BDW25" s="127"/>
      <c r="BDX25" s="127"/>
      <c r="BDY25" s="127"/>
      <c r="BDZ25" s="127"/>
      <c r="BEA25" s="127"/>
      <c r="BEB25" s="127"/>
      <c r="BEC25" s="127"/>
      <c r="BED25" s="127"/>
      <c r="BEE25" s="127"/>
      <c r="BEF25" s="127"/>
      <c r="BEG25" s="127"/>
      <c r="BEH25" s="127"/>
      <c r="BEI25" s="127"/>
      <c r="BEJ25" s="127"/>
      <c r="BEK25" s="127"/>
      <c r="BEL25" s="127"/>
      <c r="BEM25" s="127"/>
      <c r="BEN25" s="127"/>
      <c r="BEO25" s="127"/>
      <c r="BEP25" s="127"/>
      <c r="BEQ25" s="127"/>
      <c r="BER25" s="127"/>
      <c r="BES25" s="127"/>
      <c r="BET25" s="127"/>
      <c r="BEU25" s="127"/>
      <c r="BEV25" s="127"/>
      <c r="BEW25" s="127"/>
      <c r="BEX25" s="127"/>
      <c r="BEY25" s="127"/>
      <c r="BEZ25" s="127"/>
      <c r="BFA25" s="127"/>
      <c r="BFB25" s="127"/>
      <c r="BFC25" s="127"/>
      <c r="BFD25" s="127"/>
      <c r="BFE25" s="127"/>
      <c r="BFF25" s="127"/>
      <c r="BFG25" s="127"/>
      <c r="BFH25" s="127"/>
      <c r="BFI25" s="127"/>
      <c r="BFJ25" s="127"/>
      <c r="BFK25" s="127"/>
      <c r="BFL25" s="127"/>
      <c r="BFM25" s="127"/>
      <c r="BFN25" s="127"/>
      <c r="BFO25" s="127"/>
      <c r="BFP25" s="127"/>
      <c r="BFQ25" s="127"/>
      <c r="BFR25" s="127"/>
      <c r="BFS25" s="127"/>
      <c r="BFT25" s="127"/>
      <c r="BFU25" s="127"/>
      <c r="BFV25" s="127"/>
      <c r="BFW25" s="127"/>
      <c r="BFX25" s="127"/>
      <c r="BFY25" s="127"/>
      <c r="BFZ25" s="127"/>
      <c r="BGA25" s="127"/>
      <c r="BGB25" s="127"/>
      <c r="BGC25" s="127"/>
      <c r="BGD25" s="127"/>
      <c r="BGE25" s="127"/>
      <c r="BGF25" s="127"/>
      <c r="BGG25" s="127"/>
      <c r="BGH25" s="127"/>
      <c r="BGI25" s="127"/>
      <c r="BGJ25" s="127"/>
      <c r="BGK25" s="127"/>
      <c r="BGL25" s="127"/>
      <c r="BGM25" s="127"/>
      <c r="BGN25" s="127"/>
      <c r="BGO25" s="127"/>
      <c r="BGP25" s="127"/>
      <c r="BGQ25" s="127"/>
      <c r="BGR25" s="127"/>
      <c r="BGS25" s="127"/>
      <c r="BGT25" s="127"/>
      <c r="BGU25" s="127"/>
      <c r="BGV25" s="127"/>
      <c r="BGW25" s="127"/>
      <c r="BGX25" s="127"/>
      <c r="BGY25" s="127"/>
      <c r="BGZ25" s="127"/>
      <c r="BHA25" s="127"/>
      <c r="BHB25" s="127"/>
      <c r="BHC25" s="127"/>
      <c r="BHD25" s="127"/>
      <c r="BHE25" s="127"/>
      <c r="BHF25" s="127"/>
      <c r="BHG25" s="127"/>
      <c r="BHH25" s="127"/>
      <c r="BHI25" s="127"/>
      <c r="BHJ25" s="127"/>
      <c r="BHK25" s="127"/>
      <c r="BHL25" s="127"/>
      <c r="BHM25" s="127"/>
      <c r="BHN25" s="127"/>
      <c r="BHO25" s="127"/>
      <c r="BHP25" s="127"/>
      <c r="BHQ25" s="127"/>
      <c r="BHR25" s="127"/>
      <c r="BHS25" s="127"/>
      <c r="BHT25" s="127"/>
      <c r="BHU25" s="127"/>
      <c r="BHV25" s="127"/>
      <c r="BHW25" s="127"/>
      <c r="BHX25" s="127"/>
      <c r="BHY25" s="127"/>
      <c r="BHZ25" s="127"/>
      <c r="BIA25" s="127"/>
      <c r="BIB25" s="127"/>
      <c r="BIC25" s="127"/>
      <c r="BID25" s="127"/>
      <c r="BIE25" s="127"/>
      <c r="BIF25" s="127"/>
      <c r="BIG25" s="127"/>
      <c r="BIH25" s="127"/>
      <c r="BII25" s="127"/>
      <c r="BIJ25" s="127"/>
      <c r="BIK25" s="127"/>
      <c r="BIL25" s="127"/>
      <c r="BIM25" s="127"/>
      <c r="BIN25" s="127"/>
      <c r="BIO25" s="127"/>
      <c r="BIP25" s="127"/>
      <c r="BIQ25" s="127"/>
      <c r="BIR25" s="127"/>
      <c r="BIS25" s="127"/>
      <c r="BIT25" s="127"/>
      <c r="BIU25" s="127"/>
      <c r="BIV25" s="127"/>
      <c r="BIW25" s="127"/>
      <c r="BIX25" s="127"/>
      <c r="BIY25" s="127"/>
      <c r="BIZ25" s="127"/>
      <c r="BJA25" s="127"/>
      <c r="BJB25" s="127"/>
      <c r="BJC25" s="127"/>
      <c r="BJD25" s="127"/>
      <c r="BJE25" s="127"/>
      <c r="BJF25" s="127"/>
      <c r="BJG25" s="127"/>
      <c r="BJH25" s="127"/>
      <c r="BJI25" s="127"/>
      <c r="BJJ25" s="127"/>
      <c r="BJK25" s="127"/>
      <c r="BJL25" s="127"/>
      <c r="BJM25" s="127"/>
      <c r="BJN25" s="127"/>
      <c r="BJO25" s="127"/>
      <c r="BJP25" s="127"/>
      <c r="BJQ25" s="127"/>
      <c r="BJR25" s="127"/>
      <c r="BJS25" s="127"/>
      <c r="BJT25" s="127"/>
      <c r="BJU25" s="127"/>
      <c r="BJV25" s="127"/>
      <c r="BJW25" s="127"/>
      <c r="BJX25" s="127"/>
      <c r="BJY25" s="127"/>
      <c r="BJZ25" s="127"/>
      <c r="BKA25" s="127"/>
      <c r="BKB25" s="127"/>
      <c r="BKC25" s="127"/>
      <c r="BKD25" s="127"/>
      <c r="BKE25" s="127"/>
      <c r="BKF25" s="127"/>
      <c r="BKG25" s="127"/>
      <c r="BKH25" s="127"/>
      <c r="BKI25" s="127"/>
      <c r="BKJ25" s="127"/>
      <c r="BKK25" s="127"/>
      <c r="BKL25" s="127"/>
      <c r="BKM25" s="127"/>
      <c r="BKN25" s="127"/>
      <c r="BKO25" s="127"/>
      <c r="BKP25" s="127"/>
      <c r="BKQ25" s="127"/>
      <c r="BKR25" s="127"/>
      <c r="BKS25" s="127"/>
      <c r="BKT25" s="127"/>
      <c r="BKU25" s="127"/>
      <c r="BKV25" s="127"/>
      <c r="BKW25" s="127"/>
      <c r="BKX25" s="127"/>
      <c r="BKY25" s="127"/>
      <c r="BKZ25" s="127"/>
      <c r="BLA25" s="127"/>
      <c r="BLB25" s="127"/>
      <c r="BLC25" s="127"/>
      <c r="BLD25" s="127"/>
      <c r="BLE25" s="127"/>
      <c r="BLF25" s="127"/>
      <c r="BLG25" s="127"/>
      <c r="BLH25" s="127"/>
      <c r="BLI25" s="127"/>
      <c r="BLJ25" s="127"/>
      <c r="BLK25" s="127"/>
      <c r="BLL25" s="127"/>
      <c r="BLM25" s="127"/>
      <c r="BLN25" s="127"/>
      <c r="BLO25" s="127"/>
      <c r="BLP25" s="127"/>
      <c r="BLQ25" s="127"/>
      <c r="BLR25" s="127"/>
      <c r="BLS25" s="127"/>
      <c r="BLT25" s="127"/>
      <c r="BLU25" s="127"/>
      <c r="BLV25" s="127"/>
      <c r="BLW25" s="127"/>
      <c r="BLX25" s="127"/>
      <c r="BLY25" s="127"/>
      <c r="BLZ25" s="127"/>
      <c r="BMA25" s="127"/>
      <c r="BMB25" s="127"/>
      <c r="BMC25" s="127"/>
      <c r="BMD25" s="127"/>
      <c r="BME25" s="127"/>
      <c r="BMF25" s="127"/>
      <c r="BMG25" s="127"/>
      <c r="BMH25" s="127"/>
      <c r="BMI25" s="127"/>
      <c r="BMJ25" s="127"/>
      <c r="BMK25" s="127"/>
      <c r="BML25" s="127"/>
      <c r="BMM25" s="127"/>
      <c r="BMN25" s="127"/>
      <c r="BMO25" s="127"/>
      <c r="BMP25" s="127"/>
      <c r="BMQ25" s="127"/>
      <c r="BMR25" s="127"/>
      <c r="BMS25" s="127"/>
      <c r="BMT25" s="127"/>
      <c r="BMU25" s="127"/>
      <c r="BMV25" s="127"/>
      <c r="BMW25" s="127"/>
      <c r="BMX25" s="127"/>
      <c r="BMY25" s="127"/>
      <c r="BMZ25" s="127"/>
      <c r="BNA25" s="127"/>
      <c r="BNB25" s="127"/>
      <c r="BNC25" s="127"/>
      <c r="BND25" s="127"/>
      <c r="BNE25" s="127"/>
      <c r="BNF25" s="127"/>
      <c r="BNG25" s="127"/>
      <c r="BNH25" s="127"/>
      <c r="BNI25" s="127"/>
      <c r="BNJ25" s="127"/>
      <c r="BNK25" s="127"/>
      <c r="BNL25" s="127"/>
      <c r="BNM25" s="127"/>
      <c r="BNN25" s="127"/>
      <c r="BNO25" s="127"/>
      <c r="BNP25" s="127"/>
      <c r="BNQ25" s="127"/>
      <c r="BNR25" s="127"/>
      <c r="BNS25" s="127"/>
      <c r="BNT25" s="127"/>
      <c r="BNU25" s="127"/>
      <c r="BNV25" s="127"/>
      <c r="BNW25" s="127"/>
      <c r="BNX25" s="127"/>
      <c r="BNY25" s="127"/>
      <c r="BNZ25" s="127"/>
      <c r="BOA25" s="127"/>
      <c r="BOB25" s="127"/>
      <c r="BOC25" s="127"/>
      <c r="BOD25" s="127"/>
      <c r="BOE25" s="127"/>
      <c r="BOF25" s="127"/>
      <c r="BOG25" s="127"/>
      <c r="BOH25" s="127"/>
      <c r="BOI25" s="127"/>
      <c r="BOJ25" s="127"/>
      <c r="BOK25" s="127"/>
      <c r="BOL25" s="127"/>
      <c r="BOM25" s="127"/>
      <c r="BON25" s="127"/>
      <c r="BOO25" s="127"/>
      <c r="BOP25" s="127"/>
      <c r="BOQ25" s="127"/>
      <c r="BOR25" s="127"/>
      <c r="BOS25" s="127"/>
      <c r="BOT25" s="127"/>
      <c r="BOU25" s="127"/>
      <c r="BOV25" s="127"/>
      <c r="BOW25" s="127"/>
      <c r="BOX25" s="127"/>
      <c r="BOY25" s="127"/>
      <c r="BOZ25" s="127"/>
      <c r="BPA25" s="127"/>
      <c r="BPB25" s="127"/>
      <c r="BPC25" s="127"/>
      <c r="BPD25" s="127"/>
      <c r="BPE25" s="127"/>
      <c r="BPF25" s="127"/>
      <c r="BPG25" s="127"/>
      <c r="BPH25" s="127"/>
      <c r="BPI25" s="127"/>
      <c r="BPJ25" s="127"/>
      <c r="BPK25" s="127"/>
      <c r="BPL25" s="127"/>
      <c r="BPM25" s="127"/>
      <c r="BPN25" s="127"/>
      <c r="BPO25" s="127"/>
      <c r="BPP25" s="127"/>
      <c r="BPQ25" s="127"/>
      <c r="BPR25" s="127"/>
      <c r="BPS25" s="127"/>
      <c r="BPT25" s="127"/>
      <c r="BPU25" s="127"/>
      <c r="BPV25" s="127"/>
      <c r="BPW25" s="127"/>
      <c r="BPX25" s="127"/>
      <c r="BPY25" s="127"/>
      <c r="BPZ25" s="127"/>
      <c r="BQA25" s="127"/>
      <c r="BQB25" s="127"/>
      <c r="BQC25" s="127"/>
      <c r="BQD25" s="127"/>
      <c r="BQE25" s="127"/>
      <c r="BQF25" s="127"/>
      <c r="BQG25" s="127"/>
      <c r="BQH25" s="127"/>
      <c r="BQI25" s="127"/>
      <c r="BQJ25" s="127"/>
      <c r="BQK25" s="127"/>
      <c r="BQL25" s="127"/>
      <c r="BQM25" s="127"/>
      <c r="BQN25" s="127"/>
      <c r="BQO25" s="127"/>
      <c r="BQP25" s="127"/>
      <c r="BQQ25" s="127"/>
      <c r="BQR25" s="127"/>
      <c r="BQS25" s="127"/>
      <c r="BQT25" s="127"/>
      <c r="BQU25" s="127"/>
      <c r="BQV25" s="127"/>
      <c r="BQW25" s="127"/>
      <c r="BQX25" s="127"/>
      <c r="BQY25" s="127"/>
      <c r="BQZ25" s="127"/>
      <c r="BRA25" s="127"/>
      <c r="BRB25" s="127"/>
      <c r="BRC25" s="127"/>
      <c r="BRD25" s="127"/>
      <c r="BRE25" s="127"/>
      <c r="BRF25" s="127"/>
      <c r="BRG25" s="127"/>
      <c r="BRH25" s="127"/>
      <c r="BRI25" s="127"/>
      <c r="BRJ25" s="127"/>
      <c r="BRK25" s="127"/>
      <c r="BRL25" s="127"/>
      <c r="BRM25" s="127"/>
      <c r="BRN25" s="127"/>
      <c r="BRO25" s="127"/>
      <c r="BRP25" s="127"/>
      <c r="BRQ25" s="127"/>
      <c r="BRR25" s="127"/>
      <c r="BRS25" s="127"/>
      <c r="BRT25" s="127"/>
      <c r="BRU25" s="127"/>
      <c r="BRV25" s="127"/>
      <c r="BRW25" s="127"/>
      <c r="BRX25" s="127"/>
      <c r="BRY25" s="127"/>
      <c r="BRZ25" s="127"/>
      <c r="BSA25" s="127"/>
      <c r="BSB25" s="127"/>
      <c r="BSC25" s="127"/>
      <c r="BSD25" s="127"/>
      <c r="BSE25" s="127"/>
      <c r="BSF25" s="127"/>
      <c r="BSG25" s="127"/>
      <c r="BSH25" s="127"/>
      <c r="BSI25" s="127"/>
      <c r="BSJ25" s="127"/>
      <c r="BSK25" s="127"/>
      <c r="BSL25" s="127"/>
      <c r="BSM25" s="127"/>
      <c r="BSN25" s="127"/>
      <c r="BSO25" s="127"/>
      <c r="BSP25" s="127"/>
      <c r="BSQ25" s="127"/>
      <c r="BSR25" s="127"/>
      <c r="BSS25" s="127"/>
      <c r="BST25" s="127"/>
      <c r="BSU25" s="127"/>
      <c r="BSV25" s="127"/>
      <c r="BSW25" s="127"/>
      <c r="BSX25" s="127"/>
      <c r="BSY25" s="127"/>
      <c r="BSZ25" s="127"/>
      <c r="BTA25" s="127"/>
      <c r="BTB25" s="127"/>
      <c r="BTC25" s="127"/>
      <c r="BTD25" s="127"/>
      <c r="BTE25" s="127"/>
      <c r="BTF25" s="127"/>
      <c r="BTG25" s="127"/>
      <c r="BTH25" s="127"/>
      <c r="BTI25" s="127"/>
      <c r="BTJ25" s="127"/>
      <c r="BTK25" s="127"/>
      <c r="BTL25" s="127"/>
      <c r="BTM25" s="127"/>
      <c r="BTN25" s="127"/>
      <c r="BTO25" s="127"/>
      <c r="BTP25" s="127"/>
      <c r="BTQ25" s="127"/>
      <c r="BTR25" s="127"/>
      <c r="BTS25" s="127"/>
      <c r="BTT25" s="127"/>
      <c r="BTU25" s="127"/>
      <c r="BTV25" s="127"/>
      <c r="BTW25" s="127"/>
      <c r="BTX25" s="127"/>
      <c r="BTY25" s="127"/>
      <c r="BTZ25" s="127"/>
      <c r="BUA25" s="127"/>
      <c r="BUB25" s="127"/>
      <c r="BUC25" s="127"/>
      <c r="BUD25" s="127"/>
      <c r="BUE25" s="127"/>
      <c r="BUF25" s="127"/>
      <c r="BUG25" s="127"/>
      <c r="BUH25" s="127"/>
      <c r="BUI25" s="127"/>
      <c r="BUJ25" s="127"/>
      <c r="BUK25" s="127"/>
      <c r="BUL25" s="127"/>
      <c r="BUM25" s="127"/>
      <c r="BUN25" s="127"/>
      <c r="BUO25" s="127"/>
      <c r="BUP25" s="127"/>
      <c r="BUQ25" s="127"/>
      <c r="BUR25" s="127"/>
      <c r="BUS25" s="127"/>
      <c r="BUT25" s="127"/>
      <c r="BUU25" s="127"/>
      <c r="BUV25" s="127"/>
      <c r="BUW25" s="127"/>
      <c r="BUX25" s="127"/>
      <c r="BUY25" s="127"/>
      <c r="BUZ25" s="127"/>
      <c r="BVA25" s="127"/>
      <c r="BVB25" s="127"/>
      <c r="BVC25" s="127"/>
      <c r="BVD25" s="127"/>
      <c r="BVE25" s="127"/>
      <c r="BVF25" s="127"/>
      <c r="BVG25" s="127"/>
      <c r="BVH25" s="127"/>
      <c r="BVI25" s="127"/>
      <c r="BVJ25" s="127"/>
      <c r="BVK25" s="127"/>
      <c r="BVL25" s="127"/>
      <c r="BVM25" s="127"/>
      <c r="BVN25" s="127"/>
      <c r="BVO25" s="127"/>
      <c r="BVP25" s="127"/>
      <c r="BVQ25" s="127"/>
      <c r="BVR25" s="127"/>
      <c r="BVS25" s="127"/>
      <c r="BVT25" s="127"/>
      <c r="BVU25" s="127"/>
      <c r="BVV25" s="127"/>
      <c r="BVW25" s="127"/>
      <c r="BVX25" s="127"/>
      <c r="BVY25" s="127"/>
      <c r="BVZ25" s="127"/>
      <c r="BWA25" s="127"/>
      <c r="BWB25" s="127"/>
      <c r="BWC25" s="127"/>
      <c r="BWD25" s="127"/>
      <c r="BWE25" s="127"/>
      <c r="BWF25" s="127"/>
      <c r="BWG25" s="127"/>
      <c r="BWH25" s="127"/>
      <c r="BWI25" s="127"/>
      <c r="BWJ25" s="127"/>
      <c r="BWK25" s="127"/>
      <c r="BWL25" s="127"/>
      <c r="BWM25" s="127"/>
      <c r="BWN25" s="127"/>
      <c r="BWO25" s="127"/>
      <c r="BWP25" s="127"/>
      <c r="BWQ25" s="127"/>
      <c r="BWR25" s="127"/>
      <c r="BWS25" s="127"/>
      <c r="BWT25" s="127"/>
      <c r="BWU25" s="127"/>
      <c r="BWV25" s="127"/>
    </row>
    <row r="26" spans="1:1972" s="127" customFormat="1" ht="30" customHeight="1" x14ac:dyDescent="0.25">
      <c r="A26" s="313" t="s">
        <v>383</v>
      </c>
      <c r="B26" s="314">
        <v>19.972582210000002</v>
      </c>
      <c r="C26" s="314">
        <v>0</v>
      </c>
      <c r="D26" s="315">
        <v>19.972582210000002</v>
      </c>
      <c r="G26" s="296"/>
      <c r="H26" s="296"/>
      <c r="I26" s="296"/>
    </row>
    <row r="27" spans="1:1972" s="127" customFormat="1" ht="30" customHeight="1" x14ac:dyDescent="0.25">
      <c r="A27" s="226" t="s">
        <v>384</v>
      </c>
      <c r="B27" s="310">
        <v>9.054771689999999</v>
      </c>
      <c r="C27" s="310">
        <v>0</v>
      </c>
      <c r="D27" s="311">
        <v>9.054771689999999</v>
      </c>
      <c r="G27" s="296"/>
      <c r="H27" s="296"/>
      <c r="I27" s="296"/>
    </row>
    <row r="28" spans="1:1972" s="127" customFormat="1" ht="30" customHeight="1" thickBot="1" x14ac:dyDescent="0.3">
      <c r="A28" s="316" t="s">
        <v>385</v>
      </c>
      <c r="B28" s="317">
        <v>0.71449467</v>
      </c>
      <c r="C28" s="317">
        <v>0</v>
      </c>
      <c r="D28" s="318">
        <v>0.71449467</v>
      </c>
      <c r="G28" s="296"/>
      <c r="H28" s="296"/>
      <c r="I28" s="296"/>
    </row>
    <row r="29" spans="1:1972" s="127" customFormat="1" ht="30" customHeight="1" thickTop="1" thickBot="1" x14ac:dyDescent="0.3">
      <c r="A29" s="319" t="s">
        <v>386</v>
      </c>
      <c r="B29" s="320">
        <v>52641.267159059993</v>
      </c>
      <c r="C29" s="320">
        <v>25.488953300000002</v>
      </c>
      <c r="D29" s="321">
        <v>52666.756112359995</v>
      </c>
      <c r="G29" s="296"/>
      <c r="H29" s="296"/>
      <c r="I29" s="296"/>
    </row>
    <row r="30" spans="1:1972" s="127" customFormat="1" ht="30" customHeight="1" thickTop="1" thickBot="1" x14ac:dyDescent="0.3">
      <c r="A30" s="319" t="s">
        <v>387</v>
      </c>
      <c r="B30" s="320">
        <v>52611.525310489997</v>
      </c>
      <c r="C30" s="320">
        <v>25.488953300000002</v>
      </c>
      <c r="D30" s="321">
        <v>52637.014263789999</v>
      </c>
      <c r="G30" s="296"/>
      <c r="H30" s="296"/>
      <c r="I30" s="296"/>
    </row>
    <row r="31" spans="1:1972" s="102" customFormat="1" ht="18" customHeight="1" thickTop="1" x14ac:dyDescent="0.5">
      <c r="A31" s="322" t="s">
        <v>172</v>
      </c>
      <c r="B31" s="277"/>
      <c r="C31" s="323"/>
      <c r="D31" s="277"/>
    </row>
    <row r="32" spans="1:1972" ht="18" customHeight="1" x14ac:dyDescent="0.5">
      <c r="A32" s="324" t="s">
        <v>914</v>
      </c>
      <c r="B32" s="326"/>
      <c r="C32" s="325"/>
      <c r="D32" s="52"/>
    </row>
    <row r="33" spans="1:4" ht="18" customHeight="1" x14ac:dyDescent="0.25">
      <c r="A33" s="324" t="s">
        <v>507</v>
      </c>
      <c r="B33" s="326"/>
      <c r="C33" s="326"/>
      <c r="D33" s="326"/>
    </row>
    <row r="34" spans="1:4" ht="18" customHeight="1" x14ac:dyDescent="0.5">
      <c r="A34" s="327" t="s">
        <v>508</v>
      </c>
      <c r="B34" s="328"/>
      <c r="C34" s="329"/>
      <c r="D34" s="328"/>
    </row>
    <row r="35" spans="1:4" ht="18" customHeight="1" x14ac:dyDescent="0.5">
      <c r="A35" s="330" t="s">
        <v>391</v>
      </c>
      <c r="B35" s="331"/>
      <c r="C35" s="332"/>
      <c r="D35" s="331"/>
    </row>
    <row r="36" spans="1:4" ht="18" customHeight="1" x14ac:dyDescent="0.5">
      <c r="A36" s="330"/>
      <c r="B36" s="331"/>
      <c r="C36" s="332"/>
      <c r="D36" s="331"/>
    </row>
    <row r="37" spans="1:4" ht="18" customHeight="1" x14ac:dyDescent="0.5">
      <c r="A37" s="322" t="s">
        <v>134</v>
      </c>
      <c r="B37" s="328"/>
      <c r="C37" s="329"/>
      <c r="D37" s="328"/>
    </row>
    <row r="38" spans="1:4" x14ac:dyDescent="0.5">
      <c r="A38" s="333"/>
    </row>
    <row r="39" spans="1:4" s="336" customFormat="1" x14ac:dyDescent="0.5">
      <c r="A39" s="334"/>
      <c r="B39" s="334"/>
      <c r="C39" s="335"/>
      <c r="D39" s="334"/>
    </row>
  </sheetData>
  <mergeCells count="1">
    <mergeCell ref="A1:D1"/>
  </mergeCells>
  <pageMargins left="0.75" right="0.75" top="0.75" bottom="0.75" header="0.3" footer="0"/>
  <pageSetup paperSize="9" scale="1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Q52"/>
  <sheetViews>
    <sheetView zoomScale="85" zoomScaleNormal="85" zoomScaleSheetLayoutView="100" workbookViewId="0">
      <pane xSplit="1" ySplit="4" topLeftCell="B5" activePane="bottomRight" state="frozen"/>
      <selection activeCell="S48" sqref="S48"/>
      <selection pane="topRight" activeCell="S48" sqref="S48"/>
      <selection pane="bottomLeft" activeCell="S48" sqref="S48"/>
      <selection pane="bottomRight"/>
    </sheetView>
  </sheetViews>
  <sheetFormatPr defaultColWidth="9.140625" defaultRowHeight="15.75" x14ac:dyDescent="0.3"/>
  <cols>
    <col min="1" max="1" width="10.7109375" style="516" customWidth="1"/>
    <col min="2" max="2" width="11.85546875" style="516" customWidth="1"/>
    <col min="3" max="3" width="12.7109375" style="516" customWidth="1"/>
    <col min="4" max="6" width="11.85546875" style="516" customWidth="1"/>
    <col min="7" max="7" width="12.5703125" style="516" bestFit="1" customWidth="1"/>
    <col min="8" max="8" width="10.5703125" style="835" bestFit="1" customWidth="1"/>
    <col min="9" max="13" width="12.42578125" style="516" customWidth="1"/>
    <col min="14" max="14" width="12.5703125" style="516" bestFit="1" customWidth="1"/>
    <col min="15" max="16384" width="9.140625" style="516"/>
  </cols>
  <sheetData>
    <row r="1" spans="1:17" s="558" customFormat="1" ht="18.75" x14ac:dyDescent="0.3">
      <c r="A1" s="803" t="s">
        <v>1239</v>
      </c>
      <c r="H1" s="804"/>
    </row>
    <row r="2" spans="1:17" s="558" customFormat="1" ht="9" customHeight="1" thickBot="1" x14ac:dyDescent="0.35">
      <c r="A2" s="803"/>
      <c r="H2" s="804"/>
    </row>
    <row r="3" spans="1:17" s="517" customFormat="1" ht="18" thickTop="1" thickBot="1" x14ac:dyDescent="0.35">
      <c r="A3" s="3588"/>
      <c r="B3" s="3590" t="s">
        <v>1240</v>
      </c>
      <c r="C3" s="3591"/>
      <c r="D3" s="3591"/>
      <c r="E3" s="3591"/>
      <c r="F3" s="3591"/>
      <c r="G3" s="3592"/>
      <c r="H3" s="3593"/>
      <c r="I3" s="3590" t="s">
        <v>1241</v>
      </c>
      <c r="J3" s="3591"/>
      <c r="K3" s="3591"/>
      <c r="L3" s="3591"/>
      <c r="M3" s="3591"/>
      <c r="N3" s="3592"/>
    </row>
    <row r="4" spans="1:17" s="517" customFormat="1" ht="17.25" thickBot="1" x14ac:dyDescent="0.35">
      <c r="A4" s="3589"/>
      <c r="B4" s="805" t="s">
        <v>103</v>
      </c>
      <c r="C4" s="806" t="s">
        <v>1242</v>
      </c>
      <c r="D4" s="806" t="s">
        <v>1243</v>
      </c>
      <c r="E4" s="806" t="s">
        <v>1244</v>
      </c>
      <c r="F4" s="806" t="s">
        <v>1245</v>
      </c>
      <c r="G4" s="807" t="s">
        <v>1246</v>
      </c>
      <c r="H4" s="3594"/>
      <c r="I4" s="805" t="s">
        <v>103</v>
      </c>
      <c r="J4" s="806" t="s">
        <v>1242</v>
      </c>
      <c r="K4" s="806" t="s">
        <v>1243</v>
      </c>
      <c r="L4" s="806" t="s">
        <v>1244</v>
      </c>
      <c r="M4" s="806" t="s">
        <v>1245</v>
      </c>
      <c r="N4" s="807" t="s">
        <v>1246</v>
      </c>
    </row>
    <row r="5" spans="1:17" s="517" customFormat="1" ht="16.5" hidden="1" x14ac:dyDescent="0.3">
      <c r="A5" s="808">
        <v>2013</v>
      </c>
      <c r="B5" s="809">
        <v>1.8420000000000001</v>
      </c>
      <c r="C5" s="526">
        <v>-0.23599999999999999</v>
      </c>
      <c r="D5" s="526">
        <v>2.1859999999999999</v>
      </c>
      <c r="E5" s="526">
        <v>6.3860000000000001</v>
      </c>
      <c r="F5" s="526">
        <v>7.7720000000000002</v>
      </c>
      <c r="G5" s="527">
        <v>2.4849999999999999</v>
      </c>
      <c r="H5" s="810">
        <v>2013</v>
      </c>
      <c r="I5" s="809">
        <v>1.466</v>
      </c>
      <c r="J5" s="526">
        <v>1.351</v>
      </c>
      <c r="K5" s="526">
        <v>2.5649999999999999</v>
      </c>
      <c r="L5" s="526">
        <v>9.4</v>
      </c>
      <c r="M5" s="526">
        <v>2.6240000000000001</v>
      </c>
      <c r="N5" s="527">
        <v>5.76</v>
      </c>
    </row>
    <row r="6" spans="1:17" s="517" customFormat="1" ht="16.5" hidden="1" x14ac:dyDescent="0.3">
      <c r="A6" s="620">
        <v>2014</v>
      </c>
      <c r="B6" s="809">
        <v>2.5259999999999998</v>
      </c>
      <c r="C6" s="526">
        <v>1.3979999999999999</v>
      </c>
      <c r="D6" s="526">
        <v>2.863</v>
      </c>
      <c r="E6" s="526">
        <v>7.41</v>
      </c>
      <c r="F6" s="526">
        <v>7.4080000000000004</v>
      </c>
      <c r="G6" s="527">
        <v>1.847</v>
      </c>
      <c r="H6" s="810">
        <v>2014</v>
      </c>
      <c r="I6" s="809">
        <v>1.615</v>
      </c>
      <c r="J6" s="526">
        <v>0.432</v>
      </c>
      <c r="K6" s="526">
        <v>1.4610000000000001</v>
      </c>
      <c r="L6" s="526">
        <v>5.8</v>
      </c>
      <c r="M6" s="526">
        <v>1.988</v>
      </c>
      <c r="N6" s="527">
        <v>6.09</v>
      </c>
    </row>
    <row r="7" spans="1:17" s="517" customFormat="1" ht="16.5" hidden="1" x14ac:dyDescent="0.3">
      <c r="A7" s="620">
        <v>2015</v>
      </c>
      <c r="B7" s="809">
        <v>3.0760000000000001</v>
      </c>
      <c r="C7" s="526">
        <v>2.0390000000000001</v>
      </c>
      <c r="D7" s="526">
        <v>2.363</v>
      </c>
      <c r="E7" s="526">
        <v>7.9960000000000004</v>
      </c>
      <c r="F7" s="526">
        <v>7.0309999999999997</v>
      </c>
      <c r="G7" s="527">
        <v>1.194</v>
      </c>
      <c r="H7" s="810">
        <v>2015</v>
      </c>
      <c r="I7" s="809">
        <v>0.121</v>
      </c>
      <c r="J7" s="526">
        <v>0.193</v>
      </c>
      <c r="K7" s="526">
        <v>0.04</v>
      </c>
      <c r="L7" s="526">
        <v>4.9000000000000004</v>
      </c>
      <c r="M7" s="526">
        <v>1.4410000000000001</v>
      </c>
      <c r="N7" s="527">
        <v>4.5750000000000002</v>
      </c>
    </row>
    <row r="8" spans="1:17" s="517" customFormat="1" ht="16.5" hidden="1" x14ac:dyDescent="0.3">
      <c r="A8" s="620">
        <v>2016</v>
      </c>
      <c r="B8" s="809">
        <v>1.7110000000000001</v>
      </c>
      <c r="C8" s="526">
        <v>1.8620000000000001</v>
      </c>
      <c r="D8" s="526">
        <v>1.722</v>
      </c>
      <c r="E8" s="526">
        <v>8.2560000000000002</v>
      </c>
      <c r="F8" s="526">
        <v>6.8710000000000004</v>
      </c>
      <c r="G8" s="527">
        <v>0.39900000000000002</v>
      </c>
      <c r="H8" s="810">
        <v>2016</v>
      </c>
      <c r="I8" s="809">
        <v>1.2669999999999999</v>
      </c>
      <c r="J8" s="526">
        <v>0.23499999999999999</v>
      </c>
      <c r="K8" s="526">
        <v>0.66</v>
      </c>
      <c r="L8" s="526">
        <v>4.5</v>
      </c>
      <c r="M8" s="526">
        <v>2.0030000000000001</v>
      </c>
      <c r="N8" s="527">
        <v>6.3410000000000002</v>
      </c>
      <c r="Q8" s="811"/>
    </row>
    <row r="9" spans="1:17" s="517" customFormat="1" ht="16.5" x14ac:dyDescent="0.3">
      <c r="A9" s="620">
        <v>2017</v>
      </c>
      <c r="B9" s="809">
        <v>2.3330000000000002</v>
      </c>
      <c r="C9" s="526">
        <v>2.6040000000000001</v>
      </c>
      <c r="D9" s="526">
        <v>1.74</v>
      </c>
      <c r="E9" s="526">
        <v>6.7949999999999999</v>
      </c>
      <c r="F9" s="526">
        <v>6.9459999999999997</v>
      </c>
      <c r="G9" s="527">
        <v>1.415</v>
      </c>
      <c r="H9" s="810">
        <v>2017</v>
      </c>
      <c r="I9" s="809">
        <v>2.137</v>
      </c>
      <c r="J9" s="526">
        <v>1.538</v>
      </c>
      <c r="K9" s="526">
        <v>2.6829999999999998</v>
      </c>
      <c r="L9" s="526">
        <v>3.6019999999999999</v>
      </c>
      <c r="M9" s="526">
        <v>1.5580000000000001</v>
      </c>
      <c r="N9" s="527">
        <v>5.2729999999999997</v>
      </c>
      <c r="Q9" s="811"/>
    </row>
    <row r="10" spans="1:17" s="517" customFormat="1" ht="18" customHeight="1" x14ac:dyDescent="0.3">
      <c r="A10" s="620">
        <v>2018</v>
      </c>
      <c r="B10" s="809">
        <v>2.9969999999999999</v>
      </c>
      <c r="C10" s="526">
        <v>1.8839999999999999</v>
      </c>
      <c r="D10" s="526">
        <v>1.2529999999999999</v>
      </c>
      <c r="E10" s="526">
        <v>6.5330000000000004</v>
      </c>
      <c r="F10" s="526">
        <v>6.7249999999999996</v>
      </c>
      <c r="G10" s="527">
        <v>0.78700000000000003</v>
      </c>
      <c r="H10" s="812">
        <v>2018</v>
      </c>
      <c r="I10" s="809">
        <v>2.4340000000000002</v>
      </c>
      <c r="J10" s="526">
        <v>1.7549999999999999</v>
      </c>
      <c r="K10" s="526">
        <v>2.4780000000000002</v>
      </c>
      <c r="L10" s="526">
        <v>3.4279999999999999</v>
      </c>
      <c r="M10" s="526">
        <v>2.105</v>
      </c>
      <c r="N10" s="527">
        <v>4.62</v>
      </c>
      <c r="Q10" s="811"/>
    </row>
    <row r="11" spans="1:17" s="517" customFormat="1" ht="18" customHeight="1" x14ac:dyDescent="0.3">
      <c r="A11" s="813" t="s">
        <v>3236</v>
      </c>
      <c r="B11" s="809">
        <v>2.161</v>
      </c>
      <c r="C11" s="526">
        <v>1.286</v>
      </c>
      <c r="D11" s="526">
        <v>1.4339999999999999</v>
      </c>
      <c r="E11" s="526">
        <v>4.0419999999999998</v>
      </c>
      <c r="F11" s="526">
        <v>6</v>
      </c>
      <c r="G11" s="527">
        <v>0.153</v>
      </c>
      <c r="H11" s="814">
        <v>2019</v>
      </c>
      <c r="I11" s="809">
        <v>1.8120000000000001</v>
      </c>
      <c r="J11" s="526">
        <v>1.196</v>
      </c>
      <c r="K11" s="526">
        <v>1.7909999999999999</v>
      </c>
      <c r="L11" s="526">
        <v>4.7619999999999996</v>
      </c>
      <c r="M11" s="526">
        <v>2.903</v>
      </c>
      <c r="N11" s="527">
        <v>4.13</v>
      </c>
      <c r="Q11" s="811"/>
    </row>
    <row r="12" spans="1:17" s="517" customFormat="1" ht="18" customHeight="1" x14ac:dyDescent="0.3">
      <c r="A12" s="813" t="s">
        <v>1281</v>
      </c>
      <c r="B12" s="809">
        <v>-3.5049999999999999</v>
      </c>
      <c r="C12" s="547">
        <v>-6.5</v>
      </c>
      <c r="D12" s="547">
        <v>-9.8000000000000007</v>
      </c>
      <c r="E12" s="547">
        <v>-7.3</v>
      </c>
      <c r="F12" s="547">
        <v>2.27</v>
      </c>
      <c r="G12" s="527">
        <v>-6.96</v>
      </c>
      <c r="H12" s="815" t="s">
        <v>1248</v>
      </c>
      <c r="I12" s="809">
        <v>1.248</v>
      </c>
      <c r="J12" s="547">
        <v>0.252</v>
      </c>
      <c r="K12" s="547">
        <v>0.85099999999999998</v>
      </c>
      <c r="L12" s="547">
        <v>6.1950000000000003</v>
      </c>
      <c r="M12" s="547">
        <v>2.39</v>
      </c>
      <c r="N12" s="527">
        <v>3.2679999999999998</v>
      </c>
      <c r="Q12" s="811"/>
    </row>
    <row r="13" spans="1:17" s="517" customFormat="1" ht="18" thickBot="1" x14ac:dyDescent="0.35">
      <c r="A13" s="816" t="s">
        <v>1249</v>
      </c>
      <c r="B13" s="817">
        <v>7</v>
      </c>
      <c r="C13" s="818">
        <v>4.5999999999999996</v>
      </c>
      <c r="D13" s="818">
        <v>7</v>
      </c>
      <c r="E13" s="818">
        <v>9.5</v>
      </c>
      <c r="F13" s="818">
        <v>8.1</v>
      </c>
      <c r="G13" s="819">
        <v>4</v>
      </c>
      <c r="H13" s="816" t="s">
        <v>3237</v>
      </c>
      <c r="I13" s="817">
        <v>2.2639999999999998</v>
      </c>
      <c r="J13" s="818">
        <v>1.419</v>
      </c>
      <c r="K13" s="818">
        <v>1.5129999999999999</v>
      </c>
      <c r="L13" s="818">
        <v>4.8879999999999999</v>
      </c>
      <c r="M13" s="818">
        <v>1.1879999999999999</v>
      </c>
      <c r="N13" s="819">
        <v>4.2750000000000004</v>
      </c>
      <c r="Q13" s="811"/>
    </row>
    <row r="14" spans="1:17" s="517" customFormat="1" ht="16.5" hidden="1" x14ac:dyDescent="0.3">
      <c r="A14" s="820" t="s">
        <v>1250</v>
      </c>
      <c r="B14" s="809">
        <v>1.6163010950000001</v>
      </c>
      <c r="C14" s="526">
        <v>-1.1667509110000001</v>
      </c>
      <c r="D14" s="526">
        <v>1.384914416</v>
      </c>
      <c r="E14" s="526">
        <v>5.8606699999999998</v>
      </c>
      <c r="F14" s="526">
        <v>7.9</v>
      </c>
      <c r="G14" s="527">
        <v>2.0608133230000001</v>
      </c>
      <c r="H14" s="821" t="s">
        <v>1250</v>
      </c>
      <c r="I14" s="809">
        <v>1.681829</v>
      </c>
      <c r="J14" s="526">
        <v>1.8572660000000001</v>
      </c>
      <c r="K14" s="526">
        <v>2.5</v>
      </c>
      <c r="L14" s="526">
        <v>11.705690000000001</v>
      </c>
      <c r="M14" s="526">
        <v>2.463619</v>
      </c>
      <c r="N14" s="527">
        <v>5.8286210000000001</v>
      </c>
      <c r="P14" s="811"/>
      <c r="Q14" s="811"/>
    </row>
    <row r="15" spans="1:17" s="517" customFormat="1" ht="16.5" hidden="1" x14ac:dyDescent="0.3">
      <c r="A15" s="820" t="s">
        <v>1123</v>
      </c>
      <c r="B15" s="809">
        <v>1.29617049</v>
      </c>
      <c r="C15" s="526">
        <v>-0.38102915700000001</v>
      </c>
      <c r="D15" s="526">
        <v>2.350491619</v>
      </c>
      <c r="E15" s="526">
        <v>6.1179600000000001</v>
      </c>
      <c r="F15" s="526">
        <v>7.6</v>
      </c>
      <c r="G15" s="527">
        <v>2.2251553629999998</v>
      </c>
      <c r="H15" s="821" t="s">
        <v>1123</v>
      </c>
      <c r="I15" s="809">
        <v>1.3928499999999999</v>
      </c>
      <c r="J15" s="526">
        <v>1.404628</v>
      </c>
      <c r="K15" s="526">
        <v>2.4</v>
      </c>
      <c r="L15" s="526">
        <v>10.66236</v>
      </c>
      <c r="M15" s="526">
        <v>2.3909440000000002</v>
      </c>
      <c r="N15" s="527">
        <v>5.6126820000000004</v>
      </c>
      <c r="P15" s="811"/>
    </row>
    <row r="16" spans="1:17" s="517" customFormat="1" ht="16.5" hidden="1" x14ac:dyDescent="0.3">
      <c r="A16" s="820" t="s">
        <v>1124</v>
      </c>
      <c r="B16" s="809">
        <v>1.9198446199999999</v>
      </c>
      <c r="C16" s="526">
        <v>3.7307839000000002E-2</v>
      </c>
      <c r="D16" s="526">
        <v>2.0631177159999998</v>
      </c>
      <c r="E16" s="526">
        <v>5.9168900000000004</v>
      </c>
      <c r="F16" s="526">
        <v>7.9</v>
      </c>
      <c r="G16" s="527">
        <v>2.3882603740000001</v>
      </c>
      <c r="H16" s="821" t="s">
        <v>1124</v>
      </c>
      <c r="I16" s="809">
        <v>1.5533589999999999</v>
      </c>
      <c r="J16" s="526">
        <v>1.334964</v>
      </c>
      <c r="K16" s="526">
        <v>2.4</v>
      </c>
      <c r="L16" s="526">
        <v>10.764430000000001</v>
      </c>
      <c r="M16" s="526">
        <v>2.7335129999999999</v>
      </c>
      <c r="N16" s="527">
        <v>6.2845009999999997</v>
      </c>
      <c r="P16" s="811"/>
    </row>
    <row r="17" spans="1:16" s="517" customFormat="1" ht="17.25" hidden="1" thickBot="1" x14ac:dyDescent="0.35">
      <c r="A17" s="822" t="s">
        <v>1125</v>
      </c>
      <c r="B17" s="817">
        <v>2.5320497780000002</v>
      </c>
      <c r="C17" s="818">
        <v>0.74672875900000002</v>
      </c>
      <c r="D17" s="818">
        <v>2.9412751610000001</v>
      </c>
      <c r="E17" s="818">
        <v>6.9785599999999999</v>
      </c>
      <c r="F17" s="818">
        <v>7.7</v>
      </c>
      <c r="G17" s="819">
        <v>3.2574316190000001</v>
      </c>
      <c r="H17" s="823" t="s">
        <v>1125</v>
      </c>
      <c r="I17" s="817">
        <v>1.233471</v>
      </c>
      <c r="J17" s="818">
        <v>0.80854360000000003</v>
      </c>
      <c r="K17" s="818">
        <v>1.9</v>
      </c>
      <c r="L17" s="818">
        <v>10.550459999999999</v>
      </c>
      <c r="M17" s="818">
        <v>2.8942260000000002</v>
      </c>
      <c r="N17" s="819">
        <v>5.3862209999999999</v>
      </c>
      <c r="P17" s="811"/>
    </row>
    <row r="18" spans="1:16" s="517" customFormat="1" ht="16.5" hidden="1" x14ac:dyDescent="0.3">
      <c r="A18" s="820" t="s">
        <v>1122</v>
      </c>
      <c r="B18" s="809">
        <v>1.294055859</v>
      </c>
      <c r="C18" s="526">
        <v>1.542708228</v>
      </c>
      <c r="D18" s="526">
        <v>3.1859344909999998</v>
      </c>
      <c r="E18" s="526">
        <v>6.5155599999999998</v>
      </c>
      <c r="F18" s="526">
        <v>7.5</v>
      </c>
      <c r="G18" s="527">
        <v>2.4305368409999999</v>
      </c>
      <c r="H18" s="821" t="s">
        <v>1122</v>
      </c>
      <c r="I18" s="809">
        <v>1.405456</v>
      </c>
      <c r="J18" s="526">
        <v>0.64156679999999999</v>
      </c>
      <c r="K18" s="526">
        <v>1.6</v>
      </c>
      <c r="L18" s="526">
        <v>6.886228</v>
      </c>
      <c r="M18" s="526">
        <v>2.2405599999999999</v>
      </c>
      <c r="N18" s="527">
        <v>5.8775180000000002</v>
      </c>
      <c r="P18" s="811"/>
    </row>
    <row r="19" spans="1:16" s="517" customFormat="1" ht="16.5" hidden="1" x14ac:dyDescent="0.3">
      <c r="A19" s="820" t="s">
        <v>1123</v>
      </c>
      <c r="B19" s="809">
        <v>2.451999168</v>
      </c>
      <c r="C19" s="526">
        <v>1.2380266499999999</v>
      </c>
      <c r="D19" s="526">
        <v>3.0293184549999999</v>
      </c>
      <c r="E19" s="526">
        <v>7.4460800000000003</v>
      </c>
      <c r="F19" s="526">
        <v>7.6</v>
      </c>
      <c r="G19" s="527">
        <v>1.603503908</v>
      </c>
      <c r="H19" s="821" t="s">
        <v>1123</v>
      </c>
      <c r="I19" s="809">
        <v>2.0508459999999999</v>
      </c>
      <c r="J19" s="526">
        <v>0.55875269999999999</v>
      </c>
      <c r="K19" s="526">
        <v>1.6</v>
      </c>
      <c r="L19" s="526">
        <v>6.8613140000000001</v>
      </c>
      <c r="M19" s="526">
        <v>2.1382349999999999</v>
      </c>
      <c r="N19" s="527">
        <v>6.6125759999999998</v>
      </c>
      <c r="P19" s="811"/>
    </row>
    <row r="20" spans="1:16" s="517" customFormat="1" ht="16.5" hidden="1" x14ac:dyDescent="0.3">
      <c r="A20" s="820" t="s">
        <v>1124</v>
      </c>
      <c r="B20" s="809">
        <v>2.831456926</v>
      </c>
      <c r="C20" s="526">
        <v>1.3555527549999999</v>
      </c>
      <c r="D20" s="526">
        <v>2.6510678080000001</v>
      </c>
      <c r="E20" s="526">
        <v>7.6836700000000002</v>
      </c>
      <c r="F20" s="526">
        <v>7.2</v>
      </c>
      <c r="G20" s="527">
        <v>1.7839239220000001</v>
      </c>
      <c r="H20" s="821" t="s">
        <v>1124</v>
      </c>
      <c r="I20" s="809">
        <v>1.7831539999999999</v>
      </c>
      <c r="J20" s="526">
        <v>0.35197099999999998</v>
      </c>
      <c r="K20" s="526">
        <v>1.5</v>
      </c>
      <c r="L20" s="526">
        <v>6.7605630000000003</v>
      </c>
      <c r="M20" s="526">
        <v>1.9059969999999999</v>
      </c>
      <c r="N20" s="527">
        <v>6.3523769999999997</v>
      </c>
      <c r="P20" s="811"/>
    </row>
    <row r="21" spans="1:16" s="517" customFormat="1" ht="17.25" hidden="1" thickBot="1" x14ac:dyDescent="0.35">
      <c r="A21" s="822" t="s">
        <v>1125</v>
      </c>
      <c r="B21" s="817">
        <v>2.5637596660000002</v>
      </c>
      <c r="C21" s="818">
        <v>1.5148512649999999</v>
      </c>
      <c r="D21" s="818">
        <v>2.5934127720000002</v>
      </c>
      <c r="E21" s="818">
        <v>6.9806999999999997</v>
      </c>
      <c r="F21" s="818">
        <v>7.3</v>
      </c>
      <c r="G21" s="819">
        <v>1.5810526869999999</v>
      </c>
      <c r="H21" s="823" t="s">
        <v>1125</v>
      </c>
      <c r="I21" s="817">
        <v>1.2480279999999999</v>
      </c>
      <c r="J21" s="818">
        <v>0.1637536</v>
      </c>
      <c r="K21" s="818">
        <v>1.1000000000000001</v>
      </c>
      <c r="L21" s="818">
        <v>4.9792529999999999</v>
      </c>
      <c r="M21" s="818">
        <v>1.4073199999999999</v>
      </c>
      <c r="N21" s="819">
        <v>5.7052300000000002</v>
      </c>
      <c r="P21" s="811"/>
    </row>
    <row r="22" spans="1:16" s="517" customFormat="1" ht="16.5" hidden="1" x14ac:dyDescent="0.3">
      <c r="A22" s="820" t="s">
        <v>1126</v>
      </c>
      <c r="B22" s="809">
        <v>3.7612027729999999</v>
      </c>
      <c r="C22" s="526">
        <v>1.7608058310000001</v>
      </c>
      <c r="D22" s="526">
        <v>2.3623766499999999</v>
      </c>
      <c r="E22" s="526">
        <v>7.5361599999999997</v>
      </c>
      <c r="F22" s="526">
        <v>7.1</v>
      </c>
      <c r="G22" s="527">
        <v>2.4125076089999999</v>
      </c>
      <c r="H22" s="821" t="s">
        <v>1126</v>
      </c>
      <c r="I22" s="809">
        <v>-6.2695929999999997E-2</v>
      </c>
      <c r="J22" s="526">
        <v>-0.32209359999999998</v>
      </c>
      <c r="K22" s="526">
        <v>0.4</v>
      </c>
      <c r="L22" s="526">
        <v>6.5826330000000004</v>
      </c>
      <c r="M22" s="526">
        <v>1.147486</v>
      </c>
      <c r="N22" s="527">
        <v>4.1925460000000001</v>
      </c>
      <c r="P22" s="811"/>
    </row>
    <row r="23" spans="1:16" s="517" customFormat="1" ht="16.5" hidden="1" x14ac:dyDescent="0.3">
      <c r="A23" s="820" t="s">
        <v>1127</v>
      </c>
      <c r="B23" s="809">
        <v>3.039854675</v>
      </c>
      <c r="C23" s="526">
        <v>1.9789108609999999</v>
      </c>
      <c r="D23" s="526">
        <v>2.459781982</v>
      </c>
      <c r="E23" s="526">
        <v>7.3806000000000003</v>
      </c>
      <c r="F23" s="526">
        <v>7.1</v>
      </c>
      <c r="G23" s="527">
        <v>1.5590904729999999</v>
      </c>
      <c r="H23" s="821" t="s">
        <v>1127</v>
      </c>
      <c r="I23" s="809">
        <v>-3.8272010000000002E-2</v>
      </c>
      <c r="J23" s="526">
        <v>0.43586760000000002</v>
      </c>
      <c r="K23" s="526">
        <v>0.3</v>
      </c>
      <c r="L23" s="526">
        <v>5.8743169999999996</v>
      </c>
      <c r="M23" s="526">
        <v>1.357313</v>
      </c>
      <c r="N23" s="527">
        <v>4.4901070000000001</v>
      </c>
      <c r="P23" s="811"/>
    </row>
    <row r="24" spans="1:16" s="517" customFormat="1" ht="16.5" hidden="1" x14ac:dyDescent="0.3">
      <c r="A24" s="820" t="s">
        <v>1128</v>
      </c>
      <c r="B24" s="809">
        <v>2.1826685110000001</v>
      </c>
      <c r="C24" s="526">
        <v>1.970736099</v>
      </c>
      <c r="D24" s="526">
        <v>2.2794003090000001</v>
      </c>
      <c r="E24" s="526">
        <v>7.4021600000000003</v>
      </c>
      <c r="F24" s="526">
        <v>7</v>
      </c>
      <c r="G24" s="527">
        <v>0.905657296</v>
      </c>
      <c r="H24" s="821" t="s">
        <v>1128</v>
      </c>
      <c r="I24" s="809">
        <v>0.1095034</v>
      </c>
      <c r="J24" s="526">
        <v>0.39416109999999999</v>
      </c>
      <c r="K24" s="526">
        <v>0.4</v>
      </c>
      <c r="L24" s="526">
        <v>4.6174140000000001</v>
      </c>
      <c r="M24" s="526">
        <v>1.7935700000000001</v>
      </c>
      <c r="N24" s="527">
        <v>4.5454549999999996</v>
      </c>
      <c r="P24" s="811"/>
    </row>
    <row r="25" spans="1:16" s="517" customFormat="1" ht="17.25" hidden="1" thickBot="1" x14ac:dyDescent="0.35">
      <c r="A25" s="824" t="s">
        <v>1129</v>
      </c>
      <c r="B25" s="817">
        <v>1.874684059</v>
      </c>
      <c r="C25" s="818">
        <v>2.00856214</v>
      </c>
      <c r="D25" s="818">
        <v>2.3513222090000001</v>
      </c>
      <c r="E25" s="818">
        <v>7.92964</v>
      </c>
      <c r="F25" s="818">
        <v>6.9</v>
      </c>
      <c r="G25" s="819">
        <v>-7.5539634999999994E-2</v>
      </c>
      <c r="H25" s="823" t="s">
        <v>1129</v>
      </c>
      <c r="I25" s="817">
        <v>0.46626459999999997</v>
      </c>
      <c r="J25" s="818">
        <v>0.25690639999999998</v>
      </c>
      <c r="K25" s="818">
        <v>0.4</v>
      </c>
      <c r="L25" s="818">
        <v>6.4558629999999999</v>
      </c>
      <c r="M25" s="818">
        <v>1.450253</v>
      </c>
      <c r="N25" s="819">
        <v>4.7976010000000002</v>
      </c>
      <c r="P25" s="811"/>
    </row>
    <row r="26" spans="1:16" s="517" customFormat="1" ht="16.5" hidden="1" x14ac:dyDescent="0.3">
      <c r="A26" s="820" t="s">
        <v>1130</v>
      </c>
      <c r="B26" s="809">
        <v>1.648190603</v>
      </c>
      <c r="C26" s="526">
        <v>1.8988635279999999</v>
      </c>
      <c r="D26" s="526">
        <v>2.0031047929999999</v>
      </c>
      <c r="E26" s="526">
        <v>9.2227700000000006</v>
      </c>
      <c r="F26" s="526">
        <v>6.9</v>
      </c>
      <c r="G26" s="527">
        <v>-0.74285550899999997</v>
      </c>
      <c r="H26" s="821" t="s">
        <v>1130</v>
      </c>
      <c r="I26" s="809">
        <v>1.0802670000000001</v>
      </c>
      <c r="J26" s="526">
        <v>5.3855739999999999E-2</v>
      </c>
      <c r="K26" s="526">
        <v>0.7</v>
      </c>
      <c r="L26" s="526">
        <v>5.6504599999999998</v>
      </c>
      <c r="M26" s="526">
        <v>2.1021019999999999</v>
      </c>
      <c r="N26" s="527">
        <v>6.5573769999999998</v>
      </c>
      <c r="P26" s="811"/>
    </row>
    <row r="27" spans="1:16" s="517" customFormat="1" ht="16.5" hidden="1" x14ac:dyDescent="0.3">
      <c r="A27" s="820" t="s">
        <v>1127</v>
      </c>
      <c r="B27" s="809">
        <v>1.36762965</v>
      </c>
      <c r="C27" s="526">
        <v>1.7208380109999999</v>
      </c>
      <c r="D27" s="526">
        <v>1.7053686079999999</v>
      </c>
      <c r="E27" s="526">
        <v>8.8371899999999997</v>
      </c>
      <c r="F27" s="526">
        <v>6.8</v>
      </c>
      <c r="G27" s="527">
        <v>0.63506248399999998</v>
      </c>
      <c r="H27" s="821" t="s">
        <v>1127</v>
      </c>
      <c r="I27" s="809">
        <v>1.0470630000000001</v>
      </c>
      <c r="J27" s="526">
        <v>-0.10932219999999999</v>
      </c>
      <c r="K27" s="526">
        <v>0.7</v>
      </c>
      <c r="L27" s="526">
        <v>6.1935479999999998</v>
      </c>
      <c r="M27" s="526">
        <v>2.10914</v>
      </c>
      <c r="N27" s="527">
        <v>6.5185719999999998</v>
      </c>
      <c r="P27" s="811"/>
    </row>
    <row r="28" spans="1:16" s="517" customFormat="1" ht="16.5" hidden="1" x14ac:dyDescent="0.3">
      <c r="A28" s="820" t="s">
        <v>1128</v>
      </c>
      <c r="B28" s="809">
        <v>1.648263356</v>
      </c>
      <c r="C28" s="526">
        <v>1.725856729</v>
      </c>
      <c r="D28" s="526">
        <v>1.6226297190000001</v>
      </c>
      <c r="E28" s="526">
        <v>9.3127499999999994</v>
      </c>
      <c r="F28" s="526">
        <v>6.8</v>
      </c>
      <c r="G28" s="527">
        <v>0.86978783400000004</v>
      </c>
      <c r="H28" s="821" t="s">
        <v>1128</v>
      </c>
      <c r="I28" s="809">
        <v>1.117615</v>
      </c>
      <c r="J28" s="526">
        <v>0.26285140000000001</v>
      </c>
      <c r="K28" s="526">
        <v>1</v>
      </c>
      <c r="L28" s="526">
        <v>5.2963430000000002</v>
      </c>
      <c r="M28" s="526">
        <v>1.628989</v>
      </c>
      <c r="N28" s="527">
        <v>6.3959760000000001</v>
      </c>
      <c r="P28" s="811"/>
    </row>
    <row r="29" spans="1:16" s="517" customFormat="1" ht="17.25" hidden="1" thickBot="1" x14ac:dyDescent="0.35">
      <c r="A29" s="822" t="s">
        <v>1129</v>
      </c>
      <c r="B29" s="817">
        <v>2.0041770460000001</v>
      </c>
      <c r="C29" s="818">
        <v>2.0442490289999999</v>
      </c>
      <c r="D29" s="818">
        <v>1.562578818</v>
      </c>
      <c r="E29" s="818">
        <v>8.5953499999999998</v>
      </c>
      <c r="F29" s="818">
        <v>6.9</v>
      </c>
      <c r="G29" s="819">
        <v>0.84065460700000005</v>
      </c>
      <c r="H29" s="823" t="s">
        <v>1129</v>
      </c>
      <c r="I29" s="817">
        <v>1.800621</v>
      </c>
      <c r="J29" s="818">
        <v>0.7321375</v>
      </c>
      <c r="K29" s="818">
        <v>1.5</v>
      </c>
      <c r="L29" s="818">
        <v>2.722772</v>
      </c>
      <c r="M29" s="818">
        <v>2.1609039999999999</v>
      </c>
      <c r="N29" s="819">
        <v>6.9027180000000001</v>
      </c>
      <c r="P29" s="811"/>
    </row>
    <row r="30" spans="1:16" s="517" customFormat="1" ht="16.5" x14ac:dyDescent="0.3">
      <c r="A30" s="820" t="s">
        <v>1131</v>
      </c>
      <c r="B30" s="809">
        <v>1.8852788700000001</v>
      </c>
      <c r="C30" s="526">
        <v>2.178105339</v>
      </c>
      <c r="D30" s="526">
        <v>1.8636631189999999</v>
      </c>
      <c r="E30" s="526">
        <v>6.3774899999999999</v>
      </c>
      <c r="F30" s="526">
        <v>7</v>
      </c>
      <c r="G30" s="527">
        <v>1.0237254069999999</v>
      </c>
      <c r="H30" s="821" t="s">
        <v>1131</v>
      </c>
      <c r="I30" s="809">
        <v>2.53932</v>
      </c>
      <c r="J30" s="526">
        <v>1.735913</v>
      </c>
      <c r="K30" s="526">
        <v>2.2000000000000002</v>
      </c>
      <c r="L30" s="526">
        <v>2.363184</v>
      </c>
      <c r="M30" s="526">
        <v>1.4379090000000001</v>
      </c>
      <c r="N30" s="527">
        <v>6.4685319999999997</v>
      </c>
      <c r="P30" s="811"/>
    </row>
    <row r="31" spans="1:16" s="517" customFormat="1" ht="16.5" x14ac:dyDescent="0.3">
      <c r="A31" s="820" t="s">
        <v>1127</v>
      </c>
      <c r="B31" s="809">
        <v>2.1467165829999999</v>
      </c>
      <c r="C31" s="526">
        <v>2.71193062</v>
      </c>
      <c r="D31" s="526">
        <v>1.7016388010000001</v>
      </c>
      <c r="E31" s="526">
        <v>6.6540400000000002</v>
      </c>
      <c r="F31" s="526">
        <v>7</v>
      </c>
      <c r="G31" s="527">
        <v>0.96574408899999997</v>
      </c>
      <c r="H31" s="821" t="s">
        <v>1127</v>
      </c>
      <c r="I31" s="809">
        <v>1.901991</v>
      </c>
      <c r="J31" s="526">
        <v>1.5255529999999999</v>
      </c>
      <c r="K31" s="526">
        <v>2.6</v>
      </c>
      <c r="L31" s="526">
        <v>1.45808</v>
      </c>
      <c r="M31" s="526">
        <v>1.508197</v>
      </c>
      <c r="N31" s="527">
        <v>5.1965810000000001</v>
      </c>
      <c r="P31" s="811"/>
    </row>
    <row r="32" spans="1:16" s="517" customFormat="1" ht="16.5" x14ac:dyDescent="0.3">
      <c r="A32" s="820" t="s">
        <v>1128</v>
      </c>
      <c r="B32" s="809">
        <v>2.2665646380000002</v>
      </c>
      <c r="C32" s="526">
        <v>2.990905632</v>
      </c>
      <c r="D32" s="526">
        <v>1.8211726450000001</v>
      </c>
      <c r="E32" s="526">
        <v>5.9970800000000004</v>
      </c>
      <c r="F32" s="526">
        <v>6.9</v>
      </c>
      <c r="G32" s="527">
        <v>1.4382738639999999</v>
      </c>
      <c r="H32" s="821" t="s">
        <v>1128</v>
      </c>
      <c r="I32" s="809">
        <v>1.966925</v>
      </c>
      <c r="J32" s="526">
        <v>1.480056</v>
      </c>
      <c r="K32" s="526">
        <v>2.7</v>
      </c>
      <c r="L32" s="526">
        <v>2.3952100000000001</v>
      </c>
      <c r="M32" s="526">
        <v>1.6028789999999999</v>
      </c>
      <c r="N32" s="527">
        <v>4.5930429999999998</v>
      </c>
      <c r="P32" s="811"/>
    </row>
    <row r="33" spans="1:16" s="517" customFormat="1" ht="17.25" thickBot="1" x14ac:dyDescent="0.35">
      <c r="A33" s="822" t="s">
        <v>1251</v>
      </c>
      <c r="B33" s="817">
        <v>2.7178855820000001</v>
      </c>
      <c r="C33" s="818">
        <v>3.0694750960000001</v>
      </c>
      <c r="D33" s="818">
        <v>1.5765524829999999</v>
      </c>
      <c r="E33" s="818">
        <v>6.5322100000000001</v>
      </c>
      <c r="F33" s="818">
        <v>6.8</v>
      </c>
      <c r="G33" s="819">
        <v>2.2250560830000001</v>
      </c>
      <c r="H33" s="823" t="s">
        <v>1129</v>
      </c>
      <c r="I33" s="817">
        <v>2.1175579999999998</v>
      </c>
      <c r="J33" s="818">
        <v>1.413988</v>
      </c>
      <c r="K33" s="818">
        <v>2.8</v>
      </c>
      <c r="L33" s="818">
        <v>3.7349399999999999</v>
      </c>
      <c r="M33" s="818">
        <v>1.8223229999999999</v>
      </c>
      <c r="N33" s="819">
        <v>4.5165610000000003</v>
      </c>
      <c r="P33" s="811"/>
    </row>
    <row r="34" spans="1:16" s="517" customFormat="1" ht="16.5" x14ac:dyDescent="0.3">
      <c r="A34" s="825" t="s">
        <v>1177</v>
      </c>
      <c r="B34" s="826">
        <v>3.0153118829999999</v>
      </c>
      <c r="C34" s="525">
        <v>2.5137071739999999</v>
      </c>
      <c r="D34" s="525">
        <v>1.144880731</v>
      </c>
      <c r="E34" s="525">
        <v>7.9729900000000002</v>
      </c>
      <c r="F34" s="525">
        <v>6.9</v>
      </c>
      <c r="G34" s="827">
        <v>1.5920997569999999</v>
      </c>
      <c r="H34" s="828" t="s">
        <v>1177</v>
      </c>
      <c r="I34" s="826">
        <v>2.2141950000000001</v>
      </c>
      <c r="J34" s="525">
        <v>1.2697989999999999</v>
      </c>
      <c r="K34" s="525">
        <v>2.5</v>
      </c>
      <c r="L34" s="525">
        <v>4.7387600000000001</v>
      </c>
      <c r="M34" s="525">
        <v>2.1262889999999999</v>
      </c>
      <c r="N34" s="827">
        <v>3.940887</v>
      </c>
      <c r="P34" s="811"/>
    </row>
    <row r="35" spans="1:16" s="517" customFormat="1" ht="16.5" x14ac:dyDescent="0.3">
      <c r="A35" s="820" t="s">
        <v>1127</v>
      </c>
      <c r="B35" s="809">
        <v>3.2961522830000001</v>
      </c>
      <c r="C35" s="526">
        <v>2.2222539819999998</v>
      </c>
      <c r="D35" s="526">
        <v>1.235354098</v>
      </c>
      <c r="E35" s="526">
        <v>7.20017</v>
      </c>
      <c r="F35" s="526">
        <v>6.9</v>
      </c>
      <c r="G35" s="527">
        <v>0.72250325500000001</v>
      </c>
      <c r="H35" s="821" t="s">
        <v>1127</v>
      </c>
      <c r="I35" s="809">
        <v>2.7118869999999999</v>
      </c>
      <c r="J35" s="526">
        <v>1.714958</v>
      </c>
      <c r="K35" s="526">
        <v>2.2000000000000002</v>
      </c>
      <c r="L35" s="526">
        <v>3.9520960000000001</v>
      </c>
      <c r="M35" s="526">
        <v>1.711886</v>
      </c>
      <c r="N35" s="527">
        <v>4.3223919999999998</v>
      </c>
      <c r="P35" s="811"/>
    </row>
    <row r="36" spans="1:16" s="517" customFormat="1" ht="16.5" x14ac:dyDescent="0.3">
      <c r="A36" s="820" t="s">
        <v>1128</v>
      </c>
      <c r="B36" s="809">
        <v>3.0528859119999998</v>
      </c>
      <c r="C36" s="526">
        <v>1.6099489419999999</v>
      </c>
      <c r="D36" s="526">
        <v>1.409817007</v>
      </c>
      <c r="E36" s="526">
        <v>6.9237599999999997</v>
      </c>
      <c r="F36" s="526">
        <v>6.7</v>
      </c>
      <c r="G36" s="527">
        <v>0.67920246100000004</v>
      </c>
      <c r="H36" s="821" t="s">
        <v>1128</v>
      </c>
      <c r="I36" s="809">
        <v>2.6409400000000001</v>
      </c>
      <c r="J36" s="526">
        <v>2.1190319999999998</v>
      </c>
      <c r="K36" s="526">
        <v>2.2999999999999998</v>
      </c>
      <c r="L36" s="526">
        <v>5.6140350000000003</v>
      </c>
      <c r="M36" s="526">
        <v>2.285898</v>
      </c>
      <c r="N36" s="527">
        <v>4.9079759999999997</v>
      </c>
      <c r="P36" s="811"/>
    </row>
    <row r="37" spans="1:16" s="517" customFormat="1" ht="17.25" thickBot="1" x14ac:dyDescent="0.35">
      <c r="A37" s="822" t="s">
        <v>1129</v>
      </c>
      <c r="B37" s="817">
        <v>2.3206170949999998</v>
      </c>
      <c r="C37" s="818">
        <v>1.2337243099999999</v>
      </c>
      <c r="D37" s="818">
        <v>1.2195878790000001</v>
      </c>
      <c r="E37" s="818">
        <v>6.5754099999999998</v>
      </c>
      <c r="F37" s="818">
        <v>6.5</v>
      </c>
      <c r="G37" s="819">
        <v>0.17041621300000001</v>
      </c>
      <c r="H37" s="823" t="s">
        <v>1129</v>
      </c>
      <c r="I37" s="817">
        <v>2.203131</v>
      </c>
      <c r="J37" s="818">
        <v>1.908981</v>
      </c>
      <c r="K37" s="818">
        <v>2.1</v>
      </c>
      <c r="L37" s="818">
        <v>5.1103370000000004</v>
      </c>
      <c r="M37" s="818">
        <v>2.1732179999999999</v>
      </c>
      <c r="N37" s="819">
        <v>4.8335470000000003</v>
      </c>
      <c r="P37" s="811"/>
    </row>
    <row r="38" spans="1:16" s="517" customFormat="1" ht="16.5" x14ac:dyDescent="0.3">
      <c r="A38" s="829" t="s">
        <v>1143</v>
      </c>
      <c r="B38" s="525">
        <v>2.1530015140000001</v>
      </c>
      <c r="C38" s="525">
        <v>1.6458663140000001</v>
      </c>
      <c r="D38" s="525">
        <v>1.708500594</v>
      </c>
      <c r="E38" s="525">
        <v>5.4854700000000003</v>
      </c>
      <c r="F38" s="525">
        <v>6.3</v>
      </c>
      <c r="G38" s="827">
        <v>4.8510243000000002E-2</v>
      </c>
      <c r="H38" s="828" t="s">
        <v>1143</v>
      </c>
      <c r="I38" s="826">
        <v>1.644936</v>
      </c>
      <c r="J38" s="525">
        <v>1.426939</v>
      </c>
      <c r="K38" s="525">
        <v>1.8</v>
      </c>
      <c r="L38" s="525">
        <v>7.0765659999999997</v>
      </c>
      <c r="M38" s="525">
        <v>1.829653</v>
      </c>
      <c r="N38" s="827">
        <v>4.1706159999999999</v>
      </c>
      <c r="P38" s="811"/>
    </row>
    <row r="39" spans="1:16" s="517" customFormat="1" ht="16.5" x14ac:dyDescent="0.3">
      <c r="A39" s="830" t="s">
        <v>1127</v>
      </c>
      <c r="B39" s="526">
        <v>2.1114788359999999</v>
      </c>
      <c r="C39" s="526">
        <v>1.3673488</v>
      </c>
      <c r="D39" s="526">
        <v>1.4610401770000001</v>
      </c>
      <c r="E39" s="526">
        <v>5.0714699999999997</v>
      </c>
      <c r="F39" s="526">
        <v>6</v>
      </c>
      <c r="G39" s="526">
        <v>0.998119164</v>
      </c>
      <c r="H39" s="830" t="s">
        <v>1127</v>
      </c>
      <c r="I39" s="526">
        <v>1.8113760000000001</v>
      </c>
      <c r="J39" s="526">
        <v>1.40343</v>
      </c>
      <c r="K39" s="526">
        <v>2</v>
      </c>
      <c r="L39" s="526">
        <v>8.5253460000000008</v>
      </c>
      <c r="M39" s="526">
        <v>2.6675140000000002</v>
      </c>
      <c r="N39" s="527">
        <v>4.4236760000000004</v>
      </c>
      <c r="P39" s="811"/>
    </row>
    <row r="40" spans="1:16" s="517" customFormat="1" ht="16.5" x14ac:dyDescent="0.3">
      <c r="A40" s="830" t="s">
        <v>1128</v>
      </c>
      <c r="B40" s="526">
        <v>2.3183259980000002</v>
      </c>
      <c r="C40" s="526">
        <v>1.499002194</v>
      </c>
      <c r="D40" s="526">
        <v>1.360998723</v>
      </c>
      <c r="E40" s="526">
        <v>4.4368400000000001</v>
      </c>
      <c r="F40" s="526">
        <v>5.9</v>
      </c>
      <c r="G40" s="526">
        <v>0.13660377500000001</v>
      </c>
      <c r="H40" s="830" t="s">
        <v>1128</v>
      </c>
      <c r="I40" s="526">
        <v>1.7574879999999999</v>
      </c>
      <c r="J40" s="526">
        <v>0.9542718</v>
      </c>
      <c r="K40" s="526">
        <v>1.8</v>
      </c>
      <c r="L40" s="526">
        <v>6.4230340000000004</v>
      </c>
      <c r="M40" s="526">
        <v>2.8643369999999999</v>
      </c>
      <c r="N40" s="527">
        <v>4.155125</v>
      </c>
      <c r="P40" s="811"/>
    </row>
    <row r="41" spans="1:16" s="517" customFormat="1" ht="17.25" thickBot="1" x14ac:dyDescent="0.35">
      <c r="A41" s="830" t="s">
        <v>1129</v>
      </c>
      <c r="B41" s="547">
        <v>2.5694235349999999</v>
      </c>
      <c r="C41" s="547">
        <v>0.98416554999999994</v>
      </c>
      <c r="D41" s="547">
        <v>1.2097238690000001</v>
      </c>
      <c r="E41" s="547">
        <v>3.5072100000000002</v>
      </c>
      <c r="F41" s="547">
        <v>5.8</v>
      </c>
      <c r="G41" s="547">
        <v>-0.56555713900000004</v>
      </c>
      <c r="H41" s="830" t="s">
        <v>1129</v>
      </c>
      <c r="I41" s="547">
        <v>2.0329139999999999</v>
      </c>
      <c r="J41" s="547">
        <v>1.0037400000000001</v>
      </c>
      <c r="K41" s="547">
        <v>1.4</v>
      </c>
      <c r="L41" s="547">
        <v>8.6187850000000008</v>
      </c>
      <c r="M41" s="547">
        <v>4.222709</v>
      </c>
      <c r="N41" s="527">
        <v>3.755725</v>
      </c>
      <c r="P41" s="811"/>
    </row>
    <row r="42" spans="1:16" s="517" customFormat="1" ht="16.5" x14ac:dyDescent="0.3">
      <c r="A42" s="829" t="s">
        <v>1178</v>
      </c>
      <c r="B42" s="525">
        <v>0.63078516399999995</v>
      </c>
      <c r="C42" s="525">
        <v>-3.169839412</v>
      </c>
      <c r="D42" s="525">
        <v>-2.2121416489999999</v>
      </c>
      <c r="E42" s="525">
        <v>3.1958099999999998</v>
      </c>
      <c r="F42" s="525">
        <v>-6.8</v>
      </c>
      <c r="G42" s="525">
        <v>-0.20134505799999999</v>
      </c>
      <c r="H42" s="829" t="s">
        <v>1178</v>
      </c>
      <c r="I42" s="525">
        <v>2.118652</v>
      </c>
      <c r="J42" s="525">
        <v>1.1074630000000001</v>
      </c>
      <c r="K42" s="525">
        <v>1.7</v>
      </c>
      <c r="L42" s="525">
        <v>6.6088839999999998</v>
      </c>
      <c r="M42" s="525">
        <v>4.9566290000000004</v>
      </c>
      <c r="N42" s="827">
        <v>4.3372760000000001</v>
      </c>
      <c r="P42" s="811"/>
    </row>
    <row r="43" spans="1:16" s="517" customFormat="1" ht="16.5" x14ac:dyDescent="0.3">
      <c r="A43" s="830" t="s">
        <v>1127</v>
      </c>
      <c r="B43" s="547">
        <v>-9.0837374240000006</v>
      </c>
      <c r="C43" s="547">
        <v>-14.44115392</v>
      </c>
      <c r="D43" s="547">
        <v>-21.357741759</v>
      </c>
      <c r="E43" s="547">
        <v>-24.243970000000001</v>
      </c>
      <c r="F43" s="547">
        <v>3.2</v>
      </c>
      <c r="G43" s="547">
        <v>-17.468268184999999</v>
      </c>
      <c r="H43" s="830" t="s">
        <v>1127</v>
      </c>
      <c r="I43" s="547">
        <v>0.3642956</v>
      </c>
      <c r="J43" s="547">
        <v>0.22169440000000001</v>
      </c>
      <c r="K43" s="547">
        <v>0.8</v>
      </c>
      <c r="L43" s="547">
        <v>5.2016980000000004</v>
      </c>
      <c r="M43" s="547">
        <v>2.72193</v>
      </c>
      <c r="N43" s="527">
        <v>2.3568020000000001</v>
      </c>
      <c r="P43" s="811"/>
    </row>
    <row r="44" spans="1:16" s="517" customFormat="1" ht="16.5" x14ac:dyDescent="0.3">
      <c r="A44" s="830" t="s">
        <v>1128</v>
      </c>
      <c r="B44" s="547">
        <v>-2.8875059890000001</v>
      </c>
      <c r="C44" s="547">
        <v>-3.991554963</v>
      </c>
      <c r="D44" s="547">
        <v>-8.4845191030000002</v>
      </c>
      <c r="E44" s="547">
        <v>-7.4535299999999998</v>
      </c>
      <c r="F44" s="547">
        <v>4.9000000000000004</v>
      </c>
      <c r="G44" s="547">
        <v>-5.9401038320000001</v>
      </c>
      <c r="H44" s="830" t="s">
        <v>1128</v>
      </c>
      <c r="I44" s="547">
        <v>1.222386</v>
      </c>
      <c r="J44" s="547">
        <v>-3.1719850000000001E-2</v>
      </c>
      <c r="K44" s="547">
        <v>0.8</v>
      </c>
      <c r="L44" s="547">
        <v>5.5306730000000002</v>
      </c>
      <c r="M44" s="547">
        <v>1.9583839999999999</v>
      </c>
      <c r="N44" s="527">
        <v>3.0437349999999999</v>
      </c>
      <c r="P44" s="811"/>
    </row>
    <row r="45" spans="1:16" s="517" customFormat="1" ht="17.25" thickBot="1" x14ac:dyDescent="0.35">
      <c r="A45" s="830" t="s">
        <v>1129</v>
      </c>
      <c r="B45" s="547">
        <v>-2.2629152430000001</v>
      </c>
      <c r="C45" s="547">
        <v>-4.5830908040000002</v>
      </c>
      <c r="D45" s="547">
        <v>-7.3413947750000004</v>
      </c>
      <c r="E45" s="547">
        <v>0.54096999999999995</v>
      </c>
      <c r="F45" s="547">
        <v>6.5</v>
      </c>
      <c r="G45" s="547">
        <v>-4.2470985360000002</v>
      </c>
      <c r="H45" s="830" t="s">
        <v>1129</v>
      </c>
      <c r="I45" s="547">
        <v>1.2394879999999999</v>
      </c>
      <c r="J45" s="547">
        <v>-0.27534259999999999</v>
      </c>
      <c r="K45" s="547">
        <v>0.8</v>
      </c>
      <c r="L45" s="547">
        <v>4.952394</v>
      </c>
      <c r="M45" s="547">
        <v>0.120048</v>
      </c>
      <c r="N45" s="527">
        <v>3.1783399999999999</v>
      </c>
      <c r="P45" s="811"/>
    </row>
    <row r="46" spans="1:16" s="517" customFormat="1" ht="16.5" x14ac:dyDescent="0.3">
      <c r="A46" s="829" t="s">
        <v>1180</v>
      </c>
      <c r="B46" s="525">
        <v>0.54697680299999996</v>
      </c>
      <c r="C46" s="525">
        <v>-1.341797723</v>
      </c>
      <c r="D46" s="525">
        <v>-6.1384331369999998</v>
      </c>
      <c r="E46" s="525">
        <v>1.8345100000000001</v>
      </c>
      <c r="F46" s="525">
        <v>18.3</v>
      </c>
      <c r="G46" s="525">
        <v>-2.7323584479999998</v>
      </c>
      <c r="H46" s="829" t="s">
        <v>1180</v>
      </c>
      <c r="I46" s="525">
        <v>1.898514</v>
      </c>
      <c r="J46" s="525">
        <v>1.0603070000000001</v>
      </c>
      <c r="K46" s="525">
        <v>0.9</v>
      </c>
      <c r="L46" s="525">
        <v>4.4359520000000003</v>
      </c>
      <c r="M46" s="525">
        <v>-0.1089662</v>
      </c>
      <c r="N46" s="827">
        <v>3.0813950000000001</v>
      </c>
      <c r="P46" s="811"/>
    </row>
    <row r="47" spans="1:16" s="517" customFormat="1" ht="17.25" thickBot="1" x14ac:dyDescent="0.35">
      <c r="A47" s="831" t="s">
        <v>1127</v>
      </c>
      <c r="B47" s="832">
        <v>12.167957211999999</v>
      </c>
      <c r="C47" s="832">
        <v>13.651169292000001</v>
      </c>
      <c r="D47" s="832" t="s">
        <v>1252</v>
      </c>
      <c r="E47" s="832" t="s">
        <v>1252</v>
      </c>
      <c r="F47" s="832">
        <v>7.9</v>
      </c>
      <c r="G47" s="832" t="s">
        <v>1252</v>
      </c>
      <c r="H47" s="831" t="s">
        <v>1127</v>
      </c>
      <c r="I47" s="832">
        <v>4.8489449999999996</v>
      </c>
      <c r="J47" s="832">
        <v>1.835993</v>
      </c>
      <c r="K47" s="832">
        <v>2.1</v>
      </c>
      <c r="L47" s="832">
        <v>5.325812</v>
      </c>
      <c r="M47" s="832">
        <v>1.436067</v>
      </c>
      <c r="N47" s="833">
        <v>4.9256779999999996</v>
      </c>
      <c r="P47" s="811"/>
    </row>
    <row r="48" spans="1:16" s="557" customFormat="1" ht="19.5" customHeight="1" thickTop="1" x14ac:dyDescent="0.25">
      <c r="A48" s="557" t="s">
        <v>1253</v>
      </c>
      <c r="D48" s="557" t="s">
        <v>1254</v>
      </c>
      <c r="F48" s="557" t="s">
        <v>3238</v>
      </c>
      <c r="I48" s="557" t="s">
        <v>1255</v>
      </c>
      <c r="K48" s="802"/>
    </row>
    <row r="49" spans="8:14" s="557" customFormat="1" ht="19.5" customHeight="1" x14ac:dyDescent="0.25">
      <c r="H49" s="834"/>
      <c r="I49" s="802"/>
      <c r="J49" s="802"/>
      <c r="L49" s="802"/>
      <c r="M49" s="802"/>
    </row>
    <row r="50" spans="8:14" s="557" customFormat="1" ht="19.5" customHeight="1" x14ac:dyDescent="0.25">
      <c r="H50" s="834"/>
      <c r="I50" s="802"/>
      <c r="J50" s="802"/>
      <c r="K50" s="802"/>
      <c r="L50" s="802"/>
      <c r="M50" s="802"/>
      <c r="N50" s="802"/>
    </row>
    <row r="51" spans="8:14" s="557" customFormat="1" ht="19.5" customHeight="1" x14ac:dyDescent="0.25">
      <c r="H51" s="834"/>
      <c r="I51" s="802"/>
      <c r="J51" s="802"/>
      <c r="K51" s="802"/>
      <c r="L51" s="802"/>
      <c r="M51" s="802"/>
      <c r="N51" s="802"/>
    </row>
    <row r="52" spans="8:14" ht="19.5" customHeight="1" x14ac:dyDescent="0.3"/>
  </sheetData>
  <mergeCells count="4">
    <mergeCell ref="A3:A4"/>
    <mergeCell ref="B3:G3"/>
    <mergeCell ref="H3:H4"/>
    <mergeCell ref="I3:N3"/>
  </mergeCells>
  <pageMargins left="0.75" right="0.75" top="0.75" bottom="0.75" header="0.3" footer="0"/>
  <pageSetup paperSize="9" scale="7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pageSetUpPr fitToPage="1"/>
  </sheetPr>
  <dimension ref="A1:XFD40"/>
  <sheetViews>
    <sheetView showGridLines="0" zoomScaleNormal="100" zoomScaleSheetLayoutView="100" workbookViewId="0">
      <pane xSplit="1" ySplit="3" topLeftCell="U4" activePane="bottomRight" state="frozen"/>
      <selection activeCell="K39" sqref="K39"/>
      <selection pane="topRight" activeCell="K39" sqref="K39"/>
      <selection pane="bottomLeft" activeCell="K39" sqref="K39"/>
      <selection pane="bottomRight" activeCell="Z1" sqref="Z1"/>
    </sheetView>
  </sheetViews>
  <sheetFormatPr defaultColWidth="74.28515625" defaultRowHeight="20.25" x14ac:dyDescent="0.35"/>
  <cols>
    <col min="1" max="1" width="91.85546875" style="290" customWidth="1"/>
    <col min="2" max="19" width="15.7109375" style="290" hidden="1" customWidth="1"/>
    <col min="20" max="23" width="15.7109375" style="290" customWidth="1"/>
    <col min="24" max="95" width="15.7109375" style="104" customWidth="1"/>
    <col min="96" max="16384" width="74.28515625" style="104"/>
  </cols>
  <sheetData>
    <row r="1" spans="1:32" ht="28.5" customHeight="1" x14ac:dyDescent="0.45">
      <c r="A1" s="224" t="s">
        <v>1037</v>
      </c>
      <c r="B1" s="337"/>
      <c r="C1" s="337"/>
      <c r="D1" s="337"/>
      <c r="E1" s="337"/>
      <c r="F1" s="104"/>
      <c r="G1" s="104"/>
      <c r="H1" s="337"/>
      <c r="I1" s="104"/>
      <c r="J1" s="104"/>
      <c r="K1" s="337"/>
      <c r="L1" s="337"/>
      <c r="M1" s="337"/>
      <c r="N1" s="337"/>
      <c r="O1" s="337"/>
      <c r="P1" s="337"/>
      <c r="Q1" s="337"/>
      <c r="R1" s="337"/>
      <c r="S1" s="337"/>
      <c r="T1" s="337"/>
      <c r="U1" s="337"/>
      <c r="V1" s="337"/>
      <c r="W1" s="337"/>
    </row>
    <row r="2" spans="1:32" ht="15" customHeight="1" thickBot="1" x14ac:dyDescent="0.4">
      <c r="A2" s="338"/>
      <c r="F2" s="339"/>
      <c r="G2" s="339"/>
      <c r="I2" s="339"/>
      <c r="J2" s="339"/>
      <c r="O2" s="87"/>
      <c r="P2" s="87"/>
      <c r="Q2" s="87"/>
      <c r="R2" s="87"/>
      <c r="S2" s="87"/>
      <c r="T2" s="87"/>
      <c r="U2" s="87"/>
      <c r="V2" s="87"/>
      <c r="Y2" s="87"/>
      <c r="Z2" s="87"/>
      <c r="AA2" s="87"/>
      <c r="AB2" s="87"/>
      <c r="AC2" s="87"/>
      <c r="AD2" s="87"/>
      <c r="AE2" s="87"/>
      <c r="AF2" s="87" t="s">
        <v>8</v>
      </c>
    </row>
    <row r="3" spans="1:32" s="127" customFormat="1" ht="27.95" customHeight="1" thickTop="1" thickBot="1" x14ac:dyDescent="0.3">
      <c r="A3" s="340"/>
      <c r="B3" s="341">
        <v>43435</v>
      </c>
      <c r="C3" s="342">
        <v>43466</v>
      </c>
      <c r="D3" s="341">
        <v>43497</v>
      </c>
      <c r="E3" s="342">
        <v>43525</v>
      </c>
      <c r="F3" s="341">
        <v>43556</v>
      </c>
      <c r="G3" s="342">
        <v>43586</v>
      </c>
      <c r="H3" s="341">
        <v>43617</v>
      </c>
      <c r="I3" s="342">
        <v>43647</v>
      </c>
      <c r="J3" s="341">
        <v>43678</v>
      </c>
      <c r="K3" s="342">
        <v>43709</v>
      </c>
      <c r="L3" s="341">
        <v>43739</v>
      </c>
      <c r="M3" s="342">
        <v>43770</v>
      </c>
      <c r="N3" s="341">
        <v>43800</v>
      </c>
      <c r="O3" s="342">
        <v>43831</v>
      </c>
      <c r="P3" s="342" t="s">
        <v>501</v>
      </c>
      <c r="Q3" s="342" t="s">
        <v>502</v>
      </c>
      <c r="R3" s="342" t="s">
        <v>412</v>
      </c>
      <c r="S3" s="342" t="s">
        <v>503</v>
      </c>
      <c r="T3" s="342">
        <v>43983</v>
      </c>
      <c r="U3" s="342">
        <v>44013</v>
      </c>
      <c r="V3" s="342">
        <v>44044</v>
      </c>
      <c r="W3" s="342">
        <v>44075</v>
      </c>
      <c r="X3" s="342">
        <v>44106</v>
      </c>
      <c r="Y3" s="342">
        <v>44136</v>
      </c>
      <c r="Z3" s="342">
        <v>44166</v>
      </c>
      <c r="AA3" s="342">
        <v>44197</v>
      </c>
      <c r="AB3" s="342" t="s">
        <v>928</v>
      </c>
      <c r="AC3" s="342" t="s">
        <v>929</v>
      </c>
      <c r="AD3" s="342" t="s">
        <v>3273</v>
      </c>
      <c r="AE3" s="342" t="s">
        <v>3274</v>
      </c>
      <c r="AF3" s="342" t="s">
        <v>3275</v>
      </c>
    </row>
    <row r="4" spans="1:32" s="127" customFormat="1" ht="27.95" customHeight="1" thickTop="1" x14ac:dyDescent="0.25">
      <c r="A4" s="293" t="s">
        <v>338</v>
      </c>
      <c r="B4" s="343">
        <v>7381.8308040700012</v>
      </c>
      <c r="C4" s="343">
        <v>7295.1135384500012</v>
      </c>
      <c r="D4" s="343">
        <v>7223.0844884299986</v>
      </c>
      <c r="E4" s="343">
        <v>7212.85939409</v>
      </c>
      <c r="F4" s="343">
        <v>7160.9139457299989</v>
      </c>
      <c r="G4" s="343">
        <v>7212.5251683000006</v>
      </c>
      <c r="H4" s="343">
        <v>7356.1106059799986</v>
      </c>
      <c r="I4" s="343">
        <v>7352.6454573399988</v>
      </c>
      <c r="J4" s="343">
        <v>7411.9245628299996</v>
      </c>
      <c r="K4" s="343">
        <v>7333.7552548399999</v>
      </c>
      <c r="L4" s="343">
        <v>7314.7101898399997</v>
      </c>
      <c r="M4" s="343">
        <v>7387.5283878299988</v>
      </c>
      <c r="N4" s="343">
        <v>7494.8389286799993</v>
      </c>
      <c r="O4" s="343">
        <v>7204.0479296499971</v>
      </c>
      <c r="P4" s="343">
        <v>4968.9218289499995</v>
      </c>
      <c r="Q4" s="343">
        <v>4860.1564898899996</v>
      </c>
      <c r="R4" s="343">
        <v>4799.6079644399997</v>
      </c>
      <c r="S4" s="343">
        <v>4776.92586381</v>
      </c>
      <c r="T4" s="343">
        <v>4706.2486504600001</v>
      </c>
      <c r="U4" s="343">
        <v>4786.9978488999996</v>
      </c>
      <c r="V4" s="343">
        <v>4791.6827885400007</v>
      </c>
      <c r="W4" s="343">
        <v>4824.0207262799995</v>
      </c>
      <c r="X4" s="343">
        <v>4762.4161550600011</v>
      </c>
      <c r="Y4" s="343">
        <v>4695.1096564399986</v>
      </c>
      <c r="Z4" s="343">
        <v>4643.5602542800007</v>
      </c>
      <c r="AA4" s="343">
        <v>4673.3408473199997</v>
      </c>
      <c r="AB4" s="343">
        <v>4766.6771346699998</v>
      </c>
      <c r="AC4" s="343">
        <v>4679.1717760700003</v>
      </c>
      <c r="AD4" s="343">
        <v>4600.2861646000001</v>
      </c>
      <c r="AE4" s="343">
        <v>4561.7208613900002</v>
      </c>
      <c r="AF4" s="509">
        <v>4662.2045780200006</v>
      </c>
    </row>
    <row r="5" spans="1:32" s="127" customFormat="1" ht="27.95" customHeight="1" x14ac:dyDescent="0.25">
      <c r="A5" s="226" t="s">
        <v>505</v>
      </c>
      <c r="B5" s="294">
        <v>439.19352444000003</v>
      </c>
      <c r="C5" s="294">
        <v>418.23649968999996</v>
      </c>
      <c r="D5" s="294">
        <v>413.42124459999997</v>
      </c>
      <c r="E5" s="294">
        <v>468.92576066000004</v>
      </c>
      <c r="F5" s="294">
        <v>475.27239429999997</v>
      </c>
      <c r="G5" s="294">
        <v>473.43483005000002</v>
      </c>
      <c r="H5" s="294">
        <v>468.12230837000004</v>
      </c>
      <c r="I5" s="294">
        <v>458.05163639</v>
      </c>
      <c r="J5" s="294">
        <v>482.46148215999995</v>
      </c>
      <c r="K5" s="294">
        <v>471.05227606</v>
      </c>
      <c r="L5" s="294">
        <v>471.85604283999999</v>
      </c>
      <c r="M5" s="294">
        <v>464.41908011000004</v>
      </c>
      <c r="N5" s="294">
        <v>456.88199537000003</v>
      </c>
      <c r="O5" s="294">
        <v>444.81002380000001</v>
      </c>
      <c r="P5" s="294">
        <v>344.59098285999994</v>
      </c>
      <c r="Q5" s="294">
        <v>331.25477619000003</v>
      </c>
      <c r="R5" s="294">
        <v>325.60861328999994</v>
      </c>
      <c r="S5" s="294">
        <v>321.41275749000005</v>
      </c>
      <c r="T5" s="294">
        <v>320.92796264000003</v>
      </c>
      <c r="U5" s="294">
        <v>356.42688883</v>
      </c>
      <c r="V5" s="294">
        <v>349.45444566000009</v>
      </c>
      <c r="W5" s="294">
        <v>329.45990058000007</v>
      </c>
      <c r="X5" s="294">
        <v>328.91797147999995</v>
      </c>
      <c r="Y5" s="294">
        <v>324.11037345</v>
      </c>
      <c r="Z5" s="294">
        <v>318.46696170000001</v>
      </c>
      <c r="AA5" s="294">
        <v>339.80221272999995</v>
      </c>
      <c r="AB5" s="294">
        <v>338.48293883999997</v>
      </c>
      <c r="AC5" s="294">
        <v>316.65823933999997</v>
      </c>
      <c r="AD5" s="294">
        <v>300.82317554000002</v>
      </c>
      <c r="AE5" s="294">
        <v>303.73962069999999</v>
      </c>
      <c r="AF5" s="294">
        <v>298.64709932</v>
      </c>
    </row>
    <row r="6" spans="1:32" s="299" customFormat="1" ht="27.95" customHeight="1" x14ac:dyDescent="0.25">
      <c r="A6" s="226" t="s">
        <v>282</v>
      </c>
      <c r="B6" s="294">
        <v>25.069902670000001</v>
      </c>
      <c r="C6" s="294">
        <v>24.691616449999998</v>
      </c>
      <c r="D6" s="294">
        <v>23.745337500000002</v>
      </c>
      <c r="E6" s="294">
        <v>24.7001484</v>
      </c>
      <c r="F6" s="294">
        <v>24.306892850000001</v>
      </c>
      <c r="G6" s="294">
        <v>23.911425219999998</v>
      </c>
      <c r="H6" s="294">
        <v>44.526285990000005</v>
      </c>
      <c r="I6" s="294">
        <v>43.928657919999999</v>
      </c>
      <c r="J6" s="294">
        <v>43.287082329999997</v>
      </c>
      <c r="K6" s="294">
        <v>42.723228799999994</v>
      </c>
      <c r="L6" s="294">
        <v>42.115389260000001</v>
      </c>
      <c r="M6" s="294">
        <v>41.504107229999995</v>
      </c>
      <c r="N6" s="294">
        <v>41.674909619999994</v>
      </c>
      <c r="O6" s="294">
        <v>41.045535530000002</v>
      </c>
      <c r="P6" s="294">
        <v>40.412597470000001</v>
      </c>
      <c r="Q6" s="294">
        <v>46.604903460000003</v>
      </c>
      <c r="R6" s="294">
        <v>39.726557069999998</v>
      </c>
      <c r="S6" s="294">
        <v>39.948039049999998</v>
      </c>
      <c r="T6" s="294">
        <v>39.948039049999998</v>
      </c>
      <c r="U6" s="294">
        <v>39.942714380000005</v>
      </c>
      <c r="V6" s="294">
        <v>40.059116060000001</v>
      </c>
      <c r="W6" s="294">
        <v>0</v>
      </c>
      <c r="X6" s="294">
        <v>0</v>
      </c>
      <c r="Y6" s="294">
        <v>0</v>
      </c>
      <c r="Z6" s="294">
        <v>0</v>
      </c>
      <c r="AA6" s="294">
        <v>0</v>
      </c>
      <c r="AB6" s="294">
        <v>0</v>
      </c>
      <c r="AC6" s="294">
        <v>0</v>
      </c>
      <c r="AD6" s="294">
        <v>0</v>
      </c>
      <c r="AE6" s="294">
        <v>0</v>
      </c>
      <c r="AF6" s="294">
        <v>0</v>
      </c>
    </row>
    <row r="7" spans="1:32" s="299" customFormat="1" ht="27.95" customHeight="1" x14ac:dyDescent="0.25">
      <c r="A7" s="226" t="s">
        <v>283</v>
      </c>
      <c r="B7" s="294">
        <v>1263.7652785299997</v>
      </c>
      <c r="C7" s="294">
        <v>1215.7496628199999</v>
      </c>
      <c r="D7" s="294">
        <v>1199.1505472899998</v>
      </c>
      <c r="E7" s="294">
        <v>1188.19451953</v>
      </c>
      <c r="F7" s="294">
        <v>1165.1350127599999</v>
      </c>
      <c r="G7" s="294">
        <v>1125.21744408</v>
      </c>
      <c r="H7" s="294">
        <v>1208.6122970699998</v>
      </c>
      <c r="I7" s="294">
        <v>1167.2512087999999</v>
      </c>
      <c r="J7" s="294">
        <v>1153.4565319200001</v>
      </c>
      <c r="K7" s="294">
        <v>1115.9065433600001</v>
      </c>
      <c r="L7" s="294">
        <v>1105.00715352</v>
      </c>
      <c r="M7" s="294">
        <v>1111.4336489699999</v>
      </c>
      <c r="N7" s="294">
        <v>1116.04143821</v>
      </c>
      <c r="O7" s="294">
        <v>1051.49984834</v>
      </c>
      <c r="P7" s="294">
        <v>870.66082232000008</v>
      </c>
      <c r="Q7" s="294">
        <v>812.42102571999988</v>
      </c>
      <c r="R7" s="294">
        <v>818.11232269000004</v>
      </c>
      <c r="S7" s="294">
        <v>840.39006446000008</v>
      </c>
      <c r="T7" s="294">
        <v>805.93558149</v>
      </c>
      <c r="U7" s="294">
        <v>832.22339190999992</v>
      </c>
      <c r="V7" s="294">
        <v>856.60028907000003</v>
      </c>
      <c r="W7" s="294">
        <v>913.18241914999999</v>
      </c>
      <c r="X7" s="294">
        <v>904.20718908000003</v>
      </c>
      <c r="Y7" s="294">
        <v>840.00914236000006</v>
      </c>
      <c r="Z7" s="294">
        <v>841.47063172000003</v>
      </c>
      <c r="AA7" s="294">
        <v>845.13430146999985</v>
      </c>
      <c r="AB7" s="294">
        <v>842.38840428999993</v>
      </c>
      <c r="AC7" s="294">
        <v>820.78110732000005</v>
      </c>
      <c r="AD7" s="294">
        <v>789.47266354999999</v>
      </c>
      <c r="AE7" s="294">
        <v>772.16965645999994</v>
      </c>
      <c r="AF7" s="294">
        <v>705.6752766699999</v>
      </c>
    </row>
    <row r="8" spans="1:32" s="299" customFormat="1" ht="27.95" customHeight="1" x14ac:dyDescent="0.25">
      <c r="A8" s="226" t="s">
        <v>306</v>
      </c>
      <c r="B8" s="294">
        <v>15.61557432</v>
      </c>
      <c r="C8" s="294">
        <v>15.103698260000002</v>
      </c>
      <c r="D8" s="294">
        <v>14.820746439999999</v>
      </c>
      <c r="E8" s="294">
        <v>15.091351490000003</v>
      </c>
      <c r="F8" s="294">
        <v>15.594111800000002</v>
      </c>
      <c r="G8" s="294">
        <v>14.67830665</v>
      </c>
      <c r="H8" s="294">
        <v>14.223198930000001</v>
      </c>
      <c r="I8" s="294">
        <v>13.72762206</v>
      </c>
      <c r="J8" s="294">
        <v>13.40461367</v>
      </c>
      <c r="K8" s="294">
        <v>12.729160630000001</v>
      </c>
      <c r="L8" s="294">
        <v>12.125906070000001</v>
      </c>
      <c r="M8" s="294">
        <v>13.061912449999999</v>
      </c>
      <c r="N8" s="294">
        <v>12.702972990000001</v>
      </c>
      <c r="O8" s="294">
        <v>11.933254899999998</v>
      </c>
      <c r="P8" s="294">
        <v>12.205447339999999</v>
      </c>
      <c r="Q8" s="294">
        <v>12.85055184</v>
      </c>
      <c r="R8" s="294">
        <v>12.456987880000002</v>
      </c>
      <c r="S8" s="294">
        <v>12.22325266</v>
      </c>
      <c r="T8" s="294">
        <v>12.28775484</v>
      </c>
      <c r="U8" s="294">
        <v>9.2710809100000002</v>
      </c>
      <c r="V8" s="294">
        <v>9.0383483999999985</v>
      </c>
      <c r="W8" s="294">
        <v>11.601945839999999</v>
      </c>
      <c r="X8" s="294">
        <v>13.020327330000001</v>
      </c>
      <c r="Y8" s="294">
        <v>12.72731351</v>
      </c>
      <c r="Z8" s="294">
        <v>12.300218340000001</v>
      </c>
      <c r="AA8" s="294">
        <v>11.524653530000002</v>
      </c>
      <c r="AB8" s="294">
        <v>11.197459240000001</v>
      </c>
      <c r="AC8" s="294">
        <v>10.786004879999998</v>
      </c>
      <c r="AD8" s="294">
        <v>10.547760190000002</v>
      </c>
      <c r="AE8" s="294">
        <v>10.192792580000001</v>
      </c>
      <c r="AF8" s="294">
        <v>9.9664991599999997</v>
      </c>
    </row>
    <row r="9" spans="1:32" s="299" customFormat="1" ht="27.95" customHeight="1" x14ac:dyDescent="0.25">
      <c r="A9" s="226" t="s">
        <v>307</v>
      </c>
      <c r="B9" s="294">
        <v>37.420556240000003</v>
      </c>
      <c r="C9" s="294">
        <v>34.982574629999995</v>
      </c>
      <c r="D9" s="294">
        <v>33.204380239999999</v>
      </c>
      <c r="E9" s="294">
        <v>36.526421629999994</v>
      </c>
      <c r="F9" s="294">
        <v>35.450305469999996</v>
      </c>
      <c r="G9" s="294">
        <v>40.51457319</v>
      </c>
      <c r="H9" s="294">
        <v>38.573065970000002</v>
      </c>
      <c r="I9" s="294">
        <v>36.427633159999999</v>
      </c>
      <c r="J9" s="294">
        <v>36.223089159999994</v>
      </c>
      <c r="K9" s="294">
        <v>34.003915599999999</v>
      </c>
      <c r="L9" s="294">
        <v>32.722919940000004</v>
      </c>
      <c r="M9" s="294">
        <v>31.75634732</v>
      </c>
      <c r="N9" s="294">
        <v>48.336560350000006</v>
      </c>
      <c r="O9" s="294">
        <v>37.365647530000004</v>
      </c>
      <c r="P9" s="294">
        <v>22.903021460000001</v>
      </c>
      <c r="Q9" s="294">
        <v>22.585041260000001</v>
      </c>
      <c r="R9" s="294">
        <v>22.344408059999999</v>
      </c>
      <c r="S9" s="294">
        <v>22.035264100000003</v>
      </c>
      <c r="T9" s="294">
        <v>22.518439000000001</v>
      </c>
      <c r="U9" s="294">
        <v>22.296961360000001</v>
      </c>
      <c r="V9" s="294">
        <v>21.341213140000001</v>
      </c>
      <c r="W9" s="294">
        <v>11.133694289999999</v>
      </c>
      <c r="X9" s="294">
        <v>12.376033980000001</v>
      </c>
      <c r="Y9" s="294">
        <v>16.004757980000001</v>
      </c>
      <c r="Z9" s="294">
        <v>15.60919472</v>
      </c>
      <c r="AA9" s="294">
        <v>15.047621230000001</v>
      </c>
      <c r="AB9" s="294">
        <v>15.070833850000001</v>
      </c>
      <c r="AC9" s="294">
        <v>14.66367398</v>
      </c>
      <c r="AD9" s="294">
        <v>14.291770189999999</v>
      </c>
      <c r="AE9" s="294">
        <v>14.394699920000001</v>
      </c>
      <c r="AF9" s="294">
        <v>14.33887923</v>
      </c>
    </row>
    <row r="10" spans="1:32" s="127" customFormat="1" ht="27.95" customHeight="1" x14ac:dyDescent="0.25">
      <c r="A10" s="226" t="s">
        <v>308</v>
      </c>
      <c r="B10" s="294">
        <v>568.30441629999996</v>
      </c>
      <c r="C10" s="294">
        <v>586.18332148999991</v>
      </c>
      <c r="D10" s="294">
        <v>592.12065328999995</v>
      </c>
      <c r="E10" s="294">
        <v>683.49813503000007</v>
      </c>
      <c r="F10" s="294">
        <v>684.10736048000001</v>
      </c>
      <c r="G10" s="294">
        <v>714.17745337999997</v>
      </c>
      <c r="H10" s="294">
        <v>718.55560097</v>
      </c>
      <c r="I10" s="294">
        <v>720.36349987000017</v>
      </c>
      <c r="J10" s="294">
        <v>713.46447872999988</v>
      </c>
      <c r="K10" s="294">
        <v>706.78786055000012</v>
      </c>
      <c r="L10" s="294">
        <v>715.82175928999993</v>
      </c>
      <c r="M10" s="294">
        <v>715.82013835999999</v>
      </c>
      <c r="N10" s="294">
        <v>715.86975664000011</v>
      </c>
      <c r="O10" s="294">
        <v>664.94217956999989</v>
      </c>
      <c r="P10" s="294">
        <v>539.25525348999997</v>
      </c>
      <c r="Q10" s="294">
        <v>539.68428973999994</v>
      </c>
      <c r="R10" s="294">
        <v>538.73989372000005</v>
      </c>
      <c r="S10" s="294">
        <v>542.02311404</v>
      </c>
      <c r="T10" s="294">
        <v>534.83246159999999</v>
      </c>
      <c r="U10" s="294">
        <v>542.90018224999994</v>
      </c>
      <c r="V10" s="294">
        <v>543.75260394000009</v>
      </c>
      <c r="W10" s="294">
        <v>549.38711950000004</v>
      </c>
      <c r="X10" s="294">
        <v>500.29383910000001</v>
      </c>
      <c r="Y10" s="294">
        <v>500.71531314999999</v>
      </c>
      <c r="Z10" s="294">
        <v>494.45125780000001</v>
      </c>
      <c r="AA10" s="294">
        <v>496.64132151000001</v>
      </c>
      <c r="AB10" s="294">
        <v>576.46456737000005</v>
      </c>
      <c r="AC10" s="294">
        <v>564.53585618</v>
      </c>
      <c r="AD10" s="294">
        <v>555.17207527999994</v>
      </c>
      <c r="AE10" s="294">
        <v>553.73071688000016</v>
      </c>
      <c r="AF10" s="294">
        <v>566.56245142</v>
      </c>
    </row>
    <row r="11" spans="1:32" s="127" customFormat="1" ht="27.95" customHeight="1" x14ac:dyDescent="0.25">
      <c r="A11" s="226" t="s">
        <v>318</v>
      </c>
      <c r="B11" s="294">
        <v>1896.78357544</v>
      </c>
      <c r="C11" s="294">
        <v>1861.4282696300002</v>
      </c>
      <c r="D11" s="294">
        <v>1812.3628041400002</v>
      </c>
      <c r="E11" s="294">
        <v>1746.46395919</v>
      </c>
      <c r="F11" s="294">
        <v>1713.3900340099999</v>
      </c>
      <c r="G11" s="294">
        <v>1748.86280304</v>
      </c>
      <c r="H11" s="294">
        <v>1756.6758212699997</v>
      </c>
      <c r="I11" s="294">
        <v>1786.9481770800001</v>
      </c>
      <c r="J11" s="294">
        <v>1814.0840241300002</v>
      </c>
      <c r="K11" s="294">
        <v>1800.5382651800003</v>
      </c>
      <c r="L11" s="294">
        <v>1800.7958809900003</v>
      </c>
      <c r="M11" s="294">
        <v>1864.1882456400001</v>
      </c>
      <c r="N11" s="294">
        <v>1938.8864077500002</v>
      </c>
      <c r="O11" s="294">
        <v>1891.5223910899999</v>
      </c>
      <c r="P11" s="294">
        <v>894.9472959499999</v>
      </c>
      <c r="Q11" s="294">
        <v>894.04139486000008</v>
      </c>
      <c r="R11" s="294">
        <v>879.01231230999997</v>
      </c>
      <c r="S11" s="294">
        <v>868.80135547999998</v>
      </c>
      <c r="T11" s="294">
        <v>859.80039933</v>
      </c>
      <c r="U11" s="294">
        <v>856.97969202000002</v>
      </c>
      <c r="V11" s="294">
        <v>865.63768581000011</v>
      </c>
      <c r="W11" s="294">
        <v>855.96028000000001</v>
      </c>
      <c r="X11" s="294">
        <v>864.38220950000004</v>
      </c>
      <c r="Y11" s="294">
        <v>893.74357808000002</v>
      </c>
      <c r="Z11" s="294">
        <v>872.56723192000004</v>
      </c>
      <c r="AA11" s="294">
        <v>875.27917007999997</v>
      </c>
      <c r="AB11" s="294">
        <v>896.33628762000001</v>
      </c>
      <c r="AC11" s="294">
        <v>913.50760792000005</v>
      </c>
      <c r="AD11" s="294">
        <v>908.12731813000005</v>
      </c>
      <c r="AE11" s="294">
        <v>913.79352503000007</v>
      </c>
      <c r="AF11" s="294">
        <v>972.14609710999991</v>
      </c>
    </row>
    <row r="12" spans="1:32" s="127" customFormat="1" ht="27.95" customHeight="1" x14ac:dyDescent="0.25">
      <c r="A12" s="226" t="s">
        <v>322</v>
      </c>
      <c r="B12" s="294">
        <v>602.39891882999996</v>
      </c>
      <c r="C12" s="294">
        <v>605.12303939000014</v>
      </c>
      <c r="D12" s="294">
        <v>601.89896656999997</v>
      </c>
      <c r="E12" s="294">
        <v>668.79520532999993</v>
      </c>
      <c r="F12" s="294">
        <v>679.2566899200001</v>
      </c>
      <c r="G12" s="294">
        <v>692.19778666999991</v>
      </c>
      <c r="H12" s="294">
        <v>711.74457010000003</v>
      </c>
      <c r="I12" s="294">
        <v>726.5984458800001</v>
      </c>
      <c r="J12" s="294">
        <v>733.69694248000008</v>
      </c>
      <c r="K12" s="294">
        <v>743.45200935000003</v>
      </c>
      <c r="L12" s="294">
        <v>764.06928649999998</v>
      </c>
      <c r="M12" s="294">
        <v>765.23190433999991</v>
      </c>
      <c r="N12" s="294">
        <v>780.63231736</v>
      </c>
      <c r="O12" s="294">
        <v>763.57791253000005</v>
      </c>
      <c r="P12" s="294">
        <v>635.90515183999992</v>
      </c>
      <c r="Q12" s="294">
        <v>634.54456033000008</v>
      </c>
      <c r="R12" s="294">
        <v>627.04535208000004</v>
      </c>
      <c r="S12" s="294">
        <v>618.7216238200001</v>
      </c>
      <c r="T12" s="294">
        <v>618.76036785999986</v>
      </c>
      <c r="U12" s="294">
        <v>622.48923689000003</v>
      </c>
      <c r="V12" s="294">
        <v>608.26053294999997</v>
      </c>
      <c r="W12" s="294">
        <v>613.17455961999997</v>
      </c>
      <c r="X12" s="294">
        <v>607.74008600000002</v>
      </c>
      <c r="Y12" s="294">
        <v>596.70230623999998</v>
      </c>
      <c r="Z12" s="294">
        <v>592.60398657999997</v>
      </c>
      <c r="AA12" s="294">
        <v>588.83306091000009</v>
      </c>
      <c r="AB12" s="294">
        <v>597.71073860999991</v>
      </c>
      <c r="AC12" s="294">
        <v>575.91771834999997</v>
      </c>
      <c r="AD12" s="294">
        <v>573.56325036999988</v>
      </c>
      <c r="AE12" s="294">
        <v>554.23935641999992</v>
      </c>
      <c r="AF12" s="294">
        <v>593.35223302000009</v>
      </c>
    </row>
    <row r="13" spans="1:32" s="127" customFormat="1" ht="27.95" customHeight="1" x14ac:dyDescent="0.25">
      <c r="A13" s="226" t="s">
        <v>328</v>
      </c>
      <c r="B13" s="294">
        <v>367.91732250000001</v>
      </c>
      <c r="C13" s="294">
        <v>364.74302048999994</v>
      </c>
      <c r="D13" s="294">
        <v>356.58291106999997</v>
      </c>
      <c r="E13" s="294">
        <v>353.96305084999995</v>
      </c>
      <c r="F13" s="294">
        <v>336.29762796000006</v>
      </c>
      <c r="G13" s="294">
        <v>336.81463874000002</v>
      </c>
      <c r="H13" s="294">
        <v>332.38880782000001</v>
      </c>
      <c r="I13" s="294">
        <v>325.75963158999997</v>
      </c>
      <c r="J13" s="294">
        <v>332.02920137999996</v>
      </c>
      <c r="K13" s="294">
        <v>320.42811126999999</v>
      </c>
      <c r="L13" s="294">
        <v>319.35156898999998</v>
      </c>
      <c r="M13" s="294">
        <v>316.75952694999995</v>
      </c>
      <c r="N13" s="294">
        <v>321.57677588000001</v>
      </c>
      <c r="O13" s="294">
        <v>307.50375781999998</v>
      </c>
      <c r="P13" s="294">
        <v>172.86961011</v>
      </c>
      <c r="Q13" s="294">
        <v>170.38176751999998</v>
      </c>
      <c r="R13" s="294">
        <v>168.35197258000002</v>
      </c>
      <c r="S13" s="294">
        <v>170.60927016999997</v>
      </c>
      <c r="T13" s="294">
        <v>170.99907879</v>
      </c>
      <c r="U13" s="294">
        <v>181.79535754000003</v>
      </c>
      <c r="V13" s="294">
        <v>179.21010086999996</v>
      </c>
      <c r="W13" s="294">
        <v>203.17403965999998</v>
      </c>
      <c r="X13" s="294">
        <v>219.08012493000001</v>
      </c>
      <c r="Y13" s="294">
        <v>216.87375641</v>
      </c>
      <c r="Z13" s="294">
        <v>213.77661010000003</v>
      </c>
      <c r="AA13" s="294">
        <v>229.00479742000002</v>
      </c>
      <c r="AB13" s="294">
        <v>226.21477443000001</v>
      </c>
      <c r="AC13" s="294">
        <v>224.99612407999999</v>
      </c>
      <c r="AD13" s="294">
        <v>221.30427865999999</v>
      </c>
      <c r="AE13" s="294">
        <v>215.60736434999995</v>
      </c>
      <c r="AF13" s="294">
        <v>221.35943646000001</v>
      </c>
    </row>
    <row r="14" spans="1:32" s="127" customFormat="1" ht="27.95" customHeight="1" x14ac:dyDescent="0.25">
      <c r="A14" s="226" t="s">
        <v>339</v>
      </c>
      <c r="B14" s="294">
        <v>123.57019205000002</v>
      </c>
      <c r="C14" s="294">
        <v>131.59119407</v>
      </c>
      <c r="D14" s="294">
        <v>134.68947945999997</v>
      </c>
      <c r="E14" s="294">
        <v>124.64964605</v>
      </c>
      <c r="F14" s="294">
        <v>120.85085146999998</v>
      </c>
      <c r="G14" s="294">
        <v>117.05640968</v>
      </c>
      <c r="H14" s="294">
        <v>113.98185414999999</v>
      </c>
      <c r="I14" s="294">
        <v>112.54308864999999</v>
      </c>
      <c r="J14" s="294">
        <v>117.67977968</v>
      </c>
      <c r="K14" s="294">
        <v>114.53761525000002</v>
      </c>
      <c r="L14" s="294">
        <v>112.80400546999999</v>
      </c>
      <c r="M14" s="294">
        <v>111.23770164999999</v>
      </c>
      <c r="N14" s="294">
        <v>111.75356337000001</v>
      </c>
      <c r="O14" s="294">
        <v>101.98029658</v>
      </c>
      <c r="P14" s="294">
        <v>79.409687890000001</v>
      </c>
      <c r="Q14" s="294">
        <v>77.357168970000004</v>
      </c>
      <c r="R14" s="294">
        <v>74.943966010000011</v>
      </c>
      <c r="S14" s="294">
        <v>74.531692820000004</v>
      </c>
      <c r="T14" s="294">
        <v>79.057322999999997</v>
      </c>
      <c r="U14" s="294">
        <v>80.69310969</v>
      </c>
      <c r="V14" s="294">
        <v>79.146332420000007</v>
      </c>
      <c r="W14" s="294">
        <v>101.63128115000001</v>
      </c>
      <c r="X14" s="294">
        <v>99.866657679999989</v>
      </c>
      <c r="Y14" s="294">
        <v>96.616644669999999</v>
      </c>
      <c r="Z14" s="294">
        <v>95.720763210000015</v>
      </c>
      <c r="AA14" s="294">
        <v>93.01223662000001</v>
      </c>
      <c r="AB14" s="294">
        <v>95.681556949999987</v>
      </c>
      <c r="AC14" s="294">
        <v>96.70330039000001</v>
      </c>
      <c r="AD14" s="294">
        <v>93.392190450000001</v>
      </c>
      <c r="AE14" s="294">
        <v>90.173775819999989</v>
      </c>
      <c r="AF14" s="294">
        <v>95.096785570000009</v>
      </c>
    </row>
    <row r="15" spans="1:32" s="127" customFormat="1" ht="27.95" customHeight="1" x14ac:dyDescent="0.25">
      <c r="A15" s="226" t="s">
        <v>346</v>
      </c>
      <c r="B15" s="294">
        <v>73.217951099999993</v>
      </c>
      <c r="C15" s="294">
        <v>74.66263975999999</v>
      </c>
      <c r="D15" s="294">
        <v>75.326574340000008</v>
      </c>
      <c r="E15" s="294">
        <v>76.683762789999989</v>
      </c>
      <c r="F15" s="294">
        <v>80.931526649999995</v>
      </c>
      <c r="G15" s="294">
        <v>79.136795309999997</v>
      </c>
      <c r="H15" s="294">
        <v>79.00577890000001</v>
      </c>
      <c r="I15" s="294">
        <v>77.197969400000005</v>
      </c>
      <c r="J15" s="294">
        <v>78.995504179999998</v>
      </c>
      <c r="K15" s="294">
        <v>75.445712520000001</v>
      </c>
      <c r="L15" s="294">
        <v>74.490434789999995</v>
      </c>
      <c r="M15" s="294">
        <v>74.174906200000009</v>
      </c>
      <c r="N15" s="294">
        <v>76.705363939999998</v>
      </c>
      <c r="O15" s="294">
        <v>70.877677240000011</v>
      </c>
      <c r="P15" s="294">
        <v>49.888311279999996</v>
      </c>
      <c r="Q15" s="294">
        <v>48.396398690000005</v>
      </c>
      <c r="R15" s="294">
        <v>47.679917270000004</v>
      </c>
      <c r="S15" s="294">
        <v>47.064448110000001</v>
      </c>
      <c r="T15" s="294">
        <v>46.923700980000007</v>
      </c>
      <c r="U15" s="294">
        <v>46.973167099999991</v>
      </c>
      <c r="V15" s="294">
        <v>47.480160120000001</v>
      </c>
      <c r="W15" s="294">
        <v>73.266851499999987</v>
      </c>
      <c r="X15" s="294">
        <v>69.028822290000008</v>
      </c>
      <c r="Y15" s="294">
        <v>67.804328999999996</v>
      </c>
      <c r="Z15" s="294">
        <v>65.132677549999997</v>
      </c>
      <c r="AA15" s="294">
        <v>64.138312200000001</v>
      </c>
      <c r="AB15" s="294">
        <v>64.745095879999994</v>
      </c>
      <c r="AC15" s="294">
        <v>65.340463530000008</v>
      </c>
      <c r="AD15" s="294">
        <v>63.841345409999995</v>
      </c>
      <c r="AE15" s="294">
        <v>62.757746189999999</v>
      </c>
      <c r="AF15" s="294">
        <v>65.526346790000005</v>
      </c>
    </row>
    <row r="16" spans="1:32" s="127" customFormat="1" ht="27.95" customHeight="1" x14ac:dyDescent="0.25">
      <c r="A16" s="226" t="s">
        <v>347</v>
      </c>
      <c r="B16" s="294">
        <v>545.37484876999997</v>
      </c>
      <c r="C16" s="294">
        <v>553.35118201</v>
      </c>
      <c r="D16" s="294">
        <v>547.95244241</v>
      </c>
      <c r="E16" s="294">
        <v>518.5032013</v>
      </c>
      <c r="F16" s="294">
        <v>522.05573257000003</v>
      </c>
      <c r="G16" s="294">
        <v>522.08837320000009</v>
      </c>
      <c r="H16" s="294">
        <v>517.30092285000001</v>
      </c>
      <c r="I16" s="294">
        <v>522.75295849000008</v>
      </c>
      <c r="J16" s="294">
        <v>524.42432069999995</v>
      </c>
      <c r="K16" s="294">
        <v>518.05834614999992</v>
      </c>
      <c r="L16" s="294">
        <v>513.26075719999994</v>
      </c>
      <c r="M16" s="294">
        <v>513.50063704000013</v>
      </c>
      <c r="N16" s="294">
        <v>511.94426003000001</v>
      </c>
      <c r="O16" s="294">
        <v>519.12445685</v>
      </c>
      <c r="P16" s="294">
        <v>358.83715024000003</v>
      </c>
      <c r="Q16" s="294">
        <v>353.37206450000002</v>
      </c>
      <c r="R16" s="294">
        <v>347.07110021999995</v>
      </c>
      <c r="S16" s="294">
        <v>338.68002056</v>
      </c>
      <c r="T16" s="294">
        <v>335.36052168999998</v>
      </c>
      <c r="U16" s="294">
        <v>341.16963292000003</v>
      </c>
      <c r="V16" s="294">
        <v>341.37737305999997</v>
      </c>
      <c r="W16" s="294">
        <v>314.81755942000001</v>
      </c>
      <c r="X16" s="294">
        <v>309.45553889000001</v>
      </c>
      <c r="Y16" s="294">
        <v>303.92621515999997</v>
      </c>
      <c r="Z16" s="294">
        <v>301.58018035000003</v>
      </c>
      <c r="AA16" s="294">
        <v>301.58224892999999</v>
      </c>
      <c r="AB16" s="294">
        <v>298.88808649000003</v>
      </c>
      <c r="AC16" s="294">
        <v>292.94425177000005</v>
      </c>
      <c r="AD16" s="294">
        <v>291.31781773999995</v>
      </c>
      <c r="AE16" s="294">
        <v>290.07002929000004</v>
      </c>
      <c r="AF16" s="294">
        <v>328.08310026000004</v>
      </c>
    </row>
    <row r="17" spans="1:1990" s="127" customFormat="1" ht="27.95" customHeight="1" x14ac:dyDescent="0.25">
      <c r="A17" s="226" t="s">
        <v>354</v>
      </c>
      <c r="B17" s="294">
        <v>609.48656267000001</v>
      </c>
      <c r="C17" s="294">
        <v>594.96922243999995</v>
      </c>
      <c r="D17" s="294">
        <v>585.57660936000002</v>
      </c>
      <c r="E17" s="294">
        <v>915.53225958000007</v>
      </c>
      <c r="F17" s="294">
        <v>922.17736760000014</v>
      </c>
      <c r="G17" s="294">
        <v>932.21226410999998</v>
      </c>
      <c r="H17" s="294">
        <v>956.50172708000002</v>
      </c>
      <c r="I17" s="294">
        <v>968.79943632999993</v>
      </c>
      <c r="J17" s="294">
        <v>972.70582018000005</v>
      </c>
      <c r="K17" s="294">
        <v>982.68403472</v>
      </c>
      <c r="L17" s="294">
        <v>959.62670385000001</v>
      </c>
      <c r="M17" s="294">
        <v>955.31293545000005</v>
      </c>
      <c r="N17" s="294">
        <v>949.99247864999995</v>
      </c>
      <c r="O17" s="294">
        <v>885.47774711999989</v>
      </c>
      <c r="P17" s="294">
        <v>618.04082748999997</v>
      </c>
      <c r="Q17" s="294">
        <v>587.71340671000007</v>
      </c>
      <c r="R17" s="294">
        <v>574.97511460999999</v>
      </c>
      <c r="S17" s="294">
        <v>564.11982762000002</v>
      </c>
      <c r="T17" s="294">
        <v>548.77861713999994</v>
      </c>
      <c r="U17" s="294">
        <v>541.69690098000001</v>
      </c>
      <c r="V17" s="294">
        <v>540.85089577999997</v>
      </c>
      <c r="W17" s="294">
        <v>526.89658777</v>
      </c>
      <c r="X17" s="294">
        <v>518.83598573999996</v>
      </c>
      <c r="Y17" s="294">
        <v>516.82825653999998</v>
      </c>
      <c r="Z17" s="294">
        <v>518.6109189</v>
      </c>
      <c r="AA17" s="294">
        <v>514.37667119000002</v>
      </c>
      <c r="AB17" s="294">
        <v>513.75121378999995</v>
      </c>
      <c r="AC17" s="294">
        <v>498.62713997999998</v>
      </c>
      <c r="AD17" s="294">
        <v>500.71523391000005</v>
      </c>
      <c r="AE17" s="294">
        <v>502.46715879999999</v>
      </c>
      <c r="AF17" s="294">
        <v>507.09798966000005</v>
      </c>
    </row>
    <row r="18" spans="1:1990" s="127" customFormat="1" ht="27.95" customHeight="1" x14ac:dyDescent="0.25">
      <c r="A18" s="226" t="s">
        <v>361</v>
      </c>
      <c r="B18" s="294">
        <v>48.452196950000001</v>
      </c>
      <c r="C18" s="294">
        <v>48.487423900000003</v>
      </c>
      <c r="D18" s="294">
        <v>50.307563850000001</v>
      </c>
      <c r="E18" s="294">
        <v>54.171950750000001</v>
      </c>
      <c r="F18" s="294">
        <v>54.390621659999994</v>
      </c>
      <c r="G18" s="294">
        <v>56.618213410000003</v>
      </c>
      <c r="H18" s="294">
        <v>60.868264200000006</v>
      </c>
      <c r="I18" s="294">
        <v>58.405129750000008</v>
      </c>
      <c r="J18" s="294">
        <v>65.110821990000005</v>
      </c>
      <c r="K18" s="294">
        <v>64.457557440000002</v>
      </c>
      <c r="L18" s="294">
        <v>63.68358997</v>
      </c>
      <c r="M18" s="294">
        <v>64.376418229999999</v>
      </c>
      <c r="N18" s="294">
        <v>65.229827560000004</v>
      </c>
      <c r="O18" s="294">
        <v>64.208863179999994</v>
      </c>
      <c r="P18" s="294">
        <v>32.533069070000003</v>
      </c>
      <c r="Q18" s="294">
        <v>33.306323669999998</v>
      </c>
      <c r="R18" s="294">
        <v>32.847574510000001</v>
      </c>
      <c r="S18" s="294">
        <v>32.472277699999999</v>
      </c>
      <c r="T18" s="294">
        <v>31.737559950000001</v>
      </c>
      <c r="U18" s="294">
        <v>32.863992340000003</v>
      </c>
      <c r="V18" s="294">
        <v>34.069773269999999</v>
      </c>
      <c r="W18" s="294">
        <v>37.075529430000003</v>
      </c>
      <c r="X18" s="294">
        <v>35.717174970000002</v>
      </c>
      <c r="Y18" s="294">
        <v>36.311062440000008</v>
      </c>
      <c r="Z18" s="294">
        <v>35.918685439999997</v>
      </c>
      <c r="AA18" s="294">
        <v>34.744287100000001</v>
      </c>
      <c r="AB18" s="294">
        <v>33.935787810000001</v>
      </c>
      <c r="AC18" s="294">
        <v>32.310332619999997</v>
      </c>
      <c r="AD18" s="294">
        <v>31.502331820000002</v>
      </c>
      <c r="AE18" s="294">
        <v>30.820799530000002</v>
      </c>
      <c r="AF18" s="294">
        <v>31.110007539999998</v>
      </c>
    </row>
    <row r="19" spans="1:1990" s="127" customFormat="1" ht="27.95" customHeight="1" x14ac:dyDescent="0.25">
      <c r="A19" s="226" t="s">
        <v>367</v>
      </c>
      <c r="B19" s="294">
        <v>41.097003439999995</v>
      </c>
      <c r="C19" s="294">
        <v>40.060443349999993</v>
      </c>
      <c r="D19" s="294">
        <v>38.987441740000001</v>
      </c>
      <c r="E19" s="294">
        <v>59.947146100000012</v>
      </c>
      <c r="F19" s="294">
        <v>58.450167620000002</v>
      </c>
      <c r="G19" s="294">
        <v>57.087237400000006</v>
      </c>
      <c r="H19" s="294">
        <v>60.254646940000008</v>
      </c>
      <c r="I19" s="294">
        <v>63.402447019999997</v>
      </c>
      <c r="J19" s="294">
        <v>63.135423780000004</v>
      </c>
      <c r="K19" s="294">
        <v>65.454040140000004</v>
      </c>
      <c r="L19" s="294">
        <v>66.186316959999999</v>
      </c>
      <c r="M19" s="294">
        <v>65.418477609999997</v>
      </c>
      <c r="N19" s="294">
        <v>63.752156759999998</v>
      </c>
      <c r="O19" s="294">
        <v>62.561259960000008</v>
      </c>
      <c r="P19" s="294">
        <v>45.116174969999996</v>
      </c>
      <c r="Q19" s="294">
        <v>46.317007289999992</v>
      </c>
      <c r="R19" s="294">
        <v>45.62302382</v>
      </c>
      <c r="S19" s="294">
        <v>45.495328600000001</v>
      </c>
      <c r="T19" s="294">
        <v>44.288599470000008</v>
      </c>
      <c r="U19" s="294">
        <v>46.853259199999997</v>
      </c>
      <c r="V19" s="294">
        <v>48.10973722</v>
      </c>
      <c r="W19" s="294">
        <v>64.53988425</v>
      </c>
      <c r="X19" s="294">
        <v>63.718916400000005</v>
      </c>
      <c r="Y19" s="294">
        <v>62.291099899999999</v>
      </c>
      <c r="Z19" s="294">
        <v>59.410903619999999</v>
      </c>
      <c r="AA19" s="294">
        <v>57.576913429999991</v>
      </c>
      <c r="AB19" s="294">
        <v>55.978309870000004</v>
      </c>
      <c r="AC19" s="294">
        <v>54.056943289999992</v>
      </c>
      <c r="AD19" s="294">
        <v>53.249379040000001</v>
      </c>
      <c r="AE19" s="294">
        <v>58.069571840000002</v>
      </c>
      <c r="AF19" s="294">
        <v>61.021077600000012</v>
      </c>
    </row>
    <row r="20" spans="1:1990" s="127" customFormat="1" ht="27.95" customHeight="1" x14ac:dyDescent="0.25">
      <c r="A20" s="226" t="s">
        <v>370</v>
      </c>
      <c r="B20" s="294">
        <v>127.00217401</v>
      </c>
      <c r="C20" s="294">
        <v>128.46533281999999</v>
      </c>
      <c r="D20" s="294">
        <v>130.63930461999999</v>
      </c>
      <c r="E20" s="294">
        <v>170.27955474000004</v>
      </c>
      <c r="F20" s="294">
        <v>166.43303312</v>
      </c>
      <c r="G20" s="294">
        <v>166.34152279999998</v>
      </c>
      <c r="H20" s="294">
        <v>162.47908748000003</v>
      </c>
      <c r="I20" s="294">
        <v>159.54712423999999</v>
      </c>
      <c r="J20" s="294">
        <v>158.20364656999999</v>
      </c>
      <c r="K20" s="294">
        <v>159.33061479999998</v>
      </c>
      <c r="L20" s="294">
        <v>155.20575896</v>
      </c>
      <c r="M20" s="294">
        <v>166.99685081000001</v>
      </c>
      <c r="N20" s="294">
        <v>177.66092875000001</v>
      </c>
      <c r="O20" s="294">
        <v>184.21454908999999</v>
      </c>
      <c r="P20" s="294">
        <v>157.98969520000003</v>
      </c>
      <c r="Q20" s="294">
        <v>155.74264638</v>
      </c>
      <c r="R20" s="294">
        <v>152.42264326999998</v>
      </c>
      <c r="S20" s="294">
        <v>147.84603050999999</v>
      </c>
      <c r="T20" s="294">
        <v>143.73299157</v>
      </c>
      <c r="U20" s="294">
        <v>142.10612149000002</v>
      </c>
      <c r="V20" s="294">
        <v>138.43848478000001</v>
      </c>
      <c r="W20" s="294">
        <v>140.89859475999998</v>
      </c>
      <c r="X20" s="294">
        <v>139.24481265</v>
      </c>
      <c r="Y20" s="294">
        <v>137.25755103</v>
      </c>
      <c r="Z20" s="294">
        <v>133.26609315000002</v>
      </c>
      <c r="AA20" s="294">
        <v>131.34554155000001</v>
      </c>
      <c r="AB20" s="294">
        <v>124.98249756</v>
      </c>
      <c r="AC20" s="294">
        <v>123.01681217999999</v>
      </c>
      <c r="AD20" s="294">
        <v>118.95750123999998</v>
      </c>
      <c r="AE20" s="294">
        <v>115.74605529999999</v>
      </c>
      <c r="AF20" s="294">
        <v>114.43507274</v>
      </c>
    </row>
    <row r="21" spans="1:1990" s="127" customFormat="1" ht="27.95" customHeight="1" thickBot="1" x14ac:dyDescent="0.3">
      <c r="A21" s="226" t="s">
        <v>375</v>
      </c>
      <c r="B21" s="294">
        <v>597.16080580999994</v>
      </c>
      <c r="C21" s="294">
        <v>597.28439724999998</v>
      </c>
      <c r="D21" s="294">
        <v>612.29748151000001</v>
      </c>
      <c r="E21" s="294">
        <v>106.93332067</v>
      </c>
      <c r="F21" s="294">
        <v>106.81421549000001</v>
      </c>
      <c r="G21" s="294">
        <v>112.17509137</v>
      </c>
      <c r="H21" s="294">
        <v>112.29636789</v>
      </c>
      <c r="I21" s="294">
        <v>110.94079070999999</v>
      </c>
      <c r="J21" s="294">
        <v>109.56179979000001</v>
      </c>
      <c r="K21" s="294">
        <v>106.16596301999998</v>
      </c>
      <c r="L21" s="294">
        <v>105.58671523999999</v>
      </c>
      <c r="M21" s="294">
        <v>112.33554947</v>
      </c>
      <c r="N21" s="294">
        <v>105.19721545</v>
      </c>
      <c r="O21" s="294">
        <v>101.40252851999999</v>
      </c>
      <c r="P21" s="294">
        <v>93.356729970000004</v>
      </c>
      <c r="Q21" s="294">
        <v>93.583162760000008</v>
      </c>
      <c r="R21" s="294">
        <v>92.646205049999992</v>
      </c>
      <c r="S21" s="294">
        <v>90.551496620000009</v>
      </c>
      <c r="T21" s="294">
        <v>90.359252059999989</v>
      </c>
      <c r="U21" s="294">
        <v>90.316159089999999</v>
      </c>
      <c r="V21" s="294">
        <v>88.855695990000001</v>
      </c>
      <c r="W21" s="294">
        <v>77.820479360000007</v>
      </c>
      <c r="X21" s="294">
        <v>76.53046504000001</v>
      </c>
      <c r="Y21" s="294">
        <v>73.18795652</v>
      </c>
      <c r="Z21" s="294">
        <v>72.673939180000005</v>
      </c>
      <c r="AA21" s="294">
        <v>75.297497419999999</v>
      </c>
      <c r="AB21" s="294">
        <v>74.848582069999992</v>
      </c>
      <c r="AC21" s="294">
        <v>74.326200260000007</v>
      </c>
      <c r="AD21" s="294">
        <v>74.008073080000003</v>
      </c>
      <c r="AE21" s="294">
        <v>73.747992280000005</v>
      </c>
      <c r="AF21" s="294">
        <v>77.786225470000005</v>
      </c>
    </row>
    <row r="22" spans="1:1990" s="127" customFormat="1" ht="27.95" customHeight="1" x14ac:dyDescent="0.25">
      <c r="A22" s="301" t="s">
        <v>379</v>
      </c>
      <c r="B22" s="344">
        <v>55235.951802159994</v>
      </c>
      <c r="C22" s="344">
        <v>55480.914553979994</v>
      </c>
      <c r="D22" s="344">
        <v>55411.818721819996</v>
      </c>
      <c r="E22" s="344">
        <v>55483.186740470002</v>
      </c>
      <c r="F22" s="344">
        <v>55516.292739399993</v>
      </c>
      <c r="G22" s="344">
        <v>55921.881336959996</v>
      </c>
      <c r="H22" s="344">
        <v>56364.598339190001</v>
      </c>
      <c r="I22" s="344">
        <v>56477.637135699995</v>
      </c>
      <c r="J22" s="344">
        <v>56557.637627709999</v>
      </c>
      <c r="K22" s="344">
        <v>56556.596804209999</v>
      </c>
      <c r="L22" s="344">
        <v>56689.812717190005</v>
      </c>
      <c r="M22" s="344">
        <v>57152.028239370004</v>
      </c>
      <c r="N22" s="344">
        <v>57893.945190770006</v>
      </c>
      <c r="O22" s="344">
        <v>57761.226740089995</v>
      </c>
      <c r="P22" s="344">
        <v>46139.055147039995</v>
      </c>
      <c r="Q22" s="344">
        <v>45993.181178779996</v>
      </c>
      <c r="R22" s="344">
        <v>45736.957010839993</v>
      </c>
      <c r="S22" s="344">
        <v>45721.02903587</v>
      </c>
      <c r="T22" s="344">
        <v>45505.63464222</v>
      </c>
      <c r="U22" s="344">
        <v>45764.200659219998</v>
      </c>
      <c r="V22" s="344">
        <v>46113.726576510002</v>
      </c>
      <c r="W22" s="344">
        <v>46743.258458080003</v>
      </c>
      <c r="X22" s="344">
        <v>45864.03787136</v>
      </c>
      <c r="Y22" s="344">
        <v>46295.0304722</v>
      </c>
      <c r="Z22" s="344">
        <v>46218.800151529998</v>
      </c>
      <c r="AA22" s="344">
        <v>47065.636361390003</v>
      </c>
      <c r="AB22" s="344">
        <v>47766.100416839996</v>
      </c>
      <c r="AC22" s="344">
        <v>47932.584664670001</v>
      </c>
      <c r="AD22" s="344">
        <v>47760.321076579996</v>
      </c>
      <c r="AE22" s="344">
        <v>47560.14393002</v>
      </c>
      <c r="AF22" s="303">
        <v>47852.257565170003</v>
      </c>
    </row>
    <row r="23" spans="1:1990" s="127" customFormat="1" ht="27.95" customHeight="1" x14ac:dyDescent="0.25">
      <c r="A23" s="304" t="s">
        <v>380</v>
      </c>
      <c r="B23" s="345">
        <v>15632.4251339</v>
      </c>
      <c r="C23" s="345">
        <v>15667.076082830001</v>
      </c>
      <c r="D23" s="345">
        <v>15643.354920619999</v>
      </c>
      <c r="E23" s="345">
        <v>15568.237738080001</v>
      </c>
      <c r="F23" s="345">
        <v>15505.94324138</v>
      </c>
      <c r="G23" s="345">
        <v>15893.045626970001</v>
      </c>
      <c r="H23" s="345">
        <v>15922.922032650002</v>
      </c>
      <c r="I23" s="345">
        <v>15908.379003979999</v>
      </c>
      <c r="J23" s="345">
        <v>15936.428254440001</v>
      </c>
      <c r="K23" s="345">
        <v>15877.31406004</v>
      </c>
      <c r="L23" s="345">
        <v>15898.10129391</v>
      </c>
      <c r="M23" s="345">
        <v>16028.56542753</v>
      </c>
      <c r="N23" s="345">
        <v>16050.368949740001</v>
      </c>
      <c r="O23" s="345">
        <v>15991.351057080001</v>
      </c>
      <c r="P23" s="345">
        <v>16314.118940279999</v>
      </c>
      <c r="Q23" s="345">
        <v>16109.97004367</v>
      </c>
      <c r="R23" s="345">
        <v>16005.481500649999</v>
      </c>
      <c r="S23" s="345">
        <v>16003.630678330001</v>
      </c>
      <c r="T23" s="345">
        <v>16040.285136660001</v>
      </c>
      <c r="U23" s="345">
        <v>16025.551209649999</v>
      </c>
      <c r="V23" s="345">
        <v>16014.916546130002</v>
      </c>
      <c r="W23" s="345">
        <v>16207.281993250001</v>
      </c>
      <c r="X23" s="345">
        <v>15214.584619610001</v>
      </c>
      <c r="Y23" s="345">
        <v>15333.216096479999</v>
      </c>
      <c r="Z23" s="345">
        <v>15289.0669316</v>
      </c>
      <c r="AA23" s="345">
        <v>15984.91910909</v>
      </c>
      <c r="AB23" s="345">
        <v>16419.40419479</v>
      </c>
      <c r="AC23" s="345">
        <v>16474.167546200002</v>
      </c>
      <c r="AD23" s="345">
        <v>16503.336084890001</v>
      </c>
      <c r="AE23" s="345">
        <v>16464.24369816</v>
      </c>
      <c r="AF23" s="306">
        <v>16605.350953579997</v>
      </c>
    </row>
    <row r="24" spans="1:1990" s="309" customFormat="1" ht="27.95" customHeight="1" x14ac:dyDescent="0.25">
      <c r="A24" s="293" t="s">
        <v>381</v>
      </c>
      <c r="B24" s="308">
        <v>302.62507574999995</v>
      </c>
      <c r="C24" s="308">
        <v>295.43540435</v>
      </c>
      <c r="D24" s="308">
        <v>295.70377499</v>
      </c>
      <c r="E24" s="308">
        <v>288.21533376000002</v>
      </c>
      <c r="F24" s="308">
        <v>284.97672244</v>
      </c>
      <c r="G24" s="308">
        <v>277.61701155999998</v>
      </c>
      <c r="H24" s="308">
        <v>274.57909070999995</v>
      </c>
      <c r="I24" s="308">
        <v>262.18072727000003</v>
      </c>
      <c r="J24" s="308">
        <v>257.29498290999999</v>
      </c>
      <c r="K24" s="308">
        <v>252.67309204</v>
      </c>
      <c r="L24" s="308">
        <v>244.45113764999996</v>
      </c>
      <c r="M24" s="308">
        <v>239.39695988000005</v>
      </c>
      <c r="N24" s="308">
        <v>234.72018494</v>
      </c>
      <c r="O24" s="308">
        <v>219.26891641999998</v>
      </c>
      <c r="P24" s="308">
        <v>214.20889710000003</v>
      </c>
      <c r="Q24" s="308">
        <v>203.32483567999998</v>
      </c>
      <c r="R24" s="308">
        <v>197.15724121999997</v>
      </c>
      <c r="S24" s="308">
        <v>190.85719231000002</v>
      </c>
      <c r="T24" s="308">
        <v>183.45893171999995</v>
      </c>
      <c r="U24" s="308">
        <v>178.87039532999998</v>
      </c>
      <c r="V24" s="308">
        <v>172.28696393999999</v>
      </c>
      <c r="W24" s="308">
        <v>173.01027386000001</v>
      </c>
      <c r="X24" s="308">
        <v>166.06333506999999</v>
      </c>
      <c r="Y24" s="308">
        <v>164.53763904000002</v>
      </c>
      <c r="Z24" s="308">
        <v>159.22823878</v>
      </c>
      <c r="AA24" s="308">
        <v>152.75633329000001</v>
      </c>
      <c r="AB24" s="308">
        <v>157.04296821</v>
      </c>
      <c r="AC24" s="308">
        <v>149.56026201999998</v>
      </c>
      <c r="AD24" s="308">
        <v>141.62629385</v>
      </c>
      <c r="AE24" s="308">
        <v>129.33400417999999</v>
      </c>
      <c r="AF24" s="311">
        <v>112.78285423999999</v>
      </c>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127"/>
      <c r="IY24" s="127"/>
      <c r="IZ24" s="127"/>
      <c r="JA24" s="127"/>
      <c r="JB24" s="127"/>
      <c r="JC24" s="127"/>
      <c r="JD24" s="127"/>
      <c r="JE24" s="127"/>
      <c r="JF24" s="127"/>
      <c r="JG24" s="127"/>
      <c r="JH24" s="127"/>
      <c r="JI24" s="127"/>
      <c r="JJ24" s="127"/>
      <c r="JK24" s="127"/>
      <c r="JL24" s="127"/>
      <c r="JM24" s="127"/>
      <c r="JN24" s="127"/>
      <c r="JO24" s="127"/>
      <c r="JP24" s="127"/>
      <c r="JQ24" s="127"/>
      <c r="JR24" s="127"/>
      <c r="JS24" s="127"/>
      <c r="JT24" s="127"/>
      <c r="JU24" s="127"/>
      <c r="JV24" s="127"/>
      <c r="JW24" s="127"/>
      <c r="JX24" s="127"/>
      <c r="JY24" s="127"/>
      <c r="JZ24" s="127"/>
      <c r="KA24" s="127"/>
      <c r="KB24" s="127"/>
      <c r="KC24" s="127"/>
      <c r="KD24" s="127"/>
      <c r="KE24" s="127"/>
      <c r="KF24" s="127"/>
      <c r="KG24" s="127"/>
      <c r="KH24" s="127"/>
      <c r="KI24" s="127"/>
      <c r="KJ24" s="127"/>
      <c r="KK24" s="127"/>
      <c r="KL24" s="127"/>
      <c r="KM24" s="127"/>
      <c r="KN24" s="127"/>
      <c r="KO24" s="127"/>
      <c r="KP24" s="127"/>
      <c r="KQ24" s="127"/>
      <c r="KR24" s="127"/>
      <c r="KS24" s="127"/>
      <c r="KT24" s="127"/>
      <c r="KU24" s="127"/>
      <c r="KV24" s="127"/>
      <c r="KW24" s="127"/>
      <c r="KX24" s="127"/>
      <c r="KY24" s="127"/>
      <c r="KZ24" s="127"/>
      <c r="LA24" s="127"/>
      <c r="LB24" s="127"/>
      <c r="LC24" s="127"/>
      <c r="LD24" s="127"/>
      <c r="LE24" s="127"/>
      <c r="LF24" s="127"/>
      <c r="LG24" s="127"/>
      <c r="LH24" s="127"/>
      <c r="LI24" s="127"/>
      <c r="LJ24" s="127"/>
      <c r="LK24" s="127"/>
      <c r="LL24" s="127"/>
      <c r="LM24" s="127"/>
      <c r="LN24" s="127"/>
      <c r="LO24" s="127"/>
      <c r="LP24" s="127"/>
      <c r="LQ24" s="127"/>
      <c r="LR24" s="127"/>
      <c r="LS24" s="127"/>
      <c r="LT24" s="127"/>
      <c r="LU24" s="127"/>
      <c r="LV24" s="127"/>
      <c r="LW24" s="127"/>
      <c r="LX24" s="127"/>
      <c r="LY24" s="127"/>
      <c r="LZ24" s="127"/>
      <c r="MA24" s="127"/>
      <c r="MB24" s="127"/>
      <c r="MC24" s="127"/>
      <c r="MD24" s="127"/>
      <c r="ME24" s="127"/>
      <c r="MF24" s="127"/>
      <c r="MG24" s="127"/>
      <c r="MH24" s="127"/>
      <c r="MI24" s="127"/>
      <c r="MJ24" s="127"/>
      <c r="MK24" s="127"/>
      <c r="ML24" s="127"/>
      <c r="MM24" s="127"/>
      <c r="MN24" s="127"/>
      <c r="MO24" s="127"/>
      <c r="MP24" s="127"/>
      <c r="MQ24" s="127"/>
      <c r="MR24" s="127"/>
      <c r="MS24" s="127"/>
      <c r="MT24" s="127"/>
      <c r="MU24" s="127"/>
      <c r="MV24" s="127"/>
      <c r="MW24" s="127"/>
      <c r="MX24" s="127"/>
      <c r="MY24" s="127"/>
      <c r="MZ24" s="127"/>
      <c r="NA24" s="127"/>
      <c r="NB24" s="127"/>
      <c r="NC24" s="127"/>
      <c r="ND24" s="127"/>
      <c r="NE24" s="127"/>
      <c r="NF24" s="127"/>
      <c r="NG24" s="127"/>
      <c r="NH24" s="127"/>
      <c r="NI24" s="127"/>
      <c r="NJ24" s="127"/>
      <c r="NK24" s="127"/>
      <c r="NL24" s="127"/>
      <c r="NM24" s="127"/>
      <c r="NN24" s="127"/>
      <c r="NO24" s="127"/>
      <c r="NP24" s="127"/>
      <c r="NQ24" s="127"/>
      <c r="NR24" s="127"/>
      <c r="NS24" s="127"/>
      <c r="NT24" s="127"/>
      <c r="NU24" s="127"/>
      <c r="NV24" s="127"/>
      <c r="NW24" s="127"/>
      <c r="NX24" s="127"/>
      <c r="NY24" s="127"/>
      <c r="NZ24" s="127"/>
      <c r="OA24" s="127"/>
      <c r="OB24" s="127"/>
      <c r="OC24" s="127"/>
      <c r="OD24" s="127"/>
      <c r="OE24" s="127"/>
      <c r="OF24" s="127"/>
      <c r="OG24" s="127"/>
      <c r="OH24" s="127"/>
      <c r="OI24" s="127"/>
      <c r="OJ24" s="127"/>
      <c r="OK24" s="127"/>
      <c r="OL24" s="127"/>
      <c r="OM24" s="127"/>
      <c r="ON24" s="127"/>
      <c r="OO24" s="127"/>
      <c r="OP24" s="127"/>
      <c r="OQ24" s="127"/>
      <c r="OR24" s="127"/>
      <c r="OS24" s="127"/>
      <c r="OT24" s="127"/>
      <c r="OU24" s="127"/>
      <c r="OV24" s="127"/>
      <c r="OW24" s="127"/>
      <c r="OX24" s="127"/>
      <c r="OY24" s="127"/>
      <c r="OZ24" s="127"/>
      <c r="PA24" s="127"/>
      <c r="PB24" s="127"/>
      <c r="PC24" s="127"/>
      <c r="PD24" s="127"/>
      <c r="PE24" s="127"/>
      <c r="PF24" s="127"/>
      <c r="PG24" s="127"/>
      <c r="PH24" s="127"/>
      <c r="PI24" s="127"/>
      <c r="PJ24" s="127"/>
      <c r="PK24" s="127"/>
      <c r="PL24" s="127"/>
      <c r="PM24" s="127"/>
      <c r="PN24" s="127"/>
      <c r="PO24" s="127"/>
      <c r="PP24" s="127"/>
      <c r="PQ24" s="127"/>
      <c r="PR24" s="127"/>
      <c r="PS24" s="127"/>
      <c r="PT24" s="127"/>
      <c r="PU24" s="127"/>
      <c r="PV24" s="127"/>
      <c r="PW24" s="127"/>
      <c r="PX24" s="127"/>
      <c r="PY24" s="127"/>
      <c r="PZ24" s="127"/>
      <c r="QA24" s="127"/>
      <c r="QB24" s="127"/>
      <c r="QC24" s="127"/>
      <c r="QD24" s="127"/>
      <c r="QE24" s="127"/>
      <c r="QF24" s="127"/>
      <c r="QG24" s="127"/>
      <c r="QH24" s="127"/>
      <c r="QI24" s="127"/>
      <c r="QJ24" s="127"/>
      <c r="QK24" s="127"/>
      <c r="QL24" s="127"/>
      <c r="QM24" s="127"/>
      <c r="QN24" s="127"/>
      <c r="QO24" s="127"/>
      <c r="QP24" s="127"/>
      <c r="QQ24" s="127"/>
      <c r="QR24" s="127"/>
      <c r="QS24" s="127"/>
      <c r="QT24" s="127"/>
      <c r="QU24" s="127"/>
      <c r="QV24" s="127"/>
      <c r="QW24" s="127"/>
      <c r="QX24" s="127"/>
      <c r="QY24" s="127"/>
      <c r="QZ24" s="127"/>
      <c r="RA24" s="127"/>
      <c r="RB24" s="127"/>
      <c r="RC24" s="127"/>
      <c r="RD24" s="127"/>
      <c r="RE24" s="127"/>
      <c r="RF24" s="127"/>
      <c r="RG24" s="127"/>
      <c r="RH24" s="127"/>
      <c r="RI24" s="127"/>
      <c r="RJ24" s="127"/>
      <c r="RK24" s="127"/>
      <c r="RL24" s="127"/>
      <c r="RM24" s="127"/>
      <c r="RN24" s="127"/>
      <c r="RO24" s="127"/>
      <c r="RP24" s="127"/>
      <c r="RQ24" s="127"/>
      <c r="RR24" s="127"/>
      <c r="RS24" s="127"/>
      <c r="RT24" s="127"/>
      <c r="RU24" s="127"/>
      <c r="RV24" s="127"/>
      <c r="RW24" s="127"/>
      <c r="RX24" s="127"/>
      <c r="RY24" s="127"/>
      <c r="RZ24" s="127"/>
      <c r="SA24" s="127"/>
      <c r="SB24" s="127"/>
      <c r="SC24" s="127"/>
      <c r="SD24" s="127"/>
      <c r="SE24" s="127"/>
      <c r="SF24" s="127"/>
      <c r="SG24" s="127"/>
      <c r="SH24" s="127"/>
      <c r="SI24" s="127"/>
      <c r="SJ24" s="127"/>
      <c r="SK24" s="127"/>
      <c r="SL24" s="127"/>
      <c r="SM24" s="127"/>
      <c r="SN24" s="127"/>
      <c r="SO24" s="127"/>
      <c r="SP24" s="127"/>
      <c r="SQ24" s="127"/>
      <c r="SR24" s="127"/>
      <c r="SS24" s="127"/>
      <c r="ST24" s="127"/>
      <c r="SU24" s="127"/>
      <c r="SV24" s="127"/>
      <c r="SW24" s="127"/>
      <c r="SX24" s="127"/>
      <c r="SY24" s="127"/>
      <c r="SZ24" s="127"/>
      <c r="TA24" s="127"/>
      <c r="TB24" s="127"/>
      <c r="TC24" s="127"/>
      <c r="TD24" s="127"/>
      <c r="TE24" s="127"/>
      <c r="TF24" s="127"/>
      <c r="TG24" s="127"/>
      <c r="TH24" s="127"/>
      <c r="TI24" s="127"/>
      <c r="TJ24" s="127"/>
      <c r="TK24" s="127"/>
      <c r="TL24" s="127"/>
      <c r="TM24" s="127"/>
      <c r="TN24" s="127"/>
      <c r="TO24" s="127"/>
      <c r="TP24" s="127"/>
      <c r="TQ24" s="127"/>
      <c r="TR24" s="127"/>
      <c r="TS24" s="127"/>
      <c r="TT24" s="127"/>
      <c r="TU24" s="127"/>
      <c r="TV24" s="127"/>
      <c r="TW24" s="127"/>
      <c r="TX24" s="127"/>
      <c r="TY24" s="127"/>
      <c r="TZ24" s="127"/>
      <c r="UA24" s="127"/>
      <c r="UB24" s="127"/>
      <c r="UC24" s="127"/>
      <c r="UD24" s="127"/>
      <c r="UE24" s="127"/>
      <c r="UF24" s="127"/>
      <c r="UG24" s="127"/>
      <c r="UH24" s="127"/>
      <c r="UI24" s="127"/>
      <c r="UJ24" s="127"/>
      <c r="UK24" s="127"/>
      <c r="UL24" s="127"/>
      <c r="UM24" s="127"/>
      <c r="UN24" s="127"/>
      <c r="UO24" s="127"/>
      <c r="UP24" s="127"/>
      <c r="UQ24" s="127"/>
      <c r="UR24" s="127"/>
      <c r="US24" s="127"/>
      <c r="UT24" s="127"/>
      <c r="UU24" s="127"/>
      <c r="UV24" s="127"/>
      <c r="UW24" s="127"/>
      <c r="UX24" s="127"/>
      <c r="UY24" s="127"/>
      <c r="UZ24" s="127"/>
      <c r="VA24" s="127"/>
      <c r="VB24" s="127"/>
      <c r="VC24" s="127"/>
      <c r="VD24" s="127"/>
      <c r="VE24" s="127"/>
      <c r="VF24" s="127"/>
      <c r="VG24" s="127"/>
      <c r="VH24" s="127"/>
      <c r="VI24" s="127"/>
      <c r="VJ24" s="127"/>
      <c r="VK24" s="127"/>
      <c r="VL24" s="127"/>
      <c r="VM24" s="127"/>
      <c r="VN24" s="127"/>
      <c r="VO24" s="127"/>
      <c r="VP24" s="127"/>
      <c r="VQ24" s="127"/>
      <c r="VR24" s="127"/>
      <c r="VS24" s="127"/>
      <c r="VT24" s="127"/>
      <c r="VU24" s="127"/>
      <c r="VV24" s="127"/>
      <c r="VW24" s="127"/>
      <c r="VX24" s="127"/>
      <c r="VY24" s="127"/>
      <c r="VZ24" s="127"/>
      <c r="WA24" s="127"/>
      <c r="WB24" s="127"/>
      <c r="WC24" s="127"/>
      <c r="WD24" s="127"/>
      <c r="WE24" s="127"/>
      <c r="WF24" s="127"/>
      <c r="WG24" s="127"/>
      <c r="WH24" s="127"/>
      <c r="WI24" s="127"/>
      <c r="WJ24" s="127"/>
      <c r="WK24" s="127"/>
      <c r="WL24" s="127"/>
      <c r="WM24" s="127"/>
      <c r="WN24" s="127"/>
      <c r="WO24" s="127"/>
      <c r="WP24" s="127"/>
      <c r="WQ24" s="127"/>
      <c r="WR24" s="127"/>
      <c r="WS24" s="127"/>
      <c r="WT24" s="127"/>
      <c r="WU24" s="127"/>
      <c r="WV24" s="127"/>
      <c r="WW24" s="127"/>
      <c r="WX24" s="127"/>
      <c r="WY24" s="127"/>
      <c r="WZ24" s="127"/>
      <c r="XA24" s="127"/>
      <c r="XB24" s="127"/>
      <c r="XC24" s="127"/>
      <c r="XD24" s="127"/>
      <c r="XE24" s="127"/>
      <c r="XF24" s="127"/>
      <c r="XG24" s="127"/>
      <c r="XH24" s="127"/>
      <c r="XI24" s="127"/>
      <c r="XJ24" s="127"/>
      <c r="XK24" s="127"/>
      <c r="XL24" s="127"/>
      <c r="XM24" s="127"/>
      <c r="XN24" s="127"/>
      <c r="XO24" s="127"/>
      <c r="XP24" s="127"/>
      <c r="XQ24" s="127"/>
      <c r="XR24" s="127"/>
      <c r="XS24" s="127"/>
      <c r="XT24" s="127"/>
      <c r="XU24" s="127"/>
      <c r="XV24" s="127"/>
      <c r="XW24" s="127"/>
      <c r="XX24" s="127"/>
      <c r="XY24" s="127"/>
      <c r="XZ24" s="127"/>
      <c r="YA24" s="127"/>
      <c r="YB24" s="127"/>
      <c r="YC24" s="127"/>
      <c r="YD24" s="127"/>
      <c r="YE24" s="127"/>
      <c r="YF24" s="127"/>
      <c r="YG24" s="127"/>
      <c r="YH24" s="127"/>
      <c r="YI24" s="127"/>
      <c r="YJ24" s="127"/>
      <c r="YK24" s="127"/>
      <c r="YL24" s="127"/>
      <c r="YM24" s="127"/>
      <c r="YN24" s="127"/>
      <c r="YO24" s="127"/>
      <c r="YP24" s="127"/>
      <c r="YQ24" s="127"/>
      <c r="YR24" s="127"/>
      <c r="YS24" s="127"/>
      <c r="YT24" s="127"/>
      <c r="YU24" s="127"/>
      <c r="YV24" s="127"/>
      <c r="YW24" s="127"/>
      <c r="YX24" s="127"/>
      <c r="YY24" s="127"/>
      <c r="YZ24" s="127"/>
      <c r="ZA24" s="127"/>
      <c r="ZB24" s="127"/>
      <c r="ZC24" s="127"/>
      <c r="ZD24" s="127"/>
      <c r="ZE24" s="127"/>
      <c r="ZF24" s="127"/>
      <c r="ZG24" s="127"/>
      <c r="ZH24" s="127"/>
      <c r="ZI24" s="127"/>
      <c r="ZJ24" s="127"/>
      <c r="ZK24" s="127"/>
      <c r="ZL24" s="127"/>
      <c r="ZM24" s="127"/>
      <c r="ZN24" s="127"/>
      <c r="ZO24" s="127"/>
      <c r="ZP24" s="127"/>
      <c r="ZQ24" s="127"/>
      <c r="ZR24" s="127"/>
      <c r="ZS24" s="127"/>
      <c r="ZT24" s="127"/>
      <c r="ZU24" s="127"/>
      <c r="ZV24" s="127"/>
      <c r="ZW24" s="127"/>
      <c r="ZX24" s="127"/>
      <c r="ZY24" s="127"/>
      <c r="ZZ24" s="127"/>
      <c r="AAA24" s="127"/>
      <c r="AAB24" s="127"/>
      <c r="AAC24" s="127"/>
      <c r="AAD24" s="127"/>
      <c r="AAE24" s="127"/>
      <c r="AAF24" s="127"/>
      <c r="AAG24" s="127"/>
      <c r="AAH24" s="127"/>
      <c r="AAI24" s="127"/>
      <c r="AAJ24" s="127"/>
      <c r="AAK24" s="127"/>
      <c r="AAL24" s="127"/>
      <c r="AAM24" s="127"/>
      <c r="AAN24" s="127"/>
      <c r="AAO24" s="127"/>
      <c r="AAP24" s="127"/>
      <c r="AAQ24" s="127"/>
      <c r="AAR24" s="127"/>
      <c r="AAS24" s="127"/>
      <c r="AAT24" s="127"/>
      <c r="AAU24" s="127"/>
      <c r="AAV24" s="127"/>
      <c r="AAW24" s="127"/>
      <c r="AAX24" s="127"/>
      <c r="AAY24" s="127"/>
      <c r="AAZ24" s="127"/>
      <c r="ABA24" s="127"/>
      <c r="ABB24" s="127"/>
      <c r="ABC24" s="127"/>
      <c r="ABD24" s="127"/>
      <c r="ABE24" s="127"/>
      <c r="ABF24" s="127"/>
      <c r="ABG24" s="127"/>
      <c r="ABH24" s="127"/>
      <c r="ABI24" s="127"/>
      <c r="ABJ24" s="127"/>
      <c r="ABK24" s="127"/>
      <c r="ABL24" s="127"/>
      <c r="ABM24" s="127"/>
      <c r="ABN24" s="127"/>
      <c r="ABO24" s="127"/>
      <c r="ABP24" s="127"/>
      <c r="ABQ24" s="127"/>
      <c r="ABR24" s="127"/>
      <c r="ABS24" s="127"/>
      <c r="ABT24" s="127"/>
      <c r="ABU24" s="127"/>
      <c r="ABV24" s="127"/>
      <c r="ABW24" s="127"/>
      <c r="ABX24" s="127"/>
      <c r="ABY24" s="127"/>
      <c r="ABZ24" s="127"/>
      <c r="ACA24" s="127"/>
      <c r="ACB24" s="127"/>
      <c r="ACC24" s="127"/>
      <c r="ACD24" s="127"/>
      <c r="ACE24" s="127"/>
      <c r="ACF24" s="127"/>
      <c r="ACG24" s="127"/>
      <c r="ACH24" s="127"/>
      <c r="ACI24" s="127"/>
      <c r="ACJ24" s="127"/>
      <c r="ACK24" s="127"/>
      <c r="ACL24" s="127"/>
      <c r="ACM24" s="127"/>
      <c r="ACN24" s="127"/>
      <c r="ACO24" s="127"/>
      <c r="ACP24" s="127"/>
      <c r="ACQ24" s="127"/>
      <c r="ACR24" s="127"/>
      <c r="ACS24" s="127"/>
      <c r="ACT24" s="127"/>
      <c r="ACU24" s="127"/>
      <c r="ACV24" s="127"/>
      <c r="ACW24" s="127"/>
      <c r="ACX24" s="127"/>
      <c r="ACY24" s="127"/>
      <c r="ACZ24" s="127"/>
      <c r="ADA24" s="127"/>
      <c r="ADB24" s="127"/>
      <c r="ADC24" s="127"/>
      <c r="ADD24" s="127"/>
      <c r="ADE24" s="127"/>
      <c r="ADF24" s="127"/>
      <c r="ADG24" s="127"/>
      <c r="ADH24" s="127"/>
      <c r="ADI24" s="127"/>
      <c r="ADJ24" s="127"/>
      <c r="ADK24" s="127"/>
      <c r="ADL24" s="127"/>
      <c r="ADM24" s="127"/>
      <c r="ADN24" s="127"/>
      <c r="ADO24" s="127"/>
      <c r="ADP24" s="127"/>
      <c r="ADQ24" s="127"/>
      <c r="ADR24" s="127"/>
      <c r="ADS24" s="127"/>
      <c r="ADT24" s="127"/>
      <c r="ADU24" s="127"/>
      <c r="ADV24" s="127"/>
      <c r="ADW24" s="127"/>
      <c r="ADX24" s="127"/>
      <c r="ADY24" s="127"/>
      <c r="ADZ24" s="127"/>
      <c r="AEA24" s="127"/>
      <c r="AEB24" s="127"/>
      <c r="AEC24" s="127"/>
      <c r="AED24" s="127"/>
      <c r="AEE24" s="127"/>
      <c r="AEF24" s="127"/>
      <c r="AEG24" s="127"/>
      <c r="AEH24" s="127"/>
      <c r="AEI24" s="127"/>
      <c r="AEJ24" s="127"/>
      <c r="AEK24" s="127"/>
      <c r="AEL24" s="127"/>
      <c r="AEM24" s="127"/>
      <c r="AEN24" s="127"/>
      <c r="AEO24" s="127"/>
      <c r="AEP24" s="127"/>
      <c r="AEQ24" s="127"/>
      <c r="AER24" s="127"/>
      <c r="AES24" s="127"/>
      <c r="AET24" s="127"/>
      <c r="AEU24" s="127"/>
      <c r="AEV24" s="127"/>
      <c r="AEW24" s="127"/>
      <c r="AEX24" s="127"/>
      <c r="AEY24" s="127"/>
      <c r="AEZ24" s="127"/>
      <c r="AFA24" s="127"/>
      <c r="AFB24" s="127"/>
      <c r="AFC24" s="127"/>
      <c r="AFD24" s="127"/>
      <c r="AFE24" s="127"/>
      <c r="AFF24" s="127"/>
      <c r="AFG24" s="127"/>
      <c r="AFH24" s="127"/>
      <c r="AFI24" s="127"/>
      <c r="AFJ24" s="127"/>
      <c r="AFK24" s="127"/>
      <c r="AFL24" s="127"/>
      <c r="AFM24" s="127"/>
      <c r="AFN24" s="127"/>
      <c r="AFO24" s="127"/>
      <c r="AFP24" s="127"/>
      <c r="AFQ24" s="127"/>
      <c r="AFR24" s="127"/>
      <c r="AFS24" s="127"/>
      <c r="AFT24" s="127"/>
      <c r="AFU24" s="127"/>
      <c r="AFV24" s="127"/>
      <c r="AFW24" s="127"/>
      <c r="AFX24" s="127"/>
      <c r="AFY24" s="127"/>
      <c r="AFZ24" s="127"/>
      <c r="AGA24" s="127"/>
      <c r="AGB24" s="127"/>
      <c r="AGC24" s="127"/>
      <c r="AGD24" s="127"/>
      <c r="AGE24" s="127"/>
      <c r="AGF24" s="127"/>
      <c r="AGG24" s="127"/>
      <c r="AGH24" s="127"/>
      <c r="AGI24" s="127"/>
      <c r="AGJ24" s="127"/>
      <c r="AGK24" s="127"/>
      <c r="AGL24" s="127"/>
      <c r="AGM24" s="127"/>
      <c r="AGN24" s="127"/>
      <c r="AGO24" s="127"/>
      <c r="AGP24" s="127"/>
      <c r="AGQ24" s="127"/>
      <c r="AGR24" s="127"/>
      <c r="AGS24" s="127"/>
      <c r="AGT24" s="127"/>
      <c r="AGU24" s="127"/>
      <c r="AGV24" s="127"/>
      <c r="AGW24" s="127"/>
      <c r="AGX24" s="127"/>
      <c r="AGY24" s="127"/>
      <c r="AGZ24" s="127"/>
      <c r="AHA24" s="127"/>
      <c r="AHB24" s="127"/>
      <c r="AHC24" s="127"/>
      <c r="AHD24" s="127"/>
      <c r="AHE24" s="127"/>
      <c r="AHF24" s="127"/>
      <c r="AHG24" s="127"/>
      <c r="AHH24" s="127"/>
      <c r="AHI24" s="127"/>
      <c r="AHJ24" s="127"/>
      <c r="AHK24" s="127"/>
      <c r="AHL24" s="127"/>
      <c r="AHM24" s="127"/>
      <c r="AHN24" s="127"/>
      <c r="AHO24" s="127"/>
      <c r="AHP24" s="127"/>
      <c r="AHQ24" s="127"/>
      <c r="AHR24" s="127"/>
      <c r="AHS24" s="127"/>
      <c r="AHT24" s="127"/>
      <c r="AHU24" s="127"/>
      <c r="AHV24" s="127"/>
      <c r="AHW24" s="127"/>
      <c r="AHX24" s="127"/>
      <c r="AHY24" s="127"/>
      <c r="AHZ24" s="127"/>
      <c r="AIA24" s="127"/>
      <c r="AIB24" s="127"/>
      <c r="AIC24" s="127"/>
      <c r="AID24" s="127"/>
      <c r="AIE24" s="127"/>
      <c r="AIF24" s="127"/>
      <c r="AIG24" s="127"/>
      <c r="AIH24" s="127"/>
      <c r="AII24" s="127"/>
      <c r="AIJ24" s="127"/>
      <c r="AIK24" s="127"/>
      <c r="AIL24" s="127"/>
      <c r="AIM24" s="127"/>
      <c r="AIN24" s="127"/>
      <c r="AIO24" s="127"/>
      <c r="AIP24" s="127"/>
      <c r="AIQ24" s="127"/>
      <c r="AIR24" s="127"/>
      <c r="AIS24" s="127"/>
      <c r="AIT24" s="127"/>
      <c r="AIU24" s="127"/>
      <c r="AIV24" s="127"/>
      <c r="AIW24" s="127"/>
      <c r="AIX24" s="127"/>
      <c r="AIY24" s="127"/>
      <c r="AIZ24" s="127"/>
      <c r="AJA24" s="127"/>
      <c r="AJB24" s="127"/>
      <c r="AJC24" s="127"/>
      <c r="AJD24" s="127"/>
      <c r="AJE24" s="127"/>
      <c r="AJF24" s="127"/>
      <c r="AJG24" s="127"/>
      <c r="AJH24" s="127"/>
      <c r="AJI24" s="127"/>
      <c r="AJJ24" s="127"/>
      <c r="AJK24" s="127"/>
      <c r="AJL24" s="127"/>
      <c r="AJM24" s="127"/>
      <c r="AJN24" s="127"/>
      <c r="AJO24" s="127"/>
      <c r="AJP24" s="127"/>
      <c r="AJQ24" s="127"/>
      <c r="AJR24" s="127"/>
      <c r="AJS24" s="127"/>
      <c r="AJT24" s="127"/>
      <c r="AJU24" s="127"/>
      <c r="AJV24" s="127"/>
      <c r="AJW24" s="127"/>
      <c r="AJX24" s="127"/>
      <c r="AJY24" s="127"/>
      <c r="AJZ24" s="127"/>
      <c r="AKA24" s="127"/>
      <c r="AKB24" s="127"/>
      <c r="AKC24" s="127"/>
      <c r="AKD24" s="127"/>
      <c r="AKE24" s="127"/>
      <c r="AKF24" s="127"/>
      <c r="AKG24" s="127"/>
      <c r="AKH24" s="127"/>
      <c r="AKI24" s="127"/>
      <c r="AKJ24" s="127"/>
      <c r="AKK24" s="127"/>
      <c r="AKL24" s="127"/>
      <c r="AKM24" s="127"/>
      <c r="AKN24" s="127"/>
      <c r="AKO24" s="127"/>
      <c r="AKP24" s="127"/>
      <c r="AKQ24" s="127"/>
      <c r="AKR24" s="127"/>
      <c r="AKS24" s="127"/>
      <c r="AKT24" s="127"/>
      <c r="AKU24" s="127"/>
      <c r="AKV24" s="127"/>
      <c r="AKW24" s="127"/>
      <c r="AKX24" s="127"/>
      <c r="AKY24" s="127"/>
      <c r="AKZ24" s="127"/>
      <c r="ALA24" s="127"/>
      <c r="ALB24" s="127"/>
      <c r="ALC24" s="127"/>
      <c r="ALD24" s="127"/>
      <c r="ALE24" s="127"/>
      <c r="ALF24" s="127"/>
      <c r="ALG24" s="127"/>
      <c r="ALH24" s="127"/>
      <c r="ALI24" s="127"/>
      <c r="ALJ24" s="127"/>
      <c r="ALK24" s="127"/>
      <c r="ALL24" s="127"/>
      <c r="ALM24" s="127"/>
      <c r="ALN24" s="127"/>
      <c r="ALO24" s="127"/>
      <c r="ALP24" s="127"/>
      <c r="ALQ24" s="127"/>
      <c r="ALR24" s="127"/>
      <c r="ALS24" s="127"/>
      <c r="ALT24" s="127"/>
      <c r="ALU24" s="127"/>
      <c r="ALV24" s="127"/>
      <c r="ALW24" s="127"/>
      <c r="ALX24" s="127"/>
      <c r="ALY24" s="127"/>
      <c r="ALZ24" s="127"/>
      <c r="AMA24" s="127"/>
      <c r="AMB24" s="127"/>
      <c r="AMC24" s="127"/>
      <c r="AMD24" s="127"/>
      <c r="AME24" s="127"/>
      <c r="AMF24" s="127"/>
      <c r="AMG24" s="127"/>
      <c r="AMH24" s="127"/>
      <c r="AMI24" s="127"/>
      <c r="AMJ24" s="127"/>
      <c r="AMK24" s="127"/>
      <c r="AML24" s="127"/>
      <c r="AMM24" s="127"/>
      <c r="AMN24" s="127"/>
      <c r="AMO24" s="127"/>
      <c r="AMP24" s="127"/>
      <c r="AMQ24" s="127"/>
      <c r="AMR24" s="127"/>
      <c r="AMS24" s="127"/>
      <c r="AMT24" s="127"/>
      <c r="AMU24" s="127"/>
      <c r="AMV24" s="127"/>
      <c r="AMW24" s="127"/>
      <c r="AMX24" s="127"/>
      <c r="AMY24" s="127"/>
      <c r="AMZ24" s="127"/>
      <c r="ANA24" s="127"/>
      <c r="ANB24" s="127"/>
      <c r="ANC24" s="127"/>
      <c r="AND24" s="127"/>
      <c r="ANE24" s="127"/>
      <c r="ANF24" s="127"/>
      <c r="ANG24" s="127"/>
      <c r="ANH24" s="127"/>
      <c r="ANI24" s="127"/>
      <c r="ANJ24" s="127"/>
      <c r="ANK24" s="127"/>
      <c r="ANL24" s="127"/>
      <c r="ANM24" s="127"/>
      <c r="ANN24" s="127"/>
      <c r="ANO24" s="127"/>
      <c r="ANP24" s="127"/>
      <c r="ANQ24" s="127"/>
      <c r="ANR24" s="127"/>
      <c r="ANS24" s="127"/>
      <c r="ANT24" s="127"/>
      <c r="ANU24" s="127"/>
      <c r="ANV24" s="127"/>
      <c r="ANW24" s="127"/>
      <c r="ANX24" s="127"/>
      <c r="ANY24" s="127"/>
      <c r="ANZ24" s="127"/>
      <c r="AOA24" s="127"/>
      <c r="AOB24" s="127"/>
      <c r="AOC24" s="127"/>
      <c r="AOD24" s="127"/>
      <c r="AOE24" s="127"/>
      <c r="AOF24" s="127"/>
      <c r="AOG24" s="127"/>
      <c r="AOH24" s="127"/>
      <c r="AOI24" s="127"/>
      <c r="AOJ24" s="127"/>
      <c r="AOK24" s="127"/>
      <c r="AOL24" s="127"/>
      <c r="AOM24" s="127"/>
      <c r="AON24" s="127"/>
      <c r="AOO24" s="127"/>
      <c r="AOP24" s="127"/>
      <c r="AOQ24" s="127"/>
      <c r="AOR24" s="127"/>
      <c r="AOS24" s="127"/>
      <c r="AOT24" s="127"/>
      <c r="AOU24" s="127"/>
      <c r="AOV24" s="127"/>
      <c r="AOW24" s="127"/>
      <c r="AOX24" s="127"/>
      <c r="AOY24" s="127"/>
      <c r="AOZ24" s="127"/>
      <c r="APA24" s="127"/>
      <c r="APB24" s="127"/>
      <c r="APC24" s="127"/>
      <c r="APD24" s="127"/>
      <c r="APE24" s="127"/>
      <c r="APF24" s="127"/>
      <c r="APG24" s="127"/>
      <c r="APH24" s="127"/>
      <c r="API24" s="127"/>
      <c r="APJ24" s="127"/>
      <c r="APK24" s="127"/>
      <c r="APL24" s="127"/>
      <c r="APM24" s="127"/>
      <c r="APN24" s="127"/>
      <c r="APO24" s="127"/>
      <c r="APP24" s="127"/>
      <c r="APQ24" s="127"/>
      <c r="APR24" s="127"/>
      <c r="APS24" s="127"/>
      <c r="APT24" s="127"/>
      <c r="APU24" s="127"/>
      <c r="APV24" s="127"/>
      <c r="APW24" s="127"/>
      <c r="APX24" s="127"/>
      <c r="APY24" s="127"/>
      <c r="APZ24" s="127"/>
      <c r="AQA24" s="127"/>
      <c r="AQB24" s="127"/>
      <c r="AQC24" s="127"/>
      <c r="AQD24" s="127"/>
      <c r="AQE24" s="127"/>
      <c r="AQF24" s="127"/>
      <c r="AQG24" s="127"/>
      <c r="AQH24" s="127"/>
      <c r="AQI24" s="127"/>
      <c r="AQJ24" s="127"/>
      <c r="AQK24" s="127"/>
      <c r="AQL24" s="127"/>
      <c r="AQM24" s="127"/>
      <c r="AQN24" s="127"/>
      <c r="AQO24" s="127"/>
      <c r="AQP24" s="127"/>
      <c r="AQQ24" s="127"/>
      <c r="AQR24" s="127"/>
      <c r="AQS24" s="127"/>
      <c r="AQT24" s="127"/>
      <c r="AQU24" s="127"/>
      <c r="AQV24" s="127"/>
      <c r="AQW24" s="127"/>
      <c r="AQX24" s="127"/>
      <c r="AQY24" s="127"/>
      <c r="AQZ24" s="127"/>
      <c r="ARA24" s="127"/>
      <c r="ARB24" s="127"/>
      <c r="ARC24" s="127"/>
      <c r="ARD24" s="127"/>
      <c r="ARE24" s="127"/>
      <c r="ARF24" s="127"/>
      <c r="ARG24" s="127"/>
      <c r="ARH24" s="127"/>
      <c r="ARI24" s="127"/>
      <c r="ARJ24" s="127"/>
      <c r="ARK24" s="127"/>
      <c r="ARL24" s="127"/>
      <c r="ARM24" s="127"/>
      <c r="ARN24" s="127"/>
      <c r="ARO24" s="127"/>
      <c r="ARP24" s="127"/>
      <c r="ARQ24" s="127"/>
      <c r="ARR24" s="127"/>
      <c r="ARS24" s="127"/>
      <c r="ART24" s="127"/>
      <c r="ARU24" s="127"/>
      <c r="ARV24" s="127"/>
      <c r="ARW24" s="127"/>
      <c r="ARX24" s="127"/>
      <c r="ARY24" s="127"/>
      <c r="ARZ24" s="127"/>
      <c r="ASA24" s="127"/>
      <c r="ASB24" s="127"/>
      <c r="ASC24" s="127"/>
      <c r="ASD24" s="127"/>
      <c r="ASE24" s="127"/>
      <c r="ASF24" s="127"/>
      <c r="ASG24" s="127"/>
      <c r="ASH24" s="127"/>
      <c r="ASI24" s="127"/>
      <c r="ASJ24" s="127"/>
      <c r="ASK24" s="127"/>
      <c r="ASL24" s="127"/>
      <c r="ASM24" s="127"/>
      <c r="ASN24" s="127"/>
      <c r="ASO24" s="127"/>
      <c r="ASP24" s="127"/>
      <c r="ASQ24" s="127"/>
      <c r="ASR24" s="127"/>
      <c r="ASS24" s="127"/>
      <c r="AST24" s="127"/>
      <c r="ASU24" s="127"/>
      <c r="ASV24" s="127"/>
      <c r="ASW24" s="127"/>
      <c r="ASX24" s="127"/>
      <c r="ASY24" s="127"/>
      <c r="ASZ24" s="127"/>
      <c r="ATA24" s="127"/>
      <c r="ATB24" s="127"/>
      <c r="ATC24" s="127"/>
      <c r="ATD24" s="127"/>
      <c r="ATE24" s="127"/>
      <c r="ATF24" s="127"/>
      <c r="ATG24" s="127"/>
      <c r="ATH24" s="127"/>
      <c r="ATI24" s="127"/>
      <c r="ATJ24" s="127"/>
      <c r="ATK24" s="127"/>
      <c r="ATL24" s="127"/>
      <c r="ATM24" s="127"/>
      <c r="ATN24" s="127"/>
      <c r="ATO24" s="127"/>
      <c r="ATP24" s="127"/>
      <c r="ATQ24" s="127"/>
      <c r="ATR24" s="127"/>
      <c r="ATS24" s="127"/>
      <c r="ATT24" s="127"/>
      <c r="ATU24" s="127"/>
      <c r="ATV24" s="127"/>
      <c r="ATW24" s="127"/>
      <c r="ATX24" s="127"/>
      <c r="ATY24" s="127"/>
      <c r="ATZ24" s="127"/>
      <c r="AUA24" s="127"/>
      <c r="AUB24" s="127"/>
      <c r="AUC24" s="127"/>
      <c r="AUD24" s="127"/>
      <c r="AUE24" s="127"/>
      <c r="AUF24" s="127"/>
      <c r="AUG24" s="127"/>
      <c r="AUH24" s="127"/>
      <c r="AUI24" s="127"/>
      <c r="AUJ24" s="127"/>
      <c r="AUK24" s="127"/>
      <c r="AUL24" s="127"/>
      <c r="AUM24" s="127"/>
      <c r="AUN24" s="127"/>
      <c r="AUO24" s="127"/>
      <c r="AUP24" s="127"/>
      <c r="AUQ24" s="127"/>
      <c r="AUR24" s="127"/>
      <c r="AUS24" s="127"/>
      <c r="AUT24" s="127"/>
      <c r="AUU24" s="127"/>
      <c r="AUV24" s="127"/>
      <c r="AUW24" s="127"/>
      <c r="AUX24" s="127"/>
      <c r="AUY24" s="127"/>
      <c r="AUZ24" s="127"/>
      <c r="AVA24" s="127"/>
      <c r="AVB24" s="127"/>
      <c r="AVC24" s="127"/>
      <c r="AVD24" s="127"/>
      <c r="AVE24" s="127"/>
      <c r="AVF24" s="127"/>
      <c r="AVG24" s="127"/>
      <c r="AVH24" s="127"/>
      <c r="AVI24" s="127"/>
      <c r="AVJ24" s="127"/>
      <c r="AVK24" s="127"/>
      <c r="AVL24" s="127"/>
      <c r="AVM24" s="127"/>
      <c r="AVN24" s="127"/>
      <c r="AVO24" s="127"/>
      <c r="AVP24" s="127"/>
      <c r="AVQ24" s="127"/>
      <c r="AVR24" s="127"/>
      <c r="AVS24" s="127"/>
      <c r="AVT24" s="127"/>
      <c r="AVU24" s="127"/>
      <c r="AVV24" s="127"/>
      <c r="AVW24" s="127"/>
      <c r="AVX24" s="127"/>
      <c r="AVY24" s="127"/>
      <c r="AVZ24" s="127"/>
      <c r="AWA24" s="127"/>
      <c r="AWB24" s="127"/>
      <c r="AWC24" s="127"/>
      <c r="AWD24" s="127"/>
      <c r="AWE24" s="127"/>
      <c r="AWF24" s="127"/>
      <c r="AWG24" s="127"/>
      <c r="AWH24" s="127"/>
      <c r="AWI24" s="127"/>
      <c r="AWJ24" s="127"/>
      <c r="AWK24" s="127"/>
      <c r="AWL24" s="127"/>
      <c r="AWM24" s="127"/>
      <c r="AWN24" s="127"/>
      <c r="AWO24" s="127"/>
      <c r="AWP24" s="127"/>
      <c r="AWQ24" s="127"/>
      <c r="AWR24" s="127"/>
      <c r="AWS24" s="127"/>
      <c r="AWT24" s="127"/>
      <c r="AWU24" s="127"/>
      <c r="AWV24" s="127"/>
      <c r="AWW24" s="127"/>
      <c r="AWX24" s="127"/>
      <c r="AWY24" s="127"/>
      <c r="AWZ24" s="127"/>
      <c r="AXA24" s="127"/>
      <c r="AXB24" s="127"/>
      <c r="AXC24" s="127"/>
      <c r="AXD24" s="127"/>
      <c r="AXE24" s="127"/>
      <c r="AXF24" s="127"/>
      <c r="AXG24" s="127"/>
      <c r="AXH24" s="127"/>
      <c r="AXI24" s="127"/>
      <c r="AXJ24" s="127"/>
      <c r="AXK24" s="127"/>
      <c r="AXL24" s="127"/>
      <c r="AXM24" s="127"/>
      <c r="AXN24" s="127"/>
      <c r="AXO24" s="127"/>
      <c r="AXP24" s="127"/>
      <c r="AXQ24" s="127"/>
      <c r="AXR24" s="127"/>
      <c r="AXS24" s="127"/>
      <c r="AXT24" s="127"/>
      <c r="AXU24" s="127"/>
      <c r="AXV24" s="127"/>
      <c r="AXW24" s="127"/>
      <c r="AXX24" s="127"/>
      <c r="AXY24" s="127"/>
      <c r="AXZ24" s="127"/>
      <c r="AYA24" s="127"/>
      <c r="AYB24" s="127"/>
      <c r="AYC24" s="127"/>
      <c r="AYD24" s="127"/>
      <c r="AYE24" s="127"/>
      <c r="AYF24" s="127"/>
      <c r="AYG24" s="127"/>
      <c r="AYH24" s="127"/>
      <c r="AYI24" s="127"/>
      <c r="AYJ24" s="127"/>
      <c r="AYK24" s="127"/>
      <c r="AYL24" s="127"/>
      <c r="AYM24" s="127"/>
      <c r="AYN24" s="127"/>
      <c r="AYO24" s="127"/>
      <c r="AYP24" s="127"/>
      <c r="AYQ24" s="127"/>
      <c r="AYR24" s="127"/>
      <c r="AYS24" s="127"/>
      <c r="AYT24" s="127"/>
      <c r="AYU24" s="127"/>
      <c r="AYV24" s="127"/>
      <c r="AYW24" s="127"/>
      <c r="AYX24" s="127"/>
      <c r="AYY24" s="127"/>
      <c r="AYZ24" s="127"/>
      <c r="AZA24" s="127"/>
      <c r="AZB24" s="127"/>
      <c r="AZC24" s="127"/>
      <c r="AZD24" s="127"/>
      <c r="AZE24" s="127"/>
      <c r="AZF24" s="127"/>
      <c r="AZG24" s="127"/>
      <c r="AZH24" s="127"/>
      <c r="AZI24" s="127"/>
      <c r="AZJ24" s="127"/>
      <c r="AZK24" s="127"/>
      <c r="AZL24" s="127"/>
      <c r="AZM24" s="127"/>
      <c r="AZN24" s="127"/>
      <c r="AZO24" s="127"/>
      <c r="AZP24" s="127"/>
      <c r="AZQ24" s="127"/>
      <c r="AZR24" s="127"/>
      <c r="AZS24" s="127"/>
      <c r="AZT24" s="127"/>
      <c r="AZU24" s="127"/>
      <c r="AZV24" s="127"/>
      <c r="AZW24" s="127"/>
      <c r="AZX24" s="127"/>
      <c r="AZY24" s="127"/>
      <c r="AZZ24" s="127"/>
      <c r="BAA24" s="127"/>
      <c r="BAB24" s="127"/>
      <c r="BAC24" s="127"/>
      <c r="BAD24" s="127"/>
      <c r="BAE24" s="127"/>
      <c r="BAF24" s="127"/>
      <c r="BAG24" s="127"/>
      <c r="BAH24" s="127"/>
      <c r="BAI24" s="127"/>
      <c r="BAJ24" s="127"/>
      <c r="BAK24" s="127"/>
      <c r="BAL24" s="127"/>
      <c r="BAM24" s="127"/>
      <c r="BAN24" s="127"/>
      <c r="BAO24" s="127"/>
      <c r="BAP24" s="127"/>
      <c r="BAQ24" s="127"/>
      <c r="BAR24" s="127"/>
      <c r="BAS24" s="127"/>
      <c r="BAT24" s="127"/>
      <c r="BAU24" s="127"/>
      <c r="BAV24" s="127"/>
      <c r="BAW24" s="127"/>
      <c r="BAX24" s="127"/>
      <c r="BAY24" s="127"/>
      <c r="BAZ24" s="127"/>
      <c r="BBA24" s="127"/>
      <c r="BBB24" s="127"/>
      <c r="BBC24" s="127"/>
      <c r="BBD24" s="127"/>
      <c r="BBE24" s="127"/>
      <c r="BBF24" s="127"/>
      <c r="BBG24" s="127"/>
      <c r="BBH24" s="127"/>
      <c r="BBI24" s="127"/>
      <c r="BBJ24" s="127"/>
      <c r="BBK24" s="127"/>
      <c r="BBL24" s="127"/>
      <c r="BBM24" s="127"/>
      <c r="BBN24" s="127"/>
      <c r="BBO24" s="127"/>
      <c r="BBP24" s="127"/>
      <c r="BBQ24" s="127"/>
      <c r="BBR24" s="127"/>
      <c r="BBS24" s="127"/>
      <c r="BBT24" s="127"/>
      <c r="BBU24" s="127"/>
      <c r="BBV24" s="127"/>
      <c r="BBW24" s="127"/>
      <c r="BBX24" s="127"/>
      <c r="BBY24" s="127"/>
      <c r="BBZ24" s="127"/>
      <c r="BCA24" s="127"/>
      <c r="BCB24" s="127"/>
      <c r="BCC24" s="127"/>
      <c r="BCD24" s="127"/>
      <c r="BCE24" s="127"/>
      <c r="BCF24" s="127"/>
      <c r="BCG24" s="127"/>
      <c r="BCH24" s="127"/>
      <c r="BCI24" s="127"/>
      <c r="BCJ24" s="127"/>
      <c r="BCK24" s="127"/>
      <c r="BCL24" s="127"/>
      <c r="BCM24" s="127"/>
      <c r="BCN24" s="127"/>
      <c r="BCO24" s="127"/>
      <c r="BCP24" s="127"/>
      <c r="BCQ24" s="127"/>
      <c r="BCR24" s="127"/>
      <c r="BCS24" s="127"/>
      <c r="BCT24" s="127"/>
      <c r="BCU24" s="127"/>
      <c r="BCV24" s="127"/>
      <c r="BCW24" s="127"/>
      <c r="BCX24" s="127"/>
      <c r="BCY24" s="127"/>
      <c r="BCZ24" s="127"/>
      <c r="BDA24" s="127"/>
      <c r="BDB24" s="127"/>
      <c r="BDC24" s="127"/>
      <c r="BDD24" s="127"/>
      <c r="BDE24" s="127"/>
      <c r="BDF24" s="127"/>
      <c r="BDG24" s="127"/>
      <c r="BDH24" s="127"/>
      <c r="BDI24" s="127"/>
      <c r="BDJ24" s="127"/>
      <c r="BDK24" s="127"/>
      <c r="BDL24" s="127"/>
      <c r="BDM24" s="127"/>
      <c r="BDN24" s="127"/>
      <c r="BDO24" s="127"/>
      <c r="BDP24" s="127"/>
      <c r="BDQ24" s="127"/>
      <c r="BDR24" s="127"/>
      <c r="BDS24" s="127"/>
      <c r="BDT24" s="127"/>
      <c r="BDU24" s="127"/>
      <c r="BDV24" s="127"/>
      <c r="BDW24" s="127"/>
      <c r="BDX24" s="127"/>
      <c r="BDY24" s="127"/>
      <c r="BDZ24" s="127"/>
      <c r="BEA24" s="127"/>
      <c r="BEB24" s="127"/>
      <c r="BEC24" s="127"/>
      <c r="BED24" s="127"/>
      <c r="BEE24" s="127"/>
      <c r="BEF24" s="127"/>
      <c r="BEG24" s="127"/>
      <c r="BEH24" s="127"/>
      <c r="BEI24" s="127"/>
      <c r="BEJ24" s="127"/>
      <c r="BEK24" s="127"/>
      <c r="BEL24" s="127"/>
      <c r="BEM24" s="127"/>
      <c r="BEN24" s="127"/>
      <c r="BEO24" s="127"/>
      <c r="BEP24" s="127"/>
      <c r="BEQ24" s="127"/>
      <c r="BER24" s="127"/>
      <c r="BES24" s="127"/>
      <c r="BET24" s="127"/>
      <c r="BEU24" s="127"/>
      <c r="BEV24" s="127"/>
      <c r="BEW24" s="127"/>
      <c r="BEX24" s="127"/>
      <c r="BEY24" s="127"/>
      <c r="BEZ24" s="127"/>
      <c r="BFA24" s="127"/>
      <c r="BFB24" s="127"/>
      <c r="BFC24" s="127"/>
      <c r="BFD24" s="127"/>
      <c r="BFE24" s="127"/>
      <c r="BFF24" s="127"/>
      <c r="BFG24" s="127"/>
      <c r="BFH24" s="127"/>
      <c r="BFI24" s="127"/>
      <c r="BFJ24" s="127"/>
      <c r="BFK24" s="127"/>
      <c r="BFL24" s="127"/>
      <c r="BFM24" s="127"/>
      <c r="BFN24" s="127"/>
      <c r="BFO24" s="127"/>
      <c r="BFP24" s="127"/>
      <c r="BFQ24" s="127"/>
      <c r="BFR24" s="127"/>
      <c r="BFS24" s="127"/>
      <c r="BFT24" s="127"/>
      <c r="BFU24" s="127"/>
      <c r="BFV24" s="127"/>
      <c r="BFW24" s="127"/>
      <c r="BFX24" s="127"/>
      <c r="BFY24" s="127"/>
      <c r="BFZ24" s="127"/>
      <c r="BGA24" s="127"/>
      <c r="BGB24" s="127"/>
      <c r="BGC24" s="127"/>
      <c r="BGD24" s="127"/>
      <c r="BGE24" s="127"/>
      <c r="BGF24" s="127"/>
      <c r="BGG24" s="127"/>
      <c r="BGH24" s="127"/>
      <c r="BGI24" s="127"/>
      <c r="BGJ24" s="127"/>
      <c r="BGK24" s="127"/>
      <c r="BGL24" s="127"/>
      <c r="BGM24" s="127"/>
      <c r="BGN24" s="127"/>
      <c r="BGO24" s="127"/>
      <c r="BGP24" s="127"/>
      <c r="BGQ24" s="127"/>
      <c r="BGR24" s="127"/>
      <c r="BGS24" s="127"/>
      <c r="BGT24" s="127"/>
      <c r="BGU24" s="127"/>
      <c r="BGV24" s="127"/>
      <c r="BGW24" s="127"/>
      <c r="BGX24" s="127"/>
      <c r="BGY24" s="127"/>
      <c r="BGZ24" s="127"/>
      <c r="BHA24" s="127"/>
      <c r="BHB24" s="127"/>
      <c r="BHC24" s="127"/>
      <c r="BHD24" s="127"/>
      <c r="BHE24" s="127"/>
      <c r="BHF24" s="127"/>
      <c r="BHG24" s="127"/>
      <c r="BHH24" s="127"/>
      <c r="BHI24" s="127"/>
      <c r="BHJ24" s="127"/>
      <c r="BHK24" s="127"/>
      <c r="BHL24" s="127"/>
      <c r="BHM24" s="127"/>
      <c r="BHN24" s="127"/>
      <c r="BHO24" s="127"/>
      <c r="BHP24" s="127"/>
      <c r="BHQ24" s="127"/>
      <c r="BHR24" s="127"/>
      <c r="BHS24" s="127"/>
      <c r="BHT24" s="127"/>
      <c r="BHU24" s="127"/>
      <c r="BHV24" s="127"/>
      <c r="BHW24" s="127"/>
      <c r="BHX24" s="127"/>
      <c r="BHY24" s="127"/>
      <c r="BHZ24" s="127"/>
      <c r="BIA24" s="127"/>
      <c r="BIB24" s="127"/>
      <c r="BIC24" s="127"/>
      <c r="BID24" s="127"/>
      <c r="BIE24" s="127"/>
      <c r="BIF24" s="127"/>
      <c r="BIG24" s="127"/>
      <c r="BIH24" s="127"/>
      <c r="BII24" s="127"/>
      <c r="BIJ24" s="127"/>
      <c r="BIK24" s="127"/>
      <c r="BIL24" s="127"/>
      <c r="BIM24" s="127"/>
      <c r="BIN24" s="127"/>
      <c r="BIO24" s="127"/>
      <c r="BIP24" s="127"/>
      <c r="BIQ24" s="127"/>
      <c r="BIR24" s="127"/>
      <c r="BIS24" s="127"/>
      <c r="BIT24" s="127"/>
      <c r="BIU24" s="127"/>
      <c r="BIV24" s="127"/>
      <c r="BIW24" s="127"/>
      <c r="BIX24" s="127"/>
      <c r="BIY24" s="127"/>
      <c r="BIZ24" s="127"/>
      <c r="BJA24" s="127"/>
      <c r="BJB24" s="127"/>
      <c r="BJC24" s="127"/>
      <c r="BJD24" s="127"/>
      <c r="BJE24" s="127"/>
      <c r="BJF24" s="127"/>
      <c r="BJG24" s="127"/>
      <c r="BJH24" s="127"/>
      <c r="BJI24" s="127"/>
      <c r="BJJ24" s="127"/>
      <c r="BJK24" s="127"/>
      <c r="BJL24" s="127"/>
      <c r="BJM24" s="127"/>
      <c r="BJN24" s="127"/>
      <c r="BJO24" s="127"/>
      <c r="BJP24" s="127"/>
      <c r="BJQ24" s="127"/>
      <c r="BJR24" s="127"/>
      <c r="BJS24" s="127"/>
      <c r="BJT24" s="127"/>
      <c r="BJU24" s="127"/>
      <c r="BJV24" s="127"/>
      <c r="BJW24" s="127"/>
      <c r="BJX24" s="127"/>
      <c r="BJY24" s="127"/>
      <c r="BJZ24" s="127"/>
      <c r="BKA24" s="127"/>
      <c r="BKB24" s="127"/>
      <c r="BKC24" s="127"/>
      <c r="BKD24" s="127"/>
      <c r="BKE24" s="127"/>
      <c r="BKF24" s="127"/>
      <c r="BKG24" s="127"/>
      <c r="BKH24" s="127"/>
      <c r="BKI24" s="127"/>
      <c r="BKJ24" s="127"/>
      <c r="BKK24" s="127"/>
      <c r="BKL24" s="127"/>
      <c r="BKM24" s="127"/>
      <c r="BKN24" s="127"/>
      <c r="BKO24" s="127"/>
      <c r="BKP24" s="127"/>
      <c r="BKQ24" s="127"/>
      <c r="BKR24" s="127"/>
      <c r="BKS24" s="127"/>
      <c r="BKT24" s="127"/>
      <c r="BKU24" s="127"/>
      <c r="BKV24" s="127"/>
      <c r="BKW24" s="127"/>
      <c r="BKX24" s="127"/>
      <c r="BKY24" s="127"/>
      <c r="BKZ24" s="127"/>
      <c r="BLA24" s="127"/>
      <c r="BLB24" s="127"/>
      <c r="BLC24" s="127"/>
      <c r="BLD24" s="127"/>
      <c r="BLE24" s="127"/>
      <c r="BLF24" s="127"/>
      <c r="BLG24" s="127"/>
      <c r="BLH24" s="127"/>
      <c r="BLI24" s="127"/>
      <c r="BLJ24" s="127"/>
      <c r="BLK24" s="127"/>
      <c r="BLL24" s="127"/>
      <c r="BLM24" s="127"/>
      <c r="BLN24" s="127"/>
      <c r="BLO24" s="127"/>
      <c r="BLP24" s="127"/>
      <c r="BLQ24" s="127"/>
      <c r="BLR24" s="127"/>
      <c r="BLS24" s="127"/>
      <c r="BLT24" s="127"/>
      <c r="BLU24" s="127"/>
      <c r="BLV24" s="127"/>
      <c r="BLW24" s="127"/>
      <c r="BLX24" s="127"/>
      <c r="BLY24" s="127"/>
      <c r="BLZ24" s="127"/>
      <c r="BMA24" s="127"/>
      <c r="BMB24" s="127"/>
      <c r="BMC24" s="127"/>
      <c r="BMD24" s="127"/>
      <c r="BME24" s="127"/>
      <c r="BMF24" s="127"/>
      <c r="BMG24" s="127"/>
      <c r="BMH24" s="127"/>
      <c r="BMI24" s="127"/>
      <c r="BMJ24" s="127"/>
      <c r="BMK24" s="127"/>
      <c r="BML24" s="127"/>
      <c r="BMM24" s="127"/>
      <c r="BMN24" s="127"/>
      <c r="BMO24" s="127"/>
      <c r="BMP24" s="127"/>
      <c r="BMQ24" s="127"/>
      <c r="BMR24" s="127"/>
      <c r="BMS24" s="127"/>
      <c r="BMT24" s="127"/>
      <c r="BMU24" s="127"/>
      <c r="BMV24" s="127"/>
      <c r="BMW24" s="127"/>
      <c r="BMX24" s="127"/>
      <c r="BMY24" s="127"/>
      <c r="BMZ24" s="127"/>
      <c r="BNA24" s="127"/>
      <c r="BNB24" s="127"/>
      <c r="BNC24" s="127"/>
      <c r="BND24" s="127"/>
      <c r="BNE24" s="127"/>
      <c r="BNF24" s="127"/>
      <c r="BNG24" s="127"/>
      <c r="BNH24" s="127"/>
      <c r="BNI24" s="127"/>
      <c r="BNJ24" s="127"/>
      <c r="BNK24" s="127"/>
      <c r="BNL24" s="127"/>
      <c r="BNM24" s="127"/>
      <c r="BNN24" s="127"/>
      <c r="BNO24" s="127"/>
      <c r="BNP24" s="127"/>
      <c r="BNQ24" s="127"/>
      <c r="BNR24" s="127"/>
      <c r="BNS24" s="127"/>
      <c r="BNT24" s="127"/>
      <c r="BNU24" s="127"/>
      <c r="BNV24" s="127"/>
      <c r="BNW24" s="127"/>
      <c r="BNX24" s="127"/>
      <c r="BNY24" s="127"/>
      <c r="BNZ24" s="127"/>
      <c r="BOA24" s="127"/>
      <c r="BOB24" s="127"/>
      <c r="BOC24" s="127"/>
      <c r="BOD24" s="127"/>
      <c r="BOE24" s="127"/>
      <c r="BOF24" s="127"/>
      <c r="BOG24" s="127"/>
      <c r="BOH24" s="127"/>
      <c r="BOI24" s="127"/>
      <c r="BOJ24" s="127"/>
      <c r="BOK24" s="127"/>
      <c r="BOL24" s="127"/>
      <c r="BOM24" s="127"/>
      <c r="BON24" s="127"/>
      <c r="BOO24" s="127"/>
      <c r="BOP24" s="127"/>
      <c r="BOQ24" s="127"/>
      <c r="BOR24" s="127"/>
      <c r="BOS24" s="127"/>
      <c r="BOT24" s="127"/>
      <c r="BOU24" s="127"/>
      <c r="BOV24" s="127"/>
      <c r="BOW24" s="127"/>
      <c r="BOX24" s="127"/>
      <c r="BOY24" s="127"/>
      <c r="BOZ24" s="127"/>
      <c r="BPA24" s="127"/>
      <c r="BPB24" s="127"/>
      <c r="BPC24" s="127"/>
      <c r="BPD24" s="127"/>
      <c r="BPE24" s="127"/>
      <c r="BPF24" s="127"/>
      <c r="BPG24" s="127"/>
      <c r="BPH24" s="127"/>
      <c r="BPI24" s="127"/>
      <c r="BPJ24" s="127"/>
      <c r="BPK24" s="127"/>
      <c r="BPL24" s="127"/>
      <c r="BPM24" s="127"/>
      <c r="BPN24" s="127"/>
      <c r="BPO24" s="127"/>
      <c r="BPP24" s="127"/>
      <c r="BPQ24" s="127"/>
      <c r="BPR24" s="127"/>
      <c r="BPS24" s="127"/>
      <c r="BPT24" s="127"/>
      <c r="BPU24" s="127"/>
      <c r="BPV24" s="127"/>
      <c r="BPW24" s="127"/>
      <c r="BPX24" s="127"/>
      <c r="BPY24" s="127"/>
      <c r="BPZ24" s="127"/>
      <c r="BQA24" s="127"/>
      <c r="BQB24" s="127"/>
      <c r="BQC24" s="127"/>
      <c r="BQD24" s="127"/>
      <c r="BQE24" s="127"/>
      <c r="BQF24" s="127"/>
      <c r="BQG24" s="127"/>
      <c r="BQH24" s="127"/>
      <c r="BQI24" s="127"/>
      <c r="BQJ24" s="127"/>
      <c r="BQK24" s="127"/>
      <c r="BQL24" s="127"/>
      <c r="BQM24" s="127"/>
      <c r="BQN24" s="127"/>
      <c r="BQO24" s="127"/>
      <c r="BQP24" s="127"/>
      <c r="BQQ24" s="127"/>
      <c r="BQR24" s="127"/>
      <c r="BQS24" s="127"/>
      <c r="BQT24" s="127"/>
      <c r="BQU24" s="127"/>
      <c r="BQV24" s="127"/>
      <c r="BQW24" s="127"/>
      <c r="BQX24" s="127"/>
      <c r="BQY24" s="127"/>
      <c r="BQZ24" s="127"/>
      <c r="BRA24" s="127"/>
      <c r="BRB24" s="127"/>
      <c r="BRC24" s="127"/>
      <c r="BRD24" s="127"/>
      <c r="BRE24" s="127"/>
      <c r="BRF24" s="127"/>
      <c r="BRG24" s="127"/>
      <c r="BRH24" s="127"/>
      <c r="BRI24" s="127"/>
      <c r="BRJ24" s="127"/>
      <c r="BRK24" s="127"/>
      <c r="BRL24" s="127"/>
      <c r="BRM24" s="127"/>
      <c r="BRN24" s="127"/>
      <c r="BRO24" s="127"/>
      <c r="BRP24" s="127"/>
      <c r="BRQ24" s="127"/>
      <c r="BRR24" s="127"/>
      <c r="BRS24" s="127"/>
      <c r="BRT24" s="127"/>
      <c r="BRU24" s="127"/>
      <c r="BRV24" s="127"/>
      <c r="BRW24" s="127"/>
      <c r="BRX24" s="127"/>
      <c r="BRY24" s="127"/>
      <c r="BRZ24" s="127"/>
      <c r="BSA24" s="127"/>
      <c r="BSB24" s="127"/>
      <c r="BSC24" s="127"/>
      <c r="BSD24" s="127"/>
      <c r="BSE24" s="127"/>
      <c r="BSF24" s="127"/>
      <c r="BSG24" s="127"/>
      <c r="BSH24" s="127"/>
      <c r="BSI24" s="127"/>
      <c r="BSJ24" s="127"/>
      <c r="BSK24" s="127"/>
      <c r="BSL24" s="127"/>
      <c r="BSM24" s="127"/>
      <c r="BSN24" s="127"/>
      <c r="BSO24" s="127"/>
      <c r="BSP24" s="127"/>
      <c r="BSQ24" s="127"/>
      <c r="BSR24" s="127"/>
      <c r="BSS24" s="127"/>
      <c r="BST24" s="127"/>
      <c r="BSU24" s="127"/>
      <c r="BSV24" s="127"/>
      <c r="BSW24" s="127"/>
      <c r="BSX24" s="127"/>
      <c r="BSY24" s="127"/>
      <c r="BSZ24" s="127"/>
      <c r="BTA24" s="127"/>
      <c r="BTB24" s="127"/>
      <c r="BTC24" s="127"/>
      <c r="BTD24" s="127"/>
      <c r="BTE24" s="127"/>
      <c r="BTF24" s="127"/>
      <c r="BTG24" s="127"/>
      <c r="BTH24" s="127"/>
      <c r="BTI24" s="127"/>
      <c r="BTJ24" s="127"/>
      <c r="BTK24" s="127"/>
      <c r="BTL24" s="127"/>
      <c r="BTM24" s="127"/>
      <c r="BTN24" s="127"/>
      <c r="BTO24" s="127"/>
      <c r="BTP24" s="127"/>
      <c r="BTQ24" s="127"/>
      <c r="BTR24" s="127"/>
      <c r="BTS24" s="127"/>
      <c r="BTT24" s="127"/>
      <c r="BTU24" s="127"/>
      <c r="BTV24" s="127"/>
      <c r="BTW24" s="127"/>
      <c r="BTX24" s="127"/>
      <c r="BTY24" s="127"/>
      <c r="BTZ24" s="127"/>
      <c r="BUA24" s="127"/>
      <c r="BUB24" s="127"/>
      <c r="BUC24" s="127"/>
      <c r="BUD24" s="127"/>
      <c r="BUE24" s="127"/>
      <c r="BUF24" s="127"/>
      <c r="BUG24" s="127"/>
      <c r="BUH24" s="127"/>
      <c r="BUI24" s="127"/>
      <c r="BUJ24" s="127"/>
      <c r="BUK24" s="127"/>
      <c r="BUL24" s="127"/>
      <c r="BUM24" s="127"/>
      <c r="BUN24" s="127"/>
      <c r="BUO24" s="127"/>
      <c r="BUP24" s="127"/>
      <c r="BUQ24" s="127"/>
      <c r="BUR24" s="127"/>
      <c r="BUS24" s="127"/>
      <c r="BUT24" s="127"/>
      <c r="BUU24" s="127"/>
      <c r="BUV24" s="127"/>
      <c r="BUW24" s="127"/>
      <c r="BUX24" s="127"/>
      <c r="BUY24" s="127"/>
      <c r="BUZ24" s="127"/>
      <c r="BVA24" s="127"/>
      <c r="BVB24" s="127"/>
      <c r="BVC24" s="127"/>
      <c r="BVD24" s="127"/>
      <c r="BVE24" s="127"/>
      <c r="BVF24" s="127"/>
      <c r="BVG24" s="127"/>
      <c r="BVH24" s="127"/>
      <c r="BVI24" s="127"/>
      <c r="BVJ24" s="127"/>
      <c r="BVK24" s="127"/>
      <c r="BVL24" s="127"/>
      <c r="BVM24" s="127"/>
      <c r="BVN24" s="127"/>
      <c r="BVO24" s="127"/>
      <c r="BVP24" s="127"/>
      <c r="BVQ24" s="127"/>
      <c r="BVR24" s="127"/>
      <c r="BVS24" s="127"/>
      <c r="BVT24" s="127"/>
      <c r="BVU24" s="127"/>
      <c r="BVV24" s="127"/>
      <c r="BVW24" s="127"/>
      <c r="BVX24" s="127"/>
      <c r="BVY24" s="127"/>
      <c r="BVZ24" s="127"/>
      <c r="BWA24" s="127"/>
      <c r="BWB24" s="127"/>
      <c r="BWC24" s="127"/>
      <c r="BWD24" s="127"/>
      <c r="BWE24" s="127"/>
      <c r="BWF24" s="127"/>
      <c r="BWG24" s="127"/>
      <c r="BWH24" s="127"/>
      <c r="BWI24" s="127"/>
      <c r="BWJ24" s="127"/>
      <c r="BWK24" s="127"/>
      <c r="BWL24" s="127"/>
      <c r="BWM24" s="127"/>
      <c r="BWN24" s="127"/>
      <c r="BWO24" s="127"/>
      <c r="BWP24" s="127"/>
      <c r="BWQ24" s="127"/>
      <c r="BWR24" s="127"/>
      <c r="BWS24" s="127"/>
      <c r="BWT24" s="127"/>
      <c r="BWU24" s="127"/>
      <c r="BWV24" s="127"/>
      <c r="BWW24" s="127"/>
      <c r="BWX24" s="127"/>
      <c r="BWY24" s="127"/>
      <c r="BWZ24" s="127"/>
      <c r="BXA24" s="127"/>
      <c r="BXB24" s="127"/>
      <c r="BXC24" s="127"/>
      <c r="BXD24" s="127"/>
      <c r="BXE24" s="127"/>
      <c r="BXF24" s="127"/>
      <c r="BXG24" s="127"/>
      <c r="BXH24" s="127"/>
      <c r="BXI24" s="127"/>
      <c r="BXJ24" s="127"/>
      <c r="BXK24" s="127"/>
      <c r="BXL24" s="127"/>
      <c r="BXM24" s="127"/>
      <c r="BXN24" s="127"/>
    </row>
    <row r="25" spans="1:1990" s="312" customFormat="1" ht="27.95" customHeight="1" thickBot="1" x14ac:dyDescent="0.3">
      <c r="A25" s="293" t="s">
        <v>509</v>
      </c>
      <c r="B25" s="308">
        <v>10.164715470000001</v>
      </c>
      <c r="C25" s="308">
        <v>10.164715470000001</v>
      </c>
      <c r="D25" s="308">
        <v>10.13967422</v>
      </c>
      <c r="E25" s="308">
        <v>10.17709522</v>
      </c>
      <c r="F25" s="308">
        <v>9.2246077199999998</v>
      </c>
      <c r="G25" s="308">
        <v>9.1795852199999999</v>
      </c>
      <c r="H25" s="308">
        <v>9.1850189700000016</v>
      </c>
      <c r="I25" s="308">
        <v>9.232450720000001</v>
      </c>
      <c r="J25" s="308">
        <v>9.2246019700000002</v>
      </c>
      <c r="K25" s="308">
        <v>9.2246024700000007</v>
      </c>
      <c r="L25" s="308">
        <v>9.2246024700000007</v>
      </c>
      <c r="M25" s="308">
        <v>9.2246024700000007</v>
      </c>
      <c r="N25" s="308">
        <v>9.1882044700000005</v>
      </c>
      <c r="O25" s="308">
        <v>9.1771707200000012</v>
      </c>
      <c r="P25" s="308">
        <v>0</v>
      </c>
      <c r="Q25" s="308">
        <v>0</v>
      </c>
      <c r="R25" s="308">
        <v>0</v>
      </c>
      <c r="S25" s="308">
        <v>0</v>
      </c>
      <c r="T25" s="308">
        <v>0</v>
      </c>
      <c r="U25" s="308">
        <v>0</v>
      </c>
      <c r="V25" s="308">
        <v>0</v>
      </c>
      <c r="W25" s="308">
        <v>0</v>
      </c>
      <c r="X25" s="308">
        <v>0</v>
      </c>
      <c r="Y25" s="308">
        <v>0</v>
      </c>
      <c r="Z25" s="308">
        <v>0</v>
      </c>
      <c r="AA25" s="308">
        <v>0</v>
      </c>
      <c r="AB25" s="308">
        <v>0</v>
      </c>
      <c r="AC25" s="308">
        <v>0</v>
      </c>
      <c r="AD25" s="308">
        <v>0</v>
      </c>
      <c r="AE25" s="308">
        <v>0</v>
      </c>
      <c r="AF25" s="311">
        <v>0</v>
      </c>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7"/>
      <c r="GP25" s="127"/>
      <c r="GQ25" s="127"/>
      <c r="GR25" s="127"/>
      <c r="GS25" s="127"/>
      <c r="GT25" s="127"/>
      <c r="GU25" s="127"/>
      <c r="GV25" s="127"/>
      <c r="GW25" s="127"/>
      <c r="GX25" s="127"/>
      <c r="GY25" s="127"/>
      <c r="GZ25" s="127"/>
      <c r="HA25" s="127"/>
      <c r="HB25" s="127"/>
      <c r="HC25" s="127"/>
      <c r="HD25" s="127"/>
      <c r="HE25" s="127"/>
      <c r="HF25" s="127"/>
      <c r="HG25" s="127"/>
      <c r="HH25" s="127"/>
      <c r="HI25" s="127"/>
      <c r="HJ25" s="127"/>
      <c r="HK25" s="127"/>
      <c r="HL25" s="127"/>
      <c r="HM25" s="127"/>
      <c r="HN25" s="127"/>
      <c r="HO25" s="127"/>
      <c r="HP25" s="127"/>
      <c r="HQ25" s="127"/>
      <c r="HR25" s="127"/>
      <c r="HS25" s="127"/>
      <c r="HT25" s="127"/>
      <c r="HU25" s="127"/>
      <c r="HV25" s="127"/>
      <c r="HW25" s="127"/>
      <c r="HX25" s="127"/>
      <c r="HY25" s="127"/>
      <c r="HZ25" s="127"/>
      <c r="IA25" s="127"/>
      <c r="IB25" s="127"/>
      <c r="IC25" s="127"/>
      <c r="ID25" s="127"/>
      <c r="IE25" s="127"/>
      <c r="IF25" s="127"/>
      <c r="IG25" s="127"/>
      <c r="IH25" s="127"/>
      <c r="II25" s="127"/>
      <c r="IJ25" s="127"/>
      <c r="IK25" s="127"/>
      <c r="IL25" s="127"/>
      <c r="IM25" s="127"/>
      <c r="IN25" s="127"/>
      <c r="IO25" s="127"/>
      <c r="IP25" s="127"/>
      <c r="IQ25" s="127"/>
      <c r="IR25" s="127"/>
      <c r="IS25" s="127"/>
      <c r="IT25" s="127"/>
      <c r="IU25" s="127"/>
      <c r="IV25" s="127"/>
      <c r="IW25" s="127"/>
      <c r="IX25" s="127"/>
      <c r="IY25" s="127"/>
      <c r="IZ25" s="127"/>
      <c r="JA25" s="127"/>
      <c r="JB25" s="127"/>
      <c r="JC25" s="127"/>
      <c r="JD25" s="127"/>
      <c r="JE25" s="127"/>
      <c r="JF25" s="127"/>
      <c r="JG25" s="127"/>
      <c r="JH25" s="127"/>
      <c r="JI25" s="127"/>
      <c r="JJ25" s="127"/>
      <c r="JK25" s="127"/>
      <c r="JL25" s="127"/>
      <c r="JM25" s="127"/>
      <c r="JN25" s="127"/>
      <c r="JO25" s="127"/>
      <c r="JP25" s="127"/>
      <c r="JQ25" s="127"/>
      <c r="JR25" s="127"/>
      <c r="JS25" s="127"/>
      <c r="JT25" s="127"/>
      <c r="JU25" s="127"/>
      <c r="JV25" s="127"/>
      <c r="JW25" s="127"/>
      <c r="JX25" s="127"/>
      <c r="JY25" s="127"/>
      <c r="JZ25" s="127"/>
      <c r="KA25" s="127"/>
      <c r="KB25" s="127"/>
      <c r="KC25" s="127"/>
      <c r="KD25" s="127"/>
      <c r="KE25" s="127"/>
      <c r="KF25" s="127"/>
      <c r="KG25" s="127"/>
      <c r="KH25" s="127"/>
      <c r="KI25" s="127"/>
      <c r="KJ25" s="127"/>
      <c r="KK25" s="127"/>
      <c r="KL25" s="127"/>
      <c r="KM25" s="127"/>
      <c r="KN25" s="127"/>
      <c r="KO25" s="127"/>
      <c r="KP25" s="127"/>
      <c r="KQ25" s="127"/>
      <c r="KR25" s="127"/>
      <c r="KS25" s="127"/>
      <c r="KT25" s="127"/>
      <c r="KU25" s="127"/>
      <c r="KV25" s="127"/>
      <c r="KW25" s="127"/>
      <c r="KX25" s="127"/>
      <c r="KY25" s="127"/>
      <c r="KZ25" s="127"/>
      <c r="LA25" s="127"/>
      <c r="LB25" s="127"/>
      <c r="LC25" s="127"/>
      <c r="LD25" s="127"/>
      <c r="LE25" s="127"/>
      <c r="LF25" s="127"/>
      <c r="LG25" s="127"/>
      <c r="LH25" s="127"/>
      <c r="LI25" s="127"/>
      <c r="LJ25" s="127"/>
      <c r="LK25" s="127"/>
      <c r="LL25" s="127"/>
      <c r="LM25" s="127"/>
      <c r="LN25" s="127"/>
      <c r="LO25" s="127"/>
      <c r="LP25" s="127"/>
      <c r="LQ25" s="127"/>
      <c r="LR25" s="127"/>
      <c r="LS25" s="127"/>
      <c r="LT25" s="127"/>
      <c r="LU25" s="127"/>
      <c r="LV25" s="127"/>
      <c r="LW25" s="127"/>
      <c r="LX25" s="127"/>
      <c r="LY25" s="127"/>
      <c r="LZ25" s="127"/>
      <c r="MA25" s="127"/>
      <c r="MB25" s="127"/>
      <c r="MC25" s="127"/>
      <c r="MD25" s="127"/>
      <c r="ME25" s="127"/>
      <c r="MF25" s="127"/>
      <c r="MG25" s="127"/>
      <c r="MH25" s="127"/>
      <c r="MI25" s="127"/>
      <c r="MJ25" s="127"/>
      <c r="MK25" s="127"/>
      <c r="ML25" s="127"/>
      <c r="MM25" s="127"/>
      <c r="MN25" s="127"/>
      <c r="MO25" s="127"/>
      <c r="MP25" s="127"/>
      <c r="MQ25" s="127"/>
      <c r="MR25" s="127"/>
      <c r="MS25" s="127"/>
      <c r="MT25" s="127"/>
      <c r="MU25" s="127"/>
      <c r="MV25" s="127"/>
      <c r="MW25" s="127"/>
      <c r="MX25" s="127"/>
      <c r="MY25" s="127"/>
      <c r="MZ25" s="127"/>
      <c r="NA25" s="127"/>
      <c r="NB25" s="127"/>
      <c r="NC25" s="127"/>
      <c r="ND25" s="127"/>
      <c r="NE25" s="127"/>
      <c r="NF25" s="127"/>
      <c r="NG25" s="127"/>
      <c r="NH25" s="127"/>
      <c r="NI25" s="127"/>
      <c r="NJ25" s="127"/>
      <c r="NK25" s="127"/>
      <c r="NL25" s="127"/>
      <c r="NM25" s="127"/>
      <c r="NN25" s="127"/>
      <c r="NO25" s="127"/>
      <c r="NP25" s="127"/>
      <c r="NQ25" s="127"/>
      <c r="NR25" s="127"/>
      <c r="NS25" s="127"/>
      <c r="NT25" s="127"/>
      <c r="NU25" s="127"/>
      <c r="NV25" s="127"/>
      <c r="NW25" s="127"/>
      <c r="NX25" s="127"/>
      <c r="NY25" s="127"/>
      <c r="NZ25" s="127"/>
      <c r="OA25" s="127"/>
      <c r="OB25" s="127"/>
      <c r="OC25" s="127"/>
      <c r="OD25" s="127"/>
      <c r="OE25" s="127"/>
      <c r="OF25" s="127"/>
      <c r="OG25" s="127"/>
      <c r="OH25" s="127"/>
      <c r="OI25" s="127"/>
      <c r="OJ25" s="127"/>
      <c r="OK25" s="127"/>
      <c r="OL25" s="127"/>
      <c r="OM25" s="127"/>
      <c r="ON25" s="127"/>
      <c r="OO25" s="127"/>
      <c r="OP25" s="127"/>
      <c r="OQ25" s="127"/>
      <c r="OR25" s="127"/>
      <c r="OS25" s="127"/>
      <c r="OT25" s="127"/>
      <c r="OU25" s="127"/>
      <c r="OV25" s="127"/>
      <c r="OW25" s="127"/>
      <c r="OX25" s="127"/>
      <c r="OY25" s="127"/>
      <c r="OZ25" s="127"/>
      <c r="PA25" s="127"/>
      <c r="PB25" s="127"/>
      <c r="PC25" s="127"/>
      <c r="PD25" s="127"/>
      <c r="PE25" s="127"/>
      <c r="PF25" s="127"/>
      <c r="PG25" s="127"/>
      <c r="PH25" s="127"/>
      <c r="PI25" s="127"/>
      <c r="PJ25" s="127"/>
      <c r="PK25" s="127"/>
      <c r="PL25" s="127"/>
      <c r="PM25" s="127"/>
      <c r="PN25" s="127"/>
      <c r="PO25" s="127"/>
      <c r="PP25" s="127"/>
      <c r="PQ25" s="127"/>
      <c r="PR25" s="127"/>
      <c r="PS25" s="127"/>
      <c r="PT25" s="127"/>
      <c r="PU25" s="127"/>
      <c r="PV25" s="127"/>
      <c r="PW25" s="127"/>
      <c r="PX25" s="127"/>
      <c r="PY25" s="127"/>
      <c r="PZ25" s="127"/>
      <c r="QA25" s="127"/>
      <c r="QB25" s="127"/>
      <c r="QC25" s="127"/>
      <c r="QD25" s="127"/>
      <c r="QE25" s="127"/>
      <c r="QF25" s="127"/>
      <c r="QG25" s="127"/>
      <c r="QH25" s="127"/>
      <c r="QI25" s="127"/>
      <c r="QJ25" s="127"/>
      <c r="QK25" s="127"/>
      <c r="QL25" s="127"/>
      <c r="QM25" s="127"/>
      <c r="QN25" s="127"/>
      <c r="QO25" s="127"/>
      <c r="QP25" s="127"/>
      <c r="QQ25" s="127"/>
      <c r="QR25" s="127"/>
      <c r="QS25" s="127"/>
      <c r="QT25" s="127"/>
      <c r="QU25" s="127"/>
      <c r="QV25" s="127"/>
      <c r="QW25" s="127"/>
      <c r="QX25" s="127"/>
      <c r="QY25" s="127"/>
      <c r="QZ25" s="127"/>
      <c r="RA25" s="127"/>
      <c r="RB25" s="127"/>
      <c r="RC25" s="127"/>
      <c r="RD25" s="127"/>
      <c r="RE25" s="127"/>
      <c r="RF25" s="127"/>
      <c r="RG25" s="127"/>
      <c r="RH25" s="127"/>
      <c r="RI25" s="127"/>
      <c r="RJ25" s="127"/>
      <c r="RK25" s="127"/>
      <c r="RL25" s="127"/>
      <c r="RM25" s="127"/>
      <c r="RN25" s="127"/>
      <c r="RO25" s="127"/>
      <c r="RP25" s="127"/>
      <c r="RQ25" s="127"/>
      <c r="RR25" s="127"/>
      <c r="RS25" s="127"/>
      <c r="RT25" s="127"/>
      <c r="RU25" s="127"/>
      <c r="RV25" s="127"/>
      <c r="RW25" s="127"/>
      <c r="RX25" s="127"/>
      <c r="RY25" s="127"/>
      <c r="RZ25" s="127"/>
      <c r="SA25" s="127"/>
      <c r="SB25" s="127"/>
      <c r="SC25" s="127"/>
      <c r="SD25" s="127"/>
      <c r="SE25" s="127"/>
      <c r="SF25" s="127"/>
      <c r="SG25" s="127"/>
      <c r="SH25" s="127"/>
      <c r="SI25" s="127"/>
      <c r="SJ25" s="127"/>
      <c r="SK25" s="127"/>
      <c r="SL25" s="127"/>
      <c r="SM25" s="127"/>
      <c r="SN25" s="127"/>
      <c r="SO25" s="127"/>
      <c r="SP25" s="127"/>
      <c r="SQ25" s="127"/>
      <c r="SR25" s="127"/>
      <c r="SS25" s="127"/>
      <c r="ST25" s="127"/>
      <c r="SU25" s="127"/>
      <c r="SV25" s="127"/>
      <c r="SW25" s="127"/>
      <c r="SX25" s="127"/>
      <c r="SY25" s="127"/>
      <c r="SZ25" s="127"/>
      <c r="TA25" s="127"/>
      <c r="TB25" s="127"/>
      <c r="TC25" s="127"/>
      <c r="TD25" s="127"/>
      <c r="TE25" s="127"/>
      <c r="TF25" s="127"/>
      <c r="TG25" s="127"/>
      <c r="TH25" s="127"/>
      <c r="TI25" s="127"/>
      <c r="TJ25" s="127"/>
      <c r="TK25" s="127"/>
      <c r="TL25" s="127"/>
      <c r="TM25" s="127"/>
      <c r="TN25" s="127"/>
      <c r="TO25" s="127"/>
      <c r="TP25" s="127"/>
      <c r="TQ25" s="127"/>
      <c r="TR25" s="127"/>
      <c r="TS25" s="127"/>
      <c r="TT25" s="127"/>
      <c r="TU25" s="127"/>
      <c r="TV25" s="127"/>
      <c r="TW25" s="127"/>
      <c r="TX25" s="127"/>
      <c r="TY25" s="127"/>
      <c r="TZ25" s="127"/>
      <c r="UA25" s="127"/>
      <c r="UB25" s="127"/>
      <c r="UC25" s="127"/>
      <c r="UD25" s="127"/>
      <c r="UE25" s="127"/>
      <c r="UF25" s="127"/>
      <c r="UG25" s="127"/>
      <c r="UH25" s="127"/>
      <c r="UI25" s="127"/>
      <c r="UJ25" s="127"/>
      <c r="UK25" s="127"/>
      <c r="UL25" s="127"/>
      <c r="UM25" s="127"/>
      <c r="UN25" s="127"/>
      <c r="UO25" s="127"/>
      <c r="UP25" s="127"/>
      <c r="UQ25" s="127"/>
      <c r="UR25" s="127"/>
      <c r="US25" s="127"/>
      <c r="UT25" s="127"/>
      <c r="UU25" s="127"/>
      <c r="UV25" s="127"/>
      <c r="UW25" s="127"/>
      <c r="UX25" s="127"/>
      <c r="UY25" s="127"/>
      <c r="UZ25" s="127"/>
      <c r="VA25" s="127"/>
      <c r="VB25" s="127"/>
      <c r="VC25" s="127"/>
      <c r="VD25" s="127"/>
      <c r="VE25" s="127"/>
      <c r="VF25" s="127"/>
      <c r="VG25" s="127"/>
      <c r="VH25" s="127"/>
      <c r="VI25" s="127"/>
      <c r="VJ25" s="127"/>
      <c r="VK25" s="127"/>
      <c r="VL25" s="127"/>
      <c r="VM25" s="127"/>
      <c r="VN25" s="127"/>
      <c r="VO25" s="127"/>
      <c r="VP25" s="127"/>
      <c r="VQ25" s="127"/>
      <c r="VR25" s="127"/>
      <c r="VS25" s="127"/>
      <c r="VT25" s="127"/>
      <c r="VU25" s="127"/>
      <c r="VV25" s="127"/>
      <c r="VW25" s="127"/>
      <c r="VX25" s="127"/>
      <c r="VY25" s="127"/>
      <c r="VZ25" s="127"/>
      <c r="WA25" s="127"/>
      <c r="WB25" s="127"/>
      <c r="WC25" s="127"/>
      <c r="WD25" s="127"/>
      <c r="WE25" s="127"/>
      <c r="WF25" s="127"/>
      <c r="WG25" s="127"/>
      <c r="WH25" s="127"/>
      <c r="WI25" s="127"/>
      <c r="WJ25" s="127"/>
      <c r="WK25" s="127"/>
      <c r="WL25" s="127"/>
      <c r="WM25" s="127"/>
      <c r="WN25" s="127"/>
      <c r="WO25" s="127"/>
      <c r="WP25" s="127"/>
      <c r="WQ25" s="127"/>
      <c r="WR25" s="127"/>
      <c r="WS25" s="127"/>
      <c r="WT25" s="127"/>
      <c r="WU25" s="127"/>
      <c r="WV25" s="127"/>
      <c r="WW25" s="127"/>
      <c r="WX25" s="127"/>
      <c r="WY25" s="127"/>
      <c r="WZ25" s="127"/>
      <c r="XA25" s="127"/>
      <c r="XB25" s="127"/>
      <c r="XC25" s="127"/>
      <c r="XD25" s="127"/>
      <c r="XE25" s="127"/>
      <c r="XF25" s="127"/>
      <c r="XG25" s="127"/>
      <c r="XH25" s="127"/>
      <c r="XI25" s="127"/>
      <c r="XJ25" s="127"/>
      <c r="XK25" s="127"/>
      <c r="XL25" s="127"/>
      <c r="XM25" s="127"/>
      <c r="XN25" s="127"/>
      <c r="XO25" s="127"/>
      <c r="XP25" s="127"/>
      <c r="XQ25" s="127"/>
      <c r="XR25" s="127"/>
      <c r="XS25" s="127"/>
      <c r="XT25" s="127"/>
      <c r="XU25" s="127"/>
      <c r="XV25" s="127"/>
      <c r="XW25" s="127"/>
      <c r="XX25" s="127"/>
      <c r="XY25" s="127"/>
      <c r="XZ25" s="127"/>
      <c r="YA25" s="127"/>
      <c r="YB25" s="127"/>
      <c r="YC25" s="127"/>
      <c r="YD25" s="127"/>
      <c r="YE25" s="127"/>
      <c r="YF25" s="127"/>
      <c r="YG25" s="127"/>
      <c r="YH25" s="127"/>
      <c r="YI25" s="127"/>
      <c r="YJ25" s="127"/>
      <c r="YK25" s="127"/>
      <c r="YL25" s="127"/>
      <c r="YM25" s="127"/>
      <c r="YN25" s="127"/>
      <c r="YO25" s="127"/>
      <c r="YP25" s="127"/>
      <c r="YQ25" s="127"/>
      <c r="YR25" s="127"/>
      <c r="YS25" s="127"/>
      <c r="YT25" s="127"/>
      <c r="YU25" s="127"/>
      <c r="YV25" s="127"/>
      <c r="YW25" s="127"/>
      <c r="YX25" s="127"/>
      <c r="YY25" s="127"/>
      <c r="YZ25" s="127"/>
      <c r="ZA25" s="127"/>
      <c r="ZB25" s="127"/>
      <c r="ZC25" s="127"/>
      <c r="ZD25" s="127"/>
      <c r="ZE25" s="127"/>
      <c r="ZF25" s="127"/>
      <c r="ZG25" s="127"/>
      <c r="ZH25" s="127"/>
      <c r="ZI25" s="127"/>
      <c r="ZJ25" s="127"/>
      <c r="ZK25" s="127"/>
      <c r="ZL25" s="127"/>
      <c r="ZM25" s="127"/>
      <c r="ZN25" s="127"/>
      <c r="ZO25" s="127"/>
      <c r="ZP25" s="127"/>
      <c r="ZQ25" s="127"/>
      <c r="ZR25" s="127"/>
      <c r="ZS25" s="127"/>
      <c r="ZT25" s="127"/>
      <c r="ZU25" s="127"/>
      <c r="ZV25" s="127"/>
      <c r="ZW25" s="127"/>
      <c r="ZX25" s="127"/>
      <c r="ZY25" s="127"/>
      <c r="ZZ25" s="127"/>
      <c r="AAA25" s="127"/>
      <c r="AAB25" s="127"/>
      <c r="AAC25" s="127"/>
      <c r="AAD25" s="127"/>
      <c r="AAE25" s="127"/>
      <c r="AAF25" s="127"/>
      <c r="AAG25" s="127"/>
      <c r="AAH25" s="127"/>
      <c r="AAI25" s="127"/>
      <c r="AAJ25" s="127"/>
      <c r="AAK25" s="127"/>
      <c r="AAL25" s="127"/>
      <c r="AAM25" s="127"/>
      <c r="AAN25" s="127"/>
      <c r="AAO25" s="127"/>
      <c r="AAP25" s="127"/>
      <c r="AAQ25" s="127"/>
      <c r="AAR25" s="127"/>
      <c r="AAS25" s="127"/>
      <c r="AAT25" s="127"/>
      <c r="AAU25" s="127"/>
      <c r="AAV25" s="127"/>
      <c r="AAW25" s="127"/>
      <c r="AAX25" s="127"/>
      <c r="AAY25" s="127"/>
      <c r="AAZ25" s="127"/>
      <c r="ABA25" s="127"/>
      <c r="ABB25" s="127"/>
      <c r="ABC25" s="127"/>
      <c r="ABD25" s="127"/>
      <c r="ABE25" s="127"/>
      <c r="ABF25" s="127"/>
      <c r="ABG25" s="127"/>
      <c r="ABH25" s="127"/>
      <c r="ABI25" s="127"/>
      <c r="ABJ25" s="127"/>
      <c r="ABK25" s="127"/>
      <c r="ABL25" s="127"/>
      <c r="ABM25" s="127"/>
      <c r="ABN25" s="127"/>
      <c r="ABO25" s="127"/>
      <c r="ABP25" s="127"/>
      <c r="ABQ25" s="127"/>
      <c r="ABR25" s="127"/>
      <c r="ABS25" s="127"/>
      <c r="ABT25" s="127"/>
      <c r="ABU25" s="127"/>
      <c r="ABV25" s="127"/>
      <c r="ABW25" s="127"/>
      <c r="ABX25" s="127"/>
      <c r="ABY25" s="127"/>
      <c r="ABZ25" s="127"/>
      <c r="ACA25" s="127"/>
      <c r="ACB25" s="127"/>
      <c r="ACC25" s="127"/>
      <c r="ACD25" s="127"/>
      <c r="ACE25" s="127"/>
      <c r="ACF25" s="127"/>
      <c r="ACG25" s="127"/>
      <c r="ACH25" s="127"/>
      <c r="ACI25" s="127"/>
      <c r="ACJ25" s="127"/>
      <c r="ACK25" s="127"/>
      <c r="ACL25" s="127"/>
      <c r="ACM25" s="127"/>
      <c r="ACN25" s="127"/>
      <c r="ACO25" s="127"/>
      <c r="ACP25" s="127"/>
      <c r="ACQ25" s="127"/>
      <c r="ACR25" s="127"/>
      <c r="ACS25" s="127"/>
      <c r="ACT25" s="127"/>
      <c r="ACU25" s="127"/>
      <c r="ACV25" s="127"/>
      <c r="ACW25" s="127"/>
      <c r="ACX25" s="127"/>
      <c r="ACY25" s="127"/>
      <c r="ACZ25" s="127"/>
      <c r="ADA25" s="127"/>
      <c r="ADB25" s="127"/>
      <c r="ADC25" s="127"/>
      <c r="ADD25" s="127"/>
      <c r="ADE25" s="127"/>
      <c r="ADF25" s="127"/>
      <c r="ADG25" s="127"/>
      <c r="ADH25" s="127"/>
      <c r="ADI25" s="127"/>
      <c r="ADJ25" s="127"/>
      <c r="ADK25" s="127"/>
      <c r="ADL25" s="127"/>
      <c r="ADM25" s="127"/>
      <c r="ADN25" s="127"/>
      <c r="ADO25" s="127"/>
      <c r="ADP25" s="127"/>
      <c r="ADQ25" s="127"/>
      <c r="ADR25" s="127"/>
      <c r="ADS25" s="127"/>
      <c r="ADT25" s="127"/>
      <c r="ADU25" s="127"/>
      <c r="ADV25" s="127"/>
      <c r="ADW25" s="127"/>
      <c r="ADX25" s="127"/>
      <c r="ADY25" s="127"/>
      <c r="ADZ25" s="127"/>
      <c r="AEA25" s="127"/>
      <c r="AEB25" s="127"/>
      <c r="AEC25" s="127"/>
      <c r="AED25" s="127"/>
      <c r="AEE25" s="127"/>
      <c r="AEF25" s="127"/>
      <c r="AEG25" s="127"/>
      <c r="AEH25" s="127"/>
      <c r="AEI25" s="127"/>
      <c r="AEJ25" s="127"/>
      <c r="AEK25" s="127"/>
      <c r="AEL25" s="127"/>
      <c r="AEM25" s="127"/>
      <c r="AEN25" s="127"/>
      <c r="AEO25" s="127"/>
      <c r="AEP25" s="127"/>
      <c r="AEQ25" s="127"/>
      <c r="AER25" s="127"/>
      <c r="AES25" s="127"/>
      <c r="AET25" s="127"/>
      <c r="AEU25" s="127"/>
      <c r="AEV25" s="127"/>
      <c r="AEW25" s="127"/>
      <c r="AEX25" s="127"/>
      <c r="AEY25" s="127"/>
      <c r="AEZ25" s="127"/>
      <c r="AFA25" s="127"/>
      <c r="AFB25" s="127"/>
      <c r="AFC25" s="127"/>
      <c r="AFD25" s="127"/>
      <c r="AFE25" s="127"/>
      <c r="AFF25" s="127"/>
      <c r="AFG25" s="127"/>
      <c r="AFH25" s="127"/>
      <c r="AFI25" s="127"/>
      <c r="AFJ25" s="127"/>
      <c r="AFK25" s="127"/>
      <c r="AFL25" s="127"/>
      <c r="AFM25" s="127"/>
      <c r="AFN25" s="127"/>
      <c r="AFO25" s="127"/>
      <c r="AFP25" s="127"/>
      <c r="AFQ25" s="127"/>
      <c r="AFR25" s="127"/>
      <c r="AFS25" s="127"/>
      <c r="AFT25" s="127"/>
      <c r="AFU25" s="127"/>
      <c r="AFV25" s="127"/>
      <c r="AFW25" s="127"/>
      <c r="AFX25" s="127"/>
      <c r="AFY25" s="127"/>
      <c r="AFZ25" s="127"/>
      <c r="AGA25" s="127"/>
      <c r="AGB25" s="127"/>
      <c r="AGC25" s="127"/>
      <c r="AGD25" s="127"/>
      <c r="AGE25" s="127"/>
      <c r="AGF25" s="127"/>
      <c r="AGG25" s="127"/>
      <c r="AGH25" s="127"/>
      <c r="AGI25" s="127"/>
      <c r="AGJ25" s="127"/>
      <c r="AGK25" s="127"/>
      <c r="AGL25" s="127"/>
      <c r="AGM25" s="127"/>
      <c r="AGN25" s="127"/>
      <c r="AGO25" s="127"/>
      <c r="AGP25" s="127"/>
      <c r="AGQ25" s="127"/>
      <c r="AGR25" s="127"/>
      <c r="AGS25" s="127"/>
      <c r="AGT25" s="127"/>
      <c r="AGU25" s="127"/>
      <c r="AGV25" s="127"/>
      <c r="AGW25" s="127"/>
      <c r="AGX25" s="127"/>
      <c r="AGY25" s="127"/>
      <c r="AGZ25" s="127"/>
      <c r="AHA25" s="127"/>
      <c r="AHB25" s="127"/>
      <c r="AHC25" s="127"/>
      <c r="AHD25" s="127"/>
      <c r="AHE25" s="127"/>
      <c r="AHF25" s="127"/>
      <c r="AHG25" s="127"/>
      <c r="AHH25" s="127"/>
      <c r="AHI25" s="127"/>
      <c r="AHJ25" s="127"/>
      <c r="AHK25" s="127"/>
      <c r="AHL25" s="127"/>
      <c r="AHM25" s="127"/>
      <c r="AHN25" s="127"/>
      <c r="AHO25" s="127"/>
      <c r="AHP25" s="127"/>
      <c r="AHQ25" s="127"/>
      <c r="AHR25" s="127"/>
      <c r="AHS25" s="127"/>
      <c r="AHT25" s="127"/>
      <c r="AHU25" s="127"/>
      <c r="AHV25" s="127"/>
      <c r="AHW25" s="127"/>
      <c r="AHX25" s="127"/>
      <c r="AHY25" s="127"/>
      <c r="AHZ25" s="127"/>
      <c r="AIA25" s="127"/>
      <c r="AIB25" s="127"/>
      <c r="AIC25" s="127"/>
      <c r="AID25" s="127"/>
      <c r="AIE25" s="127"/>
      <c r="AIF25" s="127"/>
      <c r="AIG25" s="127"/>
      <c r="AIH25" s="127"/>
      <c r="AII25" s="127"/>
      <c r="AIJ25" s="127"/>
      <c r="AIK25" s="127"/>
      <c r="AIL25" s="127"/>
      <c r="AIM25" s="127"/>
      <c r="AIN25" s="127"/>
      <c r="AIO25" s="127"/>
      <c r="AIP25" s="127"/>
      <c r="AIQ25" s="127"/>
      <c r="AIR25" s="127"/>
      <c r="AIS25" s="127"/>
      <c r="AIT25" s="127"/>
      <c r="AIU25" s="127"/>
      <c r="AIV25" s="127"/>
      <c r="AIW25" s="127"/>
      <c r="AIX25" s="127"/>
      <c r="AIY25" s="127"/>
      <c r="AIZ25" s="127"/>
      <c r="AJA25" s="127"/>
      <c r="AJB25" s="127"/>
      <c r="AJC25" s="127"/>
      <c r="AJD25" s="127"/>
      <c r="AJE25" s="127"/>
      <c r="AJF25" s="127"/>
      <c r="AJG25" s="127"/>
      <c r="AJH25" s="127"/>
      <c r="AJI25" s="127"/>
      <c r="AJJ25" s="127"/>
      <c r="AJK25" s="127"/>
      <c r="AJL25" s="127"/>
      <c r="AJM25" s="127"/>
      <c r="AJN25" s="127"/>
      <c r="AJO25" s="127"/>
      <c r="AJP25" s="127"/>
      <c r="AJQ25" s="127"/>
      <c r="AJR25" s="127"/>
      <c r="AJS25" s="127"/>
      <c r="AJT25" s="127"/>
      <c r="AJU25" s="127"/>
      <c r="AJV25" s="127"/>
      <c r="AJW25" s="127"/>
      <c r="AJX25" s="127"/>
      <c r="AJY25" s="127"/>
      <c r="AJZ25" s="127"/>
      <c r="AKA25" s="127"/>
      <c r="AKB25" s="127"/>
      <c r="AKC25" s="127"/>
      <c r="AKD25" s="127"/>
      <c r="AKE25" s="127"/>
      <c r="AKF25" s="127"/>
      <c r="AKG25" s="127"/>
      <c r="AKH25" s="127"/>
      <c r="AKI25" s="127"/>
      <c r="AKJ25" s="127"/>
      <c r="AKK25" s="127"/>
      <c r="AKL25" s="127"/>
      <c r="AKM25" s="127"/>
      <c r="AKN25" s="127"/>
      <c r="AKO25" s="127"/>
      <c r="AKP25" s="127"/>
      <c r="AKQ25" s="127"/>
      <c r="AKR25" s="127"/>
      <c r="AKS25" s="127"/>
      <c r="AKT25" s="127"/>
      <c r="AKU25" s="127"/>
      <c r="AKV25" s="127"/>
      <c r="AKW25" s="127"/>
      <c r="AKX25" s="127"/>
      <c r="AKY25" s="127"/>
      <c r="AKZ25" s="127"/>
      <c r="ALA25" s="127"/>
      <c r="ALB25" s="127"/>
      <c r="ALC25" s="127"/>
      <c r="ALD25" s="127"/>
      <c r="ALE25" s="127"/>
      <c r="ALF25" s="127"/>
      <c r="ALG25" s="127"/>
      <c r="ALH25" s="127"/>
      <c r="ALI25" s="127"/>
      <c r="ALJ25" s="127"/>
      <c r="ALK25" s="127"/>
      <c r="ALL25" s="127"/>
      <c r="ALM25" s="127"/>
      <c r="ALN25" s="127"/>
      <c r="ALO25" s="127"/>
      <c r="ALP25" s="127"/>
      <c r="ALQ25" s="127"/>
      <c r="ALR25" s="127"/>
      <c r="ALS25" s="127"/>
      <c r="ALT25" s="127"/>
      <c r="ALU25" s="127"/>
      <c r="ALV25" s="127"/>
      <c r="ALW25" s="127"/>
      <c r="ALX25" s="127"/>
      <c r="ALY25" s="127"/>
      <c r="ALZ25" s="127"/>
      <c r="AMA25" s="127"/>
      <c r="AMB25" s="127"/>
      <c r="AMC25" s="127"/>
      <c r="AMD25" s="127"/>
      <c r="AME25" s="127"/>
      <c r="AMF25" s="127"/>
      <c r="AMG25" s="127"/>
      <c r="AMH25" s="127"/>
      <c r="AMI25" s="127"/>
      <c r="AMJ25" s="127"/>
      <c r="AMK25" s="127"/>
      <c r="AML25" s="127"/>
      <c r="AMM25" s="127"/>
      <c r="AMN25" s="127"/>
      <c r="AMO25" s="127"/>
      <c r="AMP25" s="127"/>
      <c r="AMQ25" s="127"/>
      <c r="AMR25" s="127"/>
      <c r="AMS25" s="127"/>
      <c r="AMT25" s="127"/>
      <c r="AMU25" s="127"/>
      <c r="AMV25" s="127"/>
      <c r="AMW25" s="127"/>
      <c r="AMX25" s="127"/>
      <c r="AMY25" s="127"/>
      <c r="AMZ25" s="127"/>
      <c r="ANA25" s="127"/>
      <c r="ANB25" s="127"/>
      <c r="ANC25" s="127"/>
      <c r="AND25" s="127"/>
      <c r="ANE25" s="127"/>
      <c r="ANF25" s="127"/>
      <c r="ANG25" s="127"/>
      <c r="ANH25" s="127"/>
      <c r="ANI25" s="127"/>
      <c r="ANJ25" s="127"/>
      <c r="ANK25" s="127"/>
      <c r="ANL25" s="127"/>
      <c r="ANM25" s="127"/>
      <c r="ANN25" s="127"/>
      <c r="ANO25" s="127"/>
      <c r="ANP25" s="127"/>
      <c r="ANQ25" s="127"/>
      <c r="ANR25" s="127"/>
      <c r="ANS25" s="127"/>
      <c r="ANT25" s="127"/>
      <c r="ANU25" s="127"/>
      <c r="ANV25" s="127"/>
      <c r="ANW25" s="127"/>
      <c r="ANX25" s="127"/>
      <c r="ANY25" s="127"/>
      <c r="ANZ25" s="127"/>
      <c r="AOA25" s="127"/>
      <c r="AOB25" s="127"/>
      <c r="AOC25" s="127"/>
      <c r="AOD25" s="127"/>
      <c r="AOE25" s="127"/>
      <c r="AOF25" s="127"/>
      <c r="AOG25" s="127"/>
      <c r="AOH25" s="127"/>
      <c r="AOI25" s="127"/>
      <c r="AOJ25" s="127"/>
      <c r="AOK25" s="127"/>
      <c r="AOL25" s="127"/>
      <c r="AOM25" s="127"/>
      <c r="AON25" s="127"/>
      <c r="AOO25" s="127"/>
      <c r="AOP25" s="127"/>
      <c r="AOQ25" s="127"/>
      <c r="AOR25" s="127"/>
      <c r="AOS25" s="127"/>
      <c r="AOT25" s="127"/>
      <c r="AOU25" s="127"/>
      <c r="AOV25" s="127"/>
      <c r="AOW25" s="127"/>
      <c r="AOX25" s="127"/>
      <c r="AOY25" s="127"/>
      <c r="AOZ25" s="127"/>
      <c r="APA25" s="127"/>
      <c r="APB25" s="127"/>
      <c r="APC25" s="127"/>
      <c r="APD25" s="127"/>
      <c r="APE25" s="127"/>
      <c r="APF25" s="127"/>
      <c r="APG25" s="127"/>
      <c r="APH25" s="127"/>
      <c r="API25" s="127"/>
      <c r="APJ25" s="127"/>
      <c r="APK25" s="127"/>
      <c r="APL25" s="127"/>
      <c r="APM25" s="127"/>
      <c r="APN25" s="127"/>
      <c r="APO25" s="127"/>
      <c r="APP25" s="127"/>
      <c r="APQ25" s="127"/>
      <c r="APR25" s="127"/>
      <c r="APS25" s="127"/>
      <c r="APT25" s="127"/>
      <c r="APU25" s="127"/>
      <c r="APV25" s="127"/>
      <c r="APW25" s="127"/>
      <c r="APX25" s="127"/>
      <c r="APY25" s="127"/>
      <c r="APZ25" s="127"/>
      <c r="AQA25" s="127"/>
      <c r="AQB25" s="127"/>
      <c r="AQC25" s="127"/>
      <c r="AQD25" s="127"/>
      <c r="AQE25" s="127"/>
      <c r="AQF25" s="127"/>
      <c r="AQG25" s="127"/>
      <c r="AQH25" s="127"/>
      <c r="AQI25" s="127"/>
      <c r="AQJ25" s="127"/>
      <c r="AQK25" s="127"/>
      <c r="AQL25" s="127"/>
      <c r="AQM25" s="127"/>
      <c r="AQN25" s="127"/>
      <c r="AQO25" s="127"/>
      <c r="AQP25" s="127"/>
      <c r="AQQ25" s="127"/>
      <c r="AQR25" s="127"/>
      <c r="AQS25" s="127"/>
      <c r="AQT25" s="127"/>
      <c r="AQU25" s="127"/>
      <c r="AQV25" s="127"/>
      <c r="AQW25" s="127"/>
      <c r="AQX25" s="127"/>
      <c r="AQY25" s="127"/>
      <c r="AQZ25" s="127"/>
      <c r="ARA25" s="127"/>
      <c r="ARB25" s="127"/>
      <c r="ARC25" s="127"/>
      <c r="ARD25" s="127"/>
      <c r="ARE25" s="127"/>
      <c r="ARF25" s="127"/>
      <c r="ARG25" s="127"/>
      <c r="ARH25" s="127"/>
      <c r="ARI25" s="127"/>
      <c r="ARJ25" s="127"/>
      <c r="ARK25" s="127"/>
      <c r="ARL25" s="127"/>
      <c r="ARM25" s="127"/>
      <c r="ARN25" s="127"/>
      <c r="ARO25" s="127"/>
      <c r="ARP25" s="127"/>
      <c r="ARQ25" s="127"/>
      <c r="ARR25" s="127"/>
      <c r="ARS25" s="127"/>
      <c r="ART25" s="127"/>
      <c r="ARU25" s="127"/>
      <c r="ARV25" s="127"/>
      <c r="ARW25" s="127"/>
      <c r="ARX25" s="127"/>
      <c r="ARY25" s="127"/>
      <c r="ARZ25" s="127"/>
      <c r="ASA25" s="127"/>
      <c r="ASB25" s="127"/>
      <c r="ASC25" s="127"/>
      <c r="ASD25" s="127"/>
      <c r="ASE25" s="127"/>
      <c r="ASF25" s="127"/>
      <c r="ASG25" s="127"/>
      <c r="ASH25" s="127"/>
      <c r="ASI25" s="127"/>
      <c r="ASJ25" s="127"/>
      <c r="ASK25" s="127"/>
      <c r="ASL25" s="127"/>
      <c r="ASM25" s="127"/>
      <c r="ASN25" s="127"/>
      <c r="ASO25" s="127"/>
      <c r="ASP25" s="127"/>
      <c r="ASQ25" s="127"/>
      <c r="ASR25" s="127"/>
      <c r="ASS25" s="127"/>
      <c r="AST25" s="127"/>
      <c r="ASU25" s="127"/>
      <c r="ASV25" s="127"/>
      <c r="ASW25" s="127"/>
      <c r="ASX25" s="127"/>
      <c r="ASY25" s="127"/>
      <c r="ASZ25" s="127"/>
      <c r="ATA25" s="127"/>
      <c r="ATB25" s="127"/>
      <c r="ATC25" s="127"/>
      <c r="ATD25" s="127"/>
      <c r="ATE25" s="127"/>
      <c r="ATF25" s="127"/>
      <c r="ATG25" s="127"/>
      <c r="ATH25" s="127"/>
      <c r="ATI25" s="127"/>
      <c r="ATJ25" s="127"/>
      <c r="ATK25" s="127"/>
      <c r="ATL25" s="127"/>
      <c r="ATM25" s="127"/>
      <c r="ATN25" s="127"/>
      <c r="ATO25" s="127"/>
      <c r="ATP25" s="127"/>
      <c r="ATQ25" s="127"/>
      <c r="ATR25" s="127"/>
      <c r="ATS25" s="127"/>
      <c r="ATT25" s="127"/>
      <c r="ATU25" s="127"/>
      <c r="ATV25" s="127"/>
      <c r="ATW25" s="127"/>
      <c r="ATX25" s="127"/>
      <c r="ATY25" s="127"/>
      <c r="ATZ25" s="127"/>
      <c r="AUA25" s="127"/>
      <c r="AUB25" s="127"/>
      <c r="AUC25" s="127"/>
      <c r="AUD25" s="127"/>
      <c r="AUE25" s="127"/>
      <c r="AUF25" s="127"/>
      <c r="AUG25" s="127"/>
      <c r="AUH25" s="127"/>
      <c r="AUI25" s="127"/>
      <c r="AUJ25" s="127"/>
      <c r="AUK25" s="127"/>
      <c r="AUL25" s="127"/>
      <c r="AUM25" s="127"/>
      <c r="AUN25" s="127"/>
      <c r="AUO25" s="127"/>
      <c r="AUP25" s="127"/>
      <c r="AUQ25" s="127"/>
      <c r="AUR25" s="127"/>
      <c r="AUS25" s="127"/>
      <c r="AUT25" s="127"/>
      <c r="AUU25" s="127"/>
      <c r="AUV25" s="127"/>
      <c r="AUW25" s="127"/>
      <c r="AUX25" s="127"/>
      <c r="AUY25" s="127"/>
      <c r="AUZ25" s="127"/>
      <c r="AVA25" s="127"/>
      <c r="AVB25" s="127"/>
      <c r="AVC25" s="127"/>
      <c r="AVD25" s="127"/>
      <c r="AVE25" s="127"/>
      <c r="AVF25" s="127"/>
      <c r="AVG25" s="127"/>
      <c r="AVH25" s="127"/>
      <c r="AVI25" s="127"/>
      <c r="AVJ25" s="127"/>
      <c r="AVK25" s="127"/>
      <c r="AVL25" s="127"/>
      <c r="AVM25" s="127"/>
      <c r="AVN25" s="127"/>
      <c r="AVO25" s="127"/>
      <c r="AVP25" s="127"/>
      <c r="AVQ25" s="127"/>
      <c r="AVR25" s="127"/>
      <c r="AVS25" s="127"/>
      <c r="AVT25" s="127"/>
      <c r="AVU25" s="127"/>
      <c r="AVV25" s="127"/>
      <c r="AVW25" s="127"/>
      <c r="AVX25" s="127"/>
      <c r="AVY25" s="127"/>
      <c r="AVZ25" s="127"/>
      <c r="AWA25" s="127"/>
      <c r="AWB25" s="127"/>
      <c r="AWC25" s="127"/>
      <c r="AWD25" s="127"/>
      <c r="AWE25" s="127"/>
      <c r="AWF25" s="127"/>
      <c r="AWG25" s="127"/>
      <c r="AWH25" s="127"/>
      <c r="AWI25" s="127"/>
      <c r="AWJ25" s="127"/>
      <c r="AWK25" s="127"/>
      <c r="AWL25" s="127"/>
      <c r="AWM25" s="127"/>
      <c r="AWN25" s="127"/>
      <c r="AWO25" s="127"/>
      <c r="AWP25" s="127"/>
      <c r="AWQ25" s="127"/>
      <c r="AWR25" s="127"/>
      <c r="AWS25" s="127"/>
      <c r="AWT25" s="127"/>
      <c r="AWU25" s="127"/>
      <c r="AWV25" s="127"/>
      <c r="AWW25" s="127"/>
      <c r="AWX25" s="127"/>
      <c r="AWY25" s="127"/>
      <c r="AWZ25" s="127"/>
      <c r="AXA25" s="127"/>
      <c r="AXB25" s="127"/>
      <c r="AXC25" s="127"/>
      <c r="AXD25" s="127"/>
      <c r="AXE25" s="127"/>
      <c r="AXF25" s="127"/>
      <c r="AXG25" s="127"/>
      <c r="AXH25" s="127"/>
      <c r="AXI25" s="127"/>
      <c r="AXJ25" s="127"/>
      <c r="AXK25" s="127"/>
      <c r="AXL25" s="127"/>
      <c r="AXM25" s="127"/>
      <c r="AXN25" s="127"/>
      <c r="AXO25" s="127"/>
      <c r="AXP25" s="127"/>
      <c r="AXQ25" s="127"/>
      <c r="AXR25" s="127"/>
      <c r="AXS25" s="127"/>
      <c r="AXT25" s="127"/>
      <c r="AXU25" s="127"/>
      <c r="AXV25" s="127"/>
      <c r="AXW25" s="127"/>
      <c r="AXX25" s="127"/>
      <c r="AXY25" s="127"/>
      <c r="AXZ25" s="127"/>
      <c r="AYA25" s="127"/>
      <c r="AYB25" s="127"/>
      <c r="AYC25" s="127"/>
      <c r="AYD25" s="127"/>
      <c r="AYE25" s="127"/>
      <c r="AYF25" s="127"/>
      <c r="AYG25" s="127"/>
      <c r="AYH25" s="127"/>
      <c r="AYI25" s="127"/>
      <c r="AYJ25" s="127"/>
      <c r="AYK25" s="127"/>
      <c r="AYL25" s="127"/>
      <c r="AYM25" s="127"/>
      <c r="AYN25" s="127"/>
      <c r="AYO25" s="127"/>
      <c r="AYP25" s="127"/>
      <c r="AYQ25" s="127"/>
      <c r="AYR25" s="127"/>
      <c r="AYS25" s="127"/>
      <c r="AYT25" s="127"/>
      <c r="AYU25" s="127"/>
      <c r="AYV25" s="127"/>
      <c r="AYW25" s="127"/>
      <c r="AYX25" s="127"/>
      <c r="AYY25" s="127"/>
      <c r="AYZ25" s="127"/>
      <c r="AZA25" s="127"/>
      <c r="AZB25" s="127"/>
      <c r="AZC25" s="127"/>
      <c r="AZD25" s="127"/>
      <c r="AZE25" s="127"/>
      <c r="AZF25" s="127"/>
      <c r="AZG25" s="127"/>
      <c r="AZH25" s="127"/>
      <c r="AZI25" s="127"/>
      <c r="AZJ25" s="127"/>
      <c r="AZK25" s="127"/>
      <c r="AZL25" s="127"/>
      <c r="AZM25" s="127"/>
      <c r="AZN25" s="127"/>
      <c r="AZO25" s="127"/>
      <c r="AZP25" s="127"/>
      <c r="AZQ25" s="127"/>
      <c r="AZR25" s="127"/>
      <c r="AZS25" s="127"/>
      <c r="AZT25" s="127"/>
      <c r="AZU25" s="127"/>
      <c r="AZV25" s="127"/>
      <c r="AZW25" s="127"/>
      <c r="AZX25" s="127"/>
      <c r="AZY25" s="127"/>
      <c r="AZZ25" s="127"/>
      <c r="BAA25" s="127"/>
      <c r="BAB25" s="127"/>
      <c r="BAC25" s="127"/>
      <c r="BAD25" s="127"/>
      <c r="BAE25" s="127"/>
      <c r="BAF25" s="127"/>
      <c r="BAG25" s="127"/>
      <c r="BAH25" s="127"/>
      <c r="BAI25" s="127"/>
      <c r="BAJ25" s="127"/>
      <c r="BAK25" s="127"/>
      <c r="BAL25" s="127"/>
      <c r="BAM25" s="127"/>
      <c r="BAN25" s="127"/>
      <c r="BAO25" s="127"/>
      <c r="BAP25" s="127"/>
      <c r="BAQ25" s="127"/>
      <c r="BAR25" s="127"/>
      <c r="BAS25" s="127"/>
      <c r="BAT25" s="127"/>
      <c r="BAU25" s="127"/>
      <c r="BAV25" s="127"/>
      <c r="BAW25" s="127"/>
      <c r="BAX25" s="127"/>
      <c r="BAY25" s="127"/>
      <c r="BAZ25" s="127"/>
      <c r="BBA25" s="127"/>
      <c r="BBB25" s="127"/>
      <c r="BBC25" s="127"/>
      <c r="BBD25" s="127"/>
      <c r="BBE25" s="127"/>
      <c r="BBF25" s="127"/>
      <c r="BBG25" s="127"/>
      <c r="BBH25" s="127"/>
      <c r="BBI25" s="127"/>
      <c r="BBJ25" s="127"/>
      <c r="BBK25" s="127"/>
      <c r="BBL25" s="127"/>
      <c r="BBM25" s="127"/>
      <c r="BBN25" s="127"/>
      <c r="BBO25" s="127"/>
      <c r="BBP25" s="127"/>
      <c r="BBQ25" s="127"/>
      <c r="BBR25" s="127"/>
      <c r="BBS25" s="127"/>
      <c r="BBT25" s="127"/>
      <c r="BBU25" s="127"/>
      <c r="BBV25" s="127"/>
      <c r="BBW25" s="127"/>
      <c r="BBX25" s="127"/>
      <c r="BBY25" s="127"/>
      <c r="BBZ25" s="127"/>
      <c r="BCA25" s="127"/>
      <c r="BCB25" s="127"/>
      <c r="BCC25" s="127"/>
      <c r="BCD25" s="127"/>
      <c r="BCE25" s="127"/>
      <c r="BCF25" s="127"/>
      <c r="BCG25" s="127"/>
      <c r="BCH25" s="127"/>
      <c r="BCI25" s="127"/>
      <c r="BCJ25" s="127"/>
      <c r="BCK25" s="127"/>
      <c r="BCL25" s="127"/>
      <c r="BCM25" s="127"/>
      <c r="BCN25" s="127"/>
      <c r="BCO25" s="127"/>
      <c r="BCP25" s="127"/>
      <c r="BCQ25" s="127"/>
      <c r="BCR25" s="127"/>
      <c r="BCS25" s="127"/>
      <c r="BCT25" s="127"/>
      <c r="BCU25" s="127"/>
      <c r="BCV25" s="127"/>
      <c r="BCW25" s="127"/>
      <c r="BCX25" s="127"/>
      <c r="BCY25" s="127"/>
      <c r="BCZ25" s="127"/>
      <c r="BDA25" s="127"/>
      <c r="BDB25" s="127"/>
      <c r="BDC25" s="127"/>
      <c r="BDD25" s="127"/>
      <c r="BDE25" s="127"/>
      <c r="BDF25" s="127"/>
      <c r="BDG25" s="127"/>
      <c r="BDH25" s="127"/>
      <c r="BDI25" s="127"/>
      <c r="BDJ25" s="127"/>
      <c r="BDK25" s="127"/>
      <c r="BDL25" s="127"/>
      <c r="BDM25" s="127"/>
      <c r="BDN25" s="127"/>
      <c r="BDO25" s="127"/>
      <c r="BDP25" s="127"/>
      <c r="BDQ25" s="127"/>
      <c r="BDR25" s="127"/>
      <c r="BDS25" s="127"/>
      <c r="BDT25" s="127"/>
      <c r="BDU25" s="127"/>
      <c r="BDV25" s="127"/>
      <c r="BDW25" s="127"/>
      <c r="BDX25" s="127"/>
      <c r="BDY25" s="127"/>
      <c r="BDZ25" s="127"/>
      <c r="BEA25" s="127"/>
      <c r="BEB25" s="127"/>
      <c r="BEC25" s="127"/>
      <c r="BED25" s="127"/>
      <c r="BEE25" s="127"/>
      <c r="BEF25" s="127"/>
      <c r="BEG25" s="127"/>
      <c r="BEH25" s="127"/>
      <c r="BEI25" s="127"/>
      <c r="BEJ25" s="127"/>
      <c r="BEK25" s="127"/>
      <c r="BEL25" s="127"/>
      <c r="BEM25" s="127"/>
      <c r="BEN25" s="127"/>
      <c r="BEO25" s="127"/>
      <c r="BEP25" s="127"/>
      <c r="BEQ25" s="127"/>
      <c r="BER25" s="127"/>
      <c r="BES25" s="127"/>
      <c r="BET25" s="127"/>
      <c r="BEU25" s="127"/>
      <c r="BEV25" s="127"/>
      <c r="BEW25" s="127"/>
      <c r="BEX25" s="127"/>
      <c r="BEY25" s="127"/>
      <c r="BEZ25" s="127"/>
      <c r="BFA25" s="127"/>
      <c r="BFB25" s="127"/>
      <c r="BFC25" s="127"/>
      <c r="BFD25" s="127"/>
      <c r="BFE25" s="127"/>
      <c r="BFF25" s="127"/>
      <c r="BFG25" s="127"/>
      <c r="BFH25" s="127"/>
      <c r="BFI25" s="127"/>
      <c r="BFJ25" s="127"/>
      <c r="BFK25" s="127"/>
      <c r="BFL25" s="127"/>
      <c r="BFM25" s="127"/>
      <c r="BFN25" s="127"/>
      <c r="BFO25" s="127"/>
      <c r="BFP25" s="127"/>
      <c r="BFQ25" s="127"/>
      <c r="BFR25" s="127"/>
      <c r="BFS25" s="127"/>
      <c r="BFT25" s="127"/>
      <c r="BFU25" s="127"/>
      <c r="BFV25" s="127"/>
      <c r="BFW25" s="127"/>
      <c r="BFX25" s="127"/>
      <c r="BFY25" s="127"/>
      <c r="BFZ25" s="127"/>
      <c r="BGA25" s="127"/>
      <c r="BGB25" s="127"/>
      <c r="BGC25" s="127"/>
      <c r="BGD25" s="127"/>
      <c r="BGE25" s="127"/>
      <c r="BGF25" s="127"/>
      <c r="BGG25" s="127"/>
      <c r="BGH25" s="127"/>
      <c r="BGI25" s="127"/>
      <c r="BGJ25" s="127"/>
      <c r="BGK25" s="127"/>
      <c r="BGL25" s="127"/>
      <c r="BGM25" s="127"/>
      <c r="BGN25" s="127"/>
      <c r="BGO25" s="127"/>
      <c r="BGP25" s="127"/>
      <c r="BGQ25" s="127"/>
      <c r="BGR25" s="127"/>
      <c r="BGS25" s="127"/>
      <c r="BGT25" s="127"/>
      <c r="BGU25" s="127"/>
      <c r="BGV25" s="127"/>
      <c r="BGW25" s="127"/>
      <c r="BGX25" s="127"/>
      <c r="BGY25" s="127"/>
      <c r="BGZ25" s="127"/>
      <c r="BHA25" s="127"/>
      <c r="BHB25" s="127"/>
      <c r="BHC25" s="127"/>
      <c r="BHD25" s="127"/>
      <c r="BHE25" s="127"/>
      <c r="BHF25" s="127"/>
      <c r="BHG25" s="127"/>
      <c r="BHH25" s="127"/>
      <c r="BHI25" s="127"/>
      <c r="BHJ25" s="127"/>
      <c r="BHK25" s="127"/>
      <c r="BHL25" s="127"/>
      <c r="BHM25" s="127"/>
      <c r="BHN25" s="127"/>
      <c r="BHO25" s="127"/>
      <c r="BHP25" s="127"/>
      <c r="BHQ25" s="127"/>
      <c r="BHR25" s="127"/>
      <c r="BHS25" s="127"/>
      <c r="BHT25" s="127"/>
      <c r="BHU25" s="127"/>
      <c r="BHV25" s="127"/>
      <c r="BHW25" s="127"/>
      <c r="BHX25" s="127"/>
      <c r="BHY25" s="127"/>
      <c r="BHZ25" s="127"/>
      <c r="BIA25" s="127"/>
      <c r="BIB25" s="127"/>
      <c r="BIC25" s="127"/>
      <c r="BID25" s="127"/>
      <c r="BIE25" s="127"/>
      <c r="BIF25" s="127"/>
      <c r="BIG25" s="127"/>
      <c r="BIH25" s="127"/>
      <c r="BII25" s="127"/>
      <c r="BIJ25" s="127"/>
      <c r="BIK25" s="127"/>
      <c r="BIL25" s="127"/>
      <c r="BIM25" s="127"/>
      <c r="BIN25" s="127"/>
      <c r="BIO25" s="127"/>
      <c r="BIP25" s="127"/>
      <c r="BIQ25" s="127"/>
      <c r="BIR25" s="127"/>
      <c r="BIS25" s="127"/>
      <c r="BIT25" s="127"/>
      <c r="BIU25" s="127"/>
      <c r="BIV25" s="127"/>
      <c r="BIW25" s="127"/>
      <c r="BIX25" s="127"/>
      <c r="BIY25" s="127"/>
      <c r="BIZ25" s="127"/>
      <c r="BJA25" s="127"/>
      <c r="BJB25" s="127"/>
      <c r="BJC25" s="127"/>
      <c r="BJD25" s="127"/>
      <c r="BJE25" s="127"/>
      <c r="BJF25" s="127"/>
      <c r="BJG25" s="127"/>
      <c r="BJH25" s="127"/>
      <c r="BJI25" s="127"/>
      <c r="BJJ25" s="127"/>
      <c r="BJK25" s="127"/>
      <c r="BJL25" s="127"/>
      <c r="BJM25" s="127"/>
      <c r="BJN25" s="127"/>
      <c r="BJO25" s="127"/>
      <c r="BJP25" s="127"/>
      <c r="BJQ25" s="127"/>
      <c r="BJR25" s="127"/>
      <c r="BJS25" s="127"/>
      <c r="BJT25" s="127"/>
      <c r="BJU25" s="127"/>
      <c r="BJV25" s="127"/>
      <c r="BJW25" s="127"/>
      <c r="BJX25" s="127"/>
      <c r="BJY25" s="127"/>
      <c r="BJZ25" s="127"/>
      <c r="BKA25" s="127"/>
      <c r="BKB25" s="127"/>
      <c r="BKC25" s="127"/>
      <c r="BKD25" s="127"/>
      <c r="BKE25" s="127"/>
      <c r="BKF25" s="127"/>
      <c r="BKG25" s="127"/>
      <c r="BKH25" s="127"/>
      <c r="BKI25" s="127"/>
      <c r="BKJ25" s="127"/>
      <c r="BKK25" s="127"/>
      <c r="BKL25" s="127"/>
      <c r="BKM25" s="127"/>
      <c r="BKN25" s="127"/>
      <c r="BKO25" s="127"/>
      <c r="BKP25" s="127"/>
      <c r="BKQ25" s="127"/>
      <c r="BKR25" s="127"/>
      <c r="BKS25" s="127"/>
      <c r="BKT25" s="127"/>
      <c r="BKU25" s="127"/>
      <c r="BKV25" s="127"/>
      <c r="BKW25" s="127"/>
      <c r="BKX25" s="127"/>
      <c r="BKY25" s="127"/>
      <c r="BKZ25" s="127"/>
      <c r="BLA25" s="127"/>
      <c r="BLB25" s="127"/>
      <c r="BLC25" s="127"/>
      <c r="BLD25" s="127"/>
      <c r="BLE25" s="127"/>
      <c r="BLF25" s="127"/>
      <c r="BLG25" s="127"/>
      <c r="BLH25" s="127"/>
      <c r="BLI25" s="127"/>
      <c r="BLJ25" s="127"/>
      <c r="BLK25" s="127"/>
      <c r="BLL25" s="127"/>
      <c r="BLM25" s="127"/>
      <c r="BLN25" s="127"/>
      <c r="BLO25" s="127"/>
      <c r="BLP25" s="127"/>
      <c r="BLQ25" s="127"/>
      <c r="BLR25" s="127"/>
      <c r="BLS25" s="127"/>
      <c r="BLT25" s="127"/>
      <c r="BLU25" s="127"/>
      <c r="BLV25" s="127"/>
      <c r="BLW25" s="127"/>
      <c r="BLX25" s="127"/>
      <c r="BLY25" s="127"/>
      <c r="BLZ25" s="127"/>
      <c r="BMA25" s="127"/>
      <c r="BMB25" s="127"/>
      <c r="BMC25" s="127"/>
      <c r="BMD25" s="127"/>
      <c r="BME25" s="127"/>
      <c r="BMF25" s="127"/>
      <c r="BMG25" s="127"/>
      <c r="BMH25" s="127"/>
      <c r="BMI25" s="127"/>
      <c r="BMJ25" s="127"/>
      <c r="BMK25" s="127"/>
      <c r="BML25" s="127"/>
      <c r="BMM25" s="127"/>
      <c r="BMN25" s="127"/>
      <c r="BMO25" s="127"/>
      <c r="BMP25" s="127"/>
      <c r="BMQ25" s="127"/>
      <c r="BMR25" s="127"/>
      <c r="BMS25" s="127"/>
      <c r="BMT25" s="127"/>
      <c r="BMU25" s="127"/>
      <c r="BMV25" s="127"/>
      <c r="BMW25" s="127"/>
      <c r="BMX25" s="127"/>
      <c r="BMY25" s="127"/>
      <c r="BMZ25" s="127"/>
      <c r="BNA25" s="127"/>
      <c r="BNB25" s="127"/>
      <c r="BNC25" s="127"/>
      <c r="BND25" s="127"/>
      <c r="BNE25" s="127"/>
      <c r="BNF25" s="127"/>
      <c r="BNG25" s="127"/>
      <c r="BNH25" s="127"/>
      <c r="BNI25" s="127"/>
      <c r="BNJ25" s="127"/>
      <c r="BNK25" s="127"/>
      <c r="BNL25" s="127"/>
      <c r="BNM25" s="127"/>
      <c r="BNN25" s="127"/>
      <c r="BNO25" s="127"/>
      <c r="BNP25" s="127"/>
      <c r="BNQ25" s="127"/>
      <c r="BNR25" s="127"/>
      <c r="BNS25" s="127"/>
      <c r="BNT25" s="127"/>
      <c r="BNU25" s="127"/>
      <c r="BNV25" s="127"/>
      <c r="BNW25" s="127"/>
      <c r="BNX25" s="127"/>
      <c r="BNY25" s="127"/>
      <c r="BNZ25" s="127"/>
      <c r="BOA25" s="127"/>
      <c r="BOB25" s="127"/>
      <c r="BOC25" s="127"/>
      <c r="BOD25" s="127"/>
      <c r="BOE25" s="127"/>
      <c r="BOF25" s="127"/>
      <c r="BOG25" s="127"/>
      <c r="BOH25" s="127"/>
      <c r="BOI25" s="127"/>
      <c r="BOJ25" s="127"/>
      <c r="BOK25" s="127"/>
      <c r="BOL25" s="127"/>
      <c r="BOM25" s="127"/>
      <c r="BON25" s="127"/>
      <c r="BOO25" s="127"/>
      <c r="BOP25" s="127"/>
      <c r="BOQ25" s="127"/>
      <c r="BOR25" s="127"/>
      <c r="BOS25" s="127"/>
      <c r="BOT25" s="127"/>
      <c r="BOU25" s="127"/>
      <c r="BOV25" s="127"/>
      <c r="BOW25" s="127"/>
      <c r="BOX25" s="127"/>
      <c r="BOY25" s="127"/>
      <c r="BOZ25" s="127"/>
      <c r="BPA25" s="127"/>
      <c r="BPB25" s="127"/>
      <c r="BPC25" s="127"/>
      <c r="BPD25" s="127"/>
      <c r="BPE25" s="127"/>
      <c r="BPF25" s="127"/>
      <c r="BPG25" s="127"/>
      <c r="BPH25" s="127"/>
      <c r="BPI25" s="127"/>
      <c r="BPJ25" s="127"/>
      <c r="BPK25" s="127"/>
      <c r="BPL25" s="127"/>
      <c r="BPM25" s="127"/>
      <c r="BPN25" s="127"/>
      <c r="BPO25" s="127"/>
      <c r="BPP25" s="127"/>
      <c r="BPQ25" s="127"/>
      <c r="BPR25" s="127"/>
      <c r="BPS25" s="127"/>
      <c r="BPT25" s="127"/>
      <c r="BPU25" s="127"/>
      <c r="BPV25" s="127"/>
      <c r="BPW25" s="127"/>
      <c r="BPX25" s="127"/>
      <c r="BPY25" s="127"/>
      <c r="BPZ25" s="127"/>
      <c r="BQA25" s="127"/>
      <c r="BQB25" s="127"/>
      <c r="BQC25" s="127"/>
      <c r="BQD25" s="127"/>
      <c r="BQE25" s="127"/>
      <c r="BQF25" s="127"/>
      <c r="BQG25" s="127"/>
      <c r="BQH25" s="127"/>
      <c r="BQI25" s="127"/>
      <c r="BQJ25" s="127"/>
      <c r="BQK25" s="127"/>
      <c r="BQL25" s="127"/>
      <c r="BQM25" s="127"/>
      <c r="BQN25" s="127"/>
      <c r="BQO25" s="127"/>
      <c r="BQP25" s="127"/>
      <c r="BQQ25" s="127"/>
      <c r="BQR25" s="127"/>
      <c r="BQS25" s="127"/>
      <c r="BQT25" s="127"/>
      <c r="BQU25" s="127"/>
      <c r="BQV25" s="127"/>
      <c r="BQW25" s="127"/>
      <c r="BQX25" s="127"/>
      <c r="BQY25" s="127"/>
      <c r="BQZ25" s="127"/>
      <c r="BRA25" s="127"/>
      <c r="BRB25" s="127"/>
      <c r="BRC25" s="127"/>
      <c r="BRD25" s="127"/>
      <c r="BRE25" s="127"/>
      <c r="BRF25" s="127"/>
      <c r="BRG25" s="127"/>
      <c r="BRH25" s="127"/>
      <c r="BRI25" s="127"/>
      <c r="BRJ25" s="127"/>
      <c r="BRK25" s="127"/>
      <c r="BRL25" s="127"/>
      <c r="BRM25" s="127"/>
      <c r="BRN25" s="127"/>
      <c r="BRO25" s="127"/>
      <c r="BRP25" s="127"/>
      <c r="BRQ25" s="127"/>
      <c r="BRR25" s="127"/>
      <c r="BRS25" s="127"/>
      <c r="BRT25" s="127"/>
      <c r="BRU25" s="127"/>
      <c r="BRV25" s="127"/>
      <c r="BRW25" s="127"/>
      <c r="BRX25" s="127"/>
      <c r="BRY25" s="127"/>
      <c r="BRZ25" s="127"/>
      <c r="BSA25" s="127"/>
      <c r="BSB25" s="127"/>
      <c r="BSC25" s="127"/>
      <c r="BSD25" s="127"/>
      <c r="BSE25" s="127"/>
      <c r="BSF25" s="127"/>
      <c r="BSG25" s="127"/>
      <c r="BSH25" s="127"/>
      <c r="BSI25" s="127"/>
      <c r="BSJ25" s="127"/>
      <c r="BSK25" s="127"/>
      <c r="BSL25" s="127"/>
      <c r="BSM25" s="127"/>
      <c r="BSN25" s="127"/>
      <c r="BSO25" s="127"/>
      <c r="BSP25" s="127"/>
      <c r="BSQ25" s="127"/>
      <c r="BSR25" s="127"/>
      <c r="BSS25" s="127"/>
      <c r="BST25" s="127"/>
      <c r="BSU25" s="127"/>
      <c r="BSV25" s="127"/>
      <c r="BSW25" s="127"/>
      <c r="BSX25" s="127"/>
      <c r="BSY25" s="127"/>
      <c r="BSZ25" s="127"/>
      <c r="BTA25" s="127"/>
      <c r="BTB25" s="127"/>
      <c r="BTC25" s="127"/>
      <c r="BTD25" s="127"/>
      <c r="BTE25" s="127"/>
      <c r="BTF25" s="127"/>
      <c r="BTG25" s="127"/>
      <c r="BTH25" s="127"/>
      <c r="BTI25" s="127"/>
      <c r="BTJ25" s="127"/>
      <c r="BTK25" s="127"/>
      <c r="BTL25" s="127"/>
      <c r="BTM25" s="127"/>
      <c r="BTN25" s="127"/>
      <c r="BTO25" s="127"/>
      <c r="BTP25" s="127"/>
      <c r="BTQ25" s="127"/>
      <c r="BTR25" s="127"/>
      <c r="BTS25" s="127"/>
      <c r="BTT25" s="127"/>
      <c r="BTU25" s="127"/>
      <c r="BTV25" s="127"/>
      <c r="BTW25" s="127"/>
      <c r="BTX25" s="127"/>
      <c r="BTY25" s="127"/>
      <c r="BTZ25" s="127"/>
      <c r="BUA25" s="127"/>
      <c r="BUB25" s="127"/>
      <c r="BUC25" s="127"/>
      <c r="BUD25" s="127"/>
      <c r="BUE25" s="127"/>
      <c r="BUF25" s="127"/>
      <c r="BUG25" s="127"/>
      <c r="BUH25" s="127"/>
      <c r="BUI25" s="127"/>
      <c r="BUJ25" s="127"/>
      <c r="BUK25" s="127"/>
      <c r="BUL25" s="127"/>
      <c r="BUM25" s="127"/>
      <c r="BUN25" s="127"/>
      <c r="BUO25" s="127"/>
      <c r="BUP25" s="127"/>
      <c r="BUQ25" s="127"/>
      <c r="BUR25" s="127"/>
      <c r="BUS25" s="127"/>
      <c r="BUT25" s="127"/>
      <c r="BUU25" s="127"/>
      <c r="BUV25" s="127"/>
      <c r="BUW25" s="127"/>
      <c r="BUX25" s="127"/>
      <c r="BUY25" s="127"/>
      <c r="BUZ25" s="127"/>
      <c r="BVA25" s="127"/>
      <c r="BVB25" s="127"/>
      <c r="BVC25" s="127"/>
      <c r="BVD25" s="127"/>
      <c r="BVE25" s="127"/>
      <c r="BVF25" s="127"/>
      <c r="BVG25" s="127"/>
      <c r="BVH25" s="127"/>
      <c r="BVI25" s="127"/>
      <c r="BVJ25" s="127"/>
      <c r="BVK25" s="127"/>
      <c r="BVL25" s="127"/>
      <c r="BVM25" s="127"/>
      <c r="BVN25" s="127"/>
      <c r="BVO25" s="127"/>
      <c r="BVP25" s="127"/>
      <c r="BVQ25" s="127"/>
      <c r="BVR25" s="127"/>
      <c r="BVS25" s="127"/>
      <c r="BVT25" s="127"/>
      <c r="BVU25" s="127"/>
      <c r="BVV25" s="127"/>
      <c r="BVW25" s="127"/>
      <c r="BVX25" s="127"/>
      <c r="BVY25" s="127"/>
      <c r="BVZ25" s="127"/>
      <c r="BWA25" s="127"/>
      <c r="BWB25" s="127"/>
      <c r="BWC25" s="127"/>
      <c r="BWD25" s="127"/>
      <c r="BWE25" s="127"/>
      <c r="BWF25" s="127"/>
      <c r="BWG25" s="127"/>
      <c r="BWH25" s="127"/>
      <c r="BWI25" s="127"/>
      <c r="BWJ25" s="127"/>
      <c r="BWK25" s="127"/>
      <c r="BWL25" s="127"/>
      <c r="BWM25" s="127"/>
      <c r="BWN25" s="127"/>
      <c r="BWO25" s="127"/>
      <c r="BWP25" s="127"/>
      <c r="BWQ25" s="127"/>
      <c r="BWR25" s="127"/>
      <c r="BWS25" s="127"/>
      <c r="BWT25" s="127"/>
      <c r="BWU25" s="127"/>
      <c r="BWV25" s="127"/>
      <c r="BWW25" s="127"/>
      <c r="BWX25" s="127"/>
      <c r="BWY25" s="127"/>
      <c r="BWZ25" s="127"/>
      <c r="BXA25" s="127"/>
      <c r="BXB25" s="127"/>
      <c r="BXC25" s="127"/>
      <c r="BXD25" s="127"/>
      <c r="BXE25" s="127"/>
      <c r="BXF25" s="127"/>
      <c r="BXG25" s="127"/>
      <c r="BXH25" s="127"/>
      <c r="BXI25" s="127"/>
      <c r="BXJ25" s="127"/>
      <c r="BXK25" s="127"/>
      <c r="BXL25" s="127"/>
      <c r="BXM25" s="127"/>
      <c r="BXN25" s="127"/>
    </row>
    <row r="26" spans="1:1990" s="127" customFormat="1" ht="27.95" customHeight="1" x14ac:dyDescent="0.25">
      <c r="A26" s="313" t="s">
        <v>383</v>
      </c>
      <c r="B26" s="346">
        <v>10.16913344</v>
      </c>
      <c r="C26" s="346">
        <v>11.36843359</v>
      </c>
      <c r="D26" s="346">
        <v>11.65545966</v>
      </c>
      <c r="E26" s="346">
        <v>11.49918778</v>
      </c>
      <c r="F26" s="346">
        <v>12.289257279999999</v>
      </c>
      <c r="G26" s="346">
        <v>13.782049460000001</v>
      </c>
      <c r="H26" s="346">
        <v>10.614540379999999</v>
      </c>
      <c r="I26" s="346">
        <v>15.03454924</v>
      </c>
      <c r="J26" s="346">
        <v>15.663357730000001</v>
      </c>
      <c r="K26" s="346">
        <v>15.256561</v>
      </c>
      <c r="L26" s="346">
        <v>15.59121388</v>
      </c>
      <c r="M26" s="346">
        <v>15.37445666</v>
      </c>
      <c r="N26" s="346">
        <v>14.943050379999999</v>
      </c>
      <c r="O26" s="346">
        <v>14.470511589999999</v>
      </c>
      <c r="P26" s="346">
        <v>10.84317306</v>
      </c>
      <c r="Q26" s="346">
        <v>17.31644322</v>
      </c>
      <c r="R26" s="346">
        <v>17.089838689999997</v>
      </c>
      <c r="S26" s="346">
        <v>16.906848969999999</v>
      </c>
      <c r="T26" s="346">
        <v>16.353613240000001</v>
      </c>
      <c r="U26" s="346">
        <v>15.366368529999999</v>
      </c>
      <c r="V26" s="346">
        <v>15.013795380000001</v>
      </c>
      <c r="W26" s="346">
        <v>18.530971649999998</v>
      </c>
      <c r="X26" s="346">
        <v>25.41919725</v>
      </c>
      <c r="Y26" s="346">
        <v>19.031955870000001</v>
      </c>
      <c r="Z26" s="346">
        <v>18.735012709999999</v>
      </c>
      <c r="AA26" s="346">
        <v>18.766498809999998</v>
      </c>
      <c r="AB26" s="346">
        <v>18.47641131</v>
      </c>
      <c r="AC26" s="346">
        <v>20.855390499999999</v>
      </c>
      <c r="AD26" s="346">
        <v>20.659764079999999</v>
      </c>
      <c r="AE26" s="346">
        <v>20.107755190000002</v>
      </c>
      <c r="AF26" s="315">
        <v>19.972582210000002</v>
      </c>
    </row>
    <row r="27" spans="1:1990" s="127" customFormat="1" ht="27.95" customHeight="1" x14ac:dyDescent="0.25">
      <c r="A27" s="226" t="s">
        <v>384</v>
      </c>
      <c r="B27" s="308">
        <v>0</v>
      </c>
      <c r="C27" s="308">
        <v>0</v>
      </c>
      <c r="D27" s="308">
        <v>0</v>
      </c>
      <c r="E27" s="308">
        <v>0</v>
      </c>
      <c r="F27" s="308">
        <v>0</v>
      </c>
      <c r="G27" s="308">
        <v>0</v>
      </c>
      <c r="H27" s="308">
        <v>0</v>
      </c>
      <c r="I27" s="308">
        <v>0</v>
      </c>
      <c r="J27" s="308">
        <v>0</v>
      </c>
      <c r="K27" s="308">
        <v>0</v>
      </c>
      <c r="L27" s="308">
        <v>0</v>
      </c>
      <c r="M27" s="308">
        <v>0</v>
      </c>
      <c r="N27" s="308">
        <v>0</v>
      </c>
      <c r="O27" s="308">
        <v>0</v>
      </c>
      <c r="P27" s="308">
        <v>0</v>
      </c>
      <c r="Q27" s="308">
        <v>0</v>
      </c>
      <c r="R27" s="308">
        <v>0</v>
      </c>
      <c r="S27" s="308">
        <v>0</v>
      </c>
      <c r="T27" s="308">
        <v>0</v>
      </c>
      <c r="U27" s="308">
        <v>0</v>
      </c>
      <c r="V27" s="308">
        <v>0</v>
      </c>
      <c r="W27" s="308">
        <v>0</v>
      </c>
      <c r="X27" s="308">
        <v>0</v>
      </c>
      <c r="Y27" s="308">
        <v>9.5332110500000002</v>
      </c>
      <c r="Z27" s="308">
        <v>9.244465550000001</v>
      </c>
      <c r="AA27" s="308">
        <v>8.9536154000000003</v>
      </c>
      <c r="AB27" s="308">
        <v>8.6206920099999991</v>
      </c>
      <c r="AC27" s="308">
        <v>11.284746269999999</v>
      </c>
      <c r="AD27" s="308">
        <v>10.866020259999999</v>
      </c>
      <c r="AE27" s="308">
        <v>10.44466096</v>
      </c>
      <c r="AF27" s="311">
        <v>9.054771689999999</v>
      </c>
    </row>
    <row r="28" spans="1:1990" s="127" customFormat="1" ht="27.95" customHeight="1" thickBot="1" x14ac:dyDescent="0.3">
      <c r="A28" s="316" t="s">
        <v>385</v>
      </c>
      <c r="B28" s="347">
        <v>0</v>
      </c>
      <c r="C28" s="347">
        <v>0</v>
      </c>
      <c r="D28" s="347">
        <v>0</v>
      </c>
      <c r="E28" s="347">
        <v>0</v>
      </c>
      <c r="F28" s="347">
        <v>0</v>
      </c>
      <c r="G28" s="347">
        <v>0</v>
      </c>
      <c r="H28" s="347">
        <v>0</v>
      </c>
      <c r="I28" s="347">
        <v>0</v>
      </c>
      <c r="J28" s="347">
        <v>0</v>
      </c>
      <c r="K28" s="347">
        <v>0</v>
      </c>
      <c r="L28" s="347">
        <v>0</v>
      </c>
      <c r="M28" s="347">
        <v>0</v>
      </c>
      <c r="N28" s="347">
        <v>0.94662819999999992</v>
      </c>
      <c r="O28" s="347">
        <v>0.93338726000000005</v>
      </c>
      <c r="P28" s="347">
        <v>0.92006632999999993</v>
      </c>
      <c r="Q28" s="347">
        <v>0.9066649200000001</v>
      </c>
      <c r="R28" s="347">
        <v>0.89318255000000002</v>
      </c>
      <c r="S28" s="347">
        <v>0.87961871999999997</v>
      </c>
      <c r="T28" s="347">
        <v>0.86597293999999991</v>
      </c>
      <c r="U28" s="347">
        <v>0.85224471999999996</v>
      </c>
      <c r="V28" s="347">
        <v>0.83843355000000008</v>
      </c>
      <c r="W28" s="347">
        <v>0.82453894999999999</v>
      </c>
      <c r="X28" s="347">
        <v>2.9297474999999999</v>
      </c>
      <c r="Y28" s="347">
        <v>0.79649738000000003</v>
      </c>
      <c r="Z28" s="347">
        <v>0.78234942000000007</v>
      </c>
      <c r="AA28" s="347">
        <v>0.76811596999999998</v>
      </c>
      <c r="AB28" s="347">
        <v>0.75379653000000002</v>
      </c>
      <c r="AC28" s="347">
        <v>0.73939056999999997</v>
      </c>
      <c r="AD28" s="347">
        <v>0.72489758999999998</v>
      </c>
      <c r="AE28" s="347">
        <v>0.71031704000000007</v>
      </c>
      <c r="AF28" s="318">
        <v>0.71449467</v>
      </c>
    </row>
    <row r="29" spans="1:1990" s="127" customFormat="1" ht="27.95" customHeight="1" thickTop="1" thickBot="1" x14ac:dyDescent="0.3">
      <c r="A29" s="319" t="s">
        <v>386</v>
      </c>
      <c r="B29" s="348">
        <v>62940.741530889994</v>
      </c>
      <c r="C29" s="348">
        <v>63092.996645839994</v>
      </c>
      <c r="D29" s="348">
        <v>62952.402119119994</v>
      </c>
      <c r="E29" s="348">
        <v>63005.937751320009</v>
      </c>
      <c r="F29" s="348">
        <v>62983.697272569989</v>
      </c>
      <c r="G29" s="348">
        <v>63434.985151500005</v>
      </c>
      <c r="H29" s="348">
        <v>64015.087595229998</v>
      </c>
      <c r="I29" s="348">
        <v>64116.730320269999</v>
      </c>
      <c r="J29" s="348">
        <v>64251.745133150005</v>
      </c>
      <c r="K29" s="348">
        <v>64167.50631456</v>
      </c>
      <c r="L29" s="348">
        <v>64273.789861030004</v>
      </c>
      <c r="M29" s="348">
        <v>64803.552646210002</v>
      </c>
      <c r="N29" s="348">
        <v>65648.582187440014</v>
      </c>
      <c r="O29" s="348">
        <v>65209.124655729989</v>
      </c>
      <c r="P29" s="348">
        <v>51333.94911247999</v>
      </c>
      <c r="Q29" s="348">
        <v>51074.885612489998</v>
      </c>
      <c r="R29" s="348">
        <v>50751.705237739989</v>
      </c>
      <c r="S29" s="348">
        <v>50706.598559680002</v>
      </c>
      <c r="T29" s="348">
        <v>50412.561810580002</v>
      </c>
      <c r="U29" s="348">
        <v>50746.287516699995</v>
      </c>
      <c r="V29" s="348">
        <v>51093.548557920003</v>
      </c>
      <c r="W29" s="348">
        <v>51759.644968820001</v>
      </c>
      <c r="X29" s="348">
        <v>50820.866306240001</v>
      </c>
      <c r="Y29" s="348">
        <v>51184.039431979996</v>
      </c>
      <c r="Z29" s="348">
        <v>51050.350472270002</v>
      </c>
      <c r="AA29" s="348">
        <v>51920.221772180004</v>
      </c>
      <c r="AB29" s="348">
        <v>52717.671419569997</v>
      </c>
      <c r="AC29" s="348">
        <v>52794.196230100002</v>
      </c>
      <c r="AD29" s="348">
        <v>52534.484216960002</v>
      </c>
      <c r="AE29" s="348">
        <v>52282.461528779997</v>
      </c>
      <c r="AF29" s="348">
        <v>52666.756112359995</v>
      </c>
    </row>
    <row r="30" spans="1:1990" s="127" customFormat="1" ht="27.95" customHeight="1" thickTop="1" thickBot="1" x14ac:dyDescent="0.3">
      <c r="A30" s="319" t="s">
        <v>387</v>
      </c>
      <c r="B30" s="348">
        <v>62930.572397449992</v>
      </c>
      <c r="C30" s="348">
        <v>63081.628212249991</v>
      </c>
      <c r="D30" s="348">
        <v>62940.74665945999</v>
      </c>
      <c r="E30" s="348">
        <v>62994.43856354001</v>
      </c>
      <c r="F30" s="348">
        <v>62971.408015289991</v>
      </c>
      <c r="G30" s="348">
        <v>63421.203102040003</v>
      </c>
      <c r="H30" s="348">
        <v>64004.473054850001</v>
      </c>
      <c r="I30" s="348">
        <v>64101.695771029998</v>
      </c>
      <c r="J30" s="348">
        <v>64236.081775420003</v>
      </c>
      <c r="K30" s="348">
        <v>64152.249753559998</v>
      </c>
      <c r="L30" s="348">
        <v>64258.198647150006</v>
      </c>
      <c r="M30" s="348">
        <v>64788.178189550003</v>
      </c>
      <c r="N30" s="348">
        <v>65632.692508860011</v>
      </c>
      <c r="O30" s="348">
        <v>65193.720756879993</v>
      </c>
      <c r="P30" s="348">
        <v>51322.185873089991</v>
      </c>
      <c r="Q30" s="348">
        <v>51056.662504349995</v>
      </c>
      <c r="R30" s="348">
        <v>50733.722216499991</v>
      </c>
      <c r="S30" s="348">
        <v>50688.812091990003</v>
      </c>
      <c r="T30" s="348">
        <v>50395.342224400003</v>
      </c>
      <c r="U30" s="348">
        <v>50730.068903449996</v>
      </c>
      <c r="V30" s="348">
        <v>51077.696328990001</v>
      </c>
      <c r="W30" s="348">
        <v>51740.289458220002</v>
      </c>
      <c r="X30" s="348">
        <v>50792.517361490005</v>
      </c>
      <c r="Y30" s="348">
        <v>51154.677767679997</v>
      </c>
      <c r="Z30" s="348">
        <v>51021.588644590003</v>
      </c>
      <c r="AA30" s="348">
        <v>51891.733542000002</v>
      </c>
      <c r="AB30" s="348">
        <v>52689.820519719993</v>
      </c>
      <c r="AC30" s="348">
        <v>52761.316702759999</v>
      </c>
      <c r="AD30" s="348">
        <v>52502.233535029998</v>
      </c>
      <c r="AE30" s="348">
        <v>52251.198795589997</v>
      </c>
      <c r="AF30" s="348">
        <v>52637.014263789999</v>
      </c>
    </row>
    <row r="31" spans="1:1990" s="102" customFormat="1" ht="18.75" customHeight="1" thickTop="1" x14ac:dyDescent="0.25">
      <c r="A31" s="222" t="s">
        <v>172</v>
      </c>
      <c r="B31" s="278"/>
      <c r="C31" s="278"/>
      <c r="D31" s="278"/>
      <c r="E31" s="278"/>
      <c r="F31" s="278"/>
      <c r="G31" s="278"/>
      <c r="H31" s="278"/>
      <c r="I31" s="278"/>
      <c r="J31" s="278"/>
      <c r="K31" s="278"/>
      <c r="L31" s="278"/>
      <c r="M31" s="278"/>
      <c r="N31" s="278"/>
      <c r="O31" s="278"/>
      <c r="P31" s="278"/>
      <c r="Q31" s="278"/>
      <c r="R31" s="278"/>
      <c r="S31" s="278"/>
      <c r="T31" s="278"/>
      <c r="U31" s="278"/>
      <c r="V31" s="278"/>
      <c r="W31" s="278"/>
    </row>
    <row r="32" spans="1:1990" ht="18.75" customHeight="1" x14ac:dyDescent="0.25">
      <c r="A32" s="222" t="s">
        <v>914</v>
      </c>
      <c r="B32" s="349"/>
      <c r="C32" s="349"/>
      <c r="D32" s="349"/>
      <c r="E32" s="349"/>
      <c r="F32" s="349"/>
      <c r="G32" s="349"/>
      <c r="H32" s="349"/>
      <c r="I32" s="349"/>
      <c r="J32" s="349"/>
      <c r="K32" s="349"/>
      <c r="L32" s="349"/>
      <c r="M32" s="349"/>
      <c r="N32" s="349"/>
      <c r="O32" s="349"/>
      <c r="P32" s="349"/>
      <c r="Q32" s="349"/>
      <c r="R32" s="349"/>
      <c r="S32" s="349"/>
      <c r="T32" s="349"/>
      <c r="U32" s="349"/>
      <c r="V32" s="349"/>
      <c r="W32" s="349"/>
    </row>
    <row r="33" spans="1:16384" ht="16.5" customHeight="1" x14ac:dyDescent="0.25">
      <c r="A33" s="103" t="s">
        <v>510</v>
      </c>
      <c r="B33" s="185"/>
      <c r="C33" s="185"/>
      <c r="D33" s="185"/>
      <c r="E33" s="185"/>
      <c r="F33" s="185"/>
      <c r="G33" s="185"/>
      <c r="H33" s="185"/>
      <c r="I33" s="185"/>
      <c r="J33" s="185"/>
      <c r="K33" s="185"/>
      <c r="L33" s="185"/>
      <c r="M33" s="185"/>
      <c r="N33" s="185"/>
      <c r="O33" s="185"/>
      <c r="P33" s="185"/>
      <c r="Q33" s="185"/>
      <c r="R33" s="185"/>
      <c r="S33" s="185"/>
      <c r="T33" s="185"/>
      <c r="U33" s="185"/>
      <c r="V33" s="185"/>
      <c r="W33" s="185"/>
    </row>
    <row r="34" spans="1:16384" ht="16.5" customHeight="1" x14ac:dyDescent="0.25">
      <c r="A34" s="283"/>
      <c r="B34" s="283" t="s">
        <v>668</v>
      </c>
      <c r="C34" s="283" t="s">
        <v>668</v>
      </c>
      <c r="D34" s="283" t="s">
        <v>668</v>
      </c>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c r="DK34" s="283"/>
      <c r="DL34" s="283"/>
      <c r="DM34" s="283"/>
      <c r="DN34" s="283"/>
      <c r="DO34" s="283"/>
      <c r="DP34" s="283"/>
      <c r="DQ34" s="283"/>
      <c r="DR34" s="283"/>
      <c r="DS34" s="283"/>
      <c r="DT34" s="283"/>
      <c r="DU34" s="283"/>
      <c r="DV34" s="283"/>
      <c r="DW34" s="283"/>
      <c r="DX34" s="283"/>
      <c r="DY34" s="283"/>
      <c r="DZ34" s="283"/>
      <c r="EA34" s="283"/>
      <c r="EB34" s="283"/>
      <c r="EC34" s="283"/>
      <c r="ED34" s="283"/>
      <c r="EE34" s="283"/>
      <c r="EF34" s="283"/>
      <c r="EG34" s="283"/>
      <c r="EH34" s="283"/>
      <c r="EI34" s="283"/>
      <c r="EJ34" s="283"/>
      <c r="EK34" s="283"/>
      <c r="EL34" s="283"/>
      <c r="EM34" s="283"/>
      <c r="EN34" s="283"/>
      <c r="EO34" s="283"/>
      <c r="EP34" s="283"/>
      <c r="EQ34" s="283"/>
      <c r="ER34" s="283"/>
      <c r="ES34" s="283"/>
      <c r="ET34" s="283"/>
      <c r="EU34" s="283"/>
      <c r="EV34" s="283"/>
      <c r="EW34" s="283"/>
      <c r="EX34" s="283"/>
      <c r="EY34" s="283"/>
      <c r="EZ34" s="283"/>
      <c r="FA34" s="283"/>
      <c r="FB34" s="283"/>
      <c r="FC34" s="283"/>
      <c r="FD34" s="283"/>
      <c r="FE34" s="283"/>
      <c r="FF34" s="283"/>
      <c r="FG34" s="283"/>
      <c r="FH34" s="283"/>
      <c r="FI34" s="283"/>
      <c r="FJ34" s="283"/>
      <c r="FK34" s="283"/>
      <c r="FL34" s="283"/>
      <c r="FM34" s="283"/>
      <c r="FN34" s="283"/>
      <c r="FO34" s="283"/>
      <c r="FP34" s="283"/>
      <c r="FQ34" s="283"/>
      <c r="FR34" s="283"/>
      <c r="FS34" s="283"/>
      <c r="FT34" s="283"/>
      <c r="FU34" s="283"/>
      <c r="FV34" s="283"/>
      <c r="FW34" s="283"/>
      <c r="FX34" s="283"/>
      <c r="FY34" s="283"/>
      <c r="FZ34" s="283"/>
      <c r="GA34" s="283"/>
      <c r="GB34" s="283"/>
      <c r="GC34" s="283"/>
      <c r="GD34" s="283"/>
      <c r="GE34" s="283"/>
      <c r="GF34" s="283"/>
      <c r="GG34" s="283"/>
      <c r="GH34" s="283"/>
      <c r="GI34" s="283"/>
      <c r="GJ34" s="283"/>
      <c r="GK34" s="283"/>
      <c r="GL34" s="283"/>
      <c r="GM34" s="283"/>
      <c r="GN34" s="283"/>
      <c r="GO34" s="283"/>
      <c r="GP34" s="283"/>
      <c r="GQ34" s="283"/>
      <c r="GR34" s="283"/>
      <c r="GS34" s="283"/>
      <c r="GT34" s="283"/>
      <c r="GU34" s="283"/>
      <c r="GV34" s="283"/>
      <c r="GW34" s="283"/>
      <c r="GX34" s="283"/>
      <c r="GY34" s="283"/>
      <c r="GZ34" s="283"/>
      <c r="HA34" s="283"/>
      <c r="HB34" s="283"/>
      <c r="HC34" s="283"/>
      <c r="HD34" s="283"/>
      <c r="HE34" s="283"/>
      <c r="HF34" s="283"/>
      <c r="HG34" s="283"/>
      <c r="HH34" s="283"/>
      <c r="HI34" s="283"/>
      <c r="HJ34" s="283"/>
      <c r="HK34" s="283"/>
      <c r="HL34" s="283"/>
      <c r="HM34" s="283"/>
      <c r="HN34" s="283"/>
      <c r="HO34" s="283"/>
      <c r="HP34" s="283"/>
      <c r="HQ34" s="283"/>
      <c r="HR34" s="283"/>
      <c r="HS34" s="283"/>
      <c r="HT34" s="283"/>
      <c r="HU34" s="283"/>
      <c r="HV34" s="283"/>
      <c r="HW34" s="283"/>
      <c r="HX34" s="283"/>
      <c r="HY34" s="283"/>
      <c r="HZ34" s="283"/>
      <c r="IA34" s="283"/>
      <c r="IB34" s="283"/>
      <c r="IC34" s="283"/>
      <c r="ID34" s="283"/>
      <c r="IE34" s="283"/>
      <c r="IF34" s="283"/>
      <c r="IG34" s="283"/>
      <c r="IH34" s="283"/>
      <c r="II34" s="283"/>
      <c r="IJ34" s="283"/>
      <c r="IK34" s="283"/>
      <c r="IL34" s="283"/>
      <c r="IM34" s="283"/>
      <c r="IN34" s="283"/>
      <c r="IO34" s="283"/>
      <c r="IP34" s="283"/>
      <c r="IQ34" s="283"/>
      <c r="IR34" s="283"/>
      <c r="IS34" s="283"/>
      <c r="IT34" s="283"/>
      <c r="IU34" s="283"/>
      <c r="IV34" s="283"/>
      <c r="IW34" s="283"/>
      <c r="IX34" s="283"/>
      <c r="IY34" s="283"/>
      <c r="IZ34" s="283"/>
      <c r="JA34" s="283"/>
      <c r="JB34" s="283"/>
      <c r="JC34" s="283"/>
      <c r="JD34" s="283"/>
      <c r="JE34" s="283"/>
      <c r="JF34" s="283"/>
      <c r="JG34" s="283"/>
      <c r="JH34" s="283"/>
      <c r="JI34" s="283"/>
      <c r="JJ34" s="283"/>
      <c r="JK34" s="283"/>
      <c r="JL34" s="283"/>
      <c r="JM34" s="283"/>
      <c r="JN34" s="283"/>
      <c r="JO34" s="283"/>
      <c r="JP34" s="283"/>
      <c r="JQ34" s="283"/>
      <c r="JR34" s="283"/>
      <c r="JS34" s="283"/>
      <c r="JT34" s="283"/>
      <c r="JU34" s="283"/>
      <c r="JV34" s="283"/>
      <c r="JW34" s="283"/>
      <c r="JX34" s="283"/>
      <c r="JY34" s="283"/>
      <c r="JZ34" s="283"/>
      <c r="KA34" s="283"/>
      <c r="KB34" s="283"/>
      <c r="KC34" s="283"/>
      <c r="KD34" s="283"/>
      <c r="KE34" s="283"/>
      <c r="KF34" s="283"/>
      <c r="KG34" s="283"/>
      <c r="KH34" s="283"/>
      <c r="KI34" s="283"/>
      <c r="KJ34" s="283"/>
      <c r="KK34" s="283"/>
      <c r="KL34" s="283"/>
      <c r="KM34" s="283"/>
      <c r="KN34" s="283"/>
      <c r="KO34" s="283"/>
      <c r="KP34" s="283"/>
      <c r="KQ34" s="283"/>
      <c r="KR34" s="283"/>
      <c r="KS34" s="283"/>
      <c r="KT34" s="283"/>
      <c r="KU34" s="283"/>
      <c r="KV34" s="283"/>
      <c r="KW34" s="283"/>
      <c r="KX34" s="283"/>
      <c r="KY34" s="283"/>
      <c r="KZ34" s="283"/>
      <c r="LA34" s="283"/>
      <c r="LB34" s="283"/>
      <c r="LC34" s="283"/>
      <c r="LD34" s="283"/>
      <c r="LE34" s="283"/>
      <c r="LF34" s="283"/>
      <c r="LG34" s="283"/>
      <c r="LH34" s="283"/>
      <c r="LI34" s="283"/>
      <c r="LJ34" s="283"/>
      <c r="LK34" s="283"/>
      <c r="LL34" s="283"/>
      <c r="LM34" s="283"/>
      <c r="LN34" s="283"/>
      <c r="LO34" s="283"/>
      <c r="LP34" s="283"/>
      <c r="LQ34" s="283"/>
      <c r="LR34" s="283"/>
      <c r="LS34" s="283"/>
      <c r="LT34" s="283"/>
      <c r="LU34" s="283"/>
      <c r="LV34" s="283"/>
      <c r="LW34" s="283"/>
      <c r="LX34" s="283"/>
      <c r="LY34" s="283"/>
      <c r="LZ34" s="283"/>
      <c r="MA34" s="283"/>
      <c r="MB34" s="283"/>
      <c r="MC34" s="283"/>
      <c r="MD34" s="283"/>
      <c r="ME34" s="283"/>
      <c r="MF34" s="283"/>
      <c r="MG34" s="283"/>
      <c r="MH34" s="283"/>
      <c r="MI34" s="283"/>
      <c r="MJ34" s="283"/>
      <c r="MK34" s="283"/>
      <c r="ML34" s="283"/>
      <c r="MM34" s="283"/>
      <c r="MN34" s="283"/>
      <c r="MO34" s="283"/>
      <c r="MP34" s="283"/>
      <c r="MQ34" s="283"/>
      <c r="MR34" s="283"/>
      <c r="MS34" s="283"/>
      <c r="MT34" s="283"/>
      <c r="MU34" s="283"/>
      <c r="MV34" s="283"/>
      <c r="MW34" s="283"/>
      <c r="MX34" s="283"/>
      <c r="MY34" s="283"/>
      <c r="MZ34" s="283"/>
      <c r="NA34" s="283"/>
      <c r="NB34" s="283"/>
      <c r="NC34" s="283"/>
      <c r="ND34" s="283"/>
      <c r="NE34" s="283"/>
      <c r="NF34" s="283"/>
      <c r="NG34" s="283"/>
      <c r="NH34" s="283"/>
      <c r="NI34" s="283"/>
      <c r="NJ34" s="283"/>
      <c r="NK34" s="283"/>
      <c r="NL34" s="283"/>
      <c r="NM34" s="283"/>
      <c r="NN34" s="283"/>
      <c r="NO34" s="283"/>
      <c r="NP34" s="283"/>
      <c r="NQ34" s="283"/>
      <c r="NR34" s="283"/>
      <c r="NS34" s="283"/>
      <c r="NT34" s="283"/>
      <c r="NU34" s="283"/>
      <c r="NV34" s="283"/>
      <c r="NW34" s="283"/>
      <c r="NX34" s="283"/>
      <c r="NY34" s="283"/>
      <c r="NZ34" s="283"/>
      <c r="OA34" s="283"/>
      <c r="OB34" s="283"/>
      <c r="OC34" s="283"/>
      <c r="OD34" s="283"/>
      <c r="OE34" s="283"/>
      <c r="OF34" s="283"/>
      <c r="OG34" s="283"/>
      <c r="OH34" s="283"/>
      <c r="OI34" s="283"/>
      <c r="OJ34" s="283"/>
      <c r="OK34" s="283"/>
      <c r="OL34" s="283"/>
      <c r="OM34" s="283"/>
      <c r="ON34" s="283"/>
      <c r="OO34" s="283"/>
      <c r="OP34" s="283"/>
      <c r="OQ34" s="283"/>
      <c r="OR34" s="283"/>
      <c r="OS34" s="283"/>
      <c r="OT34" s="283"/>
      <c r="OU34" s="283"/>
      <c r="OV34" s="283"/>
      <c r="OW34" s="283"/>
      <c r="OX34" s="283"/>
      <c r="OY34" s="283"/>
      <c r="OZ34" s="283"/>
      <c r="PA34" s="283"/>
      <c r="PB34" s="283"/>
      <c r="PC34" s="283"/>
      <c r="PD34" s="283"/>
      <c r="PE34" s="283"/>
      <c r="PF34" s="283"/>
      <c r="PG34" s="283"/>
      <c r="PH34" s="283"/>
      <c r="PI34" s="283"/>
      <c r="PJ34" s="283"/>
      <c r="PK34" s="283"/>
      <c r="PL34" s="283"/>
      <c r="PM34" s="283"/>
      <c r="PN34" s="283"/>
      <c r="PO34" s="283"/>
      <c r="PP34" s="283"/>
      <c r="PQ34" s="283"/>
      <c r="PR34" s="283"/>
      <c r="PS34" s="283"/>
      <c r="PT34" s="283"/>
      <c r="PU34" s="283"/>
      <c r="PV34" s="283"/>
      <c r="PW34" s="283"/>
      <c r="PX34" s="283"/>
      <c r="PY34" s="283"/>
      <c r="PZ34" s="283"/>
      <c r="QA34" s="283"/>
      <c r="QB34" s="283"/>
      <c r="QC34" s="283"/>
      <c r="QD34" s="283"/>
      <c r="QE34" s="283"/>
      <c r="QF34" s="283"/>
      <c r="QG34" s="283"/>
      <c r="QH34" s="283"/>
      <c r="QI34" s="283"/>
      <c r="QJ34" s="283"/>
      <c r="QK34" s="283"/>
      <c r="QL34" s="283"/>
      <c r="QM34" s="283"/>
      <c r="QN34" s="283"/>
      <c r="QO34" s="283"/>
      <c r="QP34" s="283"/>
      <c r="QQ34" s="283"/>
      <c r="QR34" s="283"/>
      <c r="QS34" s="283"/>
      <c r="QT34" s="283"/>
      <c r="QU34" s="283"/>
      <c r="QV34" s="283"/>
      <c r="QW34" s="283"/>
      <c r="QX34" s="283"/>
      <c r="QY34" s="283"/>
      <c r="QZ34" s="283"/>
      <c r="RA34" s="283"/>
      <c r="RB34" s="283"/>
      <c r="RC34" s="283"/>
      <c r="RD34" s="283"/>
      <c r="RE34" s="283"/>
      <c r="RF34" s="283"/>
      <c r="RG34" s="283"/>
      <c r="RH34" s="283"/>
      <c r="RI34" s="283"/>
      <c r="RJ34" s="283"/>
      <c r="RK34" s="283"/>
      <c r="RL34" s="283"/>
      <c r="RM34" s="283"/>
      <c r="RN34" s="283"/>
      <c r="RO34" s="283"/>
      <c r="RP34" s="283"/>
      <c r="RQ34" s="283"/>
      <c r="RR34" s="283"/>
      <c r="RS34" s="283"/>
      <c r="RT34" s="283"/>
      <c r="RU34" s="283"/>
      <c r="RV34" s="283"/>
      <c r="RW34" s="283"/>
      <c r="RX34" s="283"/>
      <c r="RY34" s="283"/>
      <c r="RZ34" s="283"/>
      <c r="SA34" s="283"/>
      <c r="SB34" s="283"/>
      <c r="SC34" s="283"/>
      <c r="SD34" s="283"/>
      <c r="SE34" s="283"/>
      <c r="SF34" s="283"/>
      <c r="SG34" s="283"/>
      <c r="SH34" s="283"/>
      <c r="SI34" s="283"/>
      <c r="SJ34" s="283"/>
      <c r="SK34" s="283"/>
      <c r="SL34" s="283"/>
      <c r="SM34" s="283"/>
      <c r="SN34" s="283"/>
      <c r="SO34" s="283"/>
      <c r="SP34" s="283"/>
      <c r="SQ34" s="283"/>
      <c r="SR34" s="283"/>
      <c r="SS34" s="283"/>
      <c r="ST34" s="283"/>
      <c r="SU34" s="283"/>
      <c r="SV34" s="283"/>
      <c r="SW34" s="283"/>
      <c r="SX34" s="283"/>
      <c r="SY34" s="283"/>
      <c r="SZ34" s="283"/>
      <c r="TA34" s="283"/>
      <c r="TB34" s="283"/>
      <c r="TC34" s="283"/>
      <c r="TD34" s="283"/>
      <c r="TE34" s="283"/>
      <c r="TF34" s="283"/>
      <c r="TG34" s="283"/>
      <c r="TH34" s="283"/>
      <c r="TI34" s="283"/>
      <c r="TJ34" s="283"/>
      <c r="TK34" s="283"/>
      <c r="TL34" s="283"/>
      <c r="TM34" s="283"/>
      <c r="TN34" s="283"/>
      <c r="TO34" s="283"/>
      <c r="TP34" s="283"/>
      <c r="TQ34" s="283"/>
      <c r="TR34" s="283"/>
      <c r="TS34" s="283"/>
      <c r="TT34" s="283"/>
      <c r="TU34" s="283"/>
      <c r="TV34" s="283"/>
      <c r="TW34" s="283"/>
      <c r="TX34" s="283"/>
      <c r="TY34" s="283"/>
      <c r="TZ34" s="283"/>
      <c r="UA34" s="283"/>
      <c r="UB34" s="283"/>
      <c r="UC34" s="283"/>
      <c r="UD34" s="283"/>
      <c r="UE34" s="283"/>
      <c r="UF34" s="283"/>
      <c r="UG34" s="283"/>
      <c r="UH34" s="283"/>
      <c r="UI34" s="283"/>
      <c r="UJ34" s="283"/>
      <c r="UK34" s="283"/>
      <c r="UL34" s="283"/>
      <c r="UM34" s="283"/>
      <c r="UN34" s="283"/>
      <c r="UO34" s="283"/>
      <c r="UP34" s="283"/>
      <c r="UQ34" s="283"/>
      <c r="UR34" s="283"/>
      <c r="US34" s="283"/>
      <c r="UT34" s="283"/>
      <c r="UU34" s="283"/>
      <c r="UV34" s="283"/>
      <c r="UW34" s="283"/>
      <c r="UX34" s="283"/>
      <c r="UY34" s="283"/>
      <c r="UZ34" s="283"/>
      <c r="VA34" s="283"/>
      <c r="VB34" s="283"/>
      <c r="VC34" s="283"/>
      <c r="VD34" s="283"/>
      <c r="VE34" s="283"/>
      <c r="VF34" s="283"/>
      <c r="VG34" s="283"/>
      <c r="VH34" s="283"/>
      <c r="VI34" s="283"/>
      <c r="VJ34" s="283"/>
      <c r="VK34" s="283"/>
      <c r="VL34" s="283"/>
      <c r="VM34" s="283"/>
      <c r="VN34" s="283"/>
      <c r="VO34" s="283"/>
      <c r="VP34" s="283"/>
      <c r="VQ34" s="283"/>
      <c r="VR34" s="283"/>
      <c r="VS34" s="283"/>
      <c r="VT34" s="283"/>
      <c r="VU34" s="283"/>
      <c r="VV34" s="283"/>
      <c r="VW34" s="283"/>
      <c r="VX34" s="283"/>
      <c r="VY34" s="283"/>
      <c r="VZ34" s="283"/>
      <c r="WA34" s="283"/>
      <c r="WB34" s="283"/>
      <c r="WC34" s="283"/>
      <c r="WD34" s="283"/>
      <c r="WE34" s="283"/>
      <c r="WF34" s="283"/>
      <c r="WG34" s="283"/>
      <c r="WH34" s="283"/>
      <c r="WI34" s="283"/>
      <c r="WJ34" s="283"/>
      <c r="WK34" s="283"/>
      <c r="WL34" s="283"/>
      <c r="WM34" s="283"/>
      <c r="WN34" s="283"/>
      <c r="WO34" s="283"/>
      <c r="WP34" s="283"/>
      <c r="WQ34" s="283"/>
      <c r="WR34" s="283"/>
      <c r="WS34" s="283"/>
      <c r="WT34" s="283"/>
      <c r="WU34" s="283"/>
      <c r="WV34" s="283"/>
      <c r="WW34" s="283"/>
      <c r="WX34" s="283"/>
      <c r="WY34" s="283"/>
      <c r="WZ34" s="283"/>
      <c r="XA34" s="283"/>
      <c r="XB34" s="283"/>
      <c r="XC34" s="283"/>
      <c r="XD34" s="283"/>
      <c r="XE34" s="283"/>
      <c r="XF34" s="283"/>
      <c r="XG34" s="283"/>
      <c r="XH34" s="283"/>
      <c r="XI34" s="283"/>
      <c r="XJ34" s="283"/>
      <c r="XK34" s="283"/>
      <c r="XL34" s="283"/>
      <c r="XM34" s="283"/>
      <c r="XN34" s="283"/>
      <c r="XO34" s="283"/>
      <c r="XP34" s="283"/>
      <c r="XQ34" s="283"/>
      <c r="XR34" s="283"/>
      <c r="XS34" s="283"/>
      <c r="XT34" s="283"/>
      <c r="XU34" s="283"/>
      <c r="XV34" s="283"/>
      <c r="XW34" s="283"/>
      <c r="XX34" s="283"/>
      <c r="XY34" s="283"/>
      <c r="XZ34" s="283"/>
      <c r="YA34" s="283"/>
      <c r="YB34" s="283"/>
      <c r="YC34" s="283"/>
      <c r="YD34" s="283"/>
      <c r="YE34" s="283"/>
      <c r="YF34" s="283"/>
      <c r="YG34" s="283"/>
      <c r="YH34" s="283"/>
      <c r="YI34" s="283"/>
      <c r="YJ34" s="283"/>
      <c r="YK34" s="283"/>
      <c r="YL34" s="283"/>
      <c r="YM34" s="283"/>
      <c r="YN34" s="283"/>
      <c r="YO34" s="283"/>
      <c r="YP34" s="283"/>
      <c r="YQ34" s="283"/>
      <c r="YR34" s="283"/>
      <c r="YS34" s="283"/>
      <c r="YT34" s="283"/>
      <c r="YU34" s="283"/>
      <c r="YV34" s="283"/>
      <c r="YW34" s="283"/>
      <c r="YX34" s="283"/>
      <c r="YY34" s="283"/>
      <c r="YZ34" s="283"/>
      <c r="ZA34" s="283"/>
      <c r="ZB34" s="283"/>
      <c r="ZC34" s="283"/>
      <c r="ZD34" s="283"/>
      <c r="ZE34" s="283"/>
      <c r="ZF34" s="283"/>
      <c r="ZG34" s="283"/>
      <c r="ZH34" s="283"/>
      <c r="ZI34" s="283"/>
      <c r="ZJ34" s="283"/>
      <c r="ZK34" s="283"/>
      <c r="ZL34" s="283"/>
      <c r="ZM34" s="283"/>
      <c r="ZN34" s="283"/>
      <c r="ZO34" s="283"/>
      <c r="ZP34" s="283"/>
      <c r="ZQ34" s="283"/>
      <c r="ZR34" s="283"/>
      <c r="ZS34" s="283"/>
      <c r="ZT34" s="283"/>
      <c r="ZU34" s="283"/>
      <c r="ZV34" s="283"/>
      <c r="ZW34" s="283"/>
      <c r="ZX34" s="283"/>
      <c r="ZY34" s="283"/>
      <c r="ZZ34" s="283"/>
      <c r="AAA34" s="283"/>
      <c r="AAB34" s="283"/>
      <c r="AAC34" s="283"/>
      <c r="AAD34" s="283"/>
      <c r="AAE34" s="283"/>
      <c r="AAF34" s="283"/>
      <c r="AAG34" s="283"/>
      <c r="AAH34" s="283"/>
      <c r="AAI34" s="283"/>
      <c r="AAJ34" s="283"/>
      <c r="AAK34" s="283"/>
      <c r="AAL34" s="283"/>
      <c r="AAM34" s="283"/>
      <c r="AAN34" s="283"/>
      <c r="AAO34" s="283"/>
      <c r="AAP34" s="283"/>
      <c r="AAQ34" s="283"/>
      <c r="AAR34" s="283"/>
      <c r="AAS34" s="283"/>
      <c r="AAT34" s="283"/>
      <c r="AAU34" s="283"/>
      <c r="AAV34" s="283"/>
      <c r="AAW34" s="283"/>
      <c r="AAX34" s="283"/>
      <c r="AAY34" s="283"/>
      <c r="AAZ34" s="283"/>
      <c r="ABA34" s="283"/>
      <c r="ABB34" s="283"/>
      <c r="ABC34" s="283"/>
      <c r="ABD34" s="283"/>
      <c r="ABE34" s="283"/>
      <c r="ABF34" s="283"/>
      <c r="ABG34" s="283"/>
      <c r="ABH34" s="283"/>
      <c r="ABI34" s="283"/>
      <c r="ABJ34" s="283"/>
      <c r="ABK34" s="283"/>
      <c r="ABL34" s="283"/>
      <c r="ABM34" s="283"/>
      <c r="ABN34" s="283"/>
      <c r="ABO34" s="283"/>
      <c r="ABP34" s="283"/>
      <c r="ABQ34" s="283"/>
      <c r="ABR34" s="283"/>
      <c r="ABS34" s="283"/>
      <c r="ABT34" s="283"/>
      <c r="ABU34" s="283"/>
      <c r="ABV34" s="283"/>
      <c r="ABW34" s="283"/>
      <c r="ABX34" s="283"/>
      <c r="ABY34" s="283"/>
      <c r="ABZ34" s="283"/>
      <c r="ACA34" s="283"/>
      <c r="ACB34" s="283"/>
      <c r="ACC34" s="283"/>
      <c r="ACD34" s="283"/>
      <c r="ACE34" s="283"/>
      <c r="ACF34" s="283"/>
      <c r="ACG34" s="283"/>
      <c r="ACH34" s="283"/>
      <c r="ACI34" s="283"/>
      <c r="ACJ34" s="283"/>
      <c r="ACK34" s="283"/>
      <c r="ACL34" s="283"/>
      <c r="ACM34" s="283"/>
      <c r="ACN34" s="283"/>
      <c r="ACO34" s="283"/>
      <c r="ACP34" s="283"/>
      <c r="ACQ34" s="283"/>
      <c r="ACR34" s="283"/>
      <c r="ACS34" s="283"/>
      <c r="ACT34" s="283"/>
      <c r="ACU34" s="283"/>
      <c r="ACV34" s="283"/>
      <c r="ACW34" s="283"/>
      <c r="ACX34" s="283"/>
      <c r="ACY34" s="283"/>
      <c r="ACZ34" s="283"/>
      <c r="ADA34" s="283"/>
      <c r="ADB34" s="283"/>
      <c r="ADC34" s="283"/>
      <c r="ADD34" s="283"/>
      <c r="ADE34" s="283"/>
      <c r="ADF34" s="283"/>
      <c r="ADG34" s="283"/>
      <c r="ADH34" s="283"/>
      <c r="ADI34" s="283"/>
      <c r="ADJ34" s="283"/>
      <c r="ADK34" s="283"/>
      <c r="ADL34" s="283"/>
      <c r="ADM34" s="283"/>
      <c r="ADN34" s="283"/>
      <c r="ADO34" s="283"/>
      <c r="ADP34" s="283"/>
      <c r="ADQ34" s="283"/>
      <c r="ADR34" s="283"/>
      <c r="ADS34" s="283"/>
      <c r="ADT34" s="283"/>
      <c r="ADU34" s="283"/>
      <c r="ADV34" s="283"/>
      <c r="ADW34" s="283"/>
      <c r="ADX34" s="283"/>
      <c r="ADY34" s="283"/>
      <c r="ADZ34" s="283"/>
      <c r="AEA34" s="283"/>
      <c r="AEB34" s="283"/>
      <c r="AEC34" s="283"/>
      <c r="AED34" s="283"/>
      <c r="AEE34" s="283"/>
      <c r="AEF34" s="283"/>
      <c r="AEG34" s="283"/>
      <c r="AEH34" s="283"/>
      <c r="AEI34" s="283"/>
      <c r="AEJ34" s="283"/>
      <c r="AEK34" s="283"/>
      <c r="AEL34" s="283"/>
      <c r="AEM34" s="283"/>
      <c r="AEN34" s="283"/>
      <c r="AEO34" s="283"/>
      <c r="AEP34" s="283"/>
      <c r="AEQ34" s="283"/>
      <c r="AER34" s="283"/>
      <c r="AES34" s="283"/>
      <c r="AET34" s="283"/>
      <c r="AEU34" s="283"/>
      <c r="AEV34" s="283"/>
      <c r="AEW34" s="283"/>
      <c r="AEX34" s="283"/>
      <c r="AEY34" s="283"/>
      <c r="AEZ34" s="283"/>
      <c r="AFA34" s="283"/>
      <c r="AFB34" s="283"/>
      <c r="AFC34" s="283"/>
      <c r="AFD34" s="283"/>
      <c r="AFE34" s="283"/>
      <c r="AFF34" s="283"/>
      <c r="AFG34" s="283"/>
      <c r="AFH34" s="283"/>
      <c r="AFI34" s="283"/>
      <c r="AFJ34" s="283"/>
      <c r="AFK34" s="283"/>
      <c r="AFL34" s="283"/>
      <c r="AFM34" s="283"/>
      <c r="AFN34" s="283"/>
      <c r="AFO34" s="283"/>
      <c r="AFP34" s="283"/>
      <c r="AFQ34" s="283"/>
      <c r="AFR34" s="283"/>
      <c r="AFS34" s="283"/>
      <c r="AFT34" s="283"/>
      <c r="AFU34" s="283"/>
      <c r="AFV34" s="283"/>
      <c r="AFW34" s="283"/>
      <c r="AFX34" s="283"/>
      <c r="AFY34" s="283"/>
      <c r="AFZ34" s="283"/>
      <c r="AGA34" s="283"/>
      <c r="AGB34" s="283"/>
      <c r="AGC34" s="283"/>
      <c r="AGD34" s="283"/>
      <c r="AGE34" s="283"/>
      <c r="AGF34" s="283"/>
      <c r="AGG34" s="283"/>
      <c r="AGH34" s="283"/>
      <c r="AGI34" s="283"/>
      <c r="AGJ34" s="283"/>
      <c r="AGK34" s="283"/>
      <c r="AGL34" s="283"/>
      <c r="AGM34" s="283"/>
      <c r="AGN34" s="283"/>
      <c r="AGO34" s="283"/>
      <c r="AGP34" s="283"/>
      <c r="AGQ34" s="283"/>
      <c r="AGR34" s="283"/>
      <c r="AGS34" s="283"/>
      <c r="AGT34" s="283"/>
      <c r="AGU34" s="283"/>
      <c r="AGV34" s="283"/>
      <c r="AGW34" s="283"/>
      <c r="AGX34" s="283"/>
      <c r="AGY34" s="283"/>
      <c r="AGZ34" s="283"/>
      <c r="AHA34" s="283"/>
      <c r="AHB34" s="283"/>
      <c r="AHC34" s="283"/>
      <c r="AHD34" s="283"/>
      <c r="AHE34" s="283"/>
      <c r="AHF34" s="283"/>
      <c r="AHG34" s="283"/>
      <c r="AHH34" s="283"/>
      <c r="AHI34" s="283"/>
      <c r="AHJ34" s="283"/>
      <c r="AHK34" s="283"/>
      <c r="AHL34" s="283"/>
      <c r="AHM34" s="283"/>
      <c r="AHN34" s="283"/>
      <c r="AHO34" s="283"/>
      <c r="AHP34" s="283"/>
      <c r="AHQ34" s="283"/>
      <c r="AHR34" s="283"/>
      <c r="AHS34" s="283"/>
      <c r="AHT34" s="283"/>
      <c r="AHU34" s="283"/>
      <c r="AHV34" s="283"/>
      <c r="AHW34" s="283"/>
      <c r="AHX34" s="283"/>
      <c r="AHY34" s="283"/>
      <c r="AHZ34" s="283"/>
      <c r="AIA34" s="283"/>
      <c r="AIB34" s="283"/>
      <c r="AIC34" s="283"/>
      <c r="AID34" s="283"/>
      <c r="AIE34" s="283"/>
      <c r="AIF34" s="283"/>
      <c r="AIG34" s="283"/>
      <c r="AIH34" s="283"/>
      <c r="AII34" s="283"/>
      <c r="AIJ34" s="283"/>
      <c r="AIK34" s="283"/>
      <c r="AIL34" s="283"/>
      <c r="AIM34" s="283"/>
      <c r="AIN34" s="283"/>
      <c r="AIO34" s="283"/>
      <c r="AIP34" s="283"/>
      <c r="AIQ34" s="283"/>
      <c r="AIR34" s="283"/>
      <c r="AIS34" s="283"/>
      <c r="AIT34" s="283"/>
      <c r="AIU34" s="283"/>
      <c r="AIV34" s="283"/>
      <c r="AIW34" s="283"/>
      <c r="AIX34" s="283"/>
      <c r="AIY34" s="283"/>
      <c r="AIZ34" s="283"/>
      <c r="AJA34" s="283"/>
      <c r="AJB34" s="283"/>
      <c r="AJC34" s="283"/>
      <c r="AJD34" s="283"/>
      <c r="AJE34" s="283"/>
      <c r="AJF34" s="283"/>
      <c r="AJG34" s="283"/>
      <c r="AJH34" s="283"/>
      <c r="AJI34" s="283"/>
      <c r="AJJ34" s="283"/>
      <c r="AJK34" s="283"/>
      <c r="AJL34" s="283"/>
      <c r="AJM34" s="283"/>
      <c r="AJN34" s="283"/>
      <c r="AJO34" s="283"/>
      <c r="AJP34" s="283"/>
      <c r="AJQ34" s="283"/>
      <c r="AJR34" s="283"/>
      <c r="AJS34" s="283"/>
      <c r="AJT34" s="283"/>
      <c r="AJU34" s="283"/>
      <c r="AJV34" s="283"/>
      <c r="AJW34" s="283"/>
      <c r="AJX34" s="283"/>
      <c r="AJY34" s="283"/>
      <c r="AJZ34" s="283"/>
      <c r="AKA34" s="283"/>
      <c r="AKB34" s="283"/>
      <c r="AKC34" s="283"/>
      <c r="AKD34" s="283"/>
      <c r="AKE34" s="283"/>
      <c r="AKF34" s="283"/>
      <c r="AKG34" s="283"/>
      <c r="AKH34" s="283"/>
      <c r="AKI34" s="283"/>
      <c r="AKJ34" s="283"/>
      <c r="AKK34" s="283"/>
      <c r="AKL34" s="283"/>
      <c r="AKM34" s="283"/>
      <c r="AKN34" s="283"/>
      <c r="AKO34" s="283"/>
      <c r="AKP34" s="283"/>
      <c r="AKQ34" s="283"/>
      <c r="AKR34" s="283"/>
      <c r="AKS34" s="283"/>
      <c r="AKT34" s="283"/>
      <c r="AKU34" s="283"/>
      <c r="AKV34" s="283"/>
      <c r="AKW34" s="283"/>
      <c r="AKX34" s="283"/>
      <c r="AKY34" s="283"/>
      <c r="AKZ34" s="283"/>
      <c r="ALA34" s="283"/>
      <c r="ALB34" s="283"/>
      <c r="ALC34" s="283"/>
      <c r="ALD34" s="283"/>
      <c r="ALE34" s="283"/>
      <c r="ALF34" s="283"/>
      <c r="ALG34" s="283"/>
      <c r="ALH34" s="283"/>
      <c r="ALI34" s="283"/>
      <c r="ALJ34" s="283"/>
      <c r="ALK34" s="283"/>
      <c r="ALL34" s="283"/>
      <c r="ALM34" s="283"/>
      <c r="ALN34" s="283"/>
      <c r="ALO34" s="283"/>
      <c r="ALP34" s="283"/>
      <c r="ALQ34" s="283"/>
      <c r="ALR34" s="283"/>
      <c r="ALS34" s="283"/>
      <c r="ALT34" s="283"/>
      <c r="ALU34" s="283"/>
      <c r="ALV34" s="283"/>
      <c r="ALW34" s="283"/>
      <c r="ALX34" s="283"/>
      <c r="ALY34" s="283"/>
      <c r="ALZ34" s="283"/>
      <c r="AMA34" s="283"/>
      <c r="AMB34" s="283"/>
      <c r="AMC34" s="283"/>
      <c r="AMD34" s="283"/>
      <c r="AME34" s="283"/>
      <c r="AMF34" s="283"/>
      <c r="AMG34" s="283"/>
      <c r="AMH34" s="283"/>
      <c r="AMI34" s="283"/>
      <c r="AMJ34" s="283"/>
      <c r="AMK34" s="283"/>
      <c r="AML34" s="283"/>
      <c r="AMM34" s="283"/>
      <c r="AMN34" s="283"/>
      <c r="AMO34" s="283"/>
      <c r="AMP34" s="283"/>
      <c r="AMQ34" s="283"/>
      <c r="AMR34" s="283"/>
      <c r="AMS34" s="283"/>
      <c r="AMT34" s="283"/>
      <c r="AMU34" s="283"/>
      <c r="AMV34" s="283"/>
      <c r="AMW34" s="283"/>
      <c r="AMX34" s="283"/>
      <c r="AMY34" s="283"/>
      <c r="AMZ34" s="283"/>
      <c r="ANA34" s="283"/>
      <c r="ANB34" s="283"/>
      <c r="ANC34" s="283"/>
      <c r="AND34" s="283"/>
      <c r="ANE34" s="283"/>
      <c r="ANF34" s="283"/>
      <c r="ANG34" s="283"/>
      <c r="ANH34" s="283"/>
      <c r="ANI34" s="283"/>
      <c r="ANJ34" s="283"/>
      <c r="ANK34" s="283"/>
      <c r="ANL34" s="283"/>
      <c r="ANM34" s="283"/>
      <c r="ANN34" s="283"/>
      <c r="ANO34" s="283"/>
      <c r="ANP34" s="283"/>
      <c r="ANQ34" s="283"/>
      <c r="ANR34" s="283"/>
      <c r="ANS34" s="283"/>
      <c r="ANT34" s="283"/>
      <c r="ANU34" s="283"/>
      <c r="ANV34" s="283"/>
      <c r="ANW34" s="283"/>
      <c r="ANX34" s="283"/>
      <c r="ANY34" s="283"/>
      <c r="ANZ34" s="283"/>
      <c r="AOA34" s="283"/>
      <c r="AOB34" s="283"/>
      <c r="AOC34" s="283"/>
      <c r="AOD34" s="283"/>
      <c r="AOE34" s="283"/>
      <c r="AOF34" s="283"/>
      <c r="AOG34" s="283"/>
      <c r="AOH34" s="283"/>
      <c r="AOI34" s="283"/>
      <c r="AOJ34" s="283"/>
      <c r="AOK34" s="283"/>
      <c r="AOL34" s="283"/>
      <c r="AOM34" s="283"/>
      <c r="AON34" s="283"/>
      <c r="AOO34" s="283"/>
      <c r="AOP34" s="283"/>
      <c r="AOQ34" s="283"/>
      <c r="AOR34" s="283"/>
      <c r="AOS34" s="283"/>
      <c r="AOT34" s="283"/>
      <c r="AOU34" s="283"/>
      <c r="AOV34" s="283"/>
      <c r="AOW34" s="283"/>
      <c r="AOX34" s="283"/>
      <c r="AOY34" s="283"/>
      <c r="AOZ34" s="283"/>
      <c r="APA34" s="283"/>
      <c r="APB34" s="283"/>
      <c r="APC34" s="283"/>
      <c r="APD34" s="283"/>
      <c r="APE34" s="283"/>
      <c r="APF34" s="283"/>
      <c r="APG34" s="283"/>
      <c r="APH34" s="283"/>
      <c r="API34" s="283"/>
      <c r="APJ34" s="283"/>
      <c r="APK34" s="283"/>
      <c r="APL34" s="283"/>
      <c r="APM34" s="283"/>
      <c r="APN34" s="283"/>
      <c r="APO34" s="283"/>
      <c r="APP34" s="283"/>
      <c r="APQ34" s="283"/>
      <c r="APR34" s="283"/>
      <c r="APS34" s="283"/>
      <c r="APT34" s="283"/>
      <c r="APU34" s="283"/>
      <c r="APV34" s="283"/>
      <c r="APW34" s="283"/>
      <c r="APX34" s="283"/>
      <c r="APY34" s="283"/>
      <c r="APZ34" s="283"/>
      <c r="AQA34" s="283"/>
      <c r="AQB34" s="283"/>
      <c r="AQC34" s="283"/>
      <c r="AQD34" s="283"/>
      <c r="AQE34" s="283"/>
      <c r="AQF34" s="283"/>
      <c r="AQG34" s="283"/>
      <c r="AQH34" s="283"/>
      <c r="AQI34" s="283"/>
      <c r="AQJ34" s="283"/>
      <c r="AQK34" s="283"/>
      <c r="AQL34" s="283"/>
      <c r="AQM34" s="283"/>
      <c r="AQN34" s="283"/>
      <c r="AQO34" s="283"/>
      <c r="AQP34" s="283"/>
      <c r="AQQ34" s="283"/>
      <c r="AQR34" s="283"/>
      <c r="AQS34" s="283"/>
      <c r="AQT34" s="283"/>
      <c r="AQU34" s="283"/>
      <c r="AQV34" s="283"/>
      <c r="AQW34" s="283"/>
      <c r="AQX34" s="283"/>
      <c r="AQY34" s="283"/>
      <c r="AQZ34" s="283"/>
      <c r="ARA34" s="283"/>
      <c r="ARB34" s="283"/>
      <c r="ARC34" s="283"/>
      <c r="ARD34" s="283"/>
      <c r="ARE34" s="283"/>
      <c r="ARF34" s="283"/>
      <c r="ARG34" s="283"/>
      <c r="ARH34" s="283"/>
      <c r="ARI34" s="283"/>
      <c r="ARJ34" s="283"/>
      <c r="ARK34" s="283"/>
      <c r="ARL34" s="283"/>
      <c r="ARM34" s="283"/>
      <c r="ARN34" s="283"/>
      <c r="ARO34" s="283"/>
      <c r="ARP34" s="283"/>
      <c r="ARQ34" s="283"/>
      <c r="ARR34" s="283"/>
      <c r="ARS34" s="283"/>
      <c r="ART34" s="283"/>
      <c r="ARU34" s="283"/>
      <c r="ARV34" s="283"/>
      <c r="ARW34" s="283"/>
      <c r="ARX34" s="283"/>
      <c r="ARY34" s="283"/>
      <c r="ARZ34" s="283"/>
      <c r="ASA34" s="283"/>
      <c r="ASB34" s="283"/>
      <c r="ASC34" s="283"/>
      <c r="ASD34" s="283"/>
      <c r="ASE34" s="283"/>
      <c r="ASF34" s="283"/>
      <c r="ASG34" s="283"/>
      <c r="ASH34" s="283"/>
      <c r="ASI34" s="283"/>
      <c r="ASJ34" s="283"/>
      <c r="ASK34" s="283"/>
      <c r="ASL34" s="283"/>
      <c r="ASM34" s="283"/>
      <c r="ASN34" s="283"/>
      <c r="ASO34" s="283"/>
      <c r="ASP34" s="283"/>
      <c r="ASQ34" s="283"/>
      <c r="ASR34" s="283"/>
      <c r="ASS34" s="283"/>
      <c r="AST34" s="283"/>
      <c r="ASU34" s="283"/>
      <c r="ASV34" s="283"/>
      <c r="ASW34" s="283"/>
      <c r="ASX34" s="283"/>
      <c r="ASY34" s="283"/>
      <c r="ASZ34" s="283"/>
      <c r="ATA34" s="283"/>
      <c r="ATB34" s="283"/>
      <c r="ATC34" s="283"/>
      <c r="ATD34" s="283"/>
      <c r="ATE34" s="283"/>
      <c r="ATF34" s="283"/>
      <c r="ATG34" s="283"/>
      <c r="ATH34" s="283"/>
      <c r="ATI34" s="283"/>
      <c r="ATJ34" s="283"/>
      <c r="ATK34" s="283"/>
      <c r="ATL34" s="283"/>
      <c r="ATM34" s="283"/>
      <c r="ATN34" s="283"/>
      <c r="ATO34" s="283"/>
      <c r="ATP34" s="283"/>
      <c r="ATQ34" s="283"/>
      <c r="ATR34" s="283"/>
      <c r="ATS34" s="283"/>
      <c r="ATT34" s="283"/>
      <c r="ATU34" s="283"/>
      <c r="ATV34" s="283"/>
      <c r="ATW34" s="283"/>
      <c r="ATX34" s="283"/>
      <c r="ATY34" s="283"/>
      <c r="ATZ34" s="283"/>
      <c r="AUA34" s="283"/>
      <c r="AUB34" s="283"/>
      <c r="AUC34" s="283"/>
      <c r="AUD34" s="283"/>
      <c r="AUE34" s="283"/>
      <c r="AUF34" s="283"/>
      <c r="AUG34" s="283"/>
      <c r="AUH34" s="283"/>
      <c r="AUI34" s="283"/>
      <c r="AUJ34" s="283"/>
      <c r="AUK34" s="283"/>
      <c r="AUL34" s="283"/>
      <c r="AUM34" s="283"/>
      <c r="AUN34" s="283"/>
      <c r="AUO34" s="283"/>
      <c r="AUP34" s="283"/>
      <c r="AUQ34" s="283"/>
      <c r="AUR34" s="283"/>
      <c r="AUS34" s="283"/>
      <c r="AUT34" s="283"/>
      <c r="AUU34" s="283"/>
      <c r="AUV34" s="283"/>
      <c r="AUW34" s="283"/>
      <c r="AUX34" s="283"/>
      <c r="AUY34" s="283"/>
      <c r="AUZ34" s="283"/>
      <c r="AVA34" s="283"/>
      <c r="AVB34" s="283"/>
      <c r="AVC34" s="283"/>
      <c r="AVD34" s="283"/>
      <c r="AVE34" s="283"/>
      <c r="AVF34" s="283"/>
      <c r="AVG34" s="283"/>
      <c r="AVH34" s="283"/>
      <c r="AVI34" s="283"/>
      <c r="AVJ34" s="283"/>
      <c r="AVK34" s="283"/>
      <c r="AVL34" s="283"/>
      <c r="AVM34" s="283"/>
      <c r="AVN34" s="283"/>
      <c r="AVO34" s="283"/>
      <c r="AVP34" s="283"/>
      <c r="AVQ34" s="283"/>
      <c r="AVR34" s="283"/>
      <c r="AVS34" s="283"/>
      <c r="AVT34" s="283"/>
      <c r="AVU34" s="283"/>
      <c r="AVV34" s="283"/>
      <c r="AVW34" s="283"/>
      <c r="AVX34" s="283"/>
      <c r="AVY34" s="283"/>
      <c r="AVZ34" s="283"/>
      <c r="AWA34" s="283"/>
      <c r="AWB34" s="283"/>
      <c r="AWC34" s="283"/>
      <c r="AWD34" s="283"/>
      <c r="AWE34" s="283"/>
      <c r="AWF34" s="283"/>
      <c r="AWG34" s="283"/>
      <c r="AWH34" s="283"/>
      <c r="AWI34" s="283"/>
      <c r="AWJ34" s="283"/>
      <c r="AWK34" s="283"/>
      <c r="AWL34" s="283"/>
      <c r="AWM34" s="283"/>
      <c r="AWN34" s="283"/>
      <c r="AWO34" s="283"/>
      <c r="AWP34" s="283"/>
      <c r="AWQ34" s="283"/>
      <c r="AWR34" s="283"/>
      <c r="AWS34" s="283"/>
      <c r="AWT34" s="283"/>
      <c r="AWU34" s="283"/>
      <c r="AWV34" s="283"/>
      <c r="AWW34" s="283"/>
      <c r="AWX34" s="283"/>
      <c r="AWY34" s="283"/>
      <c r="AWZ34" s="283"/>
      <c r="AXA34" s="283"/>
      <c r="AXB34" s="283"/>
      <c r="AXC34" s="283"/>
      <c r="AXD34" s="283"/>
      <c r="AXE34" s="283"/>
      <c r="AXF34" s="283"/>
      <c r="AXG34" s="283"/>
      <c r="AXH34" s="283"/>
      <c r="AXI34" s="283"/>
      <c r="AXJ34" s="283"/>
      <c r="AXK34" s="283"/>
      <c r="AXL34" s="283"/>
      <c r="AXM34" s="283"/>
      <c r="AXN34" s="283"/>
      <c r="AXO34" s="283"/>
      <c r="AXP34" s="283"/>
      <c r="AXQ34" s="283"/>
      <c r="AXR34" s="283"/>
      <c r="AXS34" s="283"/>
      <c r="AXT34" s="283"/>
      <c r="AXU34" s="283"/>
      <c r="AXV34" s="283"/>
      <c r="AXW34" s="283"/>
      <c r="AXX34" s="283"/>
      <c r="AXY34" s="283"/>
      <c r="AXZ34" s="283"/>
      <c r="AYA34" s="283"/>
      <c r="AYB34" s="283"/>
      <c r="AYC34" s="283"/>
      <c r="AYD34" s="283"/>
      <c r="AYE34" s="283"/>
      <c r="AYF34" s="283"/>
      <c r="AYG34" s="283"/>
      <c r="AYH34" s="283"/>
      <c r="AYI34" s="283"/>
      <c r="AYJ34" s="283"/>
      <c r="AYK34" s="283"/>
      <c r="AYL34" s="283"/>
      <c r="AYM34" s="283"/>
      <c r="AYN34" s="283"/>
      <c r="AYO34" s="283"/>
      <c r="AYP34" s="283"/>
      <c r="AYQ34" s="283"/>
      <c r="AYR34" s="283"/>
      <c r="AYS34" s="283"/>
      <c r="AYT34" s="283"/>
      <c r="AYU34" s="283"/>
      <c r="AYV34" s="283"/>
      <c r="AYW34" s="283"/>
      <c r="AYX34" s="283"/>
      <c r="AYY34" s="283"/>
      <c r="AYZ34" s="283"/>
      <c r="AZA34" s="283"/>
      <c r="AZB34" s="283"/>
      <c r="AZC34" s="283"/>
      <c r="AZD34" s="283"/>
      <c r="AZE34" s="283"/>
      <c r="AZF34" s="283"/>
      <c r="AZG34" s="283"/>
      <c r="AZH34" s="283"/>
      <c r="AZI34" s="283"/>
      <c r="AZJ34" s="283"/>
      <c r="AZK34" s="283"/>
      <c r="AZL34" s="283"/>
      <c r="AZM34" s="283"/>
      <c r="AZN34" s="283"/>
      <c r="AZO34" s="283"/>
      <c r="AZP34" s="283"/>
      <c r="AZQ34" s="283"/>
      <c r="AZR34" s="283"/>
      <c r="AZS34" s="283"/>
      <c r="AZT34" s="283"/>
      <c r="AZU34" s="283"/>
      <c r="AZV34" s="283"/>
      <c r="AZW34" s="283"/>
      <c r="AZX34" s="283"/>
      <c r="AZY34" s="283"/>
      <c r="AZZ34" s="283"/>
      <c r="BAA34" s="283"/>
      <c r="BAB34" s="283"/>
      <c r="BAC34" s="283"/>
      <c r="BAD34" s="283"/>
      <c r="BAE34" s="283"/>
      <c r="BAF34" s="283"/>
      <c r="BAG34" s="283"/>
      <c r="BAH34" s="283"/>
      <c r="BAI34" s="283"/>
      <c r="BAJ34" s="283"/>
      <c r="BAK34" s="283"/>
      <c r="BAL34" s="283"/>
      <c r="BAM34" s="283"/>
      <c r="BAN34" s="283"/>
      <c r="BAO34" s="283"/>
      <c r="BAP34" s="283"/>
      <c r="BAQ34" s="283"/>
      <c r="BAR34" s="283"/>
      <c r="BAS34" s="283"/>
      <c r="BAT34" s="283"/>
      <c r="BAU34" s="283"/>
      <c r="BAV34" s="283"/>
      <c r="BAW34" s="283"/>
      <c r="BAX34" s="283"/>
      <c r="BAY34" s="283"/>
      <c r="BAZ34" s="283"/>
      <c r="BBA34" s="283"/>
      <c r="BBB34" s="283"/>
      <c r="BBC34" s="283"/>
      <c r="BBD34" s="283"/>
      <c r="BBE34" s="283"/>
      <c r="BBF34" s="283"/>
      <c r="BBG34" s="283"/>
      <c r="BBH34" s="283"/>
      <c r="BBI34" s="283"/>
      <c r="BBJ34" s="283"/>
      <c r="BBK34" s="283"/>
      <c r="BBL34" s="283"/>
      <c r="BBM34" s="283"/>
      <c r="BBN34" s="283"/>
      <c r="BBO34" s="283"/>
      <c r="BBP34" s="283"/>
      <c r="BBQ34" s="283"/>
      <c r="BBR34" s="283"/>
      <c r="BBS34" s="283"/>
      <c r="BBT34" s="283"/>
      <c r="BBU34" s="283"/>
      <c r="BBV34" s="283"/>
      <c r="BBW34" s="283"/>
      <c r="BBX34" s="283"/>
      <c r="BBY34" s="283"/>
      <c r="BBZ34" s="283"/>
      <c r="BCA34" s="283"/>
      <c r="BCB34" s="283"/>
      <c r="BCC34" s="283"/>
      <c r="BCD34" s="283"/>
      <c r="BCE34" s="283"/>
      <c r="BCF34" s="283"/>
      <c r="BCG34" s="283"/>
      <c r="BCH34" s="283"/>
      <c r="BCI34" s="283"/>
      <c r="BCJ34" s="283"/>
      <c r="BCK34" s="283"/>
      <c r="BCL34" s="283"/>
      <c r="BCM34" s="283"/>
      <c r="BCN34" s="283"/>
      <c r="BCO34" s="283"/>
      <c r="BCP34" s="283"/>
      <c r="BCQ34" s="283"/>
      <c r="BCR34" s="283"/>
      <c r="BCS34" s="283"/>
      <c r="BCT34" s="283"/>
      <c r="BCU34" s="283"/>
      <c r="BCV34" s="283"/>
      <c r="BCW34" s="283"/>
      <c r="BCX34" s="283"/>
      <c r="BCY34" s="283"/>
      <c r="BCZ34" s="283"/>
      <c r="BDA34" s="283"/>
      <c r="BDB34" s="283"/>
      <c r="BDC34" s="283"/>
      <c r="BDD34" s="283"/>
      <c r="BDE34" s="283"/>
      <c r="BDF34" s="283"/>
      <c r="BDG34" s="283"/>
      <c r="BDH34" s="283"/>
      <c r="BDI34" s="283"/>
      <c r="BDJ34" s="283"/>
      <c r="BDK34" s="283"/>
      <c r="BDL34" s="283"/>
      <c r="BDM34" s="283"/>
      <c r="BDN34" s="283"/>
      <c r="BDO34" s="283"/>
      <c r="BDP34" s="283"/>
      <c r="BDQ34" s="283"/>
      <c r="BDR34" s="283"/>
      <c r="BDS34" s="283"/>
      <c r="BDT34" s="283"/>
      <c r="BDU34" s="283"/>
      <c r="BDV34" s="283"/>
      <c r="BDW34" s="283"/>
      <c r="BDX34" s="283"/>
      <c r="BDY34" s="283"/>
      <c r="BDZ34" s="283"/>
      <c r="BEA34" s="283"/>
      <c r="BEB34" s="283"/>
      <c r="BEC34" s="283"/>
      <c r="BED34" s="283"/>
      <c r="BEE34" s="283"/>
      <c r="BEF34" s="283"/>
      <c r="BEG34" s="283"/>
      <c r="BEH34" s="283"/>
      <c r="BEI34" s="283"/>
      <c r="BEJ34" s="283"/>
      <c r="BEK34" s="283"/>
      <c r="BEL34" s="283"/>
      <c r="BEM34" s="283"/>
      <c r="BEN34" s="283"/>
      <c r="BEO34" s="283"/>
      <c r="BEP34" s="283"/>
      <c r="BEQ34" s="283"/>
      <c r="BER34" s="283"/>
      <c r="BES34" s="283"/>
      <c r="BET34" s="283"/>
      <c r="BEU34" s="283"/>
      <c r="BEV34" s="283"/>
      <c r="BEW34" s="283"/>
      <c r="BEX34" s="283"/>
      <c r="BEY34" s="283"/>
      <c r="BEZ34" s="283"/>
      <c r="BFA34" s="283"/>
      <c r="BFB34" s="283"/>
      <c r="BFC34" s="283"/>
      <c r="BFD34" s="283"/>
      <c r="BFE34" s="283"/>
      <c r="BFF34" s="283"/>
      <c r="BFG34" s="283"/>
      <c r="BFH34" s="283"/>
      <c r="BFI34" s="283"/>
      <c r="BFJ34" s="283"/>
      <c r="BFK34" s="283"/>
      <c r="BFL34" s="283"/>
      <c r="BFM34" s="283"/>
      <c r="BFN34" s="283"/>
      <c r="BFO34" s="283"/>
      <c r="BFP34" s="283"/>
      <c r="BFQ34" s="283"/>
      <c r="BFR34" s="283"/>
      <c r="BFS34" s="283"/>
      <c r="BFT34" s="283"/>
      <c r="BFU34" s="283"/>
      <c r="BFV34" s="283"/>
      <c r="BFW34" s="283"/>
      <c r="BFX34" s="283"/>
      <c r="BFY34" s="283"/>
      <c r="BFZ34" s="283"/>
      <c r="BGA34" s="283"/>
      <c r="BGB34" s="283"/>
      <c r="BGC34" s="283"/>
      <c r="BGD34" s="283"/>
      <c r="BGE34" s="283"/>
      <c r="BGF34" s="283"/>
      <c r="BGG34" s="283"/>
      <c r="BGH34" s="283"/>
      <c r="BGI34" s="283"/>
      <c r="BGJ34" s="283"/>
      <c r="BGK34" s="283"/>
      <c r="BGL34" s="283"/>
      <c r="BGM34" s="283"/>
      <c r="BGN34" s="283"/>
      <c r="BGO34" s="283"/>
      <c r="BGP34" s="283"/>
      <c r="BGQ34" s="283"/>
      <c r="BGR34" s="283"/>
      <c r="BGS34" s="283"/>
      <c r="BGT34" s="283"/>
      <c r="BGU34" s="283"/>
      <c r="BGV34" s="283"/>
      <c r="BGW34" s="283"/>
      <c r="BGX34" s="283"/>
      <c r="BGY34" s="283"/>
      <c r="BGZ34" s="283"/>
      <c r="BHA34" s="283"/>
      <c r="BHB34" s="283"/>
      <c r="BHC34" s="283"/>
      <c r="BHD34" s="283"/>
      <c r="BHE34" s="283"/>
      <c r="BHF34" s="283"/>
      <c r="BHG34" s="283"/>
      <c r="BHH34" s="283"/>
      <c r="BHI34" s="283"/>
      <c r="BHJ34" s="283"/>
      <c r="BHK34" s="283"/>
      <c r="BHL34" s="283"/>
      <c r="BHM34" s="283"/>
      <c r="BHN34" s="283"/>
      <c r="BHO34" s="283"/>
      <c r="BHP34" s="283"/>
      <c r="BHQ34" s="283"/>
      <c r="BHR34" s="283"/>
      <c r="BHS34" s="283"/>
      <c r="BHT34" s="283"/>
      <c r="BHU34" s="283"/>
      <c r="BHV34" s="283"/>
      <c r="BHW34" s="283"/>
      <c r="BHX34" s="283"/>
      <c r="BHY34" s="283"/>
      <c r="BHZ34" s="283"/>
      <c r="BIA34" s="283"/>
      <c r="BIB34" s="283"/>
      <c r="BIC34" s="283"/>
      <c r="BID34" s="283"/>
      <c r="BIE34" s="283"/>
      <c r="BIF34" s="283"/>
      <c r="BIG34" s="283"/>
      <c r="BIH34" s="283"/>
      <c r="BII34" s="283"/>
      <c r="BIJ34" s="283"/>
      <c r="BIK34" s="283"/>
      <c r="BIL34" s="283"/>
      <c r="BIM34" s="283"/>
      <c r="BIN34" s="283"/>
      <c r="BIO34" s="283"/>
      <c r="BIP34" s="283"/>
      <c r="BIQ34" s="283"/>
      <c r="BIR34" s="283"/>
      <c r="BIS34" s="283"/>
      <c r="BIT34" s="283"/>
      <c r="BIU34" s="283"/>
      <c r="BIV34" s="283"/>
      <c r="BIW34" s="283"/>
      <c r="BIX34" s="283"/>
      <c r="BIY34" s="283"/>
      <c r="BIZ34" s="283"/>
      <c r="BJA34" s="283"/>
      <c r="BJB34" s="283"/>
      <c r="BJC34" s="283"/>
      <c r="BJD34" s="283"/>
      <c r="BJE34" s="283"/>
      <c r="BJF34" s="283"/>
      <c r="BJG34" s="283"/>
      <c r="BJH34" s="283"/>
      <c r="BJI34" s="283"/>
      <c r="BJJ34" s="283"/>
      <c r="BJK34" s="283"/>
      <c r="BJL34" s="283"/>
      <c r="BJM34" s="283"/>
      <c r="BJN34" s="283"/>
      <c r="BJO34" s="283"/>
      <c r="BJP34" s="283"/>
      <c r="BJQ34" s="283"/>
      <c r="BJR34" s="283"/>
      <c r="BJS34" s="283"/>
      <c r="BJT34" s="283"/>
      <c r="BJU34" s="283"/>
      <c r="BJV34" s="283"/>
      <c r="BJW34" s="283"/>
      <c r="BJX34" s="283"/>
      <c r="BJY34" s="283"/>
      <c r="BJZ34" s="283"/>
      <c r="BKA34" s="283"/>
      <c r="BKB34" s="283"/>
      <c r="BKC34" s="283"/>
      <c r="BKD34" s="283"/>
      <c r="BKE34" s="283"/>
      <c r="BKF34" s="283"/>
      <c r="BKG34" s="283"/>
      <c r="BKH34" s="283"/>
      <c r="BKI34" s="283"/>
      <c r="BKJ34" s="283"/>
      <c r="BKK34" s="283"/>
      <c r="BKL34" s="283"/>
      <c r="BKM34" s="283"/>
      <c r="BKN34" s="283"/>
      <c r="BKO34" s="283"/>
      <c r="BKP34" s="283"/>
      <c r="BKQ34" s="283"/>
      <c r="BKR34" s="283"/>
      <c r="BKS34" s="283"/>
      <c r="BKT34" s="283"/>
      <c r="BKU34" s="283"/>
      <c r="BKV34" s="283"/>
      <c r="BKW34" s="283"/>
      <c r="BKX34" s="283"/>
      <c r="BKY34" s="283"/>
      <c r="BKZ34" s="283"/>
      <c r="BLA34" s="283"/>
      <c r="BLB34" s="283"/>
      <c r="BLC34" s="283"/>
      <c r="BLD34" s="283"/>
      <c r="BLE34" s="283"/>
      <c r="BLF34" s="283"/>
      <c r="BLG34" s="283"/>
      <c r="BLH34" s="283"/>
      <c r="BLI34" s="283"/>
      <c r="BLJ34" s="283"/>
      <c r="BLK34" s="283"/>
      <c r="BLL34" s="283"/>
      <c r="BLM34" s="283"/>
      <c r="BLN34" s="283"/>
      <c r="BLO34" s="283"/>
      <c r="BLP34" s="283"/>
      <c r="BLQ34" s="283"/>
      <c r="BLR34" s="283"/>
      <c r="BLS34" s="283"/>
      <c r="BLT34" s="283"/>
      <c r="BLU34" s="283"/>
      <c r="BLV34" s="283"/>
      <c r="BLW34" s="283"/>
      <c r="BLX34" s="283"/>
      <c r="BLY34" s="283"/>
      <c r="BLZ34" s="283"/>
      <c r="BMA34" s="283"/>
      <c r="BMB34" s="283"/>
      <c r="BMC34" s="283"/>
      <c r="BMD34" s="283"/>
      <c r="BME34" s="283"/>
      <c r="BMF34" s="283"/>
      <c r="BMG34" s="283"/>
      <c r="BMH34" s="283"/>
      <c r="BMI34" s="283"/>
      <c r="BMJ34" s="283"/>
      <c r="BMK34" s="283"/>
      <c r="BML34" s="283"/>
      <c r="BMM34" s="283"/>
      <c r="BMN34" s="283"/>
      <c r="BMO34" s="283"/>
      <c r="BMP34" s="283"/>
      <c r="BMQ34" s="283"/>
      <c r="BMR34" s="283"/>
      <c r="BMS34" s="283"/>
      <c r="BMT34" s="283"/>
      <c r="BMU34" s="283"/>
      <c r="BMV34" s="283"/>
      <c r="BMW34" s="283"/>
      <c r="BMX34" s="283"/>
      <c r="BMY34" s="283"/>
      <c r="BMZ34" s="283"/>
      <c r="BNA34" s="283"/>
      <c r="BNB34" s="283"/>
      <c r="BNC34" s="283"/>
      <c r="BND34" s="283"/>
      <c r="BNE34" s="283"/>
      <c r="BNF34" s="283"/>
      <c r="BNG34" s="283"/>
      <c r="BNH34" s="283"/>
      <c r="BNI34" s="283"/>
      <c r="BNJ34" s="283"/>
      <c r="BNK34" s="283"/>
      <c r="BNL34" s="283"/>
      <c r="BNM34" s="283"/>
      <c r="BNN34" s="283"/>
      <c r="BNO34" s="283"/>
      <c r="BNP34" s="283"/>
      <c r="BNQ34" s="283"/>
      <c r="BNR34" s="283"/>
      <c r="BNS34" s="283"/>
      <c r="BNT34" s="283"/>
      <c r="BNU34" s="283"/>
      <c r="BNV34" s="283"/>
      <c r="BNW34" s="283"/>
      <c r="BNX34" s="283"/>
      <c r="BNY34" s="283"/>
      <c r="BNZ34" s="283"/>
      <c r="BOA34" s="283"/>
      <c r="BOB34" s="283"/>
      <c r="BOC34" s="283"/>
      <c r="BOD34" s="283"/>
      <c r="BOE34" s="283"/>
      <c r="BOF34" s="283"/>
      <c r="BOG34" s="283"/>
      <c r="BOH34" s="283"/>
      <c r="BOI34" s="283"/>
      <c r="BOJ34" s="283"/>
      <c r="BOK34" s="283"/>
      <c r="BOL34" s="283"/>
      <c r="BOM34" s="283"/>
      <c r="BON34" s="283"/>
      <c r="BOO34" s="283"/>
      <c r="BOP34" s="283"/>
      <c r="BOQ34" s="283"/>
      <c r="BOR34" s="283"/>
      <c r="BOS34" s="283"/>
      <c r="BOT34" s="283"/>
      <c r="BOU34" s="283"/>
      <c r="BOV34" s="283"/>
      <c r="BOW34" s="283"/>
      <c r="BOX34" s="283"/>
      <c r="BOY34" s="283"/>
      <c r="BOZ34" s="283"/>
      <c r="BPA34" s="283"/>
      <c r="BPB34" s="283"/>
      <c r="BPC34" s="283"/>
      <c r="BPD34" s="283"/>
      <c r="BPE34" s="283"/>
      <c r="BPF34" s="283"/>
      <c r="BPG34" s="283"/>
      <c r="BPH34" s="283"/>
      <c r="BPI34" s="283"/>
      <c r="BPJ34" s="283"/>
      <c r="BPK34" s="283"/>
      <c r="BPL34" s="283"/>
      <c r="BPM34" s="283"/>
      <c r="BPN34" s="283"/>
      <c r="BPO34" s="283"/>
      <c r="BPP34" s="283"/>
      <c r="BPQ34" s="283"/>
      <c r="BPR34" s="283"/>
      <c r="BPS34" s="283"/>
      <c r="BPT34" s="283"/>
      <c r="BPU34" s="283"/>
      <c r="BPV34" s="283"/>
      <c r="BPW34" s="283"/>
      <c r="BPX34" s="283"/>
      <c r="BPY34" s="283"/>
      <c r="BPZ34" s="283"/>
      <c r="BQA34" s="283"/>
      <c r="BQB34" s="283"/>
      <c r="BQC34" s="283"/>
      <c r="BQD34" s="283"/>
      <c r="BQE34" s="283"/>
      <c r="BQF34" s="283"/>
      <c r="BQG34" s="283"/>
      <c r="BQH34" s="283"/>
      <c r="BQI34" s="283"/>
      <c r="BQJ34" s="283"/>
      <c r="BQK34" s="283"/>
      <c r="BQL34" s="283"/>
      <c r="BQM34" s="283"/>
      <c r="BQN34" s="283"/>
      <c r="BQO34" s="283"/>
      <c r="BQP34" s="283"/>
      <c r="BQQ34" s="283"/>
      <c r="BQR34" s="283"/>
      <c r="BQS34" s="283"/>
      <c r="BQT34" s="283"/>
      <c r="BQU34" s="283"/>
      <c r="BQV34" s="283"/>
      <c r="BQW34" s="283"/>
      <c r="BQX34" s="283"/>
      <c r="BQY34" s="283"/>
      <c r="BQZ34" s="283"/>
      <c r="BRA34" s="283"/>
      <c r="BRB34" s="283"/>
      <c r="BRC34" s="283"/>
      <c r="BRD34" s="283"/>
      <c r="BRE34" s="283"/>
      <c r="BRF34" s="283"/>
      <c r="BRG34" s="283"/>
      <c r="BRH34" s="283"/>
      <c r="BRI34" s="283"/>
      <c r="BRJ34" s="283"/>
      <c r="BRK34" s="283"/>
      <c r="BRL34" s="283"/>
      <c r="BRM34" s="283"/>
      <c r="BRN34" s="283"/>
      <c r="BRO34" s="283"/>
      <c r="BRP34" s="283"/>
      <c r="BRQ34" s="283"/>
      <c r="BRR34" s="283"/>
      <c r="BRS34" s="283"/>
      <c r="BRT34" s="283"/>
      <c r="BRU34" s="283"/>
      <c r="BRV34" s="283"/>
      <c r="BRW34" s="283"/>
      <c r="BRX34" s="283"/>
      <c r="BRY34" s="283"/>
      <c r="BRZ34" s="283"/>
      <c r="BSA34" s="283"/>
      <c r="BSB34" s="283"/>
      <c r="BSC34" s="283"/>
      <c r="BSD34" s="283"/>
      <c r="BSE34" s="283"/>
      <c r="BSF34" s="283"/>
      <c r="BSG34" s="283"/>
      <c r="BSH34" s="283"/>
      <c r="BSI34" s="283"/>
      <c r="BSJ34" s="283"/>
      <c r="BSK34" s="283"/>
      <c r="BSL34" s="283"/>
      <c r="BSM34" s="283"/>
      <c r="BSN34" s="283"/>
      <c r="BSO34" s="283"/>
      <c r="BSP34" s="283"/>
      <c r="BSQ34" s="283"/>
      <c r="BSR34" s="283"/>
      <c r="BSS34" s="283"/>
      <c r="BST34" s="283"/>
      <c r="BSU34" s="283"/>
      <c r="BSV34" s="283"/>
      <c r="BSW34" s="283"/>
      <c r="BSX34" s="283"/>
      <c r="BSY34" s="283"/>
      <c r="BSZ34" s="283"/>
      <c r="BTA34" s="283"/>
      <c r="BTB34" s="283"/>
      <c r="BTC34" s="283"/>
      <c r="BTD34" s="283"/>
      <c r="BTE34" s="283"/>
      <c r="BTF34" s="283"/>
      <c r="BTG34" s="283"/>
      <c r="BTH34" s="283"/>
      <c r="BTI34" s="283"/>
      <c r="BTJ34" s="283"/>
      <c r="BTK34" s="283"/>
      <c r="BTL34" s="283"/>
      <c r="BTM34" s="283"/>
      <c r="BTN34" s="283"/>
      <c r="BTO34" s="283"/>
      <c r="BTP34" s="283"/>
      <c r="BTQ34" s="283"/>
      <c r="BTR34" s="283"/>
      <c r="BTS34" s="283"/>
      <c r="BTT34" s="283"/>
      <c r="BTU34" s="283"/>
      <c r="BTV34" s="283"/>
      <c r="BTW34" s="283"/>
      <c r="BTX34" s="283"/>
      <c r="BTY34" s="283"/>
      <c r="BTZ34" s="283"/>
      <c r="BUA34" s="283"/>
      <c r="BUB34" s="283"/>
      <c r="BUC34" s="283"/>
      <c r="BUD34" s="283"/>
      <c r="BUE34" s="283"/>
      <c r="BUF34" s="283"/>
      <c r="BUG34" s="283"/>
      <c r="BUH34" s="283"/>
      <c r="BUI34" s="283"/>
      <c r="BUJ34" s="283"/>
      <c r="BUK34" s="283"/>
      <c r="BUL34" s="283"/>
      <c r="BUM34" s="283"/>
      <c r="BUN34" s="283"/>
      <c r="BUO34" s="283"/>
      <c r="BUP34" s="283"/>
      <c r="BUQ34" s="283"/>
      <c r="BUR34" s="283"/>
      <c r="BUS34" s="283"/>
      <c r="BUT34" s="283"/>
      <c r="BUU34" s="283"/>
      <c r="BUV34" s="283"/>
      <c r="BUW34" s="283"/>
      <c r="BUX34" s="283"/>
      <c r="BUY34" s="283"/>
      <c r="BUZ34" s="283"/>
      <c r="BVA34" s="283"/>
      <c r="BVB34" s="283"/>
      <c r="BVC34" s="283"/>
      <c r="BVD34" s="283"/>
      <c r="BVE34" s="283"/>
      <c r="BVF34" s="283"/>
      <c r="BVG34" s="283"/>
      <c r="BVH34" s="283"/>
      <c r="BVI34" s="283"/>
      <c r="BVJ34" s="283"/>
      <c r="BVK34" s="283"/>
      <c r="BVL34" s="283"/>
      <c r="BVM34" s="283"/>
      <c r="BVN34" s="283"/>
      <c r="BVO34" s="283"/>
      <c r="BVP34" s="283"/>
      <c r="BVQ34" s="283"/>
      <c r="BVR34" s="283"/>
      <c r="BVS34" s="283"/>
      <c r="BVT34" s="283"/>
      <c r="BVU34" s="283"/>
      <c r="BVV34" s="283"/>
      <c r="BVW34" s="283"/>
      <c r="BVX34" s="283"/>
      <c r="BVY34" s="283"/>
      <c r="BVZ34" s="283"/>
      <c r="BWA34" s="283"/>
      <c r="BWB34" s="283"/>
      <c r="BWC34" s="283"/>
      <c r="BWD34" s="283"/>
      <c r="BWE34" s="283"/>
      <c r="BWF34" s="283"/>
      <c r="BWG34" s="283"/>
      <c r="BWH34" s="283"/>
      <c r="BWI34" s="283"/>
      <c r="BWJ34" s="283"/>
      <c r="BWK34" s="283"/>
      <c r="BWL34" s="283"/>
      <c r="BWM34" s="283"/>
      <c r="BWN34" s="283"/>
      <c r="BWO34" s="283"/>
      <c r="BWP34" s="283"/>
      <c r="BWQ34" s="283"/>
      <c r="BWR34" s="283"/>
      <c r="BWS34" s="283"/>
      <c r="BWT34" s="283"/>
      <c r="BWU34" s="283"/>
      <c r="BWV34" s="283"/>
      <c r="BWW34" s="283"/>
      <c r="BWX34" s="283"/>
      <c r="BWY34" s="283"/>
      <c r="BWZ34" s="283"/>
      <c r="BXA34" s="283"/>
      <c r="BXB34" s="283"/>
      <c r="BXC34" s="283"/>
      <c r="BXD34" s="283"/>
      <c r="BXE34" s="283"/>
      <c r="BXF34" s="283"/>
      <c r="BXG34" s="283"/>
      <c r="BXH34" s="283"/>
      <c r="BXI34" s="283"/>
      <c r="BXJ34" s="283"/>
      <c r="BXK34" s="283"/>
      <c r="BXL34" s="283"/>
      <c r="BXM34" s="283"/>
      <c r="BXN34" s="283"/>
      <c r="BXO34" s="283"/>
      <c r="BXP34" s="283"/>
      <c r="BXQ34" s="283"/>
      <c r="BXR34" s="283"/>
      <c r="BXS34" s="283"/>
      <c r="BXT34" s="283"/>
      <c r="BXU34" s="283"/>
      <c r="BXV34" s="283"/>
      <c r="BXW34" s="283"/>
      <c r="BXX34" s="283"/>
      <c r="BXY34" s="283"/>
      <c r="BXZ34" s="283"/>
      <c r="BYA34" s="283"/>
      <c r="BYB34" s="283"/>
      <c r="BYC34" s="283"/>
      <c r="BYD34" s="283"/>
      <c r="BYE34" s="283"/>
      <c r="BYF34" s="283"/>
      <c r="BYG34" s="283"/>
      <c r="BYH34" s="283"/>
      <c r="BYI34" s="283"/>
      <c r="BYJ34" s="283"/>
      <c r="BYK34" s="283"/>
      <c r="BYL34" s="283"/>
      <c r="BYM34" s="283"/>
      <c r="BYN34" s="283"/>
      <c r="BYO34" s="283"/>
      <c r="BYP34" s="283"/>
      <c r="BYQ34" s="283"/>
      <c r="BYR34" s="283"/>
      <c r="BYS34" s="283"/>
      <c r="BYT34" s="283"/>
      <c r="BYU34" s="283"/>
      <c r="BYV34" s="283"/>
      <c r="BYW34" s="283"/>
      <c r="BYX34" s="283"/>
      <c r="BYY34" s="283"/>
      <c r="BYZ34" s="283"/>
      <c r="BZA34" s="283"/>
      <c r="BZB34" s="283"/>
      <c r="BZC34" s="283"/>
      <c r="BZD34" s="283"/>
      <c r="BZE34" s="283"/>
      <c r="BZF34" s="283"/>
      <c r="BZG34" s="283"/>
      <c r="BZH34" s="283"/>
      <c r="BZI34" s="283"/>
      <c r="BZJ34" s="283"/>
      <c r="BZK34" s="283"/>
      <c r="BZL34" s="283"/>
      <c r="BZM34" s="283"/>
      <c r="BZN34" s="283"/>
      <c r="BZO34" s="283"/>
      <c r="BZP34" s="283"/>
      <c r="BZQ34" s="283"/>
      <c r="BZR34" s="283"/>
      <c r="BZS34" s="283"/>
      <c r="BZT34" s="283"/>
      <c r="BZU34" s="283"/>
      <c r="BZV34" s="283"/>
      <c r="BZW34" s="283"/>
      <c r="BZX34" s="283"/>
      <c r="BZY34" s="283"/>
      <c r="BZZ34" s="283"/>
      <c r="CAA34" s="283"/>
      <c r="CAB34" s="283"/>
      <c r="CAC34" s="283"/>
      <c r="CAD34" s="283"/>
      <c r="CAE34" s="283"/>
      <c r="CAF34" s="283"/>
      <c r="CAG34" s="283"/>
      <c r="CAH34" s="283"/>
      <c r="CAI34" s="283"/>
      <c r="CAJ34" s="283"/>
      <c r="CAK34" s="283"/>
      <c r="CAL34" s="283"/>
      <c r="CAM34" s="283"/>
      <c r="CAN34" s="283"/>
      <c r="CAO34" s="283"/>
      <c r="CAP34" s="283"/>
      <c r="CAQ34" s="283"/>
      <c r="CAR34" s="283"/>
      <c r="CAS34" s="283"/>
      <c r="CAT34" s="283"/>
      <c r="CAU34" s="283"/>
      <c r="CAV34" s="283"/>
      <c r="CAW34" s="283"/>
      <c r="CAX34" s="283"/>
      <c r="CAY34" s="283"/>
      <c r="CAZ34" s="283"/>
      <c r="CBA34" s="283"/>
      <c r="CBB34" s="283"/>
      <c r="CBC34" s="283"/>
      <c r="CBD34" s="283"/>
      <c r="CBE34" s="283"/>
      <c r="CBF34" s="283"/>
      <c r="CBG34" s="283"/>
      <c r="CBH34" s="283"/>
      <c r="CBI34" s="283"/>
      <c r="CBJ34" s="283"/>
      <c r="CBK34" s="283"/>
      <c r="CBL34" s="283"/>
      <c r="CBM34" s="283"/>
      <c r="CBN34" s="283"/>
      <c r="CBO34" s="283"/>
      <c r="CBP34" s="283"/>
      <c r="CBQ34" s="283"/>
      <c r="CBR34" s="283"/>
      <c r="CBS34" s="283"/>
      <c r="CBT34" s="283"/>
      <c r="CBU34" s="283"/>
      <c r="CBV34" s="283"/>
      <c r="CBW34" s="283"/>
      <c r="CBX34" s="283"/>
      <c r="CBY34" s="283"/>
      <c r="CBZ34" s="283"/>
      <c r="CCA34" s="283"/>
      <c r="CCB34" s="283"/>
      <c r="CCC34" s="283"/>
      <c r="CCD34" s="283"/>
      <c r="CCE34" s="283"/>
      <c r="CCF34" s="283"/>
      <c r="CCG34" s="283"/>
      <c r="CCH34" s="283"/>
      <c r="CCI34" s="283"/>
      <c r="CCJ34" s="283"/>
      <c r="CCK34" s="283"/>
      <c r="CCL34" s="283"/>
      <c r="CCM34" s="283"/>
      <c r="CCN34" s="283"/>
      <c r="CCO34" s="283"/>
      <c r="CCP34" s="283"/>
      <c r="CCQ34" s="283"/>
      <c r="CCR34" s="283"/>
      <c r="CCS34" s="283"/>
      <c r="CCT34" s="283"/>
      <c r="CCU34" s="283"/>
      <c r="CCV34" s="283"/>
      <c r="CCW34" s="283"/>
      <c r="CCX34" s="283"/>
      <c r="CCY34" s="283"/>
      <c r="CCZ34" s="283"/>
      <c r="CDA34" s="283"/>
      <c r="CDB34" s="283"/>
      <c r="CDC34" s="283"/>
      <c r="CDD34" s="283"/>
      <c r="CDE34" s="283"/>
      <c r="CDF34" s="283"/>
      <c r="CDG34" s="283"/>
      <c r="CDH34" s="283"/>
      <c r="CDI34" s="283"/>
      <c r="CDJ34" s="283"/>
      <c r="CDK34" s="283"/>
      <c r="CDL34" s="283"/>
      <c r="CDM34" s="283"/>
      <c r="CDN34" s="283"/>
      <c r="CDO34" s="283"/>
      <c r="CDP34" s="283"/>
      <c r="CDQ34" s="283"/>
      <c r="CDR34" s="283"/>
      <c r="CDS34" s="283"/>
      <c r="CDT34" s="283"/>
      <c r="CDU34" s="283"/>
      <c r="CDV34" s="283"/>
      <c r="CDW34" s="283"/>
      <c r="CDX34" s="283"/>
      <c r="CDY34" s="283"/>
      <c r="CDZ34" s="283"/>
      <c r="CEA34" s="283"/>
      <c r="CEB34" s="283"/>
      <c r="CEC34" s="283"/>
      <c r="CED34" s="283"/>
      <c r="CEE34" s="283"/>
      <c r="CEF34" s="283"/>
      <c r="CEG34" s="283"/>
      <c r="CEH34" s="283"/>
      <c r="CEI34" s="283"/>
      <c r="CEJ34" s="283"/>
      <c r="CEK34" s="283"/>
      <c r="CEL34" s="283"/>
      <c r="CEM34" s="283"/>
      <c r="CEN34" s="283"/>
      <c r="CEO34" s="283"/>
      <c r="CEP34" s="283"/>
      <c r="CEQ34" s="283"/>
      <c r="CER34" s="283"/>
      <c r="CES34" s="283"/>
      <c r="CET34" s="283"/>
      <c r="CEU34" s="283"/>
      <c r="CEV34" s="283"/>
      <c r="CEW34" s="283"/>
      <c r="CEX34" s="283"/>
      <c r="CEY34" s="283"/>
      <c r="CEZ34" s="283"/>
      <c r="CFA34" s="283"/>
      <c r="CFB34" s="283"/>
      <c r="CFC34" s="283"/>
      <c r="CFD34" s="283"/>
      <c r="CFE34" s="283"/>
      <c r="CFF34" s="283"/>
      <c r="CFG34" s="283"/>
      <c r="CFH34" s="283"/>
      <c r="CFI34" s="283"/>
      <c r="CFJ34" s="283"/>
      <c r="CFK34" s="283"/>
      <c r="CFL34" s="283"/>
      <c r="CFM34" s="283"/>
      <c r="CFN34" s="283"/>
      <c r="CFO34" s="283"/>
      <c r="CFP34" s="283"/>
      <c r="CFQ34" s="283"/>
      <c r="CFR34" s="283"/>
      <c r="CFS34" s="283"/>
      <c r="CFT34" s="283"/>
      <c r="CFU34" s="283"/>
      <c r="CFV34" s="283"/>
      <c r="CFW34" s="283"/>
      <c r="CFX34" s="283"/>
      <c r="CFY34" s="283"/>
      <c r="CFZ34" s="283"/>
      <c r="CGA34" s="283"/>
      <c r="CGB34" s="283"/>
      <c r="CGC34" s="283"/>
      <c r="CGD34" s="283"/>
      <c r="CGE34" s="283"/>
      <c r="CGF34" s="283"/>
      <c r="CGG34" s="283"/>
      <c r="CGH34" s="283"/>
      <c r="CGI34" s="283"/>
      <c r="CGJ34" s="283"/>
      <c r="CGK34" s="283"/>
      <c r="CGL34" s="283"/>
      <c r="CGM34" s="283"/>
      <c r="CGN34" s="283"/>
      <c r="CGO34" s="283"/>
      <c r="CGP34" s="283"/>
      <c r="CGQ34" s="283"/>
      <c r="CGR34" s="283"/>
      <c r="CGS34" s="283"/>
      <c r="CGT34" s="283"/>
      <c r="CGU34" s="283"/>
      <c r="CGV34" s="283"/>
      <c r="CGW34" s="283"/>
      <c r="CGX34" s="283"/>
      <c r="CGY34" s="283"/>
      <c r="CGZ34" s="283"/>
      <c r="CHA34" s="283"/>
      <c r="CHB34" s="283"/>
      <c r="CHC34" s="283"/>
      <c r="CHD34" s="283"/>
      <c r="CHE34" s="283"/>
      <c r="CHF34" s="283"/>
      <c r="CHG34" s="283"/>
      <c r="CHH34" s="283"/>
      <c r="CHI34" s="283"/>
      <c r="CHJ34" s="283"/>
      <c r="CHK34" s="283"/>
      <c r="CHL34" s="283"/>
      <c r="CHM34" s="283"/>
      <c r="CHN34" s="283"/>
      <c r="CHO34" s="283"/>
      <c r="CHP34" s="283"/>
      <c r="CHQ34" s="283"/>
      <c r="CHR34" s="283"/>
      <c r="CHS34" s="283"/>
      <c r="CHT34" s="283"/>
      <c r="CHU34" s="283"/>
      <c r="CHV34" s="283"/>
      <c r="CHW34" s="283"/>
      <c r="CHX34" s="283"/>
      <c r="CHY34" s="283"/>
      <c r="CHZ34" s="283"/>
      <c r="CIA34" s="283"/>
      <c r="CIB34" s="283"/>
      <c r="CIC34" s="283"/>
      <c r="CID34" s="283"/>
      <c r="CIE34" s="283"/>
      <c r="CIF34" s="283"/>
      <c r="CIG34" s="283"/>
      <c r="CIH34" s="283"/>
      <c r="CII34" s="283"/>
      <c r="CIJ34" s="283"/>
      <c r="CIK34" s="283"/>
      <c r="CIL34" s="283"/>
      <c r="CIM34" s="283"/>
      <c r="CIN34" s="283"/>
      <c r="CIO34" s="283"/>
      <c r="CIP34" s="283"/>
      <c r="CIQ34" s="283"/>
      <c r="CIR34" s="283"/>
      <c r="CIS34" s="283"/>
      <c r="CIT34" s="283"/>
      <c r="CIU34" s="283"/>
      <c r="CIV34" s="283"/>
      <c r="CIW34" s="283"/>
      <c r="CIX34" s="283"/>
      <c r="CIY34" s="283"/>
      <c r="CIZ34" s="283"/>
      <c r="CJA34" s="283"/>
      <c r="CJB34" s="283"/>
      <c r="CJC34" s="283"/>
      <c r="CJD34" s="283"/>
      <c r="CJE34" s="283"/>
      <c r="CJF34" s="283"/>
      <c r="CJG34" s="283"/>
      <c r="CJH34" s="283"/>
      <c r="CJI34" s="283"/>
      <c r="CJJ34" s="283"/>
      <c r="CJK34" s="283"/>
      <c r="CJL34" s="283"/>
      <c r="CJM34" s="283"/>
      <c r="CJN34" s="283"/>
      <c r="CJO34" s="283"/>
      <c r="CJP34" s="283"/>
      <c r="CJQ34" s="283"/>
      <c r="CJR34" s="283"/>
      <c r="CJS34" s="283"/>
      <c r="CJT34" s="283"/>
      <c r="CJU34" s="283"/>
      <c r="CJV34" s="283"/>
      <c r="CJW34" s="283"/>
      <c r="CJX34" s="283"/>
      <c r="CJY34" s="283"/>
      <c r="CJZ34" s="283"/>
      <c r="CKA34" s="283"/>
      <c r="CKB34" s="283"/>
      <c r="CKC34" s="283"/>
      <c r="CKD34" s="283"/>
      <c r="CKE34" s="283"/>
      <c r="CKF34" s="283"/>
      <c r="CKG34" s="283"/>
      <c r="CKH34" s="283"/>
      <c r="CKI34" s="283"/>
      <c r="CKJ34" s="283"/>
      <c r="CKK34" s="283"/>
      <c r="CKL34" s="283"/>
      <c r="CKM34" s="283"/>
      <c r="CKN34" s="283"/>
      <c r="CKO34" s="283"/>
      <c r="CKP34" s="283"/>
      <c r="CKQ34" s="283"/>
      <c r="CKR34" s="283"/>
      <c r="CKS34" s="283"/>
      <c r="CKT34" s="283"/>
      <c r="CKU34" s="283"/>
      <c r="CKV34" s="283"/>
      <c r="CKW34" s="283"/>
      <c r="CKX34" s="283"/>
      <c r="CKY34" s="283"/>
      <c r="CKZ34" s="283"/>
      <c r="CLA34" s="283"/>
      <c r="CLB34" s="283"/>
      <c r="CLC34" s="283"/>
      <c r="CLD34" s="283"/>
      <c r="CLE34" s="283"/>
      <c r="CLF34" s="283"/>
      <c r="CLG34" s="283"/>
      <c r="CLH34" s="283"/>
      <c r="CLI34" s="283"/>
      <c r="CLJ34" s="283"/>
      <c r="CLK34" s="283"/>
      <c r="CLL34" s="283"/>
      <c r="CLM34" s="283"/>
      <c r="CLN34" s="283"/>
      <c r="CLO34" s="283"/>
      <c r="CLP34" s="283"/>
      <c r="CLQ34" s="283"/>
      <c r="CLR34" s="283"/>
      <c r="CLS34" s="283"/>
      <c r="CLT34" s="283"/>
      <c r="CLU34" s="283"/>
      <c r="CLV34" s="283"/>
      <c r="CLW34" s="283"/>
      <c r="CLX34" s="283"/>
      <c r="CLY34" s="283"/>
      <c r="CLZ34" s="283"/>
      <c r="CMA34" s="283"/>
      <c r="CMB34" s="283"/>
      <c r="CMC34" s="283"/>
      <c r="CMD34" s="283"/>
      <c r="CME34" s="283"/>
      <c r="CMF34" s="283"/>
      <c r="CMG34" s="283"/>
      <c r="CMH34" s="283"/>
      <c r="CMI34" s="283"/>
      <c r="CMJ34" s="283"/>
      <c r="CMK34" s="283"/>
      <c r="CML34" s="283"/>
      <c r="CMM34" s="283"/>
      <c r="CMN34" s="283"/>
      <c r="CMO34" s="283"/>
      <c r="CMP34" s="283"/>
      <c r="CMQ34" s="283"/>
      <c r="CMR34" s="283"/>
      <c r="CMS34" s="283"/>
      <c r="CMT34" s="283"/>
      <c r="CMU34" s="283"/>
      <c r="CMV34" s="283"/>
      <c r="CMW34" s="283"/>
      <c r="CMX34" s="283"/>
      <c r="CMY34" s="283"/>
      <c r="CMZ34" s="283"/>
      <c r="CNA34" s="283"/>
      <c r="CNB34" s="283"/>
      <c r="CNC34" s="283"/>
      <c r="CND34" s="283"/>
      <c r="CNE34" s="283"/>
      <c r="CNF34" s="283"/>
      <c r="CNG34" s="283"/>
      <c r="CNH34" s="283"/>
      <c r="CNI34" s="283"/>
      <c r="CNJ34" s="283"/>
      <c r="CNK34" s="283"/>
      <c r="CNL34" s="283"/>
      <c r="CNM34" s="283"/>
      <c r="CNN34" s="283"/>
      <c r="CNO34" s="283"/>
      <c r="CNP34" s="283"/>
      <c r="CNQ34" s="283"/>
      <c r="CNR34" s="283"/>
      <c r="CNS34" s="283"/>
      <c r="CNT34" s="283"/>
      <c r="CNU34" s="283"/>
      <c r="CNV34" s="283"/>
      <c r="CNW34" s="283"/>
      <c r="CNX34" s="283"/>
      <c r="CNY34" s="283"/>
      <c r="CNZ34" s="283"/>
      <c r="COA34" s="283"/>
      <c r="COB34" s="283"/>
      <c r="COC34" s="283"/>
      <c r="COD34" s="283"/>
      <c r="COE34" s="283"/>
      <c r="COF34" s="283"/>
      <c r="COG34" s="283"/>
      <c r="COH34" s="283"/>
      <c r="COI34" s="283"/>
      <c r="COJ34" s="283"/>
      <c r="COK34" s="283"/>
      <c r="COL34" s="283"/>
      <c r="COM34" s="283"/>
      <c r="CON34" s="283"/>
      <c r="COO34" s="283"/>
      <c r="COP34" s="283"/>
      <c r="COQ34" s="283"/>
      <c r="COR34" s="283"/>
      <c r="COS34" s="283"/>
      <c r="COT34" s="283"/>
      <c r="COU34" s="283"/>
      <c r="COV34" s="283"/>
      <c r="COW34" s="283"/>
      <c r="COX34" s="283"/>
      <c r="COY34" s="283"/>
      <c r="COZ34" s="283"/>
      <c r="CPA34" s="283"/>
      <c r="CPB34" s="283"/>
      <c r="CPC34" s="283"/>
      <c r="CPD34" s="283"/>
      <c r="CPE34" s="283"/>
      <c r="CPF34" s="283"/>
      <c r="CPG34" s="283"/>
      <c r="CPH34" s="283"/>
      <c r="CPI34" s="283"/>
      <c r="CPJ34" s="283"/>
      <c r="CPK34" s="283"/>
      <c r="CPL34" s="283"/>
      <c r="CPM34" s="283"/>
      <c r="CPN34" s="283"/>
      <c r="CPO34" s="283"/>
      <c r="CPP34" s="283"/>
      <c r="CPQ34" s="283"/>
      <c r="CPR34" s="283"/>
      <c r="CPS34" s="283"/>
      <c r="CPT34" s="283"/>
      <c r="CPU34" s="283"/>
      <c r="CPV34" s="283"/>
      <c r="CPW34" s="283"/>
      <c r="CPX34" s="283"/>
      <c r="CPY34" s="283"/>
      <c r="CPZ34" s="283"/>
      <c r="CQA34" s="283"/>
      <c r="CQB34" s="283"/>
      <c r="CQC34" s="283"/>
      <c r="CQD34" s="283"/>
      <c r="CQE34" s="283"/>
      <c r="CQF34" s="283"/>
      <c r="CQG34" s="283"/>
      <c r="CQH34" s="283"/>
      <c r="CQI34" s="283"/>
      <c r="CQJ34" s="283"/>
      <c r="CQK34" s="283"/>
      <c r="CQL34" s="283"/>
      <c r="CQM34" s="283"/>
      <c r="CQN34" s="283"/>
      <c r="CQO34" s="283"/>
      <c r="CQP34" s="283"/>
      <c r="CQQ34" s="283"/>
      <c r="CQR34" s="283"/>
      <c r="CQS34" s="283"/>
      <c r="CQT34" s="283"/>
      <c r="CQU34" s="283"/>
      <c r="CQV34" s="283"/>
      <c r="CQW34" s="283"/>
      <c r="CQX34" s="283"/>
      <c r="CQY34" s="283"/>
      <c r="CQZ34" s="283"/>
      <c r="CRA34" s="283"/>
      <c r="CRB34" s="283"/>
      <c r="CRC34" s="283"/>
      <c r="CRD34" s="283"/>
      <c r="CRE34" s="283"/>
      <c r="CRF34" s="283"/>
      <c r="CRG34" s="283"/>
      <c r="CRH34" s="283"/>
      <c r="CRI34" s="283"/>
      <c r="CRJ34" s="283"/>
      <c r="CRK34" s="283"/>
      <c r="CRL34" s="283"/>
      <c r="CRM34" s="283"/>
      <c r="CRN34" s="283"/>
      <c r="CRO34" s="283"/>
      <c r="CRP34" s="283"/>
      <c r="CRQ34" s="283"/>
      <c r="CRR34" s="283"/>
      <c r="CRS34" s="283"/>
      <c r="CRT34" s="283"/>
      <c r="CRU34" s="283"/>
      <c r="CRV34" s="283"/>
      <c r="CRW34" s="283"/>
      <c r="CRX34" s="283"/>
      <c r="CRY34" s="283"/>
      <c r="CRZ34" s="283"/>
      <c r="CSA34" s="283"/>
      <c r="CSB34" s="283"/>
      <c r="CSC34" s="283"/>
      <c r="CSD34" s="283"/>
      <c r="CSE34" s="283"/>
      <c r="CSF34" s="283"/>
      <c r="CSG34" s="283"/>
      <c r="CSH34" s="283"/>
      <c r="CSI34" s="283"/>
      <c r="CSJ34" s="283"/>
      <c r="CSK34" s="283"/>
      <c r="CSL34" s="283"/>
      <c r="CSM34" s="283"/>
      <c r="CSN34" s="283"/>
      <c r="CSO34" s="283"/>
      <c r="CSP34" s="283"/>
      <c r="CSQ34" s="283"/>
      <c r="CSR34" s="283"/>
      <c r="CSS34" s="283"/>
      <c r="CST34" s="283"/>
      <c r="CSU34" s="283"/>
      <c r="CSV34" s="283"/>
      <c r="CSW34" s="283"/>
      <c r="CSX34" s="283"/>
      <c r="CSY34" s="283"/>
      <c r="CSZ34" s="283"/>
      <c r="CTA34" s="283"/>
      <c r="CTB34" s="283"/>
      <c r="CTC34" s="283"/>
      <c r="CTD34" s="283"/>
      <c r="CTE34" s="283"/>
      <c r="CTF34" s="283"/>
      <c r="CTG34" s="283"/>
      <c r="CTH34" s="283"/>
      <c r="CTI34" s="283"/>
      <c r="CTJ34" s="283"/>
      <c r="CTK34" s="283"/>
      <c r="CTL34" s="283"/>
      <c r="CTM34" s="283"/>
      <c r="CTN34" s="283"/>
      <c r="CTO34" s="283"/>
      <c r="CTP34" s="283"/>
      <c r="CTQ34" s="283"/>
      <c r="CTR34" s="283"/>
      <c r="CTS34" s="283"/>
      <c r="CTT34" s="283"/>
      <c r="CTU34" s="283"/>
      <c r="CTV34" s="283"/>
      <c r="CTW34" s="283"/>
      <c r="CTX34" s="283"/>
      <c r="CTY34" s="283"/>
      <c r="CTZ34" s="283"/>
      <c r="CUA34" s="283"/>
      <c r="CUB34" s="283"/>
      <c r="CUC34" s="283"/>
      <c r="CUD34" s="283"/>
      <c r="CUE34" s="283"/>
      <c r="CUF34" s="283"/>
      <c r="CUG34" s="283"/>
      <c r="CUH34" s="283"/>
      <c r="CUI34" s="283"/>
      <c r="CUJ34" s="283"/>
      <c r="CUK34" s="283"/>
      <c r="CUL34" s="283"/>
      <c r="CUM34" s="283"/>
      <c r="CUN34" s="283"/>
      <c r="CUO34" s="283"/>
      <c r="CUP34" s="283"/>
      <c r="CUQ34" s="283"/>
      <c r="CUR34" s="283"/>
      <c r="CUS34" s="283"/>
      <c r="CUT34" s="283"/>
      <c r="CUU34" s="283"/>
      <c r="CUV34" s="283"/>
      <c r="CUW34" s="283"/>
      <c r="CUX34" s="283"/>
      <c r="CUY34" s="283"/>
      <c r="CUZ34" s="283"/>
      <c r="CVA34" s="283"/>
      <c r="CVB34" s="283"/>
      <c r="CVC34" s="283"/>
      <c r="CVD34" s="283"/>
      <c r="CVE34" s="283"/>
      <c r="CVF34" s="283"/>
      <c r="CVG34" s="283"/>
      <c r="CVH34" s="283"/>
      <c r="CVI34" s="283"/>
      <c r="CVJ34" s="283"/>
      <c r="CVK34" s="283"/>
      <c r="CVL34" s="283"/>
      <c r="CVM34" s="283"/>
      <c r="CVN34" s="283"/>
      <c r="CVO34" s="283"/>
      <c r="CVP34" s="283"/>
      <c r="CVQ34" s="283"/>
      <c r="CVR34" s="283"/>
      <c r="CVS34" s="283"/>
      <c r="CVT34" s="283"/>
      <c r="CVU34" s="283"/>
      <c r="CVV34" s="283"/>
      <c r="CVW34" s="283"/>
      <c r="CVX34" s="283"/>
      <c r="CVY34" s="283"/>
      <c r="CVZ34" s="283"/>
      <c r="CWA34" s="283"/>
      <c r="CWB34" s="283"/>
      <c r="CWC34" s="283"/>
      <c r="CWD34" s="283"/>
      <c r="CWE34" s="283"/>
      <c r="CWF34" s="283"/>
      <c r="CWG34" s="283"/>
      <c r="CWH34" s="283"/>
      <c r="CWI34" s="283"/>
      <c r="CWJ34" s="283"/>
      <c r="CWK34" s="283"/>
      <c r="CWL34" s="283"/>
      <c r="CWM34" s="283"/>
      <c r="CWN34" s="283"/>
      <c r="CWO34" s="283"/>
      <c r="CWP34" s="283"/>
      <c r="CWQ34" s="283"/>
      <c r="CWR34" s="283"/>
      <c r="CWS34" s="283"/>
      <c r="CWT34" s="283"/>
      <c r="CWU34" s="283"/>
      <c r="CWV34" s="283"/>
      <c r="CWW34" s="283"/>
      <c r="CWX34" s="283"/>
      <c r="CWY34" s="283"/>
      <c r="CWZ34" s="283"/>
      <c r="CXA34" s="283"/>
      <c r="CXB34" s="283"/>
      <c r="CXC34" s="283"/>
      <c r="CXD34" s="283"/>
      <c r="CXE34" s="283"/>
      <c r="CXF34" s="283"/>
      <c r="CXG34" s="283"/>
      <c r="CXH34" s="283"/>
      <c r="CXI34" s="283"/>
      <c r="CXJ34" s="283"/>
      <c r="CXK34" s="283"/>
      <c r="CXL34" s="283"/>
      <c r="CXM34" s="283"/>
      <c r="CXN34" s="283"/>
      <c r="CXO34" s="283"/>
      <c r="CXP34" s="283"/>
      <c r="CXQ34" s="283"/>
      <c r="CXR34" s="283"/>
      <c r="CXS34" s="283"/>
      <c r="CXT34" s="283"/>
      <c r="CXU34" s="283"/>
      <c r="CXV34" s="283"/>
      <c r="CXW34" s="283"/>
      <c r="CXX34" s="283"/>
      <c r="CXY34" s="283"/>
      <c r="CXZ34" s="283"/>
      <c r="CYA34" s="283"/>
      <c r="CYB34" s="283"/>
      <c r="CYC34" s="283"/>
      <c r="CYD34" s="283"/>
      <c r="CYE34" s="283"/>
      <c r="CYF34" s="283"/>
      <c r="CYG34" s="283"/>
      <c r="CYH34" s="283"/>
      <c r="CYI34" s="283"/>
      <c r="CYJ34" s="283"/>
      <c r="CYK34" s="283"/>
      <c r="CYL34" s="283"/>
      <c r="CYM34" s="283"/>
      <c r="CYN34" s="283"/>
      <c r="CYO34" s="283"/>
      <c r="CYP34" s="283"/>
      <c r="CYQ34" s="283"/>
      <c r="CYR34" s="283"/>
      <c r="CYS34" s="283"/>
      <c r="CYT34" s="283"/>
      <c r="CYU34" s="283"/>
      <c r="CYV34" s="283"/>
      <c r="CYW34" s="283"/>
      <c r="CYX34" s="283"/>
      <c r="CYY34" s="283"/>
      <c r="CYZ34" s="283"/>
      <c r="CZA34" s="283"/>
      <c r="CZB34" s="283"/>
      <c r="CZC34" s="283"/>
      <c r="CZD34" s="283"/>
      <c r="CZE34" s="283"/>
      <c r="CZF34" s="283"/>
      <c r="CZG34" s="283"/>
      <c r="CZH34" s="283"/>
      <c r="CZI34" s="283"/>
      <c r="CZJ34" s="283"/>
      <c r="CZK34" s="283"/>
      <c r="CZL34" s="283"/>
      <c r="CZM34" s="283"/>
      <c r="CZN34" s="283"/>
      <c r="CZO34" s="283"/>
      <c r="CZP34" s="283"/>
      <c r="CZQ34" s="283"/>
      <c r="CZR34" s="283"/>
      <c r="CZS34" s="283"/>
      <c r="CZT34" s="283"/>
      <c r="CZU34" s="283"/>
      <c r="CZV34" s="283"/>
      <c r="CZW34" s="283"/>
      <c r="CZX34" s="283"/>
      <c r="CZY34" s="283"/>
      <c r="CZZ34" s="283"/>
      <c r="DAA34" s="283"/>
      <c r="DAB34" s="283"/>
      <c r="DAC34" s="283"/>
      <c r="DAD34" s="283"/>
      <c r="DAE34" s="283"/>
      <c r="DAF34" s="283"/>
      <c r="DAG34" s="283"/>
      <c r="DAH34" s="283"/>
      <c r="DAI34" s="283"/>
      <c r="DAJ34" s="283"/>
      <c r="DAK34" s="283"/>
      <c r="DAL34" s="283"/>
      <c r="DAM34" s="283"/>
      <c r="DAN34" s="283"/>
      <c r="DAO34" s="283"/>
      <c r="DAP34" s="283"/>
      <c r="DAQ34" s="283"/>
      <c r="DAR34" s="283"/>
      <c r="DAS34" s="283"/>
      <c r="DAT34" s="283"/>
      <c r="DAU34" s="283"/>
      <c r="DAV34" s="283"/>
      <c r="DAW34" s="283"/>
      <c r="DAX34" s="283"/>
      <c r="DAY34" s="283"/>
      <c r="DAZ34" s="283"/>
      <c r="DBA34" s="283"/>
      <c r="DBB34" s="283"/>
      <c r="DBC34" s="283"/>
      <c r="DBD34" s="283"/>
      <c r="DBE34" s="283"/>
      <c r="DBF34" s="283"/>
      <c r="DBG34" s="283"/>
      <c r="DBH34" s="283"/>
      <c r="DBI34" s="283"/>
      <c r="DBJ34" s="283"/>
      <c r="DBK34" s="283"/>
      <c r="DBL34" s="283"/>
      <c r="DBM34" s="283"/>
      <c r="DBN34" s="283"/>
      <c r="DBO34" s="283"/>
      <c r="DBP34" s="283"/>
      <c r="DBQ34" s="283"/>
      <c r="DBR34" s="283"/>
      <c r="DBS34" s="283"/>
      <c r="DBT34" s="283"/>
      <c r="DBU34" s="283"/>
      <c r="DBV34" s="283"/>
      <c r="DBW34" s="283"/>
      <c r="DBX34" s="283"/>
      <c r="DBY34" s="283"/>
      <c r="DBZ34" s="283"/>
      <c r="DCA34" s="283"/>
      <c r="DCB34" s="283"/>
      <c r="DCC34" s="283"/>
      <c r="DCD34" s="283"/>
      <c r="DCE34" s="283"/>
      <c r="DCF34" s="283"/>
      <c r="DCG34" s="283"/>
      <c r="DCH34" s="283"/>
      <c r="DCI34" s="283"/>
      <c r="DCJ34" s="283"/>
      <c r="DCK34" s="283"/>
      <c r="DCL34" s="283"/>
      <c r="DCM34" s="283"/>
      <c r="DCN34" s="283"/>
      <c r="DCO34" s="283"/>
      <c r="DCP34" s="283"/>
      <c r="DCQ34" s="283"/>
      <c r="DCR34" s="283"/>
      <c r="DCS34" s="283"/>
      <c r="DCT34" s="283"/>
      <c r="DCU34" s="283"/>
      <c r="DCV34" s="283"/>
      <c r="DCW34" s="283"/>
      <c r="DCX34" s="283"/>
      <c r="DCY34" s="283"/>
      <c r="DCZ34" s="283"/>
      <c r="DDA34" s="283"/>
      <c r="DDB34" s="283"/>
      <c r="DDC34" s="283"/>
      <c r="DDD34" s="283"/>
      <c r="DDE34" s="283"/>
      <c r="DDF34" s="283"/>
      <c r="DDG34" s="283"/>
      <c r="DDH34" s="283"/>
      <c r="DDI34" s="283"/>
      <c r="DDJ34" s="283"/>
      <c r="DDK34" s="283"/>
      <c r="DDL34" s="283"/>
      <c r="DDM34" s="283"/>
      <c r="DDN34" s="283"/>
      <c r="DDO34" s="283"/>
      <c r="DDP34" s="283"/>
      <c r="DDQ34" s="283"/>
      <c r="DDR34" s="283"/>
      <c r="DDS34" s="283"/>
      <c r="DDT34" s="283"/>
      <c r="DDU34" s="283"/>
      <c r="DDV34" s="283"/>
      <c r="DDW34" s="283"/>
      <c r="DDX34" s="283"/>
      <c r="DDY34" s="283"/>
      <c r="DDZ34" s="283"/>
      <c r="DEA34" s="283"/>
      <c r="DEB34" s="283"/>
      <c r="DEC34" s="283"/>
      <c r="DED34" s="283"/>
      <c r="DEE34" s="283"/>
      <c r="DEF34" s="283"/>
      <c r="DEG34" s="283"/>
      <c r="DEH34" s="283"/>
      <c r="DEI34" s="283"/>
      <c r="DEJ34" s="283"/>
      <c r="DEK34" s="283"/>
      <c r="DEL34" s="283"/>
      <c r="DEM34" s="283"/>
      <c r="DEN34" s="283"/>
      <c r="DEO34" s="283"/>
      <c r="DEP34" s="283"/>
      <c r="DEQ34" s="283"/>
      <c r="DER34" s="283"/>
      <c r="DES34" s="283"/>
      <c r="DET34" s="283"/>
      <c r="DEU34" s="283"/>
      <c r="DEV34" s="283"/>
      <c r="DEW34" s="283"/>
      <c r="DEX34" s="283"/>
      <c r="DEY34" s="283"/>
      <c r="DEZ34" s="283"/>
      <c r="DFA34" s="283"/>
      <c r="DFB34" s="283"/>
      <c r="DFC34" s="283"/>
      <c r="DFD34" s="283"/>
      <c r="DFE34" s="283"/>
      <c r="DFF34" s="283"/>
      <c r="DFG34" s="283"/>
      <c r="DFH34" s="283"/>
      <c r="DFI34" s="283"/>
      <c r="DFJ34" s="283"/>
      <c r="DFK34" s="283"/>
      <c r="DFL34" s="283"/>
      <c r="DFM34" s="283"/>
      <c r="DFN34" s="283"/>
      <c r="DFO34" s="283"/>
      <c r="DFP34" s="283"/>
      <c r="DFQ34" s="283"/>
      <c r="DFR34" s="283"/>
      <c r="DFS34" s="283"/>
      <c r="DFT34" s="283"/>
      <c r="DFU34" s="283"/>
      <c r="DFV34" s="283"/>
      <c r="DFW34" s="283"/>
      <c r="DFX34" s="283"/>
      <c r="DFY34" s="283"/>
      <c r="DFZ34" s="283"/>
      <c r="DGA34" s="283"/>
      <c r="DGB34" s="283"/>
      <c r="DGC34" s="283"/>
      <c r="DGD34" s="283"/>
      <c r="DGE34" s="283"/>
      <c r="DGF34" s="283"/>
      <c r="DGG34" s="283"/>
      <c r="DGH34" s="283"/>
      <c r="DGI34" s="283"/>
      <c r="DGJ34" s="283"/>
      <c r="DGK34" s="283"/>
      <c r="DGL34" s="283"/>
      <c r="DGM34" s="283"/>
      <c r="DGN34" s="283"/>
      <c r="DGO34" s="283"/>
      <c r="DGP34" s="283"/>
      <c r="DGQ34" s="283"/>
      <c r="DGR34" s="283"/>
      <c r="DGS34" s="283"/>
      <c r="DGT34" s="283"/>
      <c r="DGU34" s="283"/>
      <c r="DGV34" s="283"/>
      <c r="DGW34" s="283"/>
      <c r="DGX34" s="283"/>
      <c r="DGY34" s="283"/>
      <c r="DGZ34" s="283"/>
      <c r="DHA34" s="283"/>
      <c r="DHB34" s="283"/>
      <c r="DHC34" s="283"/>
      <c r="DHD34" s="283"/>
      <c r="DHE34" s="283"/>
      <c r="DHF34" s="283"/>
      <c r="DHG34" s="283"/>
      <c r="DHH34" s="283"/>
      <c r="DHI34" s="283"/>
      <c r="DHJ34" s="283"/>
      <c r="DHK34" s="283"/>
      <c r="DHL34" s="283"/>
      <c r="DHM34" s="283"/>
      <c r="DHN34" s="283"/>
      <c r="DHO34" s="283"/>
      <c r="DHP34" s="283"/>
      <c r="DHQ34" s="283"/>
      <c r="DHR34" s="283"/>
      <c r="DHS34" s="283"/>
      <c r="DHT34" s="283"/>
      <c r="DHU34" s="283"/>
      <c r="DHV34" s="283"/>
      <c r="DHW34" s="283"/>
      <c r="DHX34" s="283"/>
      <c r="DHY34" s="283"/>
      <c r="DHZ34" s="283"/>
      <c r="DIA34" s="283"/>
      <c r="DIB34" s="283"/>
      <c r="DIC34" s="283"/>
      <c r="DID34" s="283"/>
      <c r="DIE34" s="283"/>
      <c r="DIF34" s="283"/>
      <c r="DIG34" s="283"/>
      <c r="DIH34" s="283"/>
      <c r="DII34" s="283"/>
      <c r="DIJ34" s="283"/>
      <c r="DIK34" s="283"/>
      <c r="DIL34" s="283"/>
      <c r="DIM34" s="283"/>
      <c r="DIN34" s="283"/>
      <c r="DIO34" s="283"/>
      <c r="DIP34" s="283"/>
      <c r="DIQ34" s="283"/>
      <c r="DIR34" s="283"/>
      <c r="DIS34" s="283"/>
      <c r="DIT34" s="283"/>
      <c r="DIU34" s="283"/>
      <c r="DIV34" s="283"/>
      <c r="DIW34" s="283"/>
      <c r="DIX34" s="283"/>
      <c r="DIY34" s="283"/>
      <c r="DIZ34" s="283"/>
      <c r="DJA34" s="283"/>
      <c r="DJB34" s="283"/>
      <c r="DJC34" s="283"/>
      <c r="DJD34" s="283"/>
      <c r="DJE34" s="283"/>
      <c r="DJF34" s="283"/>
      <c r="DJG34" s="283"/>
      <c r="DJH34" s="283"/>
      <c r="DJI34" s="283"/>
      <c r="DJJ34" s="283"/>
      <c r="DJK34" s="283"/>
      <c r="DJL34" s="283"/>
      <c r="DJM34" s="283"/>
      <c r="DJN34" s="283"/>
      <c r="DJO34" s="283"/>
      <c r="DJP34" s="283"/>
      <c r="DJQ34" s="283"/>
      <c r="DJR34" s="283"/>
      <c r="DJS34" s="283"/>
      <c r="DJT34" s="283"/>
      <c r="DJU34" s="283"/>
      <c r="DJV34" s="283"/>
      <c r="DJW34" s="283"/>
      <c r="DJX34" s="283"/>
      <c r="DJY34" s="283"/>
      <c r="DJZ34" s="283"/>
      <c r="DKA34" s="283"/>
      <c r="DKB34" s="283"/>
      <c r="DKC34" s="283"/>
      <c r="DKD34" s="283"/>
      <c r="DKE34" s="283"/>
      <c r="DKF34" s="283"/>
      <c r="DKG34" s="283"/>
      <c r="DKH34" s="283"/>
      <c r="DKI34" s="283"/>
      <c r="DKJ34" s="283"/>
      <c r="DKK34" s="283"/>
      <c r="DKL34" s="283"/>
      <c r="DKM34" s="283"/>
      <c r="DKN34" s="283"/>
      <c r="DKO34" s="283"/>
      <c r="DKP34" s="283"/>
      <c r="DKQ34" s="283"/>
      <c r="DKR34" s="283"/>
      <c r="DKS34" s="283"/>
      <c r="DKT34" s="283"/>
      <c r="DKU34" s="283"/>
      <c r="DKV34" s="283"/>
      <c r="DKW34" s="283"/>
      <c r="DKX34" s="283"/>
      <c r="DKY34" s="283"/>
      <c r="DKZ34" s="283"/>
      <c r="DLA34" s="283"/>
      <c r="DLB34" s="283"/>
      <c r="DLC34" s="283"/>
      <c r="DLD34" s="283"/>
      <c r="DLE34" s="283"/>
      <c r="DLF34" s="283"/>
      <c r="DLG34" s="283"/>
      <c r="DLH34" s="283"/>
      <c r="DLI34" s="283"/>
      <c r="DLJ34" s="283"/>
      <c r="DLK34" s="283"/>
      <c r="DLL34" s="283"/>
      <c r="DLM34" s="283"/>
      <c r="DLN34" s="283"/>
      <c r="DLO34" s="283"/>
      <c r="DLP34" s="283"/>
      <c r="DLQ34" s="283"/>
      <c r="DLR34" s="283"/>
      <c r="DLS34" s="283"/>
      <c r="DLT34" s="283"/>
      <c r="DLU34" s="283"/>
      <c r="DLV34" s="283"/>
      <c r="DLW34" s="283"/>
      <c r="DLX34" s="283"/>
      <c r="DLY34" s="283"/>
      <c r="DLZ34" s="283"/>
      <c r="DMA34" s="283"/>
      <c r="DMB34" s="283"/>
      <c r="DMC34" s="283"/>
      <c r="DMD34" s="283"/>
      <c r="DME34" s="283"/>
      <c r="DMF34" s="283"/>
      <c r="DMG34" s="283"/>
      <c r="DMH34" s="283"/>
      <c r="DMI34" s="283"/>
      <c r="DMJ34" s="283"/>
      <c r="DMK34" s="283"/>
      <c r="DML34" s="283"/>
      <c r="DMM34" s="283"/>
      <c r="DMN34" s="283"/>
      <c r="DMO34" s="283"/>
      <c r="DMP34" s="283"/>
      <c r="DMQ34" s="283"/>
      <c r="DMR34" s="283"/>
      <c r="DMS34" s="283"/>
      <c r="DMT34" s="283"/>
      <c r="DMU34" s="283"/>
      <c r="DMV34" s="283"/>
      <c r="DMW34" s="283"/>
      <c r="DMX34" s="283"/>
      <c r="DMY34" s="283"/>
      <c r="DMZ34" s="283"/>
      <c r="DNA34" s="283"/>
      <c r="DNB34" s="283"/>
      <c r="DNC34" s="283"/>
      <c r="DND34" s="283"/>
      <c r="DNE34" s="283"/>
      <c r="DNF34" s="283"/>
      <c r="DNG34" s="283"/>
      <c r="DNH34" s="283"/>
      <c r="DNI34" s="283"/>
      <c r="DNJ34" s="283"/>
      <c r="DNK34" s="283"/>
      <c r="DNL34" s="283"/>
      <c r="DNM34" s="283"/>
      <c r="DNN34" s="283"/>
      <c r="DNO34" s="283"/>
      <c r="DNP34" s="283"/>
      <c r="DNQ34" s="283"/>
      <c r="DNR34" s="283"/>
      <c r="DNS34" s="283"/>
      <c r="DNT34" s="283"/>
      <c r="DNU34" s="283"/>
      <c r="DNV34" s="283"/>
      <c r="DNW34" s="283"/>
      <c r="DNX34" s="283"/>
      <c r="DNY34" s="283"/>
      <c r="DNZ34" s="283"/>
      <c r="DOA34" s="283"/>
      <c r="DOB34" s="283"/>
      <c r="DOC34" s="283"/>
      <c r="DOD34" s="283"/>
      <c r="DOE34" s="283"/>
      <c r="DOF34" s="283"/>
      <c r="DOG34" s="283"/>
      <c r="DOH34" s="283"/>
      <c r="DOI34" s="283"/>
      <c r="DOJ34" s="283"/>
      <c r="DOK34" s="283"/>
      <c r="DOL34" s="283"/>
      <c r="DOM34" s="283"/>
      <c r="DON34" s="283"/>
      <c r="DOO34" s="283"/>
      <c r="DOP34" s="283"/>
      <c r="DOQ34" s="283"/>
      <c r="DOR34" s="283"/>
      <c r="DOS34" s="283"/>
      <c r="DOT34" s="283"/>
      <c r="DOU34" s="283"/>
      <c r="DOV34" s="283"/>
      <c r="DOW34" s="283"/>
      <c r="DOX34" s="283"/>
      <c r="DOY34" s="283"/>
      <c r="DOZ34" s="283"/>
      <c r="DPA34" s="283"/>
      <c r="DPB34" s="283"/>
      <c r="DPC34" s="283"/>
      <c r="DPD34" s="283"/>
      <c r="DPE34" s="283"/>
      <c r="DPF34" s="283"/>
      <c r="DPG34" s="283"/>
      <c r="DPH34" s="283"/>
      <c r="DPI34" s="283"/>
      <c r="DPJ34" s="283"/>
      <c r="DPK34" s="283"/>
      <c r="DPL34" s="283"/>
      <c r="DPM34" s="283"/>
      <c r="DPN34" s="283"/>
      <c r="DPO34" s="283"/>
      <c r="DPP34" s="283"/>
      <c r="DPQ34" s="283"/>
      <c r="DPR34" s="283"/>
      <c r="DPS34" s="283"/>
      <c r="DPT34" s="283"/>
      <c r="DPU34" s="283"/>
      <c r="DPV34" s="283"/>
      <c r="DPW34" s="283"/>
      <c r="DPX34" s="283"/>
      <c r="DPY34" s="283"/>
      <c r="DPZ34" s="283"/>
      <c r="DQA34" s="283"/>
      <c r="DQB34" s="283"/>
      <c r="DQC34" s="283"/>
      <c r="DQD34" s="283"/>
      <c r="DQE34" s="283"/>
      <c r="DQF34" s="283"/>
      <c r="DQG34" s="283"/>
      <c r="DQH34" s="283"/>
      <c r="DQI34" s="283"/>
      <c r="DQJ34" s="283"/>
      <c r="DQK34" s="283"/>
      <c r="DQL34" s="283"/>
      <c r="DQM34" s="283"/>
      <c r="DQN34" s="283"/>
      <c r="DQO34" s="283"/>
      <c r="DQP34" s="283"/>
      <c r="DQQ34" s="283"/>
      <c r="DQR34" s="283"/>
      <c r="DQS34" s="283"/>
      <c r="DQT34" s="283"/>
      <c r="DQU34" s="283"/>
      <c r="DQV34" s="283"/>
      <c r="DQW34" s="283"/>
      <c r="DQX34" s="283"/>
      <c r="DQY34" s="283"/>
      <c r="DQZ34" s="283"/>
      <c r="DRA34" s="283"/>
      <c r="DRB34" s="283"/>
      <c r="DRC34" s="283"/>
      <c r="DRD34" s="283"/>
      <c r="DRE34" s="283"/>
      <c r="DRF34" s="283"/>
      <c r="DRG34" s="283"/>
      <c r="DRH34" s="283"/>
      <c r="DRI34" s="283"/>
      <c r="DRJ34" s="283"/>
      <c r="DRK34" s="283"/>
      <c r="DRL34" s="283"/>
      <c r="DRM34" s="283"/>
      <c r="DRN34" s="283"/>
      <c r="DRO34" s="283"/>
      <c r="DRP34" s="283"/>
      <c r="DRQ34" s="283"/>
      <c r="DRR34" s="283"/>
      <c r="DRS34" s="283"/>
      <c r="DRT34" s="283"/>
      <c r="DRU34" s="283"/>
      <c r="DRV34" s="283"/>
      <c r="DRW34" s="283"/>
      <c r="DRX34" s="283"/>
      <c r="DRY34" s="283"/>
      <c r="DRZ34" s="283"/>
      <c r="DSA34" s="283"/>
      <c r="DSB34" s="283"/>
      <c r="DSC34" s="283"/>
      <c r="DSD34" s="283"/>
      <c r="DSE34" s="283"/>
      <c r="DSF34" s="283"/>
      <c r="DSG34" s="283"/>
      <c r="DSH34" s="283"/>
      <c r="DSI34" s="283"/>
      <c r="DSJ34" s="283"/>
      <c r="DSK34" s="283"/>
      <c r="DSL34" s="283"/>
      <c r="DSM34" s="283"/>
      <c r="DSN34" s="283"/>
      <c r="DSO34" s="283"/>
      <c r="DSP34" s="283"/>
      <c r="DSQ34" s="283"/>
      <c r="DSR34" s="283"/>
      <c r="DSS34" s="283"/>
      <c r="DST34" s="283"/>
      <c r="DSU34" s="283"/>
      <c r="DSV34" s="283"/>
      <c r="DSW34" s="283"/>
      <c r="DSX34" s="283"/>
      <c r="DSY34" s="283"/>
      <c r="DSZ34" s="283"/>
      <c r="DTA34" s="283"/>
      <c r="DTB34" s="283"/>
      <c r="DTC34" s="283"/>
      <c r="DTD34" s="283"/>
      <c r="DTE34" s="283"/>
      <c r="DTF34" s="283"/>
      <c r="DTG34" s="283"/>
      <c r="DTH34" s="283"/>
      <c r="DTI34" s="283"/>
      <c r="DTJ34" s="283"/>
      <c r="DTK34" s="283"/>
      <c r="DTL34" s="283"/>
      <c r="DTM34" s="283"/>
      <c r="DTN34" s="283"/>
      <c r="DTO34" s="283"/>
      <c r="DTP34" s="283"/>
      <c r="DTQ34" s="283"/>
      <c r="DTR34" s="283"/>
      <c r="DTS34" s="283"/>
      <c r="DTT34" s="283"/>
      <c r="DTU34" s="283"/>
      <c r="DTV34" s="283"/>
      <c r="DTW34" s="283"/>
      <c r="DTX34" s="283"/>
      <c r="DTY34" s="283"/>
      <c r="DTZ34" s="283"/>
      <c r="DUA34" s="283"/>
      <c r="DUB34" s="283"/>
      <c r="DUC34" s="283"/>
      <c r="DUD34" s="283"/>
      <c r="DUE34" s="283"/>
      <c r="DUF34" s="283"/>
      <c r="DUG34" s="283"/>
      <c r="DUH34" s="283"/>
      <c r="DUI34" s="283"/>
      <c r="DUJ34" s="283"/>
      <c r="DUK34" s="283"/>
      <c r="DUL34" s="283"/>
      <c r="DUM34" s="283"/>
      <c r="DUN34" s="283"/>
      <c r="DUO34" s="283"/>
      <c r="DUP34" s="283"/>
      <c r="DUQ34" s="283"/>
      <c r="DUR34" s="283"/>
      <c r="DUS34" s="283"/>
      <c r="DUT34" s="283"/>
      <c r="DUU34" s="283"/>
      <c r="DUV34" s="283"/>
      <c r="DUW34" s="283"/>
      <c r="DUX34" s="283"/>
      <c r="DUY34" s="283"/>
      <c r="DUZ34" s="283"/>
      <c r="DVA34" s="283"/>
      <c r="DVB34" s="283"/>
      <c r="DVC34" s="283"/>
      <c r="DVD34" s="283"/>
      <c r="DVE34" s="283"/>
      <c r="DVF34" s="283"/>
      <c r="DVG34" s="283"/>
      <c r="DVH34" s="283"/>
      <c r="DVI34" s="283"/>
      <c r="DVJ34" s="283"/>
      <c r="DVK34" s="283"/>
      <c r="DVL34" s="283"/>
      <c r="DVM34" s="283"/>
      <c r="DVN34" s="283"/>
      <c r="DVO34" s="283"/>
      <c r="DVP34" s="283"/>
      <c r="DVQ34" s="283"/>
      <c r="DVR34" s="283"/>
      <c r="DVS34" s="283"/>
      <c r="DVT34" s="283"/>
      <c r="DVU34" s="283"/>
      <c r="DVV34" s="283"/>
      <c r="DVW34" s="283"/>
      <c r="DVX34" s="283"/>
      <c r="DVY34" s="283"/>
      <c r="DVZ34" s="283"/>
      <c r="DWA34" s="283"/>
      <c r="DWB34" s="283"/>
      <c r="DWC34" s="283"/>
      <c r="DWD34" s="283"/>
      <c r="DWE34" s="283"/>
      <c r="DWF34" s="283"/>
      <c r="DWG34" s="283"/>
      <c r="DWH34" s="283"/>
      <c r="DWI34" s="283"/>
      <c r="DWJ34" s="283"/>
      <c r="DWK34" s="283"/>
      <c r="DWL34" s="283"/>
      <c r="DWM34" s="283"/>
      <c r="DWN34" s="283"/>
      <c r="DWO34" s="283"/>
      <c r="DWP34" s="283"/>
      <c r="DWQ34" s="283"/>
      <c r="DWR34" s="283"/>
      <c r="DWS34" s="283"/>
      <c r="DWT34" s="283"/>
      <c r="DWU34" s="283"/>
      <c r="DWV34" s="283"/>
      <c r="DWW34" s="283"/>
      <c r="DWX34" s="283"/>
      <c r="DWY34" s="283"/>
      <c r="DWZ34" s="283"/>
      <c r="DXA34" s="283"/>
      <c r="DXB34" s="283"/>
      <c r="DXC34" s="283"/>
      <c r="DXD34" s="283"/>
      <c r="DXE34" s="283"/>
      <c r="DXF34" s="283"/>
      <c r="DXG34" s="283"/>
      <c r="DXH34" s="283"/>
      <c r="DXI34" s="283"/>
      <c r="DXJ34" s="283"/>
      <c r="DXK34" s="283"/>
      <c r="DXL34" s="283"/>
      <c r="DXM34" s="283"/>
      <c r="DXN34" s="283"/>
      <c r="DXO34" s="283"/>
      <c r="DXP34" s="283"/>
      <c r="DXQ34" s="283"/>
      <c r="DXR34" s="283"/>
      <c r="DXS34" s="283"/>
      <c r="DXT34" s="283"/>
      <c r="DXU34" s="283"/>
      <c r="DXV34" s="283"/>
      <c r="DXW34" s="283"/>
      <c r="DXX34" s="283"/>
      <c r="DXY34" s="283"/>
      <c r="DXZ34" s="283"/>
      <c r="DYA34" s="283"/>
      <c r="DYB34" s="283"/>
      <c r="DYC34" s="283"/>
      <c r="DYD34" s="283"/>
      <c r="DYE34" s="283"/>
      <c r="DYF34" s="283"/>
      <c r="DYG34" s="283"/>
      <c r="DYH34" s="283"/>
      <c r="DYI34" s="283"/>
      <c r="DYJ34" s="283"/>
      <c r="DYK34" s="283"/>
      <c r="DYL34" s="283"/>
      <c r="DYM34" s="283"/>
      <c r="DYN34" s="283"/>
      <c r="DYO34" s="283"/>
      <c r="DYP34" s="283"/>
      <c r="DYQ34" s="283"/>
      <c r="DYR34" s="283"/>
      <c r="DYS34" s="283"/>
      <c r="DYT34" s="283"/>
      <c r="DYU34" s="283"/>
      <c r="DYV34" s="283"/>
      <c r="DYW34" s="283"/>
      <c r="DYX34" s="283"/>
      <c r="DYY34" s="283"/>
      <c r="DYZ34" s="283"/>
      <c r="DZA34" s="283"/>
      <c r="DZB34" s="283"/>
      <c r="DZC34" s="283"/>
      <c r="DZD34" s="283"/>
      <c r="DZE34" s="283"/>
      <c r="DZF34" s="283"/>
      <c r="DZG34" s="283"/>
      <c r="DZH34" s="283"/>
      <c r="DZI34" s="283"/>
      <c r="DZJ34" s="283"/>
      <c r="DZK34" s="283"/>
      <c r="DZL34" s="283"/>
      <c r="DZM34" s="283"/>
      <c r="DZN34" s="283"/>
      <c r="DZO34" s="283"/>
      <c r="DZP34" s="283"/>
      <c r="DZQ34" s="283"/>
      <c r="DZR34" s="283"/>
      <c r="DZS34" s="283"/>
      <c r="DZT34" s="283"/>
      <c r="DZU34" s="283"/>
      <c r="DZV34" s="283"/>
      <c r="DZW34" s="283"/>
      <c r="DZX34" s="283"/>
      <c r="DZY34" s="283"/>
      <c r="DZZ34" s="283"/>
      <c r="EAA34" s="283"/>
      <c r="EAB34" s="283"/>
      <c r="EAC34" s="283"/>
      <c r="EAD34" s="283"/>
      <c r="EAE34" s="283"/>
      <c r="EAF34" s="283"/>
      <c r="EAG34" s="283"/>
      <c r="EAH34" s="283"/>
      <c r="EAI34" s="283"/>
      <c r="EAJ34" s="283"/>
      <c r="EAK34" s="283"/>
      <c r="EAL34" s="283"/>
      <c r="EAM34" s="283"/>
      <c r="EAN34" s="283"/>
      <c r="EAO34" s="283"/>
      <c r="EAP34" s="283"/>
      <c r="EAQ34" s="283"/>
      <c r="EAR34" s="283"/>
      <c r="EAS34" s="283"/>
      <c r="EAT34" s="283"/>
      <c r="EAU34" s="283"/>
      <c r="EAV34" s="283"/>
      <c r="EAW34" s="283"/>
      <c r="EAX34" s="283"/>
      <c r="EAY34" s="283"/>
      <c r="EAZ34" s="283"/>
      <c r="EBA34" s="283"/>
      <c r="EBB34" s="283"/>
      <c r="EBC34" s="283"/>
      <c r="EBD34" s="283"/>
      <c r="EBE34" s="283"/>
      <c r="EBF34" s="283"/>
      <c r="EBG34" s="283"/>
      <c r="EBH34" s="283"/>
      <c r="EBI34" s="283"/>
      <c r="EBJ34" s="283"/>
      <c r="EBK34" s="283"/>
      <c r="EBL34" s="283"/>
      <c r="EBM34" s="283"/>
      <c r="EBN34" s="283"/>
      <c r="EBO34" s="283"/>
      <c r="EBP34" s="283"/>
      <c r="EBQ34" s="283"/>
      <c r="EBR34" s="283"/>
      <c r="EBS34" s="283"/>
      <c r="EBT34" s="283"/>
      <c r="EBU34" s="283"/>
      <c r="EBV34" s="283"/>
      <c r="EBW34" s="283"/>
      <c r="EBX34" s="283"/>
      <c r="EBY34" s="283"/>
      <c r="EBZ34" s="283"/>
      <c r="ECA34" s="283"/>
      <c r="ECB34" s="283"/>
      <c r="ECC34" s="283"/>
      <c r="ECD34" s="283"/>
      <c r="ECE34" s="283"/>
      <c r="ECF34" s="283"/>
      <c r="ECG34" s="283"/>
      <c r="ECH34" s="283"/>
      <c r="ECI34" s="283"/>
      <c r="ECJ34" s="283"/>
      <c r="ECK34" s="283"/>
      <c r="ECL34" s="283"/>
      <c r="ECM34" s="283"/>
      <c r="ECN34" s="283"/>
      <c r="ECO34" s="283"/>
      <c r="ECP34" s="283"/>
      <c r="ECQ34" s="283"/>
      <c r="ECR34" s="283"/>
      <c r="ECS34" s="283"/>
      <c r="ECT34" s="283"/>
      <c r="ECU34" s="283"/>
      <c r="ECV34" s="283"/>
      <c r="ECW34" s="283"/>
      <c r="ECX34" s="283"/>
      <c r="ECY34" s="283"/>
      <c r="ECZ34" s="283"/>
      <c r="EDA34" s="283"/>
      <c r="EDB34" s="283"/>
      <c r="EDC34" s="283"/>
      <c r="EDD34" s="283"/>
      <c r="EDE34" s="283"/>
      <c r="EDF34" s="283"/>
      <c r="EDG34" s="283"/>
      <c r="EDH34" s="283"/>
      <c r="EDI34" s="283"/>
      <c r="EDJ34" s="283"/>
      <c r="EDK34" s="283"/>
      <c r="EDL34" s="283"/>
      <c r="EDM34" s="283"/>
      <c r="EDN34" s="283"/>
      <c r="EDO34" s="283"/>
      <c r="EDP34" s="283"/>
      <c r="EDQ34" s="283"/>
      <c r="EDR34" s="283"/>
      <c r="EDS34" s="283"/>
      <c r="EDT34" s="283"/>
      <c r="EDU34" s="283"/>
      <c r="EDV34" s="283"/>
      <c r="EDW34" s="283"/>
      <c r="EDX34" s="283"/>
      <c r="EDY34" s="283"/>
      <c r="EDZ34" s="283"/>
      <c r="EEA34" s="283"/>
      <c r="EEB34" s="283"/>
      <c r="EEC34" s="283"/>
      <c r="EED34" s="283"/>
      <c r="EEE34" s="283"/>
      <c r="EEF34" s="283"/>
      <c r="EEG34" s="283"/>
      <c r="EEH34" s="283"/>
      <c r="EEI34" s="283"/>
      <c r="EEJ34" s="283"/>
      <c r="EEK34" s="283"/>
      <c r="EEL34" s="283"/>
      <c r="EEM34" s="283"/>
      <c r="EEN34" s="283"/>
      <c r="EEO34" s="283"/>
      <c r="EEP34" s="283"/>
      <c r="EEQ34" s="283"/>
      <c r="EER34" s="283"/>
      <c r="EES34" s="283"/>
      <c r="EET34" s="283"/>
      <c r="EEU34" s="283"/>
      <c r="EEV34" s="283"/>
      <c r="EEW34" s="283"/>
      <c r="EEX34" s="283"/>
      <c r="EEY34" s="283"/>
      <c r="EEZ34" s="283"/>
      <c r="EFA34" s="283"/>
      <c r="EFB34" s="283"/>
      <c r="EFC34" s="283"/>
      <c r="EFD34" s="283"/>
      <c r="EFE34" s="283"/>
      <c r="EFF34" s="283"/>
      <c r="EFG34" s="283"/>
      <c r="EFH34" s="283"/>
      <c r="EFI34" s="283"/>
      <c r="EFJ34" s="283"/>
      <c r="EFK34" s="283"/>
      <c r="EFL34" s="283"/>
      <c r="EFM34" s="283"/>
      <c r="EFN34" s="283"/>
      <c r="EFO34" s="283"/>
      <c r="EFP34" s="283"/>
      <c r="EFQ34" s="283"/>
      <c r="EFR34" s="283"/>
      <c r="EFS34" s="283"/>
      <c r="EFT34" s="283"/>
      <c r="EFU34" s="283"/>
      <c r="EFV34" s="283"/>
      <c r="EFW34" s="283"/>
      <c r="EFX34" s="283"/>
      <c r="EFY34" s="283"/>
      <c r="EFZ34" s="283"/>
      <c r="EGA34" s="283"/>
      <c r="EGB34" s="283"/>
      <c r="EGC34" s="283"/>
      <c r="EGD34" s="283"/>
      <c r="EGE34" s="283"/>
      <c r="EGF34" s="283"/>
      <c r="EGG34" s="283"/>
      <c r="EGH34" s="283"/>
      <c r="EGI34" s="283"/>
      <c r="EGJ34" s="283"/>
      <c r="EGK34" s="283"/>
      <c r="EGL34" s="283"/>
      <c r="EGM34" s="283"/>
      <c r="EGN34" s="283"/>
      <c r="EGO34" s="283"/>
      <c r="EGP34" s="283"/>
      <c r="EGQ34" s="283"/>
      <c r="EGR34" s="283"/>
      <c r="EGS34" s="283"/>
      <c r="EGT34" s="283"/>
      <c r="EGU34" s="283"/>
      <c r="EGV34" s="283"/>
      <c r="EGW34" s="283"/>
      <c r="EGX34" s="283"/>
      <c r="EGY34" s="283"/>
      <c r="EGZ34" s="283"/>
      <c r="EHA34" s="283"/>
      <c r="EHB34" s="283"/>
      <c r="EHC34" s="283"/>
      <c r="EHD34" s="283"/>
      <c r="EHE34" s="283"/>
      <c r="EHF34" s="283"/>
      <c r="EHG34" s="283"/>
      <c r="EHH34" s="283"/>
      <c r="EHI34" s="283"/>
      <c r="EHJ34" s="283"/>
      <c r="EHK34" s="283"/>
      <c r="EHL34" s="283"/>
      <c r="EHM34" s="283"/>
      <c r="EHN34" s="283"/>
      <c r="EHO34" s="283"/>
      <c r="EHP34" s="283"/>
      <c r="EHQ34" s="283"/>
      <c r="EHR34" s="283"/>
      <c r="EHS34" s="283"/>
      <c r="EHT34" s="283"/>
      <c r="EHU34" s="283"/>
      <c r="EHV34" s="283"/>
      <c r="EHW34" s="283"/>
      <c r="EHX34" s="283"/>
      <c r="EHY34" s="283"/>
      <c r="EHZ34" s="283"/>
      <c r="EIA34" s="283"/>
      <c r="EIB34" s="283"/>
      <c r="EIC34" s="283"/>
      <c r="EID34" s="283"/>
      <c r="EIE34" s="283"/>
      <c r="EIF34" s="283"/>
      <c r="EIG34" s="283"/>
      <c r="EIH34" s="283"/>
      <c r="EII34" s="283"/>
      <c r="EIJ34" s="283"/>
      <c r="EIK34" s="283"/>
      <c r="EIL34" s="283"/>
      <c r="EIM34" s="283"/>
      <c r="EIN34" s="283"/>
      <c r="EIO34" s="283"/>
      <c r="EIP34" s="283"/>
      <c r="EIQ34" s="283"/>
      <c r="EIR34" s="283"/>
      <c r="EIS34" s="283"/>
      <c r="EIT34" s="283"/>
      <c r="EIU34" s="283"/>
      <c r="EIV34" s="283"/>
      <c r="EIW34" s="283"/>
      <c r="EIX34" s="283"/>
      <c r="EIY34" s="283"/>
      <c r="EIZ34" s="283"/>
      <c r="EJA34" s="283"/>
      <c r="EJB34" s="283"/>
      <c r="EJC34" s="283"/>
      <c r="EJD34" s="283"/>
      <c r="EJE34" s="283"/>
      <c r="EJF34" s="283"/>
      <c r="EJG34" s="283"/>
      <c r="EJH34" s="283"/>
      <c r="EJI34" s="283"/>
      <c r="EJJ34" s="283"/>
      <c r="EJK34" s="283"/>
      <c r="EJL34" s="283"/>
      <c r="EJM34" s="283"/>
      <c r="EJN34" s="283"/>
      <c r="EJO34" s="283"/>
      <c r="EJP34" s="283"/>
      <c r="EJQ34" s="283"/>
      <c r="EJR34" s="283"/>
      <c r="EJS34" s="283"/>
      <c r="EJT34" s="283"/>
      <c r="EJU34" s="283"/>
      <c r="EJV34" s="283"/>
      <c r="EJW34" s="283"/>
      <c r="EJX34" s="283"/>
      <c r="EJY34" s="283"/>
      <c r="EJZ34" s="283"/>
      <c r="EKA34" s="283"/>
      <c r="EKB34" s="283"/>
      <c r="EKC34" s="283"/>
      <c r="EKD34" s="283"/>
      <c r="EKE34" s="283"/>
      <c r="EKF34" s="283"/>
      <c r="EKG34" s="283"/>
      <c r="EKH34" s="283"/>
      <c r="EKI34" s="283"/>
      <c r="EKJ34" s="283"/>
      <c r="EKK34" s="283"/>
      <c r="EKL34" s="283"/>
      <c r="EKM34" s="283"/>
      <c r="EKN34" s="283"/>
      <c r="EKO34" s="283"/>
      <c r="EKP34" s="283"/>
      <c r="EKQ34" s="283"/>
      <c r="EKR34" s="283"/>
      <c r="EKS34" s="283"/>
      <c r="EKT34" s="283"/>
      <c r="EKU34" s="283"/>
      <c r="EKV34" s="283"/>
      <c r="EKW34" s="283"/>
      <c r="EKX34" s="283"/>
      <c r="EKY34" s="283"/>
      <c r="EKZ34" s="283"/>
      <c r="ELA34" s="283"/>
      <c r="ELB34" s="283"/>
      <c r="ELC34" s="283"/>
      <c r="ELD34" s="283"/>
      <c r="ELE34" s="283"/>
      <c r="ELF34" s="283"/>
      <c r="ELG34" s="283"/>
      <c r="ELH34" s="283"/>
      <c r="ELI34" s="283"/>
      <c r="ELJ34" s="283"/>
      <c r="ELK34" s="283"/>
      <c r="ELL34" s="283"/>
      <c r="ELM34" s="283"/>
      <c r="ELN34" s="283"/>
      <c r="ELO34" s="283"/>
      <c r="ELP34" s="283"/>
      <c r="ELQ34" s="283"/>
      <c r="ELR34" s="283"/>
      <c r="ELS34" s="283"/>
      <c r="ELT34" s="283"/>
      <c r="ELU34" s="283"/>
      <c r="ELV34" s="283"/>
      <c r="ELW34" s="283"/>
      <c r="ELX34" s="283"/>
      <c r="ELY34" s="283"/>
      <c r="ELZ34" s="283"/>
      <c r="EMA34" s="283"/>
      <c r="EMB34" s="283"/>
      <c r="EMC34" s="283"/>
      <c r="EMD34" s="283"/>
      <c r="EME34" s="283"/>
      <c r="EMF34" s="283"/>
      <c r="EMG34" s="283"/>
      <c r="EMH34" s="283"/>
      <c r="EMI34" s="283"/>
      <c r="EMJ34" s="283"/>
      <c r="EMK34" s="283"/>
      <c r="EML34" s="283"/>
      <c r="EMM34" s="283"/>
      <c r="EMN34" s="283"/>
      <c r="EMO34" s="283"/>
      <c r="EMP34" s="283"/>
      <c r="EMQ34" s="283"/>
      <c r="EMR34" s="283"/>
      <c r="EMS34" s="283"/>
      <c r="EMT34" s="283"/>
      <c r="EMU34" s="283"/>
      <c r="EMV34" s="283"/>
      <c r="EMW34" s="283"/>
      <c r="EMX34" s="283"/>
      <c r="EMY34" s="283"/>
      <c r="EMZ34" s="283"/>
      <c r="ENA34" s="283"/>
      <c r="ENB34" s="283"/>
      <c r="ENC34" s="283"/>
      <c r="END34" s="283"/>
      <c r="ENE34" s="283"/>
      <c r="ENF34" s="283"/>
      <c r="ENG34" s="283"/>
      <c r="ENH34" s="283"/>
      <c r="ENI34" s="283"/>
      <c r="ENJ34" s="283"/>
      <c r="ENK34" s="283"/>
      <c r="ENL34" s="283"/>
      <c r="ENM34" s="283"/>
      <c r="ENN34" s="283"/>
      <c r="ENO34" s="283"/>
      <c r="ENP34" s="283"/>
      <c r="ENQ34" s="283"/>
      <c r="ENR34" s="283"/>
      <c r="ENS34" s="283"/>
      <c r="ENT34" s="283"/>
      <c r="ENU34" s="283"/>
      <c r="ENV34" s="283"/>
      <c r="ENW34" s="283"/>
      <c r="ENX34" s="283"/>
      <c r="ENY34" s="283"/>
      <c r="ENZ34" s="283"/>
      <c r="EOA34" s="283"/>
      <c r="EOB34" s="283"/>
      <c r="EOC34" s="283"/>
      <c r="EOD34" s="283"/>
      <c r="EOE34" s="283"/>
      <c r="EOF34" s="283"/>
      <c r="EOG34" s="283"/>
      <c r="EOH34" s="283"/>
      <c r="EOI34" s="283"/>
      <c r="EOJ34" s="283"/>
      <c r="EOK34" s="283"/>
      <c r="EOL34" s="283"/>
      <c r="EOM34" s="283"/>
      <c r="EON34" s="283"/>
      <c r="EOO34" s="283"/>
      <c r="EOP34" s="283"/>
      <c r="EOQ34" s="283"/>
      <c r="EOR34" s="283"/>
      <c r="EOS34" s="283"/>
      <c r="EOT34" s="283"/>
      <c r="EOU34" s="283"/>
      <c r="EOV34" s="283"/>
      <c r="EOW34" s="283"/>
      <c r="EOX34" s="283"/>
      <c r="EOY34" s="283"/>
      <c r="EOZ34" s="283"/>
      <c r="EPA34" s="283"/>
      <c r="EPB34" s="283"/>
      <c r="EPC34" s="283"/>
      <c r="EPD34" s="283"/>
      <c r="EPE34" s="283"/>
      <c r="EPF34" s="283"/>
      <c r="EPG34" s="283"/>
      <c r="EPH34" s="283"/>
      <c r="EPI34" s="283"/>
      <c r="EPJ34" s="283"/>
      <c r="EPK34" s="283"/>
      <c r="EPL34" s="283"/>
      <c r="EPM34" s="283"/>
      <c r="EPN34" s="283"/>
      <c r="EPO34" s="283"/>
      <c r="EPP34" s="283"/>
      <c r="EPQ34" s="283"/>
      <c r="EPR34" s="283"/>
      <c r="EPS34" s="283"/>
      <c r="EPT34" s="283"/>
      <c r="EPU34" s="283"/>
      <c r="EPV34" s="283"/>
      <c r="EPW34" s="283"/>
      <c r="EPX34" s="283"/>
      <c r="EPY34" s="283"/>
      <c r="EPZ34" s="283"/>
      <c r="EQA34" s="283"/>
      <c r="EQB34" s="283"/>
      <c r="EQC34" s="283"/>
      <c r="EQD34" s="283"/>
      <c r="EQE34" s="283"/>
      <c r="EQF34" s="283"/>
      <c r="EQG34" s="283"/>
      <c r="EQH34" s="283"/>
      <c r="EQI34" s="283"/>
      <c r="EQJ34" s="283"/>
      <c r="EQK34" s="283"/>
      <c r="EQL34" s="283"/>
      <c r="EQM34" s="283"/>
      <c r="EQN34" s="283"/>
      <c r="EQO34" s="283"/>
      <c r="EQP34" s="283"/>
      <c r="EQQ34" s="283"/>
      <c r="EQR34" s="283"/>
      <c r="EQS34" s="283"/>
      <c r="EQT34" s="283"/>
      <c r="EQU34" s="283"/>
      <c r="EQV34" s="283"/>
      <c r="EQW34" s="283"/>
      <c r="EQX34" s="283"/>
      <c r="EQY34" s="283"/>
      <c r="EQZ34" s="283"/>
      <c r="ERA34" s="283"/>
      <c r="ERB34" s="283"/>
      <c r="ERC34" s="283"/>
      <c r="ERD34" s="283"/>
      <c r="ERE34" s="283"/>
      <c r="ERF34" s="283"/>
      <c r="ERG34" s="283"/>
      <c r="ERH34" s="283"/>
      <c r="ERI34" s="283"/>
      <c r="ERJ34" s="283"/>
      <c r="ERK34" s="283"/>
      <c r="ERL34" s="283"/>
      <c r="ERM34" s="283"/>
      <c r="ERN34" s="283"/>
      <c r="ERO34" s="283"/>
      <c r="ERP34" s="283"/>
      <c r="ERQ34" s="283"/>
      <c r="ERR34" s="283"/>
      <c r="ERS34" s="283"/>
      <c r="ERT34" s="283"/>
      <c r="ERU34" s="283"/>
      <c r="ERV34" s="283"/>
      <c r="ERW34" s="283"/>
      <c r="ERX34" s="283"/>
      <c r="ERY34" s="283"/>
      <c r="ERZ34" s="283"/>
      <c r="ESA34" s="283"/>
      <c r="ESB34" s="283"/>
      <c r="ESC34" s="283"/>
      <c r="ESD34" s="283"/>
      <c r="ESE34" s="283"/>
      <c r="ESF34" s="283"/>
      <c r="ESG34" s="283"/>
      <c r="ESH34" s="283"/>
      <c r="ESI34" s="283"/>
      <c r="ESJ34" s="283"/>
      <c r="ESK34" s="283"/>
      <c r="ESL34" s="283"/>
      <c r="ESM34" s="283"/>
      <c r="ESN34" s="283"/>
      <c r="ESO34" s="283"/>
      <c r="ESP34" s="283"/>
      <c r="ESQ34" s="283"/>
      <c r="ESR34" s="283"/>
      <c r="ESS34" s="283"/>
      <c r="EST34" s="283"/>
      <c r="ESU34" s="283"/>
      <c r="ESV34" s="283"/>
      <c r="ESW34" s="283"/>
      <c r="ESX34" s="283"/>
      <c r="ESY34" s="283"/>
      <c r="ESZ34" s="283"/>
      <c r="ETA34" s="283"/>
      <c r="ETB34" s="283"/>
      <c r="ETC34" s="283"/>
      <c r="ETD34" s="283"/>
      <c r="ETE34" s="283"/>
      <c r="ETF34" s="283"/>
      <c r="ETG34" s="283"/>
      <c r="ETH34" s="283"/>
      <c r="ETI34" s="283"/>
      <c r="ETJ34" s="283"/>
      <c r="ETK34" s="283"/>
      <c r="ETL34" s="283"/>
      <c r="ETM34" s="283"/>
      <c r="ETN34" s="283"/>
      <c r="ETO34" s="283"/>
      <c r="ETP34" s="283"/>
      <c r="ETQ34" s="283"/>
      <c r="ETR34" s="283"/>
      <c r="ETS34" s="283"/>
      <c r="ETT34" s="283"/>
      <c r="ETU34" s="283"/>
      <c r="ETV34" s="283"/>
      <c r="ETW34" s="283"/>
      <c r="ETX34" s="283"/>
      <c r="ETY34" s="283"/>
      <c r="ETZ34" s="283"/>
      <c r="EUA34" s="283"/>
      <c r="EUB34" s="283"/>
      <c r="EUC34" s="283"/>
      <c r="EUD34" s="283"/>
      <c r="EUE34" s="283"/>
      <c r="EUF34" s="283"/>
      <c r="EUG34" s="283"/>
      <c r="EUH34" s="283"/>
      <c r="EUI34" s="283"/>
      <c r="EUJ34" s="283"/>
      <c r="EUK34" s="283"/>
      <c r="EUL34" s="283"/>
      <c r="EUM34" s="283"/>
      <c r="EUN34" s="283"/>
      <c r="EUO34" s="283"/>
      <c r="EUP34" s="283"/>
      <c r="EUQ34" s="283"/>
      <c r="EUR34" s="283"/>
      <c r="EUS34" s="283"/>
      <c r="EUT34" s="283"/>
      <c r="EUU34" s="283"/>
      <c r="EUV34" s="283"/>
      <c r="EUW34" s="283"/>
      <c r="EUX34" s="283"/>
      <c r="EUY34" s="283"/>
      <c r="EUZ34" s="283"/>
      <c r="EVA34" s="283"/>
      <c r="EVB34" s="283"/>
      <c r="EVC34" s="283"/>
      <c r="EVD34" s="283"/>
      <c r="EVE34" s="283"/>
      <c r="EVF34" s="283"/>
      <c r="EVG34" s="283"/>
      <c r="EVH34" s="283"/>
      <c r="EVI34" s="283"/>
      <c r="EVJ34" s="283"/>
      <c r="EVK34" s="283"/>
      <c r="EVL34" s="283"/>
      <c r="EVM34" s="283"/>
      <c r="EVN34" s="283"/>
      <c r="EVO34" s="283"/>
      <c r="EVP34" s="283"/>
      <c r="EVQ34" s="283"/>
      <c r="EVR34" s="283"/>
      <c r="EVS34" s="283"/>
      <c r="EVT34" s="283"/>
      <c r="EVU34" s="283"/>
      <c r="EVV34" s="283"/>
      <c r="EVW34" s="283"/>
      <c r="EVX34" s="283"/>
      <c r="EVY34" s="283"/>
      <c r="EVZ34" s="283"/>
      <c r="EWA34" s="283"/>
      <c r="EWB34" s="283"/>
      <c r="EWC34" s="283"/>
      <c r="EWD34" s="283"/>
      <c r="EWE34" s="283"/>
      <c r="EWF34" s="283"/>
      <c r="EWG34" s="283"/>
      <c r="EWH34" s="283"/>
      <c r="EWI34" s="283"/>
      <c r="EWJ34" s="283"/>
      <c r="EWK34" s="283"/>
      <c r="EWL34" s="283"/>
      <c r="EWM34" s="283"/>
      <c r="EWN34" s="283"/>
      <c r="EWO34" s="283"/>
      <c r="EWP34" s="283"/>
      <c r="EWQ34" s="283"/>
      <c r="EWR34" s="283"/>
      <c r="EWS34" s="283"/>
      <c r="EWT34" s="283"/>
      <c r="EWU34" s="283"/>
      <c r="EWV34" s="283"/>
      <c r="EWW34" s="283"/>
      <c r="EWX34" s="283"/>
      <c r="EWY34" s="283"/>
      <c r="EWZ34" s="283"/>
      <c r="EXA34" s="283"/>
      <c r="EXB34" s="283"/>
      <c r="EXC34" s="283"/>
      <c r="EXD34" s="283"/>
      <c r="EXE34" s="283"/>
      <c r="EXF34" s="283"/>
      <c r="EXG34" s="283"/>
      <c r="EXH34" s="283"/>
      <c r="EXI34" s="283"/>
      <c r="EXJ34" s="283"/>
      <c r="EXK34" s="283"/>
      <c r="EXL34" s="283"/>
      <c r="EXM34" s="283"/>
      <c r="EXN34" s="283"/>
      <c r="EXO34" s="283"/>
      <c r="EXP34" s="283"/>
      <c r="EXQ34" s="283"/>
      <c r="EXR34" s="283"/>
      <c r="EXS34" s="283"/>
      <c r="EXT34" s="283"/>
      <c r="EXU34" s="283"/>
      <c r="EXV34" s="283"/>
      <c r="EXW34" s="283"/>
      <c r="EXX34" s="283"/>
      <c r="EXY34" s="283"/>
      <c r="EXZ34" s="283"/>
      <c r="EYA34" s="283"/>
      <c r="EYB34" s="283"/>
      <c r="EYC34" s="283"/>
      <c r="EYD34" s="283"/>
      <c r="EYE34" s="283"/>
      <c r="EYF34" s="283"/>
      <c r="EYG34" s="283"/>
      <c r="EYH34" s="283"/>
      <c r="EYI34" s="283"/>
      <c r="EYJ34" s="283"/>
      <c r="EYK34" s="283"/>
      <c r="EYL34" s="283"/>
      <c r="EYM34" s="283"/>
      <c r="EYN34" s="283"/>
      <c r="EYO34" s="283"/>
      <c r="EYP34" s="283"/>
      <c r="EYQ34" s="283"/>
      <c r="EYR34" s="283"/>
      <c r="EYS34" s="283"/>
      <c r="EYT34" s="283"/>
      <c r="EYU34" s="283"/>
      <c r="EYV34" s="283"/>
      <c r="EYW34" s="283"/>
      <c r="EYX34" s="283"/>
      <c r="EYY34" s="283"/>
      <c r="EYZ34" s="283"/>
      <c r="EZA34" s="283"/>
      <c r="EZB34" s="283"/>
      <c r="EZC34" s="283"/>
      <c r="EZD34" s="283"/>
      <c r="EZE34" s="283"/>
      <c r="EZF34" s="283"/>
      <c r="EZG34" s="283"/>
      <c r="EZH34" s="283"/>
      <c r="EZI34" s="283"/>
      <c r="EZJ34" s="283"/>
      <c r="EZK34" s="283"/>
      <c r="EZL34" s="283"/>
      <c r="EZM34" s="283"/>
      <c r="EZN34" s="283"/>
      <c r="EZO34" s="283"/>
      <c r="EZP34" s="283"/>
      <c r="EZQ34" s="283"/>
      <c r="EZR34" s="283"/>
      <c r="EZS34" s="283"/>
      <c r="EZT34" s="283"/>
      <c r="EZU34" s="283"/>
      <c r="EZV34" s="283"/>
      <c r="EZW34" s="283"/>
      <c r="EZX34" s="283"/>
      <c r="EZY34" s="283"/>
      <c r="EZZ34" s="283"/>
      <c r="FAA34" s="283"/>
      <c r="FAB34" s="283"/>
      <c r="FAC34" s="283"/>
      <c r="FAD34" s="283"/>
      <c r="FAE34" s="283"/>
      <c r="FAF34" s="283"/>
      <c r="FAG34" s="283"/>
      <c r="FAH34" s="283"/>
      <c r="FAI34" s="283"/>
      <c r="FAJ34" s="283"/>
      <c r="FAK34" s="283"/>
      <c r="FAL34" s="283"/>
      <c r="FAM34" s="283"/>
      <c r="FAN34" s="283"/>
      <c r="FAO34" s="283"/>
      <c r="FAP34" s="283"/>
      <c r="FAQ34" s="283"/>
      <c r="FAR34" s="283"/>
      <c r="FAS34" s="283"/>
      <c r="FAT34" s="283"/>
      <c r="FAU34" s="283"/>
      <c r="FAV34" s="283"/>
      <c r="FAW34" s="283"/>
      <c r="FAX34" s="283"/>
      <c r="FAY34" s="283"/>
      <c r="FAZ34" s="283"/>
      <c r="FBA34" s="283"/>
      <c r="FBB34" s="283"/>
      <c r="FBC34" s="283"/>
      <c r="FBD34" s="283"/>
      <c r="FBE34" s="283"/>
      <c r="FBF34" s="283"/>
      <c r="FBG34" s="283"/>
      <c r="FBH34" s="283"/>
      <c r="FBI34" s="283"/>
      <c r="FBJ34" s="283"/>
      <c r="FBK34" s="283"/>
      <c r="FBL34" s="283"/>
      <c r="FBM34" s="283"/>
      <c r="FBN34" s="283"/>
      <c r="FBO34" s="283"/>
      <c r="FBP34" s="283"/>
      <c r="FBQ34" s="283"/>
      <c r="FBR34" s="283"/>
      <c r="FBS34" s="283"/>
      <c r="FBT34" s="283"/>
      <c r="FBU34" s="283"/>
      <c r="FBV34" s="283"/>
      <c r="FBW34" s="283"/>
      <c r="FBX34" s="283"/>
      <c r="FBY34" s="283"/>
      <c r="FBZ34" s="283"/>
      <c r="FCA34" s="283"/>
      <c r="FCB34" s="283"/>
      <c r="FCC34" s="283"/>
      <c r="FCD34" s="283"/>
      <c r="FCE34" s="283"/>
      <c r="FCF34" s="283"/>
      <c r="FCG34" s="283"/>
      <c r="FCH34" s="283"/>
      <c r="FCI34" s="283"/>
      <c r="FCJ34" s="283"/>
      <c r="FCK34" s="283"/>
      <c r="FCL34" s="283"/>
      <c r="FCM34" s="283"/>
      <c r="FCN34" s="283"/>
      <c r="FCO34" s="283"/>
      <c r="FCP34" s="283"/>
      <c r="FCQ34" s="283"/>
      <c r="FCR34" s="283"/>
      <c r="FCS34" s="283"/>
      <c r="FCT34" s="283"/>
      <c r="FCU34" s="283"/>
      <c r="FCV34" s="283"/>
      <c r="FCW34" s="283"/>
      <c r="FCX34" s="283"/>
      <c r="FCY34" s="283"/>
      <c r="FCZ34" s="283"/>
      <c r="FDA34" s="283"/>
      <c r="FDB34" s="283"/>
      <c r="FDC34" s="283"/>
      <c r="FDD34" s="283"/>
      <c r="FDE34" s="283"/>
      <c r="FDF34" s="283"/>
      <c r="FDG34" s="283"/>
      <c r="FDH34" s="283"/>
      <c r="FDI34" s="283"/>
      <c r="FDJ34" s="283"/>
      <c r="FDK34" s="283"/>
      <c r="FDL34" s="283"/>
      <c r="FDM34" s="283"/>
      <c r="FDN34" s="283"/>
      <c r="FDO34" s="283"/>
      <c r="FDP34" s="283"/>
      <c r="FDQ34" s="283"/>
      <c r="FDR34" s="283"/>
      <c r="FDS34" s="283"/>
      <c r="FDT34" s="283"/>
      <c r="FDU34" s="283"/>
      <c r="FDV34" s="283"/>
      <c r="FDW34" s="283"/>
      <c r="FDX34" s="283"/>
      <c r="FDY34" s="283"/>
      <c r="FDZ34" s="283"/>
      <c r="FEA34" s="283"/>
      <c r="FEB34" s="283"/>
      <c r="FEC34" s="283"/>
      <c r="FED34" s="283"/>
      <c r="FEE34" s="283"/>
      <c r="FEF34" s="283"/>
      <c r="FEG34" s="283"/>
      <c r="FEH34" s="283"/>
      <c r="FEI34" s="283"/>
      <c r="FEJ34" s="283"/>
      <c r="FEK34" s="283"/>
      <c r="FEL34" s="283"/>
      <c r="FEM34" s="283"/>
      <c r="FEN34" s="283"/>
      <c r="FEO34" s="283"/>
      <c r="FEP34" s="283"/>
      <c r="FEQ34" s="283"/>
      <c r="FER34" s="283"/>
      <c r="FES34" s="283"/>
      <c r="FET34" s="283"/>
      <c r="FEU34" s="283"/>
      <c r="FEV34" s="283"/>
      <c r="FEW34" s="283"/>
      <c r="FEX34" s="283"/>
      <c r="FEY34" s="283"/>
      <c r="FEZ34" s="283"/>
      <c r="FFA34" s="283"/>
      <c r="FFB34" s="283"/>
      <c r="FFC34" s="283"/>
      <c r="FFD34" s="283"/>
      <c r="FFE34" s="283"/>
      <c r="FFF34" s="283"/>
      <c r="FFG34" s="283"/>
      <c r="FFH34" s="283"/>
      <c r="FFI34" s="283"/>
      <c r="FFJ34" s="283"/>
      <c r="FFK34" s="283"/>
      <c r="FFL34" s="283"/>
      <c r="FFM34" s="283"/>
      <c r="FFN34" s="283"/>
      <c r="FFO34" s="283"/>
      <c r="FFP34" s="283"/>
      <c r="FFQ34" s="283"/>
      <c r="FFR34" s="283"/>
      <c r="FFS34" s="283"/>
      <c r="FFT34" s="283"/>
      <c r="FFU34" s="283"/>
      <c r="FFV34" s="283"/>
      <c r="FFW34" s="283"/>
      <c r="FFX34" s="283"/>
      <c r="FFY34" s="283"/>
      <c r="FFZ34" s="283"/>
      <c r="FGA34" s="283"/>
      <c r="FGB34" s="283"/>
      <c r="FGC34" s="283"/>
      <c r="FGD34" s="283"/>
      <c r="FGE34" s="283"/>
      <c r="FGF34" s="283"/>
      <c r="FGG34" s="283"/>
      <c r="FGH34" s="283"/>
      <c r="FGI34" s="283"/>
      <c r="FGJ34" s="283"/>
      <c r="FGK34" s="283"/>
      <c r="FGL34" s="283"/>
      <c r="FGM34" s="283"/>
      <c r="FGN34" s="283"/>
      <c r="FGO34" s="283"/>
      <c r="FGP34" s="283"/>
      <c r="FGQ34" s="283"/>
      <c r="FGR34" s="283"/>
      <c r="FGS34" s="283"/>
      <c r="FGT34" s="283"/>
      <c r="FGU34" s="283"/>
      <c r="FGV34" s="283"/>
      <c r="FGW34" s="283"/>
      <c r="FGX34" s="283"/>
      <c r="FGY34" s="283"/>
      <c r="FGZ34" s="283"/>
      <c r="FHA34" s="283"/>
      <c r="FHB34" s="283"/>
      <c r="FHC34" s="283"/>
      <c r="FHD34" s="283"/>
      <c r="FHE34" s="283"/>
      <c r="FHF34" s="283"/>
      <c r="FHG34" s="283"/>
      <c r="FHH34" s="283"/>
      <c r="FHI34" s="283"/>
      <c r="FHJ34" s="283"/>
      <c r="FHK34" s="283"/>
      <c r="FHL34" s="283"/>
      <c r="FHM34" s="283"/>
      <c r="FHN34" s="283"/>
      <c r="FHO34" s="283"/>
      <c r="FHP34" s="283"/>
      <c r="FHQ34" s="283"/>
      <c r="FHR34" s="283"/>
      <c r="FHS34" s="283"/>
      <c r="FHT34" s="283"/>
      <c r="FHU34" s="283"/>
      <c r="FHV34" s="283"/>
      <c r="FHW34" s="283"/>
      <c r="FHX34" s="283"/>
      <c r="FHY34" s="283"/>
      <c r="FHZ34" s="283"/>
      <c r="FIA34" s="283"/>
      <c r="FIB34" s="283"/>
      <c r="FIC34" s="283"/>
      <c r="FID34" s="283"/>
      <c r="FIE34" s="283"/>
      <c r="FIF34" s="283"/>
      <c r="FIG34" s="283"/>
      <c r="FIH34" s="283"/>
      <c r="FII34" s="283"/>
      <c r="FIJ34" s="283"/>
      <c r="FIK34" s="283"/>
      <c r="FIL34" s="283"/>
      <c r="FIM34" s="283"/>
      <c r="FIN34" s="283"/>
      <c r="FIO34" s="283"/>
      <c r="FIP34" s="283"/>
      <c r="FIQ34" s="283"/>
      <c r="FIR34" s="283"/>
      <c r="FIS34" s="283"/>
      <c r="FIT34" s="283"/>
      <c r="FIU34" s="283"/>
      <c r="FIV34" s="283"/>
      <c r="FIW34" s="283"/>
      <c r="FIX34" s="283"/>
      <c r="FIY34" s="283"/>
      <c r="FIZ34" s="283"/>
      <c r="FJA34" s="283"/>
      <c r="FJB34" s="283"/>
      <c r="FJC34" s="283"/>
      <c r="FJD34" s="283"/>
      <c r="FJE34" s="283"/>
      <c r="FJF34" s="283"/>
      <c r="FJG34" s="283"/>
      <c r="FJH34" s="283"/>
      <c r="FJI34" s="283"/>
      <c r="FJJ34" s="283"/>
      <c r="FJK34" s="283"/>
      <c r="FJL34" s="283"/>
      <c r="FJM34" s="283"/>
      <c r="FJN34" s="283"/>
      <c r="FJO34" s="283"/>
      <c r="FJP34" s="283"/>
      <c r="FJQ34" s="283"/>
      <c r="FJR34" s="283"/>
      <c r="FJS34" s="283"/>
      <c r="FJT34" s="283"/>
      <c r="FJU34" s="283"/>
      <c r="FJV34" s="283"/>
      <c r="FJW34" s="283"/>
      <c r="FJX34" s="283"/>
      <c r="FJY34" s="283"/>
      <c r="FJZ34" s="283"/>
      <c r="FKA34" s="283"/>
      <c r="FKB34" s="283"/>
      <c r="FKC34" s="283"/>
      <c r="FKD34" s="283"/>
      <c r="FKE34" s="283"/>
      <c r="FKF34" s="283"/>
      <c r="FKG34" s="283"/>
      <c r="FKH34" s="283"/>
      <c r="FKI34" s="283"/>
      <c r="FKJ34" s="283"/>
      <c r="FKK34" s="283"/>
      <c r="FKL34" s="283"/>
      <c r="FKM34" s="283"/>
      <c r="FKN34" s="283"/>
      <c r="FKO34" s="283"/>
      <c r="FKP34" s="283"/>
      <c r="FKQ34" s="283"/>
      <c r="FKR34" s="283"/>
      <c r="FKS34" s="283"/>
      <c r="FKT34" s="283"/>
      <c r="FKU34" s="283"/>
      <c r="FKV34" s="283"/>
      <c r="FKW34" s="283"/>
      <c r="FKX34" s="283"/>
      <c r="FKY34" s="283"/>
      <c r="FKZ34" s="283"/>
      <c r="FLA34" s="283"/>
      <c r="FLB34" s="283"/>
      <c r="FLC34" s="283"/>
      <c r="FLD34" s="283"/>
      <c r="FLE34" s="283"/>
      <c r="FLF34" s="283"/>
      <c r="FLG34" s="283"/>
      <c r="FLH34" s="283"/>
      <c r="FLI34" s="283"/>
      <c r="FLJ34" s="283"/>
      <c r="FLK34" s="283"/>
      <c r="FLL34" s="283"/>
      <c r="FLM34" s="283"/>
      <c r="FLN34" s="283"/>
      <c r="FLO34" s="283"/>
      <c r="FLP34" s="283"/>
      <c r="FLQ34" s="283"/>
      <c r="FLR34" s="283"/>
      <c r="FLS34" s="283"/>
      <c r="FLT34" s="283"/>
      <c r="FLU34" s="283"/>
      <c r="FLV34" s="283"/>
      <c r="FLW34" s="283"/>
      <c r="FLX34" s="283"/>
      <c r="FLY34" s="283"/>
      <c r="FLZ34" s="283"/>
      <c r="FMA34" s="283"/>
      <c r="FMB34" s="283"/>
      <c r="FMC34" s="283"/>
      <c r="FMD34" s="283"/>
      <c r="FME34" s="283"/>
      <c r="FMF34" s="283"/>
      <c r="FMG34" s="283"/>
      <c r="FMH34" s="283"/>
      <c r="FMI34" s="283"/>
      <c r="FMJ34" s="283"/>
      <c r="FMK34" s="283"/>
      <c r="FML34" s="283"/>
      <c r="FMM34" s="283"/>
      <c r="FMN34" s="283"/>
      <c r="FMO34" s="283"/>
      <c r="FMP34" s="283"/>
      <c r="FMQ34" s="283"/>
      <c r="FMR34" s="283"/>
      <c r="FMS34" s="283"/>
      <c r="FMT34" s="283"/>
      <c r="FMU34" s="283"/>
      <c r="FMV34" s="283"/>
      <c r="FMW34" s="283"/>
      <c r="FMX34" s="283"/>
      <c r="FMY34" s="283"/>
      <c r="FMZ34" s="283"/>
      <c r="FNA34" s="283"/>
      <c r="FNB34" s="283"/>
      <c r="FNC34" s="283"/>
      <c r="FND34" s="283"/>
      <c r="FNE34" s="283"/>
      <c r="FNF34" s="283"/>
      <c r="FNG34" s="283"/>
      <c r="FNH34" s="283"/>
      <c r="FNI34" s="283"/>
      <c r="FNJ34" s="283"/>
      <c r="FNK34" s="283"/>
      <c r="FNL34" s="283"/>
      <c r="FNM34" s="283"/>
      <c r="FNN34" s="283"/>
      <c r="FNO34" s="283"/>
      <c r="FNP34" s="283"/>
      <c r="FNQ34" s="283"/>
      <c r="FNR34" s="283"/>
      <c r="FNS34" s="283"/>
      <c r="FNT34" s="283"/>
      <c r="FNU34" s="283"/>
      <c r="FNV34" s="283"/>
      <c r="FNW34" s="283"/>
      <c r="FNX34" s="283"/>
      <c r="FNY34" s="283"/>
      <c r="FNZ34" s="283"/>
      <c r="FOA34" s="283"/>
      <c r="FOB34" s="283"/>
      <c r="FOC34" s="283"/>
      <c r="FOD34" s="283"/>
      <c r="FOE34" s="283"/>
      <c r="FOF34" s="283"/>
      <c r="FOG34" s="283"/>
      <c r="FOH34" s="283"/>
      <c r="FOI34" s="283"/>
      <c r="FOJ34" s="283"/>
      <c r="FOK34" s="283"/>
      <c r="FOL34" s="283"/>
      <c r="FOM34" s="283"/>
      <c r="FON34" s="283"/>
      <c r="FOO34" s="283"/>
      <c r="FOP34" s="283"/>
      <c r="FOQ34" s="283"/>
      <c r="FOR34" s="283"/>
      <c r="FOS34" s="283"/>
      <c r="FOT34" s="283"/>
      <c r="FOU34" s="283"/>
      <c r="FOV34" s="283"/>
      <c r="FOW34" s="283"/>
      <c r="FOX34" s="283"/>
      <c r="FOY34" s="283"/>
      <c r="FOZ34" s="283"/>
      <c r="FPA34" s="283"/>
      <c r="FPB34" s="283"/>
      <c r="FPC34" s="283"/>
      <c r="FPD34" s="283"/>
      <c r="FPE34" s="283"/>
      <c r="FPF34" s="283"/>
      <c r="FPG34" s="283"/>
      <c r="FPH34" s="283"/>
      <c r="FPI34" s="283"/>
      <c r="FPJ34" s="283"/>
      <c r="FPK34" s="283"/>
      <c r="FPL34" s="283"/>
      <c r="FPM34" s="283"/>
      <c r="FPN34" s="283"/>
      <c r="FPO34" s="283"/>
      <c r="FPP34" s="283"/>
      <c r="FPQ34" s="283"/>
      <c r="FPR34" s="283"/>
      <c r="FPS34" s="283"/>
      <c r="FPT34" s="283"/>
      <c r="FPU34" s="283"/>
      <c r="FPV34" s="283"/>
      <c r="FPW34" s="283"/>
      <c r="FPX34" s="283"/>
      <c r="FPY34" s="283"/>
      <c r="FPZ34" s="283"/>
      <c r="FQA34" s="283"/>
      <c r="FQB34" s="283"/>
      <c r="FQC34" s="283"/>
      <c r="FQD34" s="283"/>
      <c r="FQE34" s="283"/>
      <c r="FQF34" s="283"/>
      <c r="FQG34" s="283"/>
      <c r="FQH34" s="283"/>
      <c r="FQI34" s="283"/>
      <c r="FQJ34" s="283"/>
      <c r="FQK34" s="283"/>
      <c r="FQL34" s="283"/>
      <c r="FQM34" s="283"/>
      <c r="FQN34" s="283"/>
      <c r="FQO34" s="283"/>
      <c r="FQP34" s="283"/>
      <c r="FQQ34" s="283"/>
      <c r="FQR34" s="283"/>
      <c r="FQS34" s="283"/>
      <c r="FQT34" s="283"/>
      <c r="FQU34" s="283"/>
      <c r="FQV34" s="283"/>
      <c r="FQW34" s="283"/>
      <c r="FQX34" s="283"/>
      <c r="FQY34" s="283"/>
      <c r="FQZ34" s="283"/>
      <c r="FRA34" s="283"/>
      <c r="FRB34" s="283"/>
      <c r="FRC34" s="283"/>
      <c r="FRD34" s="283"/>
      <c r="FRE34" s="283"/>
      <c r="FRF34" s="283"/>
      <c r="FRG34" s="283"/>
      <c r="FRH34" s="283"/>
      <c r="FRI34" s="283"/>
      <c r="FRJ34" s="283"/>
      <c r="FRK34" s="283"/>
      <c r="FRL34" s="283"/>
      <c r="FRM34" s="283"/>
      <c r="FRN34" s="283"/>
      <c r="FRO34" s="283"/>
      <c r="FRP34" s="283"/>
      <c r="FRQ34" s="283"/>
      <c r="FRR34" s="283"/>
      <c r="FRS34" s="283"/>
      <c r="FRT34" s="283"/>
      <c r="FRU34" s="283"/>
      <c r="FRV34" s="283"/>
      <c r="FRW34" s="283"/>
      <c r="FRX34" s="283"/>
      <c r="FRY34" s="283"/>
      <c r="FRZ34" s="283"/>
      <c r="FSA34" s="283"/>
      <c r="FSB34" s="283"/>
      <c r="FSC34" s="283"/>
      <c r="FSD34" s="283"/>
      <c r="FSE34" s="283"/>
      <c r="FSF34" s="283"/>
      <c r="FSG34" s="283"/>
      <c r="FSH34" s="283"/>
      <c r="FSI34" s="283"/>
      <c r="FSJ34" s="283"/>
      <c r="FSK34" s="283"/>
      <c r="FSL34" s="283"/>
      <c r="FSM34" s="283"/>
      <c r="FSN34" s="283"/>
      <c r="FSO34" s="283"/>
      <c r="FSP34" s="283"/>
      <c r="FSQ34" s="283"/>
      <c r="FSR34" s="283"/>
      <c r="FSS34" s="283"/>
      <c r="FST34" s="283"/>
      <c r="FSU34" s="283"/>
      <c r="FSV34" s="283"/>
      <c r="FSW34" s="283"/>
      <c r="FSX34" s="283"/>
      <c r="FSY34" s="283"/>
      <c r="FSZ34" s="283"/>
      <c r="FTA34" s="283"/>
      <c r="FTB34" s="283"/>
      <c r="FTC34" s="283"/>
      <c r="FTD34" s="283"/>
      <c r="FTE34" s="283"/>
      <c r="FTF34" s="283"/>
      <c r="FTG34" s="283"/>
      <c r="FTH34" s="283"/>
      <c r="FTI34" s="283"/>
      <c r="FTJ34" s="283"/>
      <c r="FTK34" s="283"/>
      <c r="FTL34" s="283"/>
      <c r="FTM34" s="283"/>
      <c r="FTN34" s="283"/>
      <c r="FTO34" s="283"/>
      <c r="FTP34" s="283"/>
      <c r="FTQ34" s="283"/>
      <c r="FTR34" s="283"/>
      <c r="FTS34" s="283"/>
      <c r="FTT34" s="283"/>
      <c r="FTU34" s="283"/>
      <c r="FTV34" s="283"/>
      <c r="FTW34" s="283"/>
      <c r="FTX34" s="283"/>
      <c r="FTY34" s="283"/>
      <c r="FTZ34" s="283"/>
      <c r="FUA34" s="283"/>
      <c r="FUB34" s="283"/>
      <c r="FUC34" s="283"/>
      <c r="FUD34" s="283"/>
      <c r="FUE34" s="283"/>
      <c r="FUF34" s="283"/>
      <c r="FUG34" s="283"/>
      <c r="FUH34" s="283"/>
      <c r="FUI34" s="283"/>
      <c r="FUJ34" s="283"/>
      <c r="FUK34" s="283"/>
      <c r="FUL34" s="283"/>
      <c r="FUM34" s="283"/>
      <c r="FUN34" s="283"/>
      <c r="FUO34" s="283"/>
      <c r="FUP34" s="283"/>
      <c r="FUQ34" s="283"/>
      <c r="FUR34" s="283"/>
      <c r="FUS34" s="283"/>
      <c r="FUT34" s="283"/>
      <c r="FUU34" s="283"/>
      <c r="FUV34" s="283"/>
      <c r="FUW34" s="283"/>
      <c r="FUX34" s="283"/>
      <c r="FUY34" s="283"/>
      <c r="FUZ34" s="283"/>
      <c r="FVA34" s="283"/>
      <c r="FVB34" s="283"/>
      <c r="FVC34" s="283"/>
      <c r="FVD34" s="283"/>
      <c r="FVE34" s="283"/>
      <c r="FVF34" s="283"/>
      <c r="FVG34" s="283"/>
      <c r="FVH34" s="283"/>
      <c r="FVI34" s="283"/>
      <c r="FVJ34" s="283"/>
      <c r="FVK34" s="283"/>
      <c r="FVL34" s="283"/>
      <c r="FVM34" s="283"/>
      <c r="FVN34" s="283"/>
      <c r="FVO34" s="283"/>
      <c r="FVP34" s="283"/>
      <c r="FVQ34" s="283"/>
      <c r="FVR34" s="283"/>
      <c r="FVS34" s="283"/>
      <c r="FVT34" s="283"/>
      <c r="FVU34" s="283"/>
      <c r="FVV34" s="283"/>
      <c r="FVW34" s="283"/>
      <c r="FVX34" s="283"/>
      <c r="FVY34" s="283"/>
      <c r="FVZ34" s="283"/>
      <c r="FWA34" s="283"/>
      <c r="FWB34" s="283"/>
      <c r="FWC34" s="283"/>
      <c r="FWD34" s="283"/>
      <c r="FWE34" s="283"/>
      <c r="FWF34" s="283"/>
      <c r="FWG34" s="283"/>
      <c r="FWH34" s="283"/>
      <c r="FWI34" s="283"/>
      <c r="FWJ34" s="283"/>
      <c r="FWK34" s="283"/>
      <c r="FWL34" s="283"/>
      <c r="FWM34" s="283"/>
      <c r="FWN34" s="283"/>
      <c r="FWO34" s="283"/>
      <c r="FWP34" s="283"/>
      <c r="FWQ34" s="283"/>
      <c r="FWR34" s="283"/>
      <c r="FWS34" s="283"/>
      <c r="FWT34" s="283"/>
      <c r="FWU34" s="283"/>
      <c r="FWV34" s="283"/>
      <c r="FWW34" s="283"/>
      <c r="FWX34" s="283"/>
      <c r="FWY34" s="283"/>
      <c r="FWZ34" s="283"/>
      <c r="FXA34" s="283"/>
      <c r="FXB34" s="283"/>
      <c r="FXC34" s="283"/>
      <c r="FXD34" s="283"/>
      <c r="FXE34" s="283"/>
      <c r="FXF34" s="283"/>
      <c r="FXG34" s="283"/>
      <c r="FXH34" s="283"/>
      <c r="FXI34" s="283"/>
      <c r="FXJ34" s="283"/>
      <c r="FXK34" s="283"/>
      <c r="FXL34" s="283"/>
      <c r="FXM34" s="283"/>
      <c r="FXN34" s="283"/>
      <c r="FXO34" s="283"/>
      <c r="FXP34" s="283"/>
      <c r="FXQ34" s="283"/>
      <c r="FXR34" s="283"/>
      <c r="FXS34" s="283"/>
      <c r="FXT34" s="283"/>
      <c r="FXU34" s="283"/>
      <c r="FXV34" s="283"/>
      <c r="FXW34" s="283"/>
      <c r="FXX34" s="283"/>
      <c r="FXY34" s="283"/>
      <c r="FXZ34" s="283"/>
      <c r="FYA34" s="283"/>
      <c r="FYB34" s="283"/>
      <c r="FYC34" s="283"/>
      <c r="FYD34" s="283"/>
      <c r="FYE34" s="283"/>
      <c r="FYF34" s="283"/>
      <c r="FYG34" s="283"/>
      <c r="FYH34" s="283"/>
      <c r="FYI34" s="283"/>
      <c r="FYJ34" s="283"/>
      <c r="FYK34" s="283"/>
      <c r="FYL34" s="283"/>
      <c r="FYM34" s="283"/>
      <c r="FYN34" s="283"/>
      <c r="FYO34" s="283"/>
      <c r="FYP34" s="283"/>
      <c r="FYQ34" s="283"/>
      <c r="FYR34" s="283"/>
      <c r="FYS34" s="283"/>
      <c r="FYT34" s="283"/>
      <c r="FYU34" s="283"/>
      <c r="FYV34" s="283"/>
      <c r="FYW34" s="283"/>
      <c r="FYX34" s="283"/>
      <c r="FYY34" s="283"/>
      <c r="FYZ34" s="283"/>
      <c r="FZA34" s="283"/>
      <c r="FZB34" s="283"/>
      <c r="FZC34" s="283"/>
      <c r="FZD34" s="283"/>
      <c r="FZE34" s="283"/>
      <c r="FZF34" s="283"/>
      <c r="FZG34" s="283"/>
      <c r="FZH34" s="283"/>
      <c r="FZI34" s="283"/>
      <c r="FZJ34" s="283"/>
      <c r="FZK34" s="283"/>
      <c r="FZL34" s="283"/>
      <c r="FZM34" s="283"/>
      <c r="FZN34" s="283"/>
      <c r="FZO34" s="283"/>
      <c r="FZP34" s="283"/>
      <c r="FZQ34" s="283"/>
      <c r="FZR34" s="283"/>
      <c r="FZS34" s="283"/>
      <c r="FZT34" s="283"/>
      <c r="FZU34" s="283"/>
      <c r="FZV34" s="283"/>
      <c r="FZW34" s="283"/>
      <c r="FZX34" s="283"/>
      <c r="FZY34" s="283"/>
      <c r="FZZ34" s="283"/>
      <c r="GAA34" s="283"/>
      <c r="GAB34" s="283"/>
      <c r="GAC34" s="283"/>
      <c r="GAD34" s="283"/>
      <c r="GAE34" s="283"/>
      <c r="GAF34" s="283"/>
      <c r="GAG34" s="283"/>
      <c r="GAH34" s="283"/>
      <c r="GAI34" s="283"/>
      <c r="GAJ34" s="283"/>
      <c r="GAK34" s="283"/>
      <c r="GAL34" s="283"/>
      <c r="GAM34" s="283"/>
      <c r="GAN34" s="283"/>
      <c r="GAO34" s="283"/>
      <c r="GAP34" s="283"/>
      <c r="GAQ34" s="283"/>
      <c r="GAR34" s="283"/>
      <c r="GAS34" s="283"/>
      <c r="GAT34" s="283"/>
      <c r="GAU34" s="283"/>
      <c r="GAV34" s="283"/>
      <c r="GAW34" s="283"/>
      <c r="GAX34" s="283"/>
      <c r="GAY34" s="283"/>
      <c r="GAZ34" s="283"/>
      <c r="GBA34" s="283"/>
      <c r="GBB34" s="283"/>
      <c r="GBC34" s="283"/>
      <c r="GBD34" s="283"/>
      <c r="GBE34" s="283"/>
      <c r="GBF34" s="283"/>
      <c r="GBG34" s="283"/>
      <c r="GBH34" s="283"/>
      <c r="GBI34" s="283"/>
      <c r="GBJ34" s="283"/>
      <c r="GBK34" s="283"/>
      <c r="GBL34" s="283"/>
      <c r="GBM34" s="283"/>
      <c r="GBN34" s="283"/>
      <c r="GBO34" s="283"/>
      <c r="GBP34" s="283"/>
      <c r="GBQ34" s="283"/>
      <c r="GBR34" s="283"/>
      <c r="GBS34" s="283"/>
      <c r="GBT34" s="283"/>
      <c r="GBU34" s="283"/>
      <c r="GBV34" s="283"/>
      <c r="GBW34" s="283"/>
      <c r="GBX34" s="283"/>
      <c r="GBY34" s="283"/>
      <c r="GBZ34" s="283"/>
      <c r="GCA34" s="283"/>
      <c r="GCB34" s="283"/>
      <c r="GCC34" s="283"/>
      <c r="GCD34" s="283"/>
      <c r="GCE34" s="283"/>
      <c r="GCF34" s="283"/>
      <c r="GCG34" s="283"/>
      <c r="GCH34" s="283"/>
      <c r="GCI34" s="283"/>
      <c r="GCJ34" s="283"/>
      <c r="GCK34" s="283"/>
      <c r="GCL34" s="283"/>
      <c r="GCM34" s="283"/>
      <c r="GCN34" s="283"/>
      <c r="GCO34" s="283"/>
      <c r="GCP34" s="283"/>
      <c r="GCQ34" s="283"/>
      <c r="GCR34" s="283"/>
      <c r="GCS34" s="283"/>
      <c r="GCT34" s="283"/>
      <c r="GCU34" s="283"/>
      <c r="GCV34" s="283"/>
      <c r="GCW34" s="283"/>
      <c r="GCX34" s="283"/>
      <c r="GCY34" s="283"/>
      <c r="GCZ34" s="283"/>
      <c r="GDA34" s="283"/>
      <c r="GDB34" s="283"/>
      <c r="GDC34" s="283"/>
      <c r="GDD34" s="283"/>
      <c r="GDE34" s="283"/>
      <c r="GDF34" s="283"/>
      <c r="GDG34" s="283"/>
      <c r="GDH34" s="283"/>
      <c r="GDI34" s="283"/>
      <c r="GDJ34" s="283"/>
      <c r="GDK34" s="283"/>
      <c r="GDL34" s="283"/>
      <c r="GDM34" s="283"/>
      <c r="GDN34" s="283"/>
      <c r="GDO34" s="283"/>
      <c r="GDP34" s="283"/>
      <c r="GDQ34" s="283"/>
      <c r="GDR34" s="283"/>
      <c r="GDS34" s="283"/>
      <c r="GDT34" s="283"/>
      <c r="GDU34" s="283"/>
      <c r="GDV34" s="283"/>
      <c r="GDW34" s="283"/>
      <c r="GDX34" s="283"/>
      <c r="GDY34" s="283"/>
      <c r="GDZ34" s="283"/>
      <c r="GEA34" s="283"/>
      <c r="GEB34" s="283"/>
      <c r="GEC34" s="283"/>
      <c r="GED34" s="283"/>
      <c r="GEE34" s="283"/>
      <c r="GEF34" s="283"/>
      <c r="GEG34" s="283"/>
      <c r="GEH34" s="283"/>
      <c r="GEI34" s="283"/>
      <c r="GEJ34" s="283"/>
      <c r="GEK34" s="283"/>
      <c r="GEL34" s="283"/>
      <c r="GEM34" s="283"/>
      <c r="GEN34" s="283"/>
      <c r="GEO34" s="283"/>
      <c r="GEP34" s="283"/>
      <c r="GEQ34" s="283"/>
      <c r="GER34" s="283"/>
      <c r="GES34" s="283"/>
      <c r="GET34" s="283"/>
      <c r="GEU34" s="283"/>
      <c r="GEV34" s="283"/>
      <c r="GEW34" s="283"/>
      <c r="GEX34" s="283"/>
      <c r="GEY34" s="283"/>
      <c r="GEZ34" s="283"/>
      <c r="GFA34" s="283"/>
      <c r="GFB34" s="283"/>
      <c r="GFC34" s="283"/>
      <c r="GFD34" s="283"/>
      <c r="GFE34" s="283"/>
      <c r="GFF34" s="283"/>
      <c r="GFG34" s="283"/>
      <c r="GFH34" s="283"/>
      <c r="GFI34" s="283"/>
      <c r="GFJ34" s="283"/>
      <c r="GFK34" s="283"/>
      <c r="GFL34" s="283"/>
      <c r="GFM34" s="283"/>
      <c r="GFN34" s="283"/>
      <c r="GFO34" s="283"/>
      <c r="GFP34" s="283"/>
      <c r="GFQ34" s="283"/>
      <c r="GFR34" s="283"/>
      <c r="GFS34" s="283"/>
      <c r="GFT34" s="283"/>
      <c r="GFU34" s="283"/>
      <c r="GFV34" s="283"/>
      <c r="GFW34" s="283"/>
      <c r="GFX34" s="283"/>
      <c r="GFY34" s="283"/>
      <c r="GFZ34" s="283"/>
      <c r="GGA34" s="283"/>
      <c r="GGB34" s="283"/>
      <c r="GGC34" s="283"/>
      <c r="GGD34" s="283"/>
      <c r="GGE34" s="283"/>
      <c r="GGF34" s="283"/>
      <c r="GGG34" s="283"/>
      <c r="GGH34" s="283"/>
      <c r="GGI34" s="283"/>
      <c r="GGJ34" s="283"/>
      <c r="GGK34" s="283"/>
      <c r="GGL34" s="283"/>
      <c r="GGM34" s="283"/>
      <c r="GGN34" s="283"/>
      <c r="GGO34" s="283"/>
      <c r="GGP34" s="283"/>
      <c r="GGQ34" s="283"/>
      <c r="GGR34" s="283"/>
      <c r="GGS34" s="283"/>
      <c r="GGT34" s="283"/>
      <c r="GGU34" s="283"/>
      <c r="GGV34" s="283"/>
      <c r="GGW34" s="283"/>
      <c r="GGX34" s="283"/>
      <c r="GGY34" s="283"/>
      <c r="GGZ34" s="283"/>
      <c r="GHA34" s="283"/>
      <c r="GHB34" s="283"/>
      <c r="GHC34" s="283"/>
      <c r="GHD34" s="283"/>
      <c r="GHE34" s="283"/>
      <c r="GHF34" s="283"/>
      <c r="GHG34" s="283"/>
      <c r="GHH34" s="283"/>
      <c r="GHI34" s="283"/>
      <c r="GHJ34" s="283"/>
      <c r="GHK34" s="283"/>
      <c r="GHL34" s="283"/>
      <c r="GHM34" s="283"/>
      <c r="GHN34" s="283"/>
      <c r="GHO34" s="283"/>
      <c r="GHP34" s="283"/>
      <c r="GHQ34" s="283"/>
      <c r="GHR34" s="283"/>
      <c r="GHS34" s="283"/>
      <c r="GHT34" s="283"/>
      <c r="GHU34" s="283"/>
      <c r="GHV34" s="283"/>
      <c r="GHW34" s="283"/>
      <c r="GHX34" s="283"/>
      <c r="GHY34" s="283"/>
      <c r="GHZ34" s="283"/>
      <c r="GIA34" s="283"/>
      <c r="GIB34" s="283"/>
      <c r="GIC34" s="283"/>
      <c r="GID34" s="283"/>
      <c r="GIE34" s="283"/>
      <c r="GIF34" s="283"/>
      <c r="GIG34" s="283"/>
      <c r="GIH34" s="283"/>
      <c r="GII34" s="283"/>
      <c r="GIJ34" s="283"/>
      <c r="GIK34" s="283"/>
      <c r="GIL34" s="283"/>
      <c r="GIM34" s="283"/>
      <c r="GIN34" s="283"/>
      <c r="GIO34" s="283"/>
      <c r="GIP34" s="283"/>
      <c r="GIQ34" s="283"/>
      <c r="GIR34" s="283"/>
      <c r="GIS34" s="283"/>
      <c r="GIT34" s="283"/>
      <c r="GIU34" s="283"/>
      <c r="GIV34" s="283"/>
      <c r="GIW34" s="283"/>
      <c r="GIX34" s="283"/>
      <c r="GIY34" s="283"/>
      <c r="GIZ34" s="283"/>
      <c r="GJA34" s="283"/>
      <c r="GJB34" s="283"/>
      <c r="GJC34" s="283"/>
      <c r="GJD34" s="283"/>
      <c r="GJE34" s="283"/>
      <c r="GJF34" s="283"/>
      <c r="GJG34" s="283"/>
      <c r="GJH34" s="283"/>
      <c r="GJI34" s="283"/>
      <c r="GJJ34" s="283"/>
      <c r="GJK34" s="283"/>
      <c r="GJL34" s="283"/>
      <c r="GJM34" s="283"/>
      <c r="GJN34" s="283"/>
      <c r="GJO34" s="283"/>
      <c r="GJP34" s="283"/>
      <c r="GJQ34" s="283"/>
      <c r="GJR34" s="283"/>
      <c r="GJS34" s="283"/>
      <c r="GJT34" s="283"/>
      <c r="GJU34" s="283"/>
      <c r="GJV34" s="283"/>
      <c r="GJW34" s="283"/>
      <c r="GJX34" s="283"/>
      <c r="GJY34" s="283"/>
      <c r="GJZ34" s="283"/>
      <c r="GKA34" s="283"/>
      <c r="GKB34" s="283"/>
      <c r="GKC34" s="283"/>
      <c r="GKD34" s="283"/>
      <c r="GKE34" s="283"/>
      <c r="GKF34" s="283"/>
      <c r="GKG34" s="283"/>
      <c r="GKH34" s="283"/>
      <c r="GKI34" s="283"/>
      <c r="GKJ34" s="283"/>
      <c r="GKK34" s="283"/>
      <c r="GKL34" s="283"/>
      <c r="GKM34" s="283"/>
      <c r="GKN34" s="283"/>
      <c r="GKO34" s="283"/>
      <c r="GKP34" s="283"/>
      <c r="GKQ34" s="283"/>
      <c r="GKR34" s="283"/>
      <c r="GKS34" s="283"/>
      <c r="GKT34" s="283"/>
      <c r="GKU34" s="283"/>
      <c r="GKV34" s="283"/>
      <c r="GKW34" s="283"/>
      <c r="GKX34" s="283"/>
      <c r="GKY34" s="283"/>
      <c r="GKZ34" s="283"/>
      <c r="GLA34" s="283"/>
      <c r="GLB34" s="283"/>
      <c r="GLC34" s="283"/>
      <c r="GLD34" s="283"/>
      <c r="GLE34" s="283"/>
      <c r="GLF34" s="283"/>
      <c r="GLG34" s="283"/>
      <c r="GLH34" s="283"/>
      <c r="GLI34" s="283"/>
      <c r="GLJ34" s="283"/>
      <c r="GLK34" s="283"/>
      <c r="GLL34" s="283"/>
      <c r="GLM34" s="283"/>
      <c r="GLN34" s="283"/>
      <c r="GLO34" s="283"/>
      <c r="GLP34" s="283"/>
      <c r="GLQ34" s="283"/>
      <c r="GLR34" s="283"/>
      <c r="GLS34" s="283"/>
      <c r="GLT34" s="283"/>
      <c r="GLU34" s="283"/>
      <c r="GLV34" s="283"/>
      <c r="GLW34" s="283"/>
      <c r="GLX34" s="283"/>
      <c r="GLY34" s="283"/>
      <c r="GLZ34" s="283"/>
      <c r="GMA34" s="283"/>
      <c r="GMB34" s="283"/>
      <c r="GMC34" s="283"/>
      <c r="GMD34" s="283"/>
      <c r="GME34" s="283"/>
      <c r="GMF34" s="283"/>
      <c r="GMG34" s="283"/>
      <c r="GMH34" s="283"/>
      <c r="GMI34" s="283"/>
      <c r="GMJ34" s="283"/>
      <c r="GMK34" s="283"/>
      <c r="GML34" s="283"/>
      <c r="GMM34" s="283"/>
      <c r="GMN34" s="283"/>
      <c r="GMO34" s="283"/>
      <c r="GMP34" s="283"/>
      <c r="GMQ34" s="283"/>
      <c r="GMR34" s="283"/>
      <c r="GMS34" s="283"/>
      <c r="GMT34" s="283"/>
      <c r="GMU34" s="283"/>
      <c r="GMV34" s="283"/>
      <c r="GMW34" s="283"/>
      <c r="GMX34" s="283"/>
      <c r="GMY34" s="283"/>
      <c r="GMZ34" s="283"/>
      <c r="GNA34" s="283"/>
      <c r="GNB34" s="283"/>
      <c r="GNC34" s="283"/>
      <c r="GND34" s="283"/>
      <c r="GNE34" s="283"/>
      <c r="GNF34" s="283"/>
      <c r="GNG34" s="283"/>
      <c r="GNH34" s="283"/>
      <c r="GNI34" s="283"/>
      <c r="GNJ34" s="283"/>
      <c r="GNK34" s="283"/>
      <c r="GNL34" s="283"/>
      <c r="GNM34" s="283"/>
      <c r="GNN34" s="283"/>
      <c r="GNO34" s="283"/>
      <c r="GNP34" s="283"/>
      <c r="GNQ34" s="283"/>
      <c r="GNR34" s="283"/>
      <c r="GNS34" s="283"/>
      <c r="GNT34" s="283"/>
      <c r="GNU34" s="283"/>
      <c r="GNV34" s="283"/>
      <c r="GNW34" s="283"/>
      <c r="GNX34" s="283"/>
      <c r="GNY34" s="283"/>
      <c r="GNZ34" s="283"/>
      <c r="GOA34" s="283"/>
      <c r="GOB34" s="283"/>
      <c r="GOC34" s="283"/>
      <c r="GOD34" s="283"/>
      <c r="GOE34" s="283"/>
      <c r="GOF34" s="283"/>
      <c r="GOG34" s="283"/>
      <c r="GOH34" s="283"/>
      <c r="GOI34" s="283"/>
      <c r="GOJ34" s="283"/>
      <c r="GOK34" s="283"/>
      <c r="GOL34" s="283"/>
      <c r="GOM34" s="283"/>
      <c r="GON34" s="283"/>
      <c r="GOO34" s="283"/>
      <c r="GOP34" s="283"/>
      <c r="GOQ34" s="283"/>
      <c r="GOR34" s="283"/>
      <c r="GOS34" s="283"/>
      <c r="GOT34" s="283"/>
      <c r="GOU34" s="283"/>
      <c r="GOV34" s="283"/>
      <c r="GOW34" s="283"/>
      <c r="GOX34" s="283"/>
      <c r="GOY34" s="283"/>
      <c r="GOZ34" s="283"/>
      <c r="GPA34" s="283"/>
      <c r="GPB34" s="283"/>
      <c r="GPC34" s="283"/>
      <c r="GPD34" s="283"/>
      <c r="GPE34" s="283"/>
      <c r="GPF34" s="283"/>
      <c r="GPG34" s="283"/>
      <c r="GPH34" s="283"/>
      <c r="GPI34" s="283"/>
      <c r="GPJ34" s="283"/>
      <c r="GPK34" s="283"/>
      <c r="GPL34" s="283"/>
      <c r="GPM34" s="283"/>
      <c r="GPN34" s="283"/>
      <c r="GPO34" s="283"/>
      <c r="GPP34" s="283"/>
      <c r="GPQ34" s="283"/>
      <c r="GPR34" s="283"/>
      <c r="GPS34" s="283"/>
      <c r="GPT34" s="283"/>
      <c r="GPU34" s="283"/>
      <c r="GPV34" s="283"/>
      <c r="GPW34" s="283"/>
      <c r="GPX34" s="283"/>
      <c r="GPY34" s="283"/>
      <c r="GPZ34" s="283"/>
      <c r="GQA34" s="283"/>
      <c r="GQB34" s="283"/>
      <c r="GQC34" s="283"/>
      <c r="GQD34" s="283"/>
      <c r="GQE34" s="283"/>
      <c r="GQF34" s="283"/>
      <c r="GQG34" s="283"/>
      <c r="GQH34" s="283"/>
      <c r="GQI34" s="283"/>
      <c r="GQJ34" s="283"/>
      <c r="GQK34" s="283"/>
      <c r="GQL34" s="283"/>
      <c r="GQM34" s="283"/>
      <c r="GQN34" s="283"/>
      <c r="GQO34" s="283"/>
      <c r="GQP34" s="283"/>
      <c r="GQQ34" s="283"/>
      <c r="GQR34" s="283"/>
      <c r="GQS34" s="283"/>
      <c r="GQT34" s="283"/>
      <c r="GQU34" s="283"/>
      <c r="GQV34" s="283"/>
      <c r="GQW34" s="283"/>
      <c r="GQX34" s="283"/>
      <c r="GQY34" s="283"/>
      <c r="GQZ34" s="283"/>
      <c r="GRA34" s="283"/>
      <c r="GRB34" s="283"/>
      <c r="GRC34" s="283"/>
      <c r="GRD34" s="283"/>
      <c r="GRE34" s="283"/>
      <c r="GRF34" s="283"/>
      <c r="GRG34" s="283"/>
      <c r="GRH34" s="283"/>
      <c r="GRI34" s="283"/>
      <c r="GRJ34" s="283"/>
      <c r="GRK34" s="283"/>
      <c r="GRL34" s="283"/>
      <c r="GRM34" s="283"/>
      <c r="GRN34" s="283"/>
      <c r="GRO34" s="283"/>
      <c r="GRP34" s="283"/>
      <c r="GRQ34" s="283"/>
      <c r="GRR34" s="283"/>
      <c r="GRS34" s="283"/>
      <c r="GRT34" s="283"/>
      <c r="GRU34" s="283"/>
      <c r="GRV34" s="283"/>
      <c r="GRW34" s="283"/>
      <c r="GRX34" s="283"/>
      <c r="GRY34" s="283"/>
      <c r="GRZ34" s="283"/>
      <c r="GSA34" s="283"/>
      <c r="GSB34" s="283"/>
      <c r="GSC34" s="283"/>
      <c r="GSD34" s="283"/>
      <c r="GSE34" s="283"/>
      <c r="GSF34" s="283"/>
      <c r="GSG34" s="283"/>
      <c r="GSH34" s="283"/>
      <c r="GSI34" s="283"/>
      <c r="GSJ34" s="283"/>
      <c r="GSK34" s="283"/>
      <c r="GSL34" s="283"/>
      <c r="GSM34" s="283"/>
      <c r="GSN34" s="283"/>
      <c r="GSO34" s="283"/>
      <c r="GSP34" s="283"/>
      <c r="GSQ34" s="283"/>
      <c r="GSR34" s="283"/>
      <c r="GSS34" s="283"/>
      <c r="GST34" s="283"/>
      <c r="GSU34" s="283"/>
      <c r="GSV34" s="283"/>
      <c r="GSW34" s="283"/>
      <c r="GSX34" s="283"/>
      <c r="GSY34" s="283"/>
      <c r="GSZ34" s="283"/>
      <c r="GTA34" s="283"/>
      <c r="GTB34" s="283"/>
      <c r="GTC34" s="283"/>
      <c r="GTD34" s="283"/>
      <c r="GTE34" s="283"/>
      <c r="GTF34" s="283"/>
      <c r="GTG34" s="283"/>
      <c r="GTH34" s="283"/>
      <c r="GTI34" s="283"/>
      <c r="GTJ34" s="283"/>
      <c r="GTK34" s="283"/>
      <c r="GTL34" s="283"/>
      <c r="GTM34" s="283"/>
      <c r="GTN34" s="283"/>
      <c r="GTO34" s="283"/>
      <c r="GTP34" s="283"/>
      <c r="GTQ34" s="283"/>
      <c r="GTR34" s="283"/>
      <c r="GTS34" s="283"/>
      <c r="GTT34" s="283"/>
      <c r="GTU34" s="283"/>
      <c r="GTV34" s="283"/>
      <c r="GTW34" s="283"/>
      <c r="GTX34" s="283"/>
      <c r="GTY34" s="283"/>
      <c r="GTZ34" s="283"/>
      <c r="GUA34" s="283"/>
      <c r="GUB34" s="283"/>
      <c r="GUC34" s="283"/>
      <c r="GUD34" s="283"/>
      <c r="GUE34" s="283"/>
      <c r="GUF34" s="283"/>
      <c r="GUG34" s="283"/>
      <c r="GUH34" s="283"/>
      <c r="GUI34" s="283"/>
      <c r="GUJ34" s="283"/>
      <c r="GUK34" s="283"/>
      <c r="GUL34" s="283"/>
      <c r="GUM34" s="283"/>
      <c r="GUN34" s="283"/>
      <c r="GUO34" s="283"/>
      <c r="GUP34" s="283"/>
      <c r="GUQ34" s="283"/>
      <c r="GUR34" s="283"/>
      <c r="GUS34" s="283"/>
      <c r="GUT34" s="283"/>
      <c r="GUU34" s="283"/>
      <c r="GUV34" s="283"/>
      <c r="GUW34" s="283"/>
      <c r="GUX34" s="283"/>
      <c r="GUY34" s="283"/>
      <c r="GUZ34" s="283"/>
      <c r="GVA34" s="283"/>
      <c r="GVB34" s="283"/>
      <c r="GVC34" s="283"/>
      <c r="GVD34" s="283"/>
      <c r="GVE34" s="283"/>
      <c r="GVF34" s="283"/>
      <c r="GVG34" s="283"/>
      <c r="GVH34" s="283"/>
      <c r="GVI34" s="283"/>
      <c r="GVJ34" s="283"/>
      <c r="GVK34" s="283"/>
      <c r="GVL34" s="283"/>
      <c r="GVM34" s="283"/>
      <c r="GVN34" s="283"/>
      <c r="GVO34" s="283"/>
      <c r="GVP34" s="283"/>
      <c r="GVQ34" s="283"/>
      <c r="GVR34" s="283"/>
      <c r="GVS34" s="283"/>
      <c r="GVT34" s="283"/>
      <c r="GVU34" s="283"/>
      <c r="GVV34" s="283"/>
      <c r="GVW34" s="283"/>
      <c r="GVX34" s="283"/>
      <c r="GVY34" s="283"/>
      <c r="GVZ34" s="283"/>
      <c r="GWA34" s="283"/>
      <c r="GWB34" s="283"/>
      <c r="GWC34" s="283"/>
      <c r="GWD34" s="283"/>
      <c r="GWE34" s="283"/>
      <c r="GWF34" s="283"/>
      <c r="GWG34" s="283"/>
      <c r="GWH34" s="283"/>
      <c r="GWI34" s="283"/>
      <c r="GWJ34" s="283"/>
      <c r="GWK34" s="283"/>
      <c r="GWL34" s="283"/>
      <c r="GWM34" s="283"/>
      <c r="GWN34" s="283"/>
      <c r="GWO34" s="283"/>
      <c r="GWP34" s="283"/>
      <c r="GWQ34" s="283"/>
      <c r="GWR34" s="283"/>
      <c r="GWS34" s="283"/>
      <c r="GWT34" s="283"/>
      <c r="GWU34" s="283"/>
      <c r="GWV34" s="283"/>
      <c r="GWW34" s="283"/>
      <c r="GWX34" s="283"/>
      <c r="GWY34" s="283"/>
      <c r="GWZ34" s="283"/>
      <c r="GXA34" s="283"/>
      <c r="GXB34" s="283"/>
      <c r="GXC34" s="283"/>
      <c r="GXD34" s="283"/>
      <c r="GXE34" s="283"/>
      <c r="GXF34" s="283"/>
      <c r="GXG34" s="283"/>
      <c r="GXH34" s="283"/>
      <c r="GXI34" s="283"/>
      <c r="GXJ34" s="283"/>
      <c r="GXK34" s="283"/>
      <c r="GXL34" s="283"/>
      <c r="GXM34" s="283"/>
      <c r="GXN34" s="283"/>
      <c r="GXO34" s="283"/>
      <c r="GXP34" s="283"/>
      <c r="GXQ34" s="283"/>
      <c r="GXR34" s="283"/>
      <c r="GXS34" s="283"/>
      <c r="GXT34" s="283"/>
      <c r="GXU34" s="283"/>
      <c r="GXV34" s="283"/>
      <c r="GXW34" s="283"/>
      <c r="GXX34" s="283"/>
      <c r="GXY34" s="283"/>
      <c r="GXZ34" s="283"/>
      <c r="GYA34" s="283"/>
      <c r="GYB34" s="283"/>
      <c r="GYC34" s="283"/>
      <c r="GYD34" s="283"/>
      <c r="GYE34" s="283"/>
      <c r="GYF34" s="283"/>
      <c r="GYG34" s="283"/>
      <c r="GYH34" s="283"/>
      <c r="GYI34" s="283"/>
      <c r="GYJ34" s="283"/>
      <c r="GYK34" s="283"/>
      <c r="GYL34" s="283"/>
      <c r="GYM34" s="283"/>
      <c r="GYN34" s="283"/>
      <c r="GYO34" s="283"/>
      <c r="GYP34" s="283"/>
      <c r="GYQ34" s="283"/>
      <c r="GYR34" s="283"/>
      <c r="GYS34" s="283"/>
      <c r="GYT34" s="283"/>
      <c r="GYU34" s="283"/>
      <c r="GYV34" s="283"/>
      <c r="GYW34" s="283"/>
      <c r="GYX34" s="283"/>
      <c r="GYY34" s="283"/>
      <c r="GYZ34" s="283"/>
      <c r="GZA34" s="283"/>
      <c r="GZB34" s="283"/>
      <c r="GZC34" s="283"/>
      <c r="GZD34" s="283"/>
      <c r="GZE34" s="283"/>
      <c r="GZF34" s="283"/>
      <c r="GZG34" s="283"/>
      <c r="GZH34" s="283"/>
      <c r="GZI34" s="283"/>
      <c r="GZJ34" s="283"/>
      <c r="GZK34" s="283"/>
      <c r="GZL34" s="283"/>
      <c r="GZM34" s="283"/>
      <c r="GZN34" s="283"/>
      <c r="GZO34" s="283"/>
      <c r="GZP34" s="283"/>
      <c r="GZQ34" s="283"/>
      <c r="GZR34" s="283"/>
      <c r="GZS34" s="283"/>
      <c r="GZT34" s="283"/>
      <c r="GZU34" s="283"/>
      <c r="GZV34" s="283"/>
      <c r="GZW34" s="283"/>
      <c r="GZX34" s="283"/>
      <c r="GZY34" s="283"/>
      <c r="GZZ34" s="283"/>
      <c r="HAA34" s="283"/>
      <c r="HAB34" s="283"/>
      <c r="HAC34" s="283"/>
      <c r="HAD34" s="283"/>
      <c r="HAE34" s="283"/>
      <c r="HAF34" s="283"/>
      <c r="HAG34" s="283"/>
      <c r="HAH34" s="283"/>
      <c r="HAI34" s="283"/>
      <c r="HAJ34" s="283"/>
      <c r="HAK34" s="283"/>
      <c r="HAL34" s="283"/>
      <c r="HAM34" s="283"/>
      <c r="HAN34" s="283"/>
      <c r="HAO34" s="283"/>
      <c r="HAP34" s="283"/>
      <c r="HAQ34" s="283"/>
      <c r="HAR34" s="283"/>
      <c r="HAS34" s="283"/>
      <c r="HAT34" s="283"/>
      <c r="HAU34" s="283"/>
      <c r="HAV34" s="283"/>
      <c r="HAW34" s="283"/>
      <c r="HAX34" s="283"/>
      <c r="HAY34" s="283"/>
      <c r="HAZ34" s="283"/>
      <c r="HBA34" s="283"/>
      <c r="HBB34" s="283"/>
      <c r="HBC34" s="283"/>
      <c r="HBD34" s="283"/>
      <c r="HBE34" s="283"/>
      <c r="HBF34" s="283"/>
      <c r="HBG34" s="283"/>
      <c r="HBH34" s="283"/>
      <c r="HBI34" s="283"/>
      <c r="HBJ34" s="283"/>
      <c r="HBK34" s="283"/>
      <c r="HBL34" s="283"/>
      <c r="HBM34" s="283"/>
      <c r="HBN34" s="283"/>
      <c r="HBO34" s="283"/>
      <c r="HBP34" s="283"/>
      <c r="HBQ34" s="283"/>
      <c r="HBR34" s="283"/>
      <c r="HBS34" s="283"/>
      <c r="HBT34" s="283"/>
      <c r="HBU34" s="283"/>
      <c r="HBV34" s="283"/>
      <c r="HBW34" s="283"/>
      <c r="HBX34" s="283"/>
      <c r="HBY34" s="283"/>
      <c r="HBZ34" s="283"/>
      <c r="HCA34" s="283"/>
      <c r="HCB34" s="283"/>
      <c r="HCC34" s="283"/>
      <c r="HCD34" s="283"/>
      <c r="HCE34" s="283"/>
      <c r="HCF34" s="283"/>
      <c r="HCG34" s="283"/>
      <c r="HCH34" s="283"/>
      <c r="HCI34" s="283"/>
      <c r="HCJ34" s="283"/>
      <c r="HCK34" s="283"/>
      <c r="HCL34" s="283"/>
      <c r="HCM34" s="283"/>
      <c r="HCN34" s="283"/>
      <c r="HCO34" s="283"/>
      <c r="HCP34" s="283"/>
      <c r="HCQ34" s="283"/>
      <c r="HCR34" s="283"/>
      <c r="HCS34" s="283"/>
      <c r="HCT34" s="283"/>
      <c r="HCU34" s="283"/>
      <c r="HCV34" s="283"/>
      <c r="HCW34" s="283"/>
      <c r="HCX34" s="283"/>
      <c r="HCY34" s="283"/>
      <c r="HCZ34" s="283"/>
      <c r="HDA34" s="283"/>
      <c r="HDB34" s="283"/>
      <c r="HDC34" s="283"/>
      <c r="HDD34" s="283"/>
      <c r="HDE34" s="283"/>
      <c r="HDF34" s="283"/>
      <c r="HDG34" s="283"/>
      <c r="HDH34" s="283"/>
      <c r="HDI34" s="283"/>
      <c r="HDJ34" s="283"/>
      <c r="HDK34" s="283"/>
      <c r="HDL34" s="283"/>
      <c r="HDM34" s="283"/>
      <c r="HDN34" s="283"/>
      <c r="HDO34" s="283"/>
      <c r="HDP34" s="283"/>
      <c r="HDQ34" s="283"/>
      <c r="HDR34" s="283"/>
      <c r="HDS34" s="283"/>
      <c r="HDT34" s="283"/>
      <c r="HDU34" s="283"/>
      <c r="HDV34" s="283"/>
      <c r="HDW34" s="283"/>
      <c r="HDX34" s="283"/>
      <c r="HDY34" s="283"/>
      <c r="HDZ34" s="283"/>
      <c r="HEA34" s="283"/>
      <c r="HEB34" s="283"/>
      <c r="HEC34" s="283"/>
      <c r="HED34" s="283"/>
      <c r="HEE34" s="283"/>
      <c r="HEF34" s="283"/>
      <c r="HEG34" s="283"/>
      <c r="HEH34" s="283"/>
      <c r="HEI34" s="283"/>
      <c r="HEJ34" s="283"/>
      <c r="HEK34" s="283"/>
      <c r="HEL34" s="283"/>
      <c r="HEM34" s="283"/>
      <c r="HEN34" s="283"/>
      <c r="HEO34" s="283"/>
      <c r="HEP34" s="283"/>
      <c r="HEQ34" s="283"/>
      <c r="HER34" s="283"/>
      <c r="HES34" s="283"/>
      <c r="HET34" s="283"/>
      <c r="HEU34" s="283"/>
      <c r="HEV34" s="283"/>
      <c r="HEW34" s="283"/>
      <c r="HEX34" s="283"/>
      <c r="HEY34" s="283"/>
      <c r="HEZ34" s="283"/>
      <c r="HFA34" s="283"/>
      <c r="HFB34" s="283"/>
      <c r="HFC34" s="283"/>
      <c r="HFD34" s="283"/>
      <c r="HFE34" s="283"/>
      <c r="HFF34" s="283"/>
      <c r="HFG34" s="283"/>
      <c r="HFH34" s="283"/>
      <c r="HFI34" s="283"/>
      <c r="HFJ34" s="283"/>
      <c r="HFK34" s="283"/>
      <c r="HFL34" s="283"/>
      <c r="HFM34" s="283"/>
      <c r="HFN34" s="283"/>
      <c r="HFO34" s="283"/>
      <c r="HFP34" s="283"/>
      <c r="HFQ34" s="283"/>
      <c r="HFR34" s="283"/>
      <c r="HFS34" s="283"/>
      <c r="HFT34" s="283"/>
      <c r="HFU34" s="283"/>
      <c r="HFV34" s="283"/>
      <c r="HFW34" s="283"/>
      <c r="HFX34" s="283"/>
      <c r="HFY34" s="283"/>
      <c r="HFZ34" s="283"/>
      <c r="HGA34" s="283"/>
      <c r="HGB34" s="283"/>
      <c r="HGC34" s="283"/>
      <c r="HGD34" s="283"/>
      <c r="HGE34" s="283"/>
      <c r="HGF34" s="283"/>
      <c r="HGG34" s="283"/>
      <c r="HGH34" s="283"/>
      <c r="HGI34" s="283"/>
      <c r="HGJ34" s="283"/>
      <c r="HGK34" s="283"/>
      <c r="HGL34" s="283"/>
      <c r="HGM34" s="283"/>
      <c r="HGN34" s="283"/>
      <c r="HGO34" s="283"/>
      <c r="HGP34" s="283"/>
      <c r="HGQ34" s="283"/>
      <c r="HGR34" s="283"/>
      <c r="HGS34" s="283"/>
      <c r="HGT34" s="283"/>
      <c r="HGU34" s="283"/>
      <c r="HGV34" s="283"/>
      <c r="HGW34" s="283"/>
      <c r="HGX34" s="283"/>
      <c r="HGY34" s="283"/>
      <c r="HGZ34" s="283"/>
      <c r="HHA34" s="283"/>
      <c r="HHB34" s="283"/>
      <c r="HHC34" s="283"/>
      <c r="HHD34" s="283"/>
      <c r="HHE34" s="283"/>
      <c r="HHF34" s="283"/>
      <c r="HHG34" s="283"/>
      <c r="HHH34" s="283"/>
      <c r="HHI34" s="283"/>
      <c r="HHJ34" s="283"/>
      <c r="HHK34" s="283"/>
      <c r="HHL34" s="283"/>
      <c r="HHM34" s="283"/>
      <c r="HHN34" s="283"/>
      <c r="HHO34" s="283"/>
      <c r="HHP34" s="283"/>
      <c r="HHQ34" s="283"/>
      <c r="HHR34" s="283"/>
      <c r="HHS34" s="283"/>
      <c r="HHT34" s="283"/>
      <c r="HHU34" s="283"/>
      <c r="HHV34" s="283"/>
      <c r="HHW34" s="283"/>
      <c r="HHX34" s="283"/>
      <c r="HHY34" s="283"/>
      <c r="HHZ34" s="283"/>
      <c r="HIA34" s="283"/>
      <c r="HIB34" s="283"/>
      <c r="HIC34" s="283"/>
      <c r="HID34" s="283"/>
      <c r="HIE34" s="283"/>
      <c r="HIF34" s="283"/>
      <c r="HIG34" s="283"/>
      <c r="HIH34" s="283"/>
      <c r="HII34" s="283"/>
      <c r="HIJ34" s="283"/>
      <c r="HIK34" s="283"/>
      <c r="HIL34" s="283"/>
      <c r="HIM34" s="283"/>
      <c r="HIN34" s="283"/>
      <c r="HIO34" s="283"/>
      <c r="HIP34" s="283"/>
      <c r="HIQ34" s="283"/>
      <c r="HIR34" s="283"/>
      <c r="HIS34" s="283"/>
      <c r="HIT34" s="283"/>
      <c r="HIU34" s="283"/>
      <c r="HIV34" s="283"/>
      <c r="HIW34" s="283"/>
      <c r="HIX34" s="283"/>
      <c r="HIY34" s="283"/>
      <c r="HIZ34" s="283"/>
      <c r="HJA34" s="283"/>
      <c r="HJB34" s="283"/>
      <c r="HJC34" s="283"/>
      <c r="HJD34" s="283"/>
      <c r="HJE34" s="283"/>
      <c r="HJF34" s="283"/>
      <c r="HJG34" s="283"/>
      <c r="HJH34" s="283"/>
      <c r="HJI34" s="283"/>
      <c r="HJJ34" s="283"/>
      <c r="HJK34" s="283"/>
      <c r="HJL34" s="283"/>
      <c r="HJM34" s="283"/>
      <c r="HJN34" s="283"/>
      <c r="HJO34" s="283"/>
      <c r="HJP34" s="283"/>
      <c r="HJQ34" s="283"/>
      <c r="HJR34" s="283"/>
      <c r="HJS34" s="283"/>
      <c r="HJT34" s="283"/>
      <c r="HJU34" s="283"/>
      <c r="HJV34" s="283"/>
      <c r="HJW34" s="283"/>
      <c r="HJX34" s="283"/>
      <c r="HJY34" s="283"/>
      <c r="HJZ34" s="283"/>
      <c r="HKA34" s="283"/>
      <c r="HKB34" s="283"/>
      <c r="HKC34" s="283"/>
      <c r="HKD34" s="283"/>
      <c r="HKE34" s="283"/>
      <c r="HKF34" s="283"/>
      <c r="HKG34" s="283"/>
      <c r="HKH34" s="283"/>
      <c r="HKI34" s="283"/>
      <c r="HKJ34" s="283"/>
      <c r="HKK34" s="283"/>
      <c r="HKL34" s="283"/>
      <c r="HKM34" s="283"/>
      <c r="HKN34" s="283"/>
      <c r="HKO34" s="283"/>
      <c r="HKP34" s="283"/>
      <c r="HKQ34" s="283"/>
      <c r="HKR34" s="283"/>
      <c r="HKS34" s="283"/>
      <c r="HKT34" s="283"/>
      <c r="HKU34" s="283"/>
      <c r="HKV34" s="283"/>
      <c r="HKW34" s="283"/>
      <c r="HKX34" s="283"/>
      <c r="HKY34" s="283"/>
      <c r="HKZ34" s="283"/>
      <c r="HLA34" s="283"/>
      <c r="HLB34" s="283"/>
      <c r="HLC34" s="283"/>
      <c r="HLD34" s="283"/>
      <c r="HLE34" s="283"/>
      <c r="HLF34" s="283"/>
      <c r="HLG34" s="283"/>
      <c r="HLH34" s="283"/>
      <c r="HLI34" s="283"/>
      <c r="HLJ34" s="283"/>
      <c r="HLK34" s="283"/>
      <c r="HLL34" s="283"/>
      <c r="HLM34" s="283"/>
      <c r="HLN34" s="283"/>
      <c r="HLO34" s="283"/>
      <c r="HLP34" s="283"/>
      <c r="HLQ34" s="283"/>
      <c r="HLR34" s="283"/>
      <c r="HLS34" s="283"/>
      <c r="HLT34" s="283"/>
      <c r="HLU34" s="283"/>
      <c r="HLV34" s="283"/>
      <c r="HLW34" s="283"/>
      <c r="HLX34" s="283"/>
      <c r="HLY34" s="283"/>
      <c r="HLZ34" s="283"/>
      <c r="HMA34" s="283"/>
      <c r="HMB34" s="283"/>
      <c r="HMC34" s="283"/>
      <c r="HMD34" s="283"/>
      <c r="HME34" s="283"/>
      <c r="HMF34" s="283"/>
      <c r="HMG34" s="283"/>
      <c r="HMH34" s="283"/>
      <c r="HMI34" s="283"/>
      <c r="HMJ34" s="283"/>
      <c r="HMK34" s="283"/>
      <c r="HML34" s="283"/>
      <c r="HMM34" s="283"/>
      <c r="HMN34" s="283"/>
      <c r="HMO34" s="283"/>
      <c r="HMP34" s="283"/>
      <c r="HMQ34" s="283"/>
      <c r="HMR34" s="283"/>
      <c r="HMS34" s="283"/>
      <c r="HMT34" s="283"/>
      <c r="HMU34" s="283"/>
      <c r="HMV34" s="283"/>
      <c r="HMW34" s="283"/>
      <c r="HMX34" s="283"/>
      <c r="HMY34" s="283"/>
      <c r="HMZ34" s="283"/>
      <c r="HNA34" s="283"/>
      <c r="HNB34" s="283"/>
      <c r="HNC34" s="283"/>
      <c r="HND34" s="283"/>
      <c r="HNE34" s="283"/>
      <c r="HNF34" s="283"/>
      <c r="HNG34" s="283"/>
      <c r="HNH34" s="283"/>
      <c r="HNI34" s="283"/>
      <c r="HNJ34" s="283"/>
      <c r="HNK34" s="283"/>
      <c r="HNL34" s="283"/>
      <c r="HNM34" s="283"/>
      <c r="HNN34" s="283"/>
      <c r="HNO34" s="283"/>
      <c r="HNP34" s="283"/>
      <c r="HNQ34" s="283"/>
      <c r="HNR34" s="283"/>
      <c r="HNS34" s="283"/>
      <c r="HNT34" s="283"/>
      <c r="HNU34" s="283"/>
      <c r="HNV34" s="283"/>
      <c r="HNW34" s="283"/>
      <c r="HNX34" s="283"/>
      <c r="HNY34" s="283"/>
      <c r="HNZ34" s="283"/>
      <c r="HOA34" s="283"/>
      <c r="HOB34" s="283"/>
      <c r="HOC34" s="283"/>
      <c r="HOD34" s="283"/>
      <c r="HOE34" s="283"/>
      <c r="HOF34" s="283"/>
      <c r="HOG34" s="283"/>
      <c r="HOH34" s="283"/>
      <c r="HOI34" s="283"/>
      <c r="HOJ34" s="283"/>
      <c r="HOK34" s="283"/>
      <c r="HOL34" s="283"/>
      <c r="HOM34" s="283"/>
      <c r="HON34" s="283"/>
      <c r="HOO34" s="283"/>
      <c r="HOP34" s="283"/>
      <c r="HOQ34" s="283"/>
      <c r="HOR34" s="283"/>
      <c r="HOS34" s="283"/>
      <c r="HOT34" s="283"/>
      <c r="HOU34" s="283"/>
      <c r="HOV34" s="283"/>
      <c r="HOW34" s="283"/>
      <c r="HOX34" s="283"/>
      <c r="HOY34" s="283"/>
      <c r="HOZ34" s="283"/>
      <c r="HPA34" s="283"/>
      <c r="HPB34" s="283"/>
      <c r="HPC34" s="283"/>
      <c r="HPD34" s="283"/>
      <c r="HPE34" s="283"/>
      <c r="HPF34" s="283"/>
      <c r="HPG34" s="283"/>
      <c r="HPH34" s="283"/>
      <c r="HPI34" s="283"/>
      <c r="HPJ34" s="283"/>
      <c r="HPK34" s="283"/>
      <c r="HPL34" s="283"/>
      <c r="HPM34" s="283"/>
      <c r="HPN34" s="283"/>
      <c r="HPO34" s="283"/>
      <c r="HPP34" s="283"/>
      <c r="HPQ34" s="283"/>
      <c r="HPR34" s="283"/>
      <c r="HPS34" s="283"/>
      <c r="HPT34" s="283"/>
      <c r="HPU34" s="283"/>
      <c r="HPV34" s="283"/>
      <c r="HPW34" s="283"/>
      <c r="HPX34" s="283"/>
      <c r="HPY34" s="283"/>
      <c r="HPZ34" s="283"/>
      <c r="HQA34" s="283"/>
      <c r="HQB34" s="283"/>
      <c r="HQC34" s="283"/>
      <c r="HQD34" s="283"/>
      <c r="HQE34" s="283"/>
      <c r="HQF34" s="283"/>
      <c r="HQG34" s="283"/>
      <c r="HQH34" s="283"/>
      <c r="HQI34" s="283"/>
      <c r="HQJ34" s="283"/>
      <c r="HQK34" s="283"/>
      <c r="HQL34" s="283"/>
      <c r="HQM34" s="283"/>
      <c r="HQN34" s="283"/>
      <c r="HQO34" s="283"/>
      <c r="HQP34" s="283"/>
      <c r="HQQ34" s="283"/>
      <c r="HQR34" s="283"/>
      <c r="HQS34" s="283"/>
      <c r="HQT34" s="283"/>
      <c r="HQU34" s="283"/>
      <c r="HQV34" s="283"/>
      <c r="HQW34" s="283"/>
      <c r="HQX34" s="283"/>
      <c r="HQY34" s="283"/>
      <c r="HQZ34" s="283"/>
      <c r="HRA34" s="283"/>
      <c r="HRB34" s="283"/>
      <c r="HRC34" s="283"/>
      <c r="HRD34" s="283"/>
      <c r="HRE34" s="283"/>
      <c r="HRF34" s="283"/>
      <c r="HRG34" s="283"/>
      <c r="HRH34" s="283"/>
      <c r="HRI34" s="283"/>
      <c r="HRJ34" s="283"/>
      <c r="HRK34" s="283"/>
      <c r="HRL34" s="283"/>
      <c r="HRM34" s="283"/>
      <c r="HRN34" s="283"/>
      <c r="HRO34" s="283"/>
      <c r="HRP34" s="283"/>
      <c r="HRQ34" s="283"/>
      <c r="HRR34" s="283"/>
      <c r="HRS34" s="283"/>
      <c r="HRT34" s="283"/>
      <c r="HRU34" s="283"/>
      <c r="HRV34" s="283"/>
      <c r="HRW34" s="283"/>
      <c r="HRX34" s="283"/>
      <c r="HRY34" s="283"/>
      <c r="HRZ34" s="283"/>
      <c r="HSA34" s="283"/>
      <c r="HSB34" s="283"/>
      <c r="HSC34" s="283"/>
      <c r="HSD34" s="283"/>
      <c r="HSE34" s="283"/>
      <c r="HSF34" s="283"/>
      <c r="HSG34" s="283"/>
      <c r="HSH34" s="283"/>
      <c r="HSI34" s="283"/>
      <c r="HSJ34" s="283"/>
      <c r="HSK34" s="283"/>
      <c r="HSL34" s="283"/>
      <c r="HSM34" s="283"/>
      <c r="HSN34" s="283"/>
      <c r="HSO34" s="283"/>
      <c r="HSP34" s="283"/>
      <c r="HSQ34" s="283"/>
      <c r="HSR34" s="283"/>
      <c r="HSS34" s="283"/>
      <c r="HST34" s="283"/>
      <c r="HSU34" s="283"/>
      <c r="HSV34" s="283"/>
      <c r="HSW34" s="283"/>
      <c r="HSX34" s="283"/>
      <c r="HSY34" s="283"/>
      <c r="HSZ34" s="283"/>
      <c r="HTA34" s="283"/>
      <c r="HTB34" s="283"/>
      <c r="HTC34" s="283"/>
      <c r="HTD34" s="283"/>
      <c r="HTE34" s="283"/>
      <c r="HTF34" s="283"/>
      <c r="HTG34" s="283"/>
      <c r="HTH34" s="283"/>
      <c r="HTI34" s="283"/>
      <c r="HTJ34" s="283"/>
      <c r="HTK34" s="283"/>
      <c r="HTL34" s="283"/>
      <c r="HTM34" s="283"/>
      <c r="HTN34" s="283"/>
      <c r="HTO34" s="283"/>
      <c r="HTP34" s="283"/>
      <c r="HTQ34" s="283"/>
      <c r="HTR34" s="283"/>
      <c r="HTS34" s="283"/>
      <c r="HTT34" s="283"/>
      <c r="HTU34" s="283"/>
      <c r="HTV34" s="283"/>
      <c r="HTW34" s="283"/>
      <c r="HTX34" s="283"/>
      <c r="HTY34" s="283"/>
      <c r="HTZ34" s="283"/>
      <c r="HUA34" s="283"/>
      <c r="HUB34" s="283"/>
      <c r="HUC34" s="283"/>
      <c r="HUD34" s="283"/>
      <c r="HUE34" s="283"/>
      <c r="HUF34" s="283"/>
      <c r="HUG34" s="283"/>
      <c r="HUH34" s="283"/>
      <c r="HUI34" s="283"/>
      <c r="HUJ34" s="283"/>
      <c r="HUK34" s="283"/>
      <c r="HUL34" s="283"/>
      <c r="HUM34" s="283"/>
      <c r="HUN34" s="283"/>
      <c r="HUO34" s="283"/>
      <c r="HUP34" s="283"/>
      <c r="HUQ34" s="283"/>
      <c r="HUR34" s="283"/>
      <c r="HUS34" s="283"/>
      <c r="HUT34" s="283"/>
      <c r="HUU34" s="283"/>
      <c r="HUV34" s="283"/>
      <c r="HUW34" s="283"/>
      <c r="HUX34" s="283"/>
      <c r="HUY34" s="283"/>
      <c r="HUZ34" s="283"/>
      <c r="HVA34" s="283"/>
      <c r="HVB34" s="283"/>
      <c r="HVC34" s="283"/>
      <c r="HVD34" s="283"/>
      <c r="HVE34" s="283"/>
      <c r="HVF34" s="283"/>
      <c r="HVG34" s="283"/>
      <c r="HVH34" s="283"/>
      <c r="HVI34" s="283"/>
      <c r="HVJ34" s="283"/>
      <c r="HVK34" s="283"/>
      <c r="HVL34" s="283"/>
      <c r="HVM34" s="283"/>
      <c r="HVN34" s="283"/>
      <c r="HVO34" s="283"/>
      <c r="HVP34" s="283"/>
      <c r="HVQ34" s="283"/>
      <c r="HVR34" s="283"/>
      <c r="HVS34" s="283"/>
      <c r="HVT34" s="283"/>
      <c r="HVU34" s="283"/>
      <c r="HVV34" s="283"/>
      <c r="HVW34" s="283"/>
      <c r="HVX34" s="283"/>
      <c r="HVY34" s="283"/>
      <c r="HVZ34" s="283"/>
      <c r="HWA34" s="283"/>
      <c r="HWB34" s="283"/>
      <c r="HWC34" s="283"/>
      <c r="HWD34" s="283"/>
      <c r="HWE34" s="283"/>
      <c r="HWF34" s="283"/>
      <c r="HWG34" s="283"/>
      <c r="HWH34" s="283"/>
      <c r="HWI34" s="283"/>
      <c r="HWJ34" s="283"/>
      <c r="HWK34" s="283"/>
      <c r="HWL34" s="283"/>
      <c r="HWM34" s="283"/>
      <c r="HWN34" s="283"/>
      <c r="HWO34" s="283"/>
      <c r="HWP34" s="283"/>
      <c r="HWQ34" s="283"/>
      <c r="HWR34" s="283"/>
      <c r="HWS34" s="283"/>
      <c r="HWT34" s="283"/>
      <c r="HWU34" s="283"/>
      <c r="HWV34" s="283"/>
      <c r="HWW34" s="283"/>
      <c r="HWX34" s="283"/>
      <c r="HWY34" s="283"/>
      <c r="HWZ34" s="283"/>
      <c r="HXA34" s="283"/>
      <c r="HXB34" s="283"/>
      <c r="HXC34" s="283"/>
      <c r="HXD34" s="283"/>
      <c r="HXE34" s="283"/>
      <c r="HXF34" s="283"/>
      <c r="HXG34" s="283"/>
      <c r="HXH34" s="283"/>
      <c r="HXI34" s="283"/>
      <c r="HXJ34" s="283"/>
      <c r="HXK34" s="283"/>
      <c r="HXL34" s="283"/>
      <c r="HXM34" s="283"/>
      <c r="HXN34" s="283"/>
      <c r="HXO34" s="283"/>
      <c r="HXP34" s="283"/>
      <c r="HXQ34" s="283"/>
      <c r="HXR34" s="283"/>
      <c r="HXS34" s="283"/>
      <c r="HXT34" s="283"/>
      <c r="HXU34" s="283"/>
      <c r="HXV34" s="283"/>
      <c r="HXW34" s="283"/>
      <c r="HXX34" s="283"/>
      <c r="HXY34" s="283"/>
      <c r="HXZ34" s="283"/>
      <c r="HYA34" s="283"/>
      <c r="HYB34" s="283"/>
      <c r="HYC34" s="283"/>
      <c r="HYD34" s="283"/>
      <c r="HYE34" s="283"/>
      <c r="HYF34" s="283"/>
      <c r="HYG34" s="283"/>
      <c r="HYH34" s="283"/>
      <c r="HYI34" s="283"/>
      <c r="HYJ34" s="283"/>
      <c r="HYK34" s="283"/>
      <c r="HYL34" s="283"/>
      <c r="HYM34" s="283"/>
      <c r="HYN34" s="283"/>
      <c r="HYO34" s="283"/>
      <c r="HYP34" s="283"/>
      <c r="HYQ34" s="283"/>
      <c r="HYR34" s="283"/>
      <c r="HYS34" s="283"/>
      <c r="HYT34" s="283"/>
      <c r="HYU34" s="283"/>
      <c r="HYV34" s="283"/>
      <c r="HYW34" s="283"/>
      <c r="HYX34" s="283"/>
      <c r="HYY34" s="283"/>
      <c r="HYZ34" s="283"/>
      <c r="HZA34" s="283"/>
      <c r="HZB34" s="283"/>
      <c r="HZC34" s="283"/>
      <c r="HZD34" s="283"/>
      <c r="HZE34" s="283"/>
      <c r="HZF34" s="283"/>
      <c r="HZG34" s="283"/>
      <c r="HZH34" s="283"/>
      <c r="HZI34" s="283"/>
      <c r="HZJ34" s="283"/>
      <c r="HZK34" s="283"/>
      <c r="HZL34" s="283"/>
      <c r="HZM34" s="283"/>
      <c r="HZN34" s="283"/>
      <c r="HZO34" s="283"/>
      <c r="HZP34" s="283"/>
      <c r="HZQ34" s="283"/>
      <c r="HZR34" s="283"/>
      <c r="HZS34" s="283"/>
      <c r="HZT34" s="283"/>
      <c r="HZU34" s="283"/>
      <c r="HZV34" s="283"/>
      <c r="HZW34" s="283"/>
      <c r="HZX34" s="283"/>
      <c r="HZY34" s="283"/>
      <c r="HZZ34" s="283"/>
      <c r="IAA34" s="283"/>
      <c r="IAB34" s="283"/>
      <c r="IAC34" s="283"/>
      <c r="IAD34" s="283"/>
      <c r="IAE34" s="283"/>
      <c r="IAF34" s="283"/>
      <c r="IAG34" s="283"/>
      <c r="IAH34" s="283"/>
      <c r="IAI34" s="283"/>
      <c r="IAJ34" s="283"/>
      <c r="IAK34" s="283"/>
      <c r="IAL34" s="283"/>
      <c r="IAM34" s="283"/>
      <c r="IAN34" s="283"/>
      <c r="IAO34" s="283"/>
      <c r="IAP34" s="283"/>
      <c r="IAQ34" s="283"/>
      <c r="IAR34" s="283"/>
      <c r="IAS34" s="283"/>
      <c r="IAT34" s="283"/>
      <c r="IAU34" s="283"/>
      <c r="IAV34" s="283"/>
      <c r="IAW34" s="283"/>
      <c r="IAX34" s="283"/>
      <c r="IAY34" s="283"/>
      <c r="IAZ34" s="283"/>
      <c r="IBA34" s="283"/>
      <c r="IBB34" s="283"/>
      <c r="IBC34" s="283"/>
      <c r="IBD34" s="283"/>
      <c r="IBE34" s="283"/>
      <c r="IBF34" s="283"/>
      <c r="IBG34" s="283"/>
      <c r="IBH34" s="283"/>
      <c r="IBI34" s="283"/>
      <c r="IBJ34" s="283"/>
      <c r="IBK34" s="283"/>
      <c r="IBL34" s="283"/>
      <c r="IBM34" s="283"/>
      <c r="IBN34" s="283"/>
      <c r="IBO34" s="283"/>
      <c r="IBP34" s="283"/>
      <c r="IBQ34" s="283"/>
      <c r="IBR34" s="283"/>
      <c r="IBS34" s="283"/>
      <c r="IBT34" s="283"/>
      <c r="IBU34" s="283"/>
      <c r="IBV34" s="283"/>
      <c r="IBW34" s="283"/>
      <c r="IBX34" s="283"/>
      <c r="IBY34" s="283"/>
      <c r="IBZ34" s="283"/>
      <c r="ICA34" s="283"/>
      <c r="ICB34" s="283"/>
      <c r="ICC34" s="283"/>
      <c r="ICD34" s="283"/>
      <c r="ICE34" s="283"/>
      <c r="ICF34" s="283"/>
      <c r="ICG34" s="283"/>
      <c r="ICH34" s="283"/>
      <c r="ICI34" s="283"/>
      <c r="ICJ34" s="283"/>
      <c r="ICK34" s="283"/>
      <c r="ICL34" s="283"/>
      <c r="ICM34" s="283"/>
      <c r="ICN34" s="283"/>
      <c r="ICO34" s="283"/>
      <c r="ICP34" s="283"/>
      <c r="ICQ34" s="283"/>
      <c r="ICR34" s="283"/>
      <c r="ICS34" s="283"/>
      <c r="ICT34" s="283"/>
      <c r="ICU34" s="283"/>
      <c r="ICV34" s="283"/>
      <c r="ICW34" s="283"/>
      <c r="ICX34" s="283"/>
      <c r="ICY34" s="283"/>
      <c r="ICZ34" s="283"/>
      <c r="IDA34" s="283"/>
      <c r="IDB34" s="283"/>
      <c r="IDC34" s="283"/>
      <c r="IDD34" s="283"/>
      <c r="IDE34" s="283"/>
      <c r="IDF34" s="283"/>
      <c r="IDG34" s="283"/>
      <c r="IDH34" s="283"/>
      <c r="IDI34" s="283"/>
      <c r="IDJ34" s="283"/>
      <c r="IDK34" s="283"/>
      <c r="IDL34" s="283"/>
      <c r="IDM34" s="283"/>
      <c r="IDN34" s="283"/>
      <c r="IDO34" s="283"/>
      <c r="IDP34" s="283"/>
      <c r="IDQ34" s="283"/>
      <c r="IDR34" s="283"/>
      <c r="IDS34" s="283"/>
      <c r="IDT34" s="283"/>
      <c r="IDU34" s="283"/>
      <c r="IDV34" s="283"/>
      <c r="IDW34" s="283"/>
      <c r="IDX34" s="283"/>
      <c r="IDY34" s="283"/>
      <c r="IDZ34" s="283"/>
      <c r="IEA34" s="283"/>
      <c r="IEB34" s="283"/>
      <c r="IEC34" s="283"/>
      <c r="IED34" s="283"/>
      <c r="IEE34" s="283"/>
      <c r="IEF34" s="283"/>
      <c r="IEG34" s="283"/>
      <c r="IEH34" s="283"/>
      <c r="IEI34" s="283"/>
      <c r="IEJ34" s="283"/>
      <c r="IEK34" s="283"/>
      <c r="IEL34" s="283"/>
      <c r="IEM34" s="283"/>
      <c r="IEN34" s="283"/>
      <c r="IEO34" s="283"/>
      <c r="IEP34" s="283"/>
      <c r="IEQ34" s="283"/>
      <c r="IER34" s="283"/>
      <c r="IES34" s="283"/>
      <c r="IET34" s="283"/>
      <c r="IEU34" s="283"/>
      <c r="IEV34" s="283"/>
      <c r="IEW34" s="283"/>
      <c r="IEX34" s="283"/>
      <c r="IEY34" s="283"/>
      <c r="IEZ34" s="283"/>
      <c r="IFA34" s="283"/>
      <c r="IFB34" s="283"/>
      <c r="IFC34" s="283"/>
      <c r="IFD34" s="283"/>
      <c r="IFE34" s="283"/>
      <c r="IFF34" s="283"/>
      <c r="IFG34" s="283"/>
      <c r="IFH34" s="283"/>
      <c r="IFI34" s="283"/>
      <c r="IFJ34" s="283"/>
      <c r="IFK34" s="283"/>
      <c r="IFL34" s="283"/>
      <c r="IFM34" s="283"/>
      <c r="IFN34" s="283"/>
      <c r="IFO34" s="283"/>
      <c r="IFP34" s="283"/>
      <c r="IFQ34" s="283"/>
      <c r="IFR34" s="283"/>
      <c r="IFS34" s="283"/>
      <c r="IFT34" s="283"/>
      <c r="IFU34" s="283"/>
      <c r="IFV34" s="283"/>
      <c r="IFW34" s="283"/>
      <c r="IFX34" s="283"/>
      <c r="IFY34" s="283"/>
      <c r="IFZ34" s="283"/>
      <c r="IGA34" s="283"/>
      <c r="IGB34" s="283"/>
      <c r="IGC34" s="283"/>
      <c r="IGD34" s="283"/>
      <c r="IGE34" s="283"/>
      <c r="IGF34" s="283"/>
      <c r="IGG34" s="283"/>
      <c r="IGH34" s="283"/>
      <c r="IGI34" s="283"/>
      <c r="IGJ34" s="283"/>
      <c r="IGK34" s="283"/>
      <c r="IGL34" s="283"/>
      <c r="IGM34" s="283"/>
      <c r="IGN34" s="283"/>
      <c r="IGO34" s="283"/>
      <c r="IGP34" s="283"/>
      <c r="IGQ34" s="283"/>
      <c r="IGR34" s="283"/>
      <c r="IGS34" s="283"/>
      <c r="IGT34" s="283"/>
      <c r="IGU34" s="283"/>
      <c r="IGV34" s="283"/>
      <c r="IGW34" s="283"/>
      <c r="IGX34" s="283"/>
      <c r="IGY34" s="283"/>
      <c r="IGZ34" s="283"/>
      <c r="IHA34" s="283"/>
      <c r="IHB34" s="283"/>
      <c r="IHC34" s="283"/>
      <c r="IHD34" s="283"/>
      <c r="IHE34" s="283"/>
      <c r="IHF34" s="283"/>
      <c r="IHG34" s="283"/>
      <c r="IHH34" s="283"/>
      <c r="IHI34" s="283"/>
      <c r="IHJ34" s="283"/>
      <c r="IHK34" s="283"/>
      <c r="IHL34" s="283"/>
      <c r="IHM34" s="283"/>
      <c r="IHN34" s="283"/>
      <c r="IHO34" s="283"/>
      <c r="IHP34" s="283"/>
      <c r="IHQ34" s="283"/>
      <c r="IHR34" s="283"/>
      <c r="IHS34" s="283"/>
      <c r="IHT34" s="283"/>
      <c r="IHU34" s="283"/>
      <c r="IHV34" s="283"/>
      <c r="IHW34" s="283"/>
      <c r="IHX34" s="283"/>
      <c r="IHY34" s="283"/>
      <c r="IHZ34" s="283"/>
      <c r="IIA34" s="283"/>
      <c r="IIB34" s="283"/>
      <c r="IIC34" s="283"/>
      <c r="IID34" s="283"/>
      <c r="IIE34" s="283"/>
      <c r="IIF34" s="283"/>
      <c r="IIG34" s="283"/>
      <c r="IIH34" s="283"/>
      <c r="III34" s="283"/>
      <c r="IIJ34" s="283"/>
      <c r="IIK34" s="283"/>
      <c r="IIL34" s="283"/>
      <c r="IIM34" s="283"/>
      <c r="IIN34" s="283"/>
      <c r="IIO34" s="283"/>
      <c r="IIP34" s="283"/>
      <c r="IIQ34" s="283"/>
      <c r="IIR34" s="283"/>
      <c r="IIS34" s="283"/>
      <c r="IIT34" s="283"/>
      <c r="IIU34" s="283"/>
      <c r="IIV34" s="283"/>
      <c r="IIW34" s="283"/>
      <c r="IIX34" s="283"/>
      <c r="IIY34" s="283"/>
      <c r="IIZ34" s="283"/>
      <c r="IJA34" s="283"/>
      <c r="IJB34" s="283"/>
      <c r="IJC34" s="283"/>
      <c r="IJD34" s="283"/>
      <c r="IJE34" s="283"/>
      <c r="IJF34" s="283"/>
      <c r="IJG34" s="283"/>
      <c r="IJH34" s="283"/>
      <c r="IJI34" s="283"/>
      <c r="IJJ34" s="283"/>
      <c r="IJK34" s="283"/>
      <c r="IJL34" s="283"/>
      <c r="IJM34" s="283"/>
      <c r="IJN34" s="283"/>
      <c r="IJO34" s="283"/>
      <c r="IJP34" s="283"/>
      <c r="IJQ34" s="283"/>
      <c r="IJR34" s="283"/>
      <c r="IJS34" s="283"/>
      <c r="IJT34" s="283"/>
      <c r="IJU34" s="283"/>
      <c r="IJV34" s="283"/>
      <c r="IJW34" s="283"/>
      <c r="IJX34" s="283"/>
      <c r="IJY34" s="283"/>
      <c r="IJZ34" s="283"/>
      <c r="IKA34" s="283"/>
      <c r="IKB34" s="283"/>
      <c r="IKC34" s="283"/>
      <c r="IKD34" s="283"/>
      <c r="IKE34" s="283"/>
      <c r="IKF34" s="283"/>
      <c r="IKG34" s="283"/>
      <c r="IKH34" s="283"/>
      <c r="IKI34" s="283"/>
      <c r="IKJ34" s="283"/>
      <c r="IKK34" s="283"/>
      <c r="IKL34" s="283"/>
      <c r="IKM34" s="283"/>
      <c r="IKN34" s="283"/>
      <c r="IKO34" s="283"/>
      <c r="IKP34" s="283"/>
      <c r="IKQ34" s="283"/>
      <c r="IKR34" s="283"/>
      <c r="IKS34" s="283"/>
      <c r="IKT34" s="283"/>
      <c r="IKU34" s="283"/>
      <c r="IKV34" s="283"/>
      <c r="IKW34" s="283"/>
      <c r="IKX34" s="283"/>
      <c r="IKY34" s="283"/>
      <c r="IKZ34" s="283"/>
      <c r="ILA34" s="283"/>
      <c r="ILB34" s="283"/>
      <c r="ILC34" s="283"/>
      <c r="ILD34" s="283"/>
      <c r="ILE34" s="283"/>
      <c r="ILF34" s="283"/>
      <c r="ILG34" s="283"/>
      <c r="ILH34" s="283"/>
      <c r="ILI34" s="283"/>
      <c r="ILJ34" s="283"/>
      <c r="ILK34" s="283"/>
      <c r="ILL34" s="283"/>
      <c r="ILM34" s="283"/>
      <c r="ILN34" s="283"/>
      <c r="ILO34" s="283"/>
      <c r="ILP34" s="283"/>
      <c r="ILQ34" s="283"/>
      <c r="ILR34" s="283"/>
      <c r="ILS34" s="283"/>
      <c r="ILT34" s="283"/>
      <c r="ILU34" s="283"/>
      <c r="ILV34" s="283"/>
      <c r="ILW34" s="283"/>
      <c r="ILX34" s="283"/>
      <c r="ILY34" s="283"/>
      <c r="ILZ34" s="283"/>
      <c r="IMA34" s="283"/>
      <c r="IMB34" s="283"/>
      <c r="IMC34" s="283"/>
      <c r="IMD34" s="283"/>
      <c r="IME34" s="283"/>
      <c r="IMF34" s="283"/>
      <c r="IMG34" s="283"/>
      <c r="IMH34" s="283"/>
      <c r="IMI34" s="283"/>
      <c r="IMJ34" s="283"/>
      <c r="IMK34" s="283"/>
      <c r="IML34" s="283"/>
      <c r="IMM34" s="283"/>
      <c r="IMN34" s="283"/>
      <c r="IMO34" s="283"/>
      <c r="IMP34" s="283"/>
      <c r="IMQ34" s="283"/>
      <c r="IMR34" s="283"/>
      <c r="IMS34" s="283"/>
      <c r="IMT34" s="283"/>
      <c r="IMU34" s="283"/>
      <c r="IMV34" s="283"/>
      <c r="IMW34" s="283"/>
      <c r="IMX34" s="283"/>
      <c r="IMY34" s="283"/>
      <c r="IMZ34" s="283"/>
      <c r="INA34" s="283"/>
      <c r="INB34" s="283"/>
      <c r="INC34" s="283"/>
      <c r="IND34" s="283"/>
      <c r="INE34" s="283"/>
      <c r="INF34" s="283"/>
      <c r="ING34" s="283"/>
      <c r="INH34" s="283"/>
      <c r="INI34" s="283"/>
      <c r="INJ34" s="283"/>
      <c r="INK34" s="283"/>
      <c r="INL34" s="283"/>
      <c r="INM34" s="283"/>
      <c r="INN34" s="283"/>
      <c r="INO34" s="283"/>
      <c r="INP34" s="283"/>
      <c r="INQ34" s="283"/>
      <c r="INR34" s="283"/>
      <c r="INS34" s="283"/>
      <c r="INT34" s="283"/>
      <c r="INU34" s="283"/>
      <c r="INV34" s="283"/>
      <c r="INW34" s="283"/>
      <c r="INX34" s="283"/>
      <c r="INY34" s="283"/>
      <c r="INZ34" s="283"/>
      <c r="IOA34" s="283"/>
      <c r="IOB34" s="283"/>
      <c r="IOC34" s="283"/>
      <c r="IOD34" s="283"/>
      <c r="IOE34" s="283"/>
      <c r="IOF34" s="283"/>
      <c r="IOG34" s="283"/>
      <c r="IOH34" s="283"/>
      <c r="IOI34" s="283"/>
      <c r="IOJ34" s="283"/>
      <c r="IOK34" s="283"/>
      <c r="IOL34" s="283"/>
      <c r="IOM34" s="283"/>
      <c r="ION34" s="283"/>
      <c r="IOO34" s="283"/>
      <c r="IOP34" s="283"/>
      <c r="IOQ34" s="283"/>
      <c r="IOR34" s="283"/>
      <c r="IOS34" s="283"/>
      <c r="IOT34" s="283"/>
      <c r="IOU34" s="283"/>
      <c r="IOV34" s="283"/>
      <c r="IOW34" s="283"/>
      <c r="IOX34" s="283"/>
      <c r="IOY34" s="283"/>
      <c r="IOZ34" s="283"/>
      <c r="IPA34" s="283"/>
      <c r="IPB34" s="283"/>
      <c r="IPC34" s="283"/>
      <c r="IPD34" s="283"/>
      <c r="IPE34" s="283"/>
      <c r="IPF34" s="283"/>
      <c r="IPG34" s="283"/>
      <c r="IPH34" s="283"/>
      <c r="IPI34" s="283"/>
      <c r="IPJ34" s="283"/>
      <c r="IPK34" s="283"/>
      <c r="IPL34" s="283"/>
      <c r="IPM34" s="283"/>
      <c r="IPN34" s="283"/>
      <c r="IPO34" s="283"/>
      <c r="IPP34" s="283"/>
      <c r="IPQ34" s="283"/>
      <c r="IPR34" s="283"/>
      <c r="IPS34" s="283"/>
      <c r="IPT34" s="283"/>
      <c r="IPU34" s="283"/>
      <c r="IPV34" s="283"/>
      <c r="IPW34" s="283"/>
      <c r="IPX34" s="283"/>
      <c r="IPY34" s="283"/>
      <c r="IPZ34" s="283"/>
      <c r="IQA34" s="283"/>
      <c r="IQB34" s="283"/>
      <c r="IQC34" s="283"/>
      <c r="IQD34" s="283"/>
      <c r="IQE34" s="283"/>
      <c r="IQF34" s="283"/>
      <c r="IQG34" s="283"/>
      <c r="IQH34" s="283"/>
      <c r="IQI34" s="283"/>
      <c r="IQJ34" s="283"/>
      <c r="IQK34" s="283"/>
      <c r="IQL34" s="283"/>
      <c r="IQM34" s="283"/>
      <c r="IQN34" s="283"/>
      <c r="IQO34" s="283"/>
      <c r="IQP34" s="283"/>
      <c r="IQQ34" s="283"/>
      <c r="IQR34" s="283"/>
      <c r="IQS34" s="283"/>
      <c r="IQT34" s="283"/>
      <c r="IQU34" s="283"/>
      <c r="IQV34" s="283"/>
      <c r="IQW34" s="283"/>
      <c r="IQX34" s="283"/>
      <c r="IQY34" s="283"/>
      <c r="IQZ34" s="283"/>
      <c r="IRA34" s="283"/>
      <c r="IRB34" s="283"/>
      <c r="IRC34" s="283"/>
      <c r="IRD34" s="283"/>
      <c r="IRE34" s="283"/>
      <c r="IRF34" s="283"/>
      <c r="IRG34" s="283"/>
      <c r="IRH34" s="283"/>
      <c r="IRI34" s="283"/>
      <c r="IRJ34" s="283"/>
      <c r="IRK34" s="283"/>
      <c r="IRL34" s="283"/>
      <c r="IRM34" s="283"/>
      <c r="IRN34" s="283"/>
      <c r="IRO34" s="283"/>
      <c r="IRP34" s="283"/>
      <c r="IRQ34" s="283"/>
      <c r="IRR34" s="283"/>
      <c r="IRS34" s="283"/>
      <c r="IRT34" s="283"/>
      <c r="IRU34" s="283"/>
      <c r="IRV34" s="283"/>
      <c r="IRW34" s="283"/>
      <c r="IRX34" s="283"/>
      <c r="IRY34" s="283"/>
      <c r="IRZ34" s="283"/>
      <c r="ISA34" s="283"/>
      <c r="ISB34" s="283"/>
      <c r="ISC34" s="283"/>
      <c r="ISD34" s="283"/>
      <c r="ISE34" s="283"/>
      <c r="ISF34" s="283"/>
      <c r="ISG34" s="283"/>
      <c r="ISH34" s="283"/>
      <c r="ISI34" s="283"/>
      <c r="ISJ34" s="283"/>
      <c r="ISK34" s="283"/>
      <c r="ISL34" s="283"/>
      <c r="ISM34" s="283"/>
      <c r="ISN34" s="283"/>
      <c r="ISO34" s="283"/>
      <c r="ISP34" s="283"/>
      <c r="ISQ34" s="283"/>
      <c r="ISR34" s="283"/>
      <c r="ISS34" s="283"/>
      <c r="IST34" s="283"/>
      <c r="ISU34" s="283"/>
      <c r="ISV34" s="283"/>
      <c r="ISW34" s="283"/>
      <c r="ISX34" s="283"/>
      <c r="ISY34" s="283"/>
      <c r="ISZ34" s="283"/>
      <c r="ITA34" s="283"/>
      <c r="ITB34" s="283"/>
      <c r="ITC34" s="283"/>
      <c r="ITD34" s="283"/>
      <c r="ITE34" s="283"/>
      <c r="ITF34" s="283"/>
      <c r="ITG34" s="283"/>
      <c r="ITH34" s="283"/>
      <c r="ITI34" s="283"/>
      <c r="ITJ34" s="283"/>
      <c r="ITK34" s="283"/>
      <c r="ITL34" s="283"/>
      <c r="ITM34" s="283"/>
      <c r="ITN34" s="283"/>
      <c r="ITO34" s="283"/>
      <c r="ITP34" s="283"/>
      <c r="ITQ34" s="283"/>
      <c r="ITR34" s="283"/>
      <c r="ITS34" s="283"/>
      <c r="ITT34" s="283"/>
      <c r="ITU34" s="283"/>
      <c r="ITV34" s="283"/>
      <c r="ITW34" s="283"/>
      <c r="ITX34" s="283"/>
      <c r="ITY34" s="283"/>
      <c r="ITZ34" s="283"/>
      <c r="IUA34" s="283"/>
      <c r="IUB34" s="283"/>
      <c r="IUC34" s="283"/>
      <c r="IUD34" s="283"/>
      <c r="IUE34" s="283"/>
      <c r="IUF34" s="283"/>
      <c r="IUG34" s="283"/>
      <c r="IUH34" s="283"/>
      <c r="IUI34" s="283"/>
      <c r="IUJ34" s="283"/>
      <c r="IUK34" s="283"/>
      <c r="IUL34" s="283"/>
      <c r="IUM34" s="283"/>
      <c r="IUN34" s="283"/>
      <c r="IUO34" s="283"/>
      <c r="IUP34" s="283"/>
      <c r="IUQ34" s="283"/>
      <c r="IUR34" s="283"/>
      <c r="IUS34" s="283"/>
      <c r="IUT34" s="283"/>
      <c r="IUU34" s="283"/>
      <c r="IUV34" s="283"/>
      <c r="IUW34" s="283"/>
      <c r="IUX34" s="283"/>
      <c r="IUY34" s="283"/>
      <c r="IUZ34" s="283"/>
      <c r="IVA34" s="283"/>
      <c r="IVB34" s="283"/>
      <c r="IVC34" s="283"/>
      <c r="IVD34" s="283"/>
      <c r="IVE34" s="283"/>
      <c r="IVF34" s="283"/>
      <c r="IVG34" s="283"/>
      <c r="IVH34" s="283"/>
      <c r="IVI34" s="283"/>
      <c r="IVJ34" s="283"/>
      <c r="IVK34" s="283"/>
      <c r="IVL34" s="283"/>
      <c r="IVM34" s="283"/>
      <c r="IVN34" s="283"/>
      <c r="IVO34" s="283"/>
      <c r="IVP34" s="283"/>
      <c r="IVQ34" s="283"/>
      <c r="IVR34" s="283"/>
      <c r="IVS34" s="283"/>
      <c r="IVT34" s="283"/>
      <c r="IVU34" s="283"/>
      <c r="IVV34" s="283"/>
      <c r="IVW34" s="283"/>
      <c r="IVX34" s="283"/>
      <c r="IVY34" s="283"/>
      <c r="IVZ34" s="283"/>
      <c r="IWA34" s="283"/>
      <c r="IWB34" s="283"/>
      <c r="IWC34" s="283"/>
      <c r="IWD34" s="283"/>
      <c r="IWE34" s="283"/>
      <c r="IWF34" s="283"/>
      <c r="IWG34" s="283"/>
      <c r="IWH34" s="283"/>
      <c r="IWI34" s="283"/>
      <c r="IWJ34" s="283"/>
      <c r="IWK34" s="283"/>
      <c r="IWL34" s="283"/>
      <c r="IWM34" s="283"/>
      <c r="IWN34" s="283"/>
      <c r="IWO34" s="283"/>
      <c r="IWP34" s="283"/>
      <c r="IWQ34" s="283"/>
      <c r="IWR34" s="283"/>
      <c r="IWS34" s="283"/>
      <c r="IWT34" s="283"/>
      <c r="IWU34" s="283"/>
      <c r="IWV34" s="283"/>
      <c r="IWW34" s="283"/>
      <c r="IWX34" s="283"/>
      <c r="IWY34" s="283"/>
      <c r="IWZ34" s="283"/>
      <c r="IXA34" s="283"/>
      <c r="IXB34" s="283"/>
      <c r="IXC34" s="283"/>
      <c r="IXD34" s="283"/>
      <c r="IXE34" s="283"/>
      <c r="IXF34" s="283"/>
      <c r="IXG34" s="283"/>
      <c r="IXH34" s="283"/>
      <c r="IXI34" s="283"/>
      <c r="IXJ34" s="283"/>
      <c r="IXK34" s="283"/>
      <c r="IXL34" s="283"/>
      <c r="IXM34" s="283"/>
      <c r="IXN34" s="283"/>
      <c r="IXO34" s="283"/>
      <c r="IXP34" s="283"/>
      <c r="IXQ34" s="283"/>
      <c r="IXR34" s="283"/>
      <c r="IXS34" s="283"/>
      <c r="IXT34" s="283"/>
      <c r="IXU34" s="283"/>
      <c r="IXV34" s="283"/>
      <c r="IXW34" s="283"/>
      <c r="IXX34" s="283"/>
      <c r="IXY34" s="283"/>
      <c r="IXZ34" s="283"/>
      <c r="IYA34" s="283"/>
      <c r="IYB34" s="283"/>
      <c r="IYC34" s="283"/>
      <c r="IYD34" s="283"/>
      <c r="IYE34" s="283"/>
      <c r="IYF34" s="283"/>
      <c r="IYG34" s="283"/>
      <c r="IYH34" s="283"/>
      <c r="IYI34" s="283"/>
      <c r="IYJ34" s="283"/>
      <c r="IYK34" s="283"/>
      <c r="IYL34" s="283"/>
      <c r="IYM34" s="283"/>
      <c r="IYN34" s="283"/>
      <c r="IYO34" s="283"/>
      <c r="IYP34" s="283"/>
      <c r="IYQ34" s="283"/>
      <c r="IYR34" s="283"/>
      <c r="IYS34" s="283"/>
      <c r="IYT34" s="283"/>
      <c r="IYU34" s="283"/>
      <c r="IYV34" s="283"/>
      <c r="IYW34" s="283"/>
      <c r="IYX34" s="283"/>
      <c r="IYY34" s="283"/>
      <c r="IYZ34" s="283"/>
      <c r="IZA34" s="283"/>
      <c r="IZB34" s="283"/>
      <c r="IZC34" s="283"/>
      <c r="IZD34" s="283"/>
      <c r="IZE34" s="283"/>
      <c r="IZF34" s="283"/>
      <c r="IZG34" s="283"/>
      <c r="IZH34" s="283"/>
      <c r="IZI34" s="283"/>
      <c r="IZJ34" s="283"/>
      <c r="IZK34" s="283"/>
      <c r="IZL34" s="283"/>
      <c r="IZM34" s="283"/>
      <c r="IZN34" s="283"/>
      <c r="IZO34" s="283"/>
      <c r="IZP34" s="283"/>
      <c r="IZQ34" s="283"/>
      <c r="IZR34" s="283"/>
      <c r="IZS34" s="283"/>
      <c r="IZT34" s="283"/>
      <c r="IZU34" s="283"/>
      <c r="IZV34" s="283"/>
      <c r="IZW34" s="283"/>
      <c r="IZX34" s="283"/>
      <c r="IZY34" s="283"/>
      <c r="IZZ34" s="283"/>
      <c r="JAA34" s="283"/>
      <c r="JAB34" s="283"/>
      <c r="JAC34" s="283"/>
      <c r="JAD34" s="283"/>
      <c r="JAE34" s="283"/>
      <c r="JAF34" s="283"/>
      <c r="JAG34" s="283"/>
      <c r="JAH34" s="283"/>
      <c r="JAI34" s="283"/>
      <c r="JAJ34" s="283"/>
      <c r="JAK34" s="283"/>
      <c r="JAL34" s="283"/>
      <c r="JAM34" s="283"/>
      <c r="JAN34" s="283"/>
      <c r="JAO34" s="283"/>
      <c r="JAP34" s="283"/>
      <c r="JAQ34" s="283"/>
      <c r="JAR34" s="283"/>
      <c r="JAS34" s="283"/>
      <c r="JAT34" s="283"/>
      <c r="JAU34" s="283"/>
      <c r="JAV34" s="283"/>
      <c r="JAW34" s="283"/>
      <c r="JAX34" s="283"/>
      <c r="JAY34" s="283"/>
      <c r="JAZ34" s="283"/>
      <c r="JBA34" s="283"/>
      <c r="JBB34" s="283"/>
      <c r="JBC34" s="283"/>
      <c r="JBD34" s="283"/>
      <c r="JBE34" s="283"/>
      <c r="JBF34" s="283"/>
      <c r="JBG34" s="283"/>
      <c r="JBH34" s="283"/>
      <c r="JBI34" s="283"/>
      <c r="JBJ34" s="283"/>
      <c r="JBK34" s="283"/>
      <c r="JBL34" s="283"/>
      <c r="JBM34" s="283"/>
      <c r="JBN34" s="283"/>
      <c r="JBO34" s="283"/>
      <c r="JBP34" s="283"/>
      <c r="JBQ34" s="283"/>
      <c r="JBR34" s="283"/>
      <c r="JBS34" s="283"/>
      <c r="JBT34" s="283"/>
      <c r="JBU34" s="283"/>
      <c r="JBV34" s="283"/>
      <c r="JBW34" s="283"/>
      <c r="JBX34" s="283"/>
      <c r="JBY34" s="283"/>
      <c r="JBZ34" s="283"/>
      <c r="JCA34" s="283"/>
      <c r="JCB34" s="283"/>
      <c r="JCC34" s="283"/>
      <c r="JCD34" s="283"/>
      <c r="JCE34" s="283"/>
      <c r="JCF34" s="283"/>
      <c r="JCG34" s="283"/>
      <c r="JCH34" s="283"/>
      <c r="JCI34" s="283"/>
      <c r="JCJ34" s="283"/>
      <c r="JCK34" s="283"/>
      <c r="JCL34" s="283"/>
      <c r="JCM34" s="283"/>
      <c r="JCN34" s="283"/>
      <c r="JCO34" s="283"/>
      <c r="JCP34" s="283"/>
      <c r="JCQ34" s="283"/>
      <c r="JCR34" s="283"/>
      <c r="JCS34" s="283"/>
      <c r="JCT34" s="283"/>
      <c r="JCU34" s="283"/>
      <c r="JCV34" s="283"/>
      <c r="JCW34" s="283"/>
      <c r="JCX34" s="283"/>
      <c r="JCY34" s="283"/>
      <c r="JCZ34" s="283"/>
      <c r="JDA34" s="283"/>
      <c r="JDB34" s="283"/>
      <c r="JDC34" s="283"/>
      <c r="JDD34" s="283"/>
      <c r="JDE34" s="283"/>
      <c r="JDF34" s="283"/>
      <c r="JDG34" s="283"/>
      <c r="JDH34" s="283"/>
      <c r="JDI34" s="283"/>
      <c r="JDJ34" s="283"/>
      <c r="JDK34" s="283"/>
      <c r="JDL34" s="283"/>
      <c r="JDM34" s="283"/>
      <c r="JDN34" s="283"/>
      <c r="JDO34" s="283"/>
      <c r="JDP34" s="283"/>
      <c r="JDQ34" s="283"/>
      <c r="JDR34" s="283"/>
      <c r="JDS34" s="283"/>
      <c r="JDT34" s="283"/>
      <c r="JDU34" s="283"/>
      <c r="JDV34" s="283"/>
      <c r="JDW34" s="283"/>
      <c r="JDX34" s="283"/>
      <c r="JDY34" s="283"/>
      <c r="JDZ34" s="283"/>
      <c r="JEA34" s="283"/>
      <c r="JEB34" s="283"/>
      <c r="JEC34" s="283"/>
      <c r="JED34" s="283"/>
      <c r="JEE34" s="283"/>
      <c r="JEF34" s="283"/>
      <c r="JEG34" s="283"/>
      <c r="JEH34" s="283"/>
      <c r="JEI34" s="283"/>
      <c r="JEJ34" s="283"/>
      <c r="JEK34" s="283"/>
      <c r="JEL34" s="283"/>
      <c r="JEM34" s="283"/>
      <c r="JEN34" s="283"/>
      <c r="JEO34" s="283"/>
      <c r="JEP34" s="283"/>
      <c r="JEQ34" s="283"/>
      <c r="JER34" s="283"/>
      <c r="JES34" s="283"/>
      <c r="JET34" s="283"/>
      <c r="JEU34" s="283"/>
      <c r="JEV34" s="283"/>
      <c r="JEW34" s="283"/>
      <c r="JEX34" s="283"/>
      <c r="JEY34" s="283"/>
      <c r="JEZ34" s="283"/>
      <c r="JFA34" s="283"/>
      <c r="JFB34" s="283"/>
      <c r="JFC34" s="283"/>
      <c r="JFD34" s="283"/>
      <c r="JFE34" s="283"/>
      <c r="JFF34" s="283"/>
      <c r="JFG34" s="283"/>
      <c r="JFH34" s="283"/>
      <c r="JFI34" s="283"/>
      <c r="JFJ34" s="283"/>
      <c r="JFK34" s="283"/>
      <c r="JFL34" s="283"/>
      <c r="JFM34" s="283"/>
      <c r="JFN34" s="283"/>
      <c r="JFO34" s="283"/>
      <c r="JFP34" s="283"/>
      <c r="JFQ34" s="283"/>
      <c r="JFR34" s="283"/>
      <c r="JFS34" s="283"/>
      <c r="JFT34" s="283"/>
      <c r="JFU34" s="283"/>
      <c r="JFV34" s="283"/>
      <c r="JFW34" s="283"/>
      <c r="JFX34" s="283"/>
      <c r="JFY34" s="283"/>
      <c r="JFZ34" s="283"/>
      <c r="JGA34" s="283"/>
      <c r="JGB34" s="283"/>
      <c r="JGC34" s="283"/>
      <c r="JGD34" s="283"/>
      <c r="JGE34" s="283"/>
      <c r="JGF34" s="283"/>
      <c r="JGG34" s="283"/>
      <c r="JGH34" s="283"/>
      <c r="JGI34" s="283"/>
      <c r="JGJ34" s="283"/>
      <c r="JGK34" s="283"/>
      <c r="JGL34" s="283"/>
      <c r="JGM34" s="283"/>
      <c r="JGN34" s="283"/>
      <c r="JGO34" s="283"/>
      <c r="JGP34" s="283"/>
      <c r="JGQ34" s="283"/>
      <c r="JGR34" s="283"/>
      <c r="JGS34" s="283"/>
      <c r="JGT34" s="283"/>
      <c r="JGU34" s="283"/>
      <c r="JGV34" s="283"/>
      <c r="JGW34" s="283"/>
      <c r="JGX34" s="283"/>
      <c r="JGY34" s="283"/>
      <c r="JGZ34" s="283"/>
      <c r="JHA34" s="283"/>
      <c r="JHB34" s="283"/>
      <c r="JHC34" s="283"/>
      <c r="JHD34" s="283"/>
      <c r="JHE34" s="283"/>
      <c r="JHF34" s="283"/>
      <c r="JHG34" s="283"/>
      <c r="JHH34" s="283"/>
      <c r="JHI34" s="283"/>
      <c r="JHJ34" s="283"/>
      <c r="JHK34" s="283"/>
      <c r="JHL34" s="283"/>
      <c r="JHM34" s="283"/>
      <c r="JHN34" s="283"/>
      <c r="JHO34" s="283"/>
      <c r="JHP34" s="283"/>
      <c r="JHQ34" s="283"/>
      <c r="JHR34" s="283"/>
      <c r="JHS34" s="283"/>
      <c r="JHT34" s="283"/>
      <c r="JHU34" s="283"/>
      <c r="JHV34" s="283"/>
      <c r="JHW34" s="283"/>
      <c r="JHX34" s="283"/>
      <c r="JHY34" s="283"/>
      <c r="JHZ34" s="283"/>
      <c r="JIA34" s="283"/>
      <c r="JIB34" s="283"/>
      <c r="JIC34" s="283"/>
      <c r="JID34" s="283"/>
      <c r="JIE34" s="283"/>
      <c r="JIF34" s="283"/>
      <c r="JIG34" s="283"/>
      <c r="JIH34" s="283"/>
      <c r="JII34" s="283"/>
      <c r="JIJ34" s="283"/>
      <c r="JIK34" s="283"/>
      <c r="JIL34" s="283"/>
      <c r="JIM34" s="283"/>
      <c r="JIN34" s="283"/>
      <c r="JIO34" s="283"/>
      <c r="JIP34" s="283"/>
      <c r="JIQ34" s="283"/>
      <c r="JIR34" s="283"/>
      <c r="JIS34" s="283"/>
      <c r="JIT34" s="283"/>
      <c r="JIU34" s="283"/>
      <c r="JIV34" s="283"/>
      <c r="JIW34" s="283"/>
      <c r="JIX34" s="283"/>
      <c r="JIY34" s="283"/>
      <c r="JIZ34" s="283"/>
      <c r="JJA34" s="283"/>
      <c r="JJB34" s="283"/>
      <c r="JJC34" s="283"/>
      <c r="JJD34" s="283"/>
      <c r="JJE34" s="283"/>
      <c r="JJF34" s="283"/>
      <c r="JJG34" s="283"/>
      <c r="JJH34" s="283"/>
      <c r="JJI34" s="283"/>
      <c r="JJJ34" s="283"/>
      <c r="JJK34" s="283"/>
      <c r="JJL34" s="283"/>
      <c r="JJM34" s="283"/>
      <c r="JJN34" s="283"/>
      <c r="JJO34" s="283"/>
      <c r="JJP34" s="283"/>
      <c r="JJQ34" s="283"/>
      <c r="JJR34" s="283"/>
      <c r="JJS34" s="283"/>
      <c r="JJT34" s="283"/>
      <c r="JJU34" s="283"/>
      <c r="JJV34" s="283"/>
      <c r="JJW34" s="283"/>
      <c r="JJX34" s="283"/>
      <c r="JJY34" s="283"/>
      <c r="JJZ34" s="283"/>
      <c r="JKA34" s="283"/>
      <c r="JKB34" s="283"/>
      <c r="JKC34" s="283"/>
      <c r="JKD34" s="283"/>
      <c r="JKE34" s="283"/>
      <c r="JKF34" s="283"/>
      <c r="JKG34" s="283"/>
      <c r="JKH34" s="283"/>
      <c r="JKI34" s="283"/>
      <c r="JKJ34" s="283"/>
      <c r="JKK34" s="283"/>
      <c r="JKL34" s="283"/>
      <c r="JKM34" s="283"/>
      <c r="JKN34" s="283"/>
      <c r="JKO34" s="283"/>
      <c r="JKP34" s="283"/>
      <c r="JKQ34" s="283"/>
      <c r="JKR34" s="283"/>
      <c r="JKS34" s="283"/>
      <c r="JKT34" s="283"/>
      <c r="JKU34" s="283"/>
      <c r="JKV34" s="283"/>
      <c r="JKW34" s="283"/>
      <c r="JKX34" s="283"/>
      <c r="JKY34" s="283"/>
      <c r="JKZ34" s="283"/>
      <c r="JLA34" s="283"/>
      <c r="JLB34" s="283"/>
      <c r="JLC34" s="283"/>
      <c r="JLD34" s="283"/>
      <c r="JLE34" s="283"/>
      <c r="JLF34" s="283"/>
      <c r="JLG34" s="283"/>
      <c r="JLH34" s="283"/>
      <c r="JLI34" s="283"/>
      <c r="JLJ34" s="283"/>
      <c r="JLK34" s="283"/>
      <c r="JLL34" s="283"/>
      <c r="JLM34" s="283"/>
      <c r="JLN34" s="283"/>
      <c r="JLO34" s="283"/>
      <c r="JLP34" s="283"/>
      <c r="JLQ34" s="283"/>
      <c r="JLR34" s="283"/>
      <c r="JLS34" s="283"/>
      <c r="JLT34" s="283"/>
      <c r="JLU34" s="283"/>
      <c r="JLV34" s="283"/>
      <c r="JLW34" s="283"/>
      <c r="JLX34" s="283"/>
      <c r="JLY34" s="283"/>
      <c r="JLZ34" s="283"/>
      <c r="JMA34" s="283"/>
      <c r="JMB34" s="283"/>
      <c r="JMC34" s="283"/>
      <c r="JMD34" s="283"/>
      <c r="JME34" s="283"/>
      <c r="JMF34" s="283"/>
      <c r="JMG34" s="283"/>
      <c r="JMH34" s="283"/>
      <c r="JMI34" s="283"/>
      <c r="JMJ34" s="283"/>
      <c r="JMK34" s="283"/>
      <c r="JML34" s="283"/>
      <c r="JMM34" s="283"/>
      <c r="JMN34" s="283"/>
      <c r="JMO34" s="283"/>
      <c r="JMP34" s="283"/>
      <c r="JMQ34" s="283"/>
      <c r="JMR34" s="283"/>
      <c r="JMS34" s="283"/>
      <c r="JMT34" s="283"/>
      <c r="JMU34" s="283"/>
      <c r="JMV34" s="283"/>
      <c r="JMW34" s="283"/>
      <c r="JMX34" s="283"/>
      <c r="JMY34" s="283"/>
      <c r="JMZ34" s="283"/>
      <c r="JNA34" s="283"/>
      <c r="JNB34" s="283"/>
      <c r="JNC34" s="283"/>
      <c r="JND34" s="283"/>
      <c r="JNE34" s="283"/>
      <c r="JNF34" s="283"/>
      <c r="JNG34" s="283"/>
      <c r="JNH34" s="283"/>
      <c r="JNI34" s="283"/>
      <c r="JNJ34" s="283"/>
      <c r="JNK34" s="283"/>
      <c r="JNL34" s="283"/>
      <c r="JNM34" s="283"/>
      <c r="JNN34" s="283"/>
      <c r="JNO34" s="283"/>
      <c r="JNP34" s="283"/>
      <c r="JNQ34" s="283"/>
      <c r="JNR34" s="283"/>
      <c r="JNS34" s="283"/>
      <c r="JNT34" s="283"/>
      <c r="JNU34" s="283"/>
      <c r="JNV34" s="283"/>
      <c r="JNW34" s="283"/>
      <c r="JNX34" s="283"/>
      <c r="JNY34" s="283"/>
      <c r="JNZ34" s="283"/>
      <c r="JOA34" s="283"/>
      <c r="JOB34" s="283"/>
      <c r="JOC34" s="283"/>
      <c r="JOD34" s="283"/>
      <c r="JOE34" s="283"/>
      <c r="JOF34" s="283"/>
      <c r="JOG34" s="283"/>
      <c r="JOH34" s="283"/>
      <c r="JOI34" s="283"/>
      <c r="JOJ34" s="283"/>
      <c r="JOK34" s="283"/>
      <c r="JOL34" s="283"/>
      <c r="JOM34" s="283"/>
      <c r="JON34" s="283"/>
      <c r="JOO34" s="283"/>
      <c r="JOP34" s="283"/>
      <c r="JOQ34" s="283"/>
      <c r="JOR34" s="283"/>
      <c r="JOS34" s="283"/>
      <c r="JOT34" s="283"/>
      <c r="JOU34" s="283"/>
      <c r="JOV34" s="283"/>
      <c r="JOW34" s="283"/>
      <c r="JOX34" s="283"/>
      <c r="JOY34" s="283"/>
      <c r="JOZ34" s="283"/>
      <c r="JPA34" s="283"/>
      <c r="JPB34" s="283"/>
      <c r="JPC34" s="283"/>
      <c r="JPD34" s="283"/>
      <c r="JPE34" s="283"/>
      <c r="JPF34" s="283"/>
      <c r="JPG34" s="283"/>
      <c r="JPH34" s="283"/>
      <c r="JPI34" s="283"/>
      <c r="JPJ34" s="283"/>
      <c r="JPK34" s="283"/>
      <c r="JPL34" s="283"/>
      <c r="JPM34" s="283"/>
      <c r="JPN34" s="283"/>
      <c r="JPO34" s="283"/>
      <c r="JPP34" s="283"/>
      <c r="JPQ34" s="283"/>
      <c r="JPR34" s="283"/>
      <c r="JPS34" s="283"/>
      <c r="JPT34" s="283"/>
      <c r="JPU34" s="283"/>
      <c r="JPV34" s="283"/>
      <c r="JPW34" s="283"/>
      <c r="JPX34" s="283"/>
      <c r="JPY34" s="283"/>
      <c r="JPZ34" s="283"/>
      <c r="JQA34" s="283"/>
      <c r="JQB34" s="283"/>
      <c r="JQC34" s="283"/>
      <c r="JQD34" s="283"/>
      <c r="JQE34" s="283"/>
      <c r="JQF34" s="283"/>
      <c r="JQG34" s="283"/>
      <c r="JQH34" s="283"/>
      <c r="JQI34" s="283"/>
      <c r="JQJ34" s="283"/>
      <c r="JQK34" s="283"/>
      <c r="JQL34" s="283"/>
      <c r="JQM34" s="283"/>
      <c r="JQN34" s="283"/>
      <c r="JQO34" s="283"/>
      <c r="JQP34" s="283"/>
      <c r="JQQ34" s="283"/>
      <c r="JQR34" s="283"/>
      <c r="JQS34" s="283"/>
      <c r="JQT34" s="283"/>
      <c r="JQU34" s="283"/>
      <c r="JQV34" s="283"/>
      <c r="JQW34" s="283"/>
      <c r="JQX34" s="283"/>
      <c r="JQY34" s="283"/>
      <c r="JQZ34" s="283"/>
      <c r="JRA34" s="283"/>
      <c r="JRB34" s="283"/>
      <c r="JRC34" s="283"/>
      <c r="JRD34" s="283"/>
      <c r="JRE34" s="283"/>
      <c r="JRF34" s="283"/>
      <c r="JRG34" s="283"/>
      <c r="JRH34" s="283"/>
      <c r="JRI34" s="283"/>
      <c r="JRJ34" s="283"/>
      <c r="JRK34" s="283"/>
      <c r="JRL34" s="283"/>
      <c r="JRM34" s="283"/>
      <c r="JRN34" s="283"/>
      <c r="JRO34" s="283"/>
      <c r="JRP34" s="283"/>
      <c r="JRQ34" s="283"/>
      <c r="JRR34" s="283"/>
      <c r="JRS34" s="283"/>
      <c r="JRT34" s="283"/>
      <c r="JRU34" s="283"/>
      <c r="JRV34" s="283"/>
      <c r="JRW34" s="283"/>
      <c r="JRX34" s="283"/>
      <c r="JRY34" s="283"/>
      <c r="JRZ34" s="283"/>
      <c r="JSA34" s="283"/>
      <c r="JSB34" s="283"/>
      <c r="JSC34" s="283"/>
      <c r="JSD34" s="283"/>
      <c r="JSE34" s="283"/>
      <c r="JSF34" s="283"/>
      <c r="JSG34" s="283"/>
      <c r="JSH34" s="283"/>
      <c r="JSI34" s="283"/>
      <c r="JSJ34" s="283"/>
      <c r="JSK34" s="283"/>
      <c r="JSL34" s="283"/>
      <c r="JSM34" s="283"/>
      <c r="JSN34" s="283"/>
      <c r="JSO34" s="283"/>
      <c r="JSP34" s="283"/>
      <c r="JSQ34" s="283"/>
      <c r="JSR34" s="283"/>
      <c r="JSS34" s="283"/>
      <c r="JST34" s="283"/>
      <c r="JSU34" s="283"/>
      <c r="JSV34" s="283"/>
      <c r="JSW34" s="283"/>
      <c r="JSX34" s="283"/>
      <c r="JSY34" s="283"/>
      <c r="JSZ34" s="283"/>
      <c r="JTA34" s="283"/>
      <c r="JTB34" s="283"/>
      <c r="JTC34" s="283"/>
      <c r="JTD34" s="283"/>
      <c r="JTE34" s="283"/>
      <c r="JTF34" s="283"/>
      <c r="JTG34" s="283"/>
      <c r="JTH34" s="283"/>
      <c r="JTI34" s="283"/>
      <c r="JTJ34" s="283"/>
      <c r="JTK34" s="283"/>
      <c r="JTL34" s="283"/>
      <c r="JTM34" s="283"/>
      <c r="JTN34" s="283"/>
      <c r="JTO34" s="283"/>
      <c r="JTP34" s="283"/>
      <c r="JTQ34" s="283"/>
      <c r="JTR34" s="283"/>
      <c r="JTS34" s="283"/>
      <c r="JTT34" s="283"/>
      <c r="JTU34" s="283"/>
      <c r="JTV34" s="283"/>
      <c r="JTW34" s="283"/>
      <c r="JTX34" s="283"/>
      <c r="JTY34" s="283"/>
      <c r="JTZ34" s="283"/>
      <c r="JUA34" s="283"/>
      <c r="JUB34" s="283"/>
      <c r="JUC34" s="283"/>
      <c r="JUD34" s="283"/>
      <c r="JUE34" s="283"/>
      <c r="JUF34" s="283"/>
      <c r="JUG34" s="283"/>
      <c r="JUH34" s="283"/>
      <c r="JUI34" s="283"/>
      <c r="JUJ34" s="283"/>
      <c r="JUK34" s="283"/>
      <c r="JUL34" s="283"/>
      <c r="JUM34" s="283"/>
      <c r="JUN34" s="283"/>
      <c r="JUO34" s="283"/>
      <c r="JUP34" s="283"/>
      <c r="JUQ34" s="283"/>
      <c r="JUR34" s="283"/>
      <c r="JUS34" s="283"/>
      <c r="JUT34" s="283"/>
      <c r="JUU34" s="283"/>
      <c r="JUV34" s="283"/>
      <c r="JUW34" s="283"/>
      <c r="JUX34" s="283"/>
      <c r="JUY34" s="283"/>
      <c r="JUZ34" s="283"/>
      <c r="JVA34" s="283"/>
      <c r="JVB34" s="283"/>
      <c r="JVC34" s="283"/>
      <c r="JVD34" s="283"/>
      <c r="JVE34" s="283"/>
      <c r="JVF34" s="283"/>
      <c r="JVG34" s="283"/>
      <c r="JVH34" s="283"/>
      <c r="JVI34" s="283"/>
      <c r="JVJ34" s="283"/>
      <c r="JVK34" s="283"/>
      <c r="JVL34" s="283"/>
      <c r="JVM34" s="283"/>
      <c r="JVN34" s="283"/>
      <c r="JVO34" s="283"/>
      <c r="JVP34" s="283"/>
      <c r="JVQ34" s="283"/>
      <c r="JVR34" s="283"/>
      <c r="JVS34" s="283"/>
      <c r="JVT34" s="283"/>
      <c r="JVU34" s="283"/>
      <c r="JVV34" s="283"/>
      <c r="JVW34" s="283"/>
      <c r="JVX34" s="283"/>
      <c r="JVY34" s="283"/>
      <c r="JVZ34" s="283"/>
      <c r="JWA34" s="283"/>
      <c r="JWB34" s="283"/>
      <c r="JWC34" s="283"/>
      <c r="JWD34" s="283"/>
      <c r="JWE34" s="283"/>
      <c r="JWF34" s="283"/>
      <c r="JWG34" s="283"/>
      <c r="JWH34" s="283"/>
      <c r="JWI34" s="283"/>
      <c r="JWJ34" s="283"/>
      <c r="JWK34" s="283"/>
      <c r="JWL34" s="283"/>
      <c r="JWM34" s="283"/>
      <c r="JWN34" s="283"/>
      <c r="JWO34" s="283"/>
      <c r="JWP34" s="283"/>
      <c r="JWQ34" s="283"/>
      <c r="JWR34" s="283"/>
      <c r="JWS34" s="283"/>
      <c r="JWT34" s="283"/>
      <c r="JWU34" s="283"/>
      <c r="JWV34" s="283"/>
      <c r="JWW34" s="283"/>
      <c r="JWX34" s="283"/>
      <c r="JWY34" s="283"/>
      <c r="JWZ34" s="283"/>
      <c r="JXA34" s="283"/>
      <c r="JXB34" s="283"/>
      <c r="JXC34" s="283"/>
      <c r="JXD34" s="283"/>
      <c r="JXE34" s="283"/>
      <c r="JXF34" s="283"/>
      <c r="JXG34" s="283"/>
      <c r="JXH34" s="283"/>
      <c r="JXI34" s="283"/>
      <c r="JXJ34" s="283"/>
      <c r="JXK34" s="283"/>
      <c r="JXL34" s="283"/>
      <c r="JXM34" s="283"/>
      <c r="JXN34" s="283"/>
      <c r="JXO34" s="283"/>
      <c r="JXP34" s="283"/>
      <c r="JXQ34" s="283"/>
      <c r="JXR34" s="283"/>
      <c r="JXS34" s="283"/>
      <c r="JXT34" s="283"/>
      <c r="JXU34" s="283"/>
      <c r="JXV34" s="283"/>
      <c r="JXW34" s="283"/>
      <c r="JXX34" s="283"/>
      <c r="JXY34" s="283"/>
      <c r="JXZ34" s="283"/>
      <c r="JYA34" s="283"/>
      <c r="JYB34" s="283"/>
      <c r="JYC34" s="283"/>
      <c r="JYD34" s="283"/>
      <c r="JYE34" s="283"/>
      <c r="JYF34" s="283"/>
      <c r="JYG34" s="283"/>
      <c r="JYH34" s="283"/>
      <c r="JYI34" s="283"/>
      <c r="JYJ34" s="283"/>
      <c r="JYK34" s="283"/>
      <c r="JYL34" s="283"/>
      <c r="JYM34" s="283"/>
      <c r="JYN34" s="283"/>
      <c r="JYO34" s="283"/>
      <c r="JYP34" s="283"/>
      <c r="JYQ34" s="283"/>
      <c r="JYR34" s="283"/>
      <c r="JYS34" s="283"/>
      <c r="JYT34" s="283"/>
      <c r="JYU34" s="283"/>
      <c r="JYV34" s="283"/>
      <c r="JYW34" s="283"/>
      <c r="JYX34" s="283"/>
      <c r="JYY34" s="283"/>
      <c r="JYZ34" s="283"/>
      <c r="JZA34" s="283"/>
      <c r="JZB34" s="283"/>
      <c r="JZC34" s="283"/>
      <c r="JZD34" s="283"/>
      <c r="JZE34" s="283"/>
      <c r="JZF34" s="283"/>
      <c r="JZG34" s="283"/>
      <c r="JZH34" s="283"/>
      <c r="JZI34" s="283"/>
      <c r="JZJ34" s="283"/>
      <c r="JZK34" s="283"/>
      <c r="JZL34" s="283"/>
      <c r="JZM34" s="283"/>
      <c r="JZN34" s="283"/>
      <c r="JZO34" s="283"/>
      <c r="JZP34" s="283"/>
      <c r="JZQ34" s="283"/>
      <c r="JZR34" s="283"/>
      <c r="JZS34" s="283"/>
      <c r="JZT34" s="283"/>
      <c r="JZU34" s="283"/>
      <c r="JZV34" s="283"/>
      <c r="JZW34" s="283"/>
      <c r="JZX34" s="283"/>
      <c r="JZY34" s="283"/>
      <c r="JZZ34" s="283"/>
      <c r="KAA34" s="283"/>
      <c r="KAB34" s="283"/>
      <c r="KAC34" s="283"/>
      <c r="KAD34" s="283"/>
      <c r="KAE34" s="283"/>
      <c r="KAF34" s="283"/>
      <c r="KAG34" s="283"/>
      <c r="KAH34" s="283"/>
      <c r="KAI34" s="283"/>
      <c r="KAJ34" s="283"/>
      <c r="KAK34" s="283"/>
      <c r="KAL34" s="283"/>
      <c r="KAM34" s="283"/>
      <c r="KAN34" s="283"/>
      <c r="KAO34" s="283"/>
      <c r="KAP34" s="283"/>
      <c r="KAQ34" s="283"/>
      <c r="KAR34" s="283"/>
      <c r="KAS34" s="283"/>
      <c r="KAT34" s="283"/>
      <c r="KAU34" s="283"/>
      <c r="KAV34" s="283"/>
      <c r="KAW34" s="283"/>
      <c r="KAX34" s="283"/>
      <c r="KAY34" s="283"/>
      <c r="KAZ34" s="283"/>
      <c r="KBA34" s="283"/>
      <c r="KBB34" s="283"/>
      <c r="KBC34" s="283"/>
      <c r="KBD34" s="283"/>
      <c r="KBE34" s="283"/>
      <c r="KBF34" s="283"/>
      <c r="KBG34" s="283"/>
      <c r="KBH34" s="283"/>
      <c r="KBI34" s="283"/>
      <c r="KBJ34" s="283"/>
      <c r="KBK34" s="283"/>
      <c r="KBL34" s="283"/>
      <c r="KBM34" s="283"/>
      <c r="KBN34" s="283"/>
      <c r="KBO34" s="283"/>
      <c r="KBP34" s="283"/>
      <c r="KBQ34" s="283"/>
      <c r="KBR34" s="283"/>
      <c r="KBS34" s="283"/>
      <c r="KBT34" s="283"/>
      <c r="KBU34" s="283"/>
      <c r="KBV34" s="283"/>
      <c r="KBW34" s="283"/>
      <c r="KBX34" s="283"/>
      <c r="KBY34" s="283"/>
      <c r="KBZ34" s="283"/>
      <c r="KCA34" s="283"/>
      <c r="KCB34" s="283"/>
      <c r="KCC34" s="283"/>
      <c r="KCD34" s="283"/>
      <c r="KCE34" s="283"/>
      <c r="KCF34" s="283"/>
      <c r="KCG34" s="283"/>
      <c r="KCH34" s="283"/>
      <c r="KCI34" s="283"/>
      <c r="KCJ34" s="283"/>
      <c r="KCK34" s="283"/>
      <c r="KCL34" s="283"/>
      <c r="KCM34" s="283"/>
      <c r="KCN34" s="283"/>
      <c r="KCO34" s="283"/>
      <c r="KCP34" s="283"/>
      <c r="KCQ34" s="283"/>
      <c r="KCR34" s="283"/>
      <c r="KCS34" s="283"/>
      <c r="KCT34" s="283"/>
      <c r="KCU34" s="283"/>
      <c r="KCV34" s="283"/>
      <c r="KCW34" s="283"/>
      <c r="KCX34" s="283"/>
      <c r="KCY34" s="283"/>
      <c r="KCZ34" s="283"/>
      <c r="KDA34" s="283"/>
      <c r="KDB34" s="283"/>
      <c r="KDC34" s="283"/>
      <c r="KDD34" s="283"/>
      <c r="KDE34" s="283"/>
      <c r="KDF34" s="283"/>
      <c r="KDG34" s="283"/>
      <c r="KDH34" s="283"/>
      <c r="KDI34" s="283"/>
      <c r="KDJ34" s="283"/>
      <c r="KDK34" s="283"/>
      <c r="KDL34" s="283"/>
      <c r="KDM34" s="283"/>
      <c r="KDN34" s="283"/>
      <c r="KDO34" s="283"/>
      <c r="KDP34" s="283"/>
      <c r="KDQ34" s="283"/>
      <c r="KDR34" s="283"/>
      <c r="KDS34" s="283"/>
      <c r="KDT34" s="283"/>
      <c r="KDU34" s="283"/>
      <c r="KDV34" s="283"/>
      <c r="KDW34" s="283"/>
      <c r="KDX34" s="283"/>
      <c r="KDY34" s="283"/>
      <c r="KDZ34" s="283"/>
      <c r="KEA34" s="283"/>
      <c r="KEB34" s="283"/>
      <c r="KEC34" s="283"/>
      <c r="KED34" s="283"/>
      <c r="KEE34" s="283"/>
      <c r="KEF34" s="283"/>
      <c r="KEG34" s="283"/>
      <c r="KEH34" s="283"/>
      <c r="KEI34" s="283"/>
      <c r="KEJ34" s="283"/>
      <c r="KEK34" s="283"/>
      <c r="KEL34" s="283"/>
      <c r="KEM34" s="283"/>
      <c r="KEN34" s="283"/>
      <c r="KEO34" s="283"/>
      <c r="KEP34" s="283"/>
      <c r="KEQ34" s="283"/>
      <c r="KER34" s="283"/>
      <c r="KES34" s="283"/>
      <c r="KET34" s="283"/>
      <c r="KEU34" s="283"/>
      <c r="KEV34" s="283"/>
      <c r="KEW34" s="283"/>
      <c r="KEX34" s="283"/>
      <c r="KEY34" s="283"/>
      <c r="KEZ34" s="283"/>
      <c r="KFA34" s="283"/>
      <c r="KFB34" s="283"/>
      <c r="KFC34" s="283"/>
      <c r="KFD34" s="283"/>
      <c r="KFE34" s="283"/>
      <c r="KFF34" s="283"/>
      <c r="KFG34" s="283"/>
      <c r="KFH34" s="283"/>
      <c r="KFI34" s="283"/>
      <c r="KFJ34" s="283"/>
      <c r="KFK34" s="283"/>
      <c r="KFL34" s="283"/>
      <c r="KFM34" s="283"/>
      <c r="KFN34" s="283"/>
      <c r="KFO34" s="283"/>
      <c r="KFP34" s="283"/>
      <c r="KFQ34" s="283"/>
      <c r="KFR34" s="283"/>
      <c r="KFS34" s="283"/>
      <c r="KFT34" s="283"/>
      <c r="KFU34" s="283"/>
      <c r="KFV34" s="283"/>
      <c r="KFW34" s="283"/>
      <c r="KFX34" s="283"/>
      <c r="KFY34" s="283"/>
      <c r="KFZ34" s="283"/>
      <c r="KGA34" s="283"/>
      <c r="KGB34" s="283"/>
      <c r="KGC34" s="283"/>
      <c r="KGD34" s="283"/>
      <c r="KGE34" s="283"/>
      <c r="KGF34" s="283"/>
      <c r="KGG34" s="283"/>
      <c r="KGH34" s="283"/>
      <c r="KGI34" s="283"/>
      <c r="KGJ34" s="283"/>
      <c r="KGK34" s="283"/>
      <c r="KGL34" s="283"/>
      <c r="KGM34" s="283"/>
      <c r="KGN34" s="283"/>
      <c r="KGO34" s="283"/>
      <c r="KGP34" s="283"/>
      <c r="KGQ34" s="283"/>
      <c r="KGR34" s="283"/>
      <c r="KGS34" s="283"/>
      <c r="KGT34" s="283"/>
      <c r="KGU34" s="283"/>
      <c r="KGV34" s="283"/>
      <c r="KGW34" s="283"/>
      <c r="KGX34" s="283"/>
      <c r="KGY34" s="283"/>
      <c r="KGZ34" s="283"/>
      <c r="KHA34" s="283"/>
      <c r="KHB34" s="283"/>
      <c r="KHC34" s="283"/>
      <c r="KHD34" s="283"/>
      <c r="KHE34" s="283"/>
      <c r="KHF34" s="283"/>
      <c r="KHG34" s="283"/>
      <c r="KHH34" s="283"/>
      <c r="KHI34" s="283"/>
      <c r="KHJ34" s="283"/>
      <c r="KHK34" s="283"/>
      <c r="KHL34" s="283"/>
      <c r="KHM34" s="283"/>
      <c r="KHN34" s="283"/>
      <c r="KHO34" s="283"/>
      <c r="KHP34" s="283"/>
      <c r="KHQ34" s="283"/>
      <c r="KHR34" s="283"/>
      <c r="KHS34" s="283"/>
      <c r="KHT34" s="283"/>
      <c r="KHU34" s="283"/>
      <c r="KHV34" s="283"/>
      <c r="KHW34" s="283"/>
      <c r="KHX34" s="283"/>
      <c r="KHY34" s="283"/>
      <c r="KHZ34" s="283"/>
      <c r="KIA34" s="283"/>
      <c r="KIB34" s="283"/>
      <c r="KIC34" s="283"/>
      <c r="KID34" s="283"/>
      <c r="KIE34" s="283"/>
      <c r="KIF34" s="283"/>
      <c r="KIG34" s="283"/>
      <c r="KIH34" s="283"/>
      <c r="KII34" s="283"/>
      <c r="KIJ34" s="283"/>
      <c r="KIK34" s="283"/>
      <c r="KIL34" s="283"/>
      <c r="KIM34" s="283"/>
      <c r="KIN34" s="283"/>
      <c r="KIO34" s="283"/>
      <c r="KIP34" s="283"/>
      <c r="KIQ34" s="283"/>
      <c r="KIR34" s="283"/>
      <c r="KIS34" s="283"/>
      <c r="KIT34" s="283"/>
      <c r="KIU34" s="283"/>
      <c r="KIV34" s="283"/>
      <c r="KIW34" s="283"/>
      <c r="KIX34" s="283"/>
      <c r="KIY34" s="283"/>
      <c r="KIZ34" s="283"/>
      <c r="KJA34" s="283"/>
      <c r="KJB34" s="283"/>
      <c r="KJC34" s="283"/>
      <c r="KJD34" s="283"/>
      <c r="KJE34" s="283"/>
      <c r="KJF34" s="283"/>
      <c r="KJG34" s="283"/>
      <c r="KJH34" s="283"/>
      <c r="KJI34" s="283"/>
      <c r="KJJ34" s="283"/>
      <c r="KJK34" s="283"/>
      <c r="KJL34" s="283"/>
      <c r="KJM34" s="283"/>
      <c r="KJN34" s="283"/>
      <c r="KJO34" s="283"/>
      <c r="KJP34" s="283"/>
      <c r="KJQ34" s="283"/>
      <c r="KJR34" s="283"/>
      <c r="KJS34" s="283"/>
      <c r="KJT34" s="283"/>
      <c r="KJU34" s="283"/>
      <c r="KJV34" s="283"/>
      <c r="KJW34" s="283"/>
      <c r="KJX34" s="283"/>
      <c r="KJY34" s="283"/>
      <c r="KJZ34" s="283"/>
      <c r="KKA34" s="283"/>
      <c r="KKB34" s="283"/>
      <c r="KKC34" s="283"/>
      <c r="KKD34" s="283"/>
      <c r="KKE34" s="283"/>
      <c r="KKF34" s="283"/>
      <c r="KKG34" s="283"/>
      <c r="KKH34" s="283"/>
      <c r="KKI34" s="283"/>
      <c r="KKJ34" s="283"/>
      <c r="KKK34" s="283"/>
      <c r="KKL34" s="283"/>
      <c r="KKM34" s="283"/>
      <c r="KKN34" s="283"/>
      <c r="KKO34" s="283"/>
      <c r="KKP34" s="283"/>
      <c r="KKQ34" s="283"/>
      <c r="KKR34" s="283"/>
      <c r="KKS34" s="283"/>
      <c r="KKT34" s="283"/>
      <c r="KKU34" s="283"/>
      <c r="KKV34" s="283"/>
      <c r="KKW34" s="283"/>
      <c r="KKX34" s="283"/>
      <c r="KKY34" s="283"/>
      <c r="KKZ34" s="283"/>
      <c r="KLA34" s="283"/>
      <c r="KLB34" s="283"/>
      <c r="KLC34" s="283"/>
      <c r="KLD34" s="283"/>
      <c r="KLE34" s="283"/>
      <c r="KLF34" s="283"/>
      <c r="KLG34" s="283"/>
      <c r="KLH34" s="283"/>
      <c r="KLI34" s="283"/>
      <c r="KLJ34" s="283"/>
      <c r="KLK34" s="283"/>
      <c r="KLL34" s="283"/>
      <c r="KLM34" s="283"/>
      <c r="KLN34" s="283"/>
      <c r="KLO34" s="283"/>
      <c r="KLP34" s="283"/>
      <c r="KLQ34" s="283"/>
      <c r="KLR34" s="283"/>
      <c r="KLS34" s="283"/>
      <c r="KLT34" s="283"/>
      <c r="KLU34" s="283"/>
      <c r="KLV34" s="283"/>
      <c r="KLW34" s="283"/>
      <c r="KLX34" s="283"/>
      <c r="KLY34" s="283"/>
      <c r="KLZ34" s="283"/>
      <c r="KMA34" s="283"/>
      <c r="KMB34" s="283"/>
      <c r="KMC34" s="283"/>
      <c r="KMD34" s="283"/>
      <c r="KME34" s="283"/>
      <c r="KMF34" s="283"/>
      <c r="KMG34" s="283"/>
      <c r="KMH34" s="283"/>
      <c r="KMI34" s="283"/>
      <c r="KMJ34" s="283"/>
      <c r="KMK34" s="283"/>
      <c r="KML34" s="283"/>
      <c r="KMM34" s="283"/>
      <c r="KMN34" s="283"/>
      <c r="KMO34" s="283"/>
      <c r="KMP34" s="283"/>
      <c r="KMQ34" s="283"/>
      <c r="KMR34" s="283"/>
      <c r="KMS34" s="283"/>
      <c r="KMT34" s="283"/>
      <c r="KMU34" s="283"/>
      <c r="KMV34" s="283"/>
      <c r="KMW34" s="283"/>
      <c r="KMX34" s="283"/>
      <c r="KMY34" s="283"/>
      <c r="KMZ34" s="283"/>
      <c r="KNA34" s="283"/>
      <c r="KNB34" s="283"/>
      <c r="KNC34" s="283"/>
      <c r="KND34" s="283"/>
      <c r="KNE34" s="283"/>
      <c r="KNF34" s="283"/>
      <c r="KNG34" s="283"/>
      <c r="KNH34" s="283"/>
      <c r="KNI34" s="283"/>
      <c r="KNJ34" s="283"/>
      <c r="KNK34" s="283"/>
      <c r="KNL34" s="283"/>
      <c r="KNM34" s="283"/>
      <c r="KNN34" s="283"/>
      <c r="KNO34" s="283"/>
      <c r="KNP34" s="283"/>
      <c r="KNQ34" s="283"/>
      <c r="KNR34" s="283"/>
      <c r="KNS34" s="283"/>
      <c r="KNT34" s="283"/>
      <c r="KNU34" s="283"/>
      <c r="KNV34" s="283"/>
      <c r="KNW34" s="283"/>
      <c r="KNX34" s="283"/>
      <c r="KNY34" s="283"/>
      <c r="KNZ34" s="283"/>
      <c r="KOA34" s="283"/>
      <c r="KOB34" s="283"/>
      <c r="KOC34" s="283"/>
      <c r="KOD34" s="283"/>
      <c r="KOE34" s="283"/>
      <c r="KOF34" s="283"/>
      <c r="KOG34" s="283"/>
      <c r="KOH34" s="283"/>
      <c r="KOI34" s="283"/>
      <c r="KOJ34" s="283"/>
      <c r="KOK34" s="283"/>
      <c r="KOL34" s="283"/>
      <c r="KOM34" s="283"/>
      <c r="KON34" s="283"/>
      <c r="KOO34" s="283"/>
      <c r="KOP34" s="283"/>
      <c r="KOQ34" s="283"/>
      <c r="KOR34" s="283"/>
      <c r="KOS34" s="283"/>
      <c r="KOT34" s="283"/>
      <c r="KOU34" s="283"/>
      <c r="KOV34" s="283"/>
      <c r="KOW34" s="283"/>
      <c r="KOX34" s="283"/>
      <c r="KOY34" s="283"/>
      <c r="KOZ34" s="283"/>
      <c r="KPA34" s="283"/>
      <c r="KPB34" s="283"/>
      <c r="KPC34" s="283"/>
      <c r="KPD34" s="283"/>
      <c r="KPE34" s="283"/>
      <c r="KPF34" s="283"/>
      <c r="KPG34" s="283"/>
      <c r="KPH34" s="283"/>
      <c r="KPI34" s="283"/>
      <c r="KPJ34" s="283"/>
      <c r="KPK34" s="283"/>
      <c r="KPL34" s="283"/>
      <c r="KPM34" s="283"/>
      <c r="KPN34" s="283"/>
      <c r="KPO34" s="283"/>
      <c r="KPP34" s="283"/>
      <c r="KPQ34" s="283"/>
      <c r="KPR34" s="283"/>
      <c r="KPS34" s="283"/>
      <c r="KPT34" s="283"/>
      <c r="KPU34" s="283"/>
      <c r="KPV34" s="283"/>
      <c r="KPW34" s="283"/>
      <c r="KPX34" s="283"/>
      <c r="KPY34" s="283"/>
      <c r="KPZ34" s="283"/>
      <c r="KQA34" s="283"/>
      <c r="KQB34" s="283"/>
      <c r="KQC34" s="283"/>
      <c r="KQD34" s="283"/>
      <c r="KQE34" s="283"/>
      <c r="KQF34" s="283"/>
      <c r="KQG34" s="283"/>
      <c r="KQH34" s="283"/>
      <c r="KQI34" s="283"/>
      <c r="KQJ34" s="283"/>
      <c r="KQK34" s="283"/>
      <c r="KQL34" s="283"/>
      <c r="KQM34" s="283"/>
      <c r="KQN34" s="283"/>
      <c r="KQO34" s="283"/>
      <c r="KQP34" s="283"/>
      <c r="KQQ34" s="283"/>
      <c r="KQR34" s="283"/>
      <c r="KQS34" s="283"/>
      <c r="KQT34" s="283"/>
      <c r="KQU34" s="283"/>
      <c r="KQV34" s="283"/>
      <c r="KQW34" s="283"/>
      <c r="KQX34" s="283"/>
      <c r="KQY34" s="283"/>
      <c r="KQZ34" s="283"/>
      <c r="KRA34" s="283"/>
      <c r="KRB34" s="283"/>
      <c r="KRC34" s="283"/>
      <c r="KRD34" s="283"/>
      <c r="KRE34" s="283"/>
      <c r="KRF34" s="283"/>
      <c r="KRG34" s="283"/>
      <c r="KRH34" s="283"/>
      <c r="KRI34" s="283"/>
      <c r="KRJ34" s="283"/>
      <c r="KRK34" s="283"/>
      <c r="KRL34" s="283"/>
      <c r="KRM34" s="283"/>
      <c r="KRN34" s="283"/>
      <c r="KRO34" s="283"/>
      <c r="KRP34" s="283"/>
      <c r="KRQ34" s="283"/>
      <c r="KRR34" s="283"/>
      <c r="KRS34" s="283"/>
      <c r="KRT34" s="283"/>
      <c r="KRU34" s="283"/>
      <c r="KRV34" s="283"/>
      <c r="KRW34" s="283"/>
      <c r="KRX34" s="283"/>
      <c r="KRY34" s="283"/>
      <c r="KRZ34" s="283"/>
      <c r="KSA34" s="283"/>
      <c r="KSB34" s="283"/>
      <c r="KSC34" s="283"/>
      <c r="KSD34" s="283"/>
      <c r="KSE34" s="283"/>
      <c r="KSF34" s="283"/>
      <c r="KSG34" s="283"/>
      <c r="KSH34" s="283"/>
      <c r="KSI34" s="283"/>
      <c r="KSJ34" s="283"/>
      <c r="KSK34" s="283"/>
      <c r="KSL34" s="283"/>
      <c r="KSM34" s="283"/>
      <c r="KSN34" s="283"/>
      <c r="KSO34" s="283"/>
      <c r="KSP34" s="283"/>
      <c r="KSQ34" s="283"/>
      <c r="KSR34" s="283"/>
      <c r="KSS34" s="283"/>
      <c r="KST34" s="283"/>
      <c r="KSU34" s="283"/>
      <c r="KSV34" s="283"/>
      <c r="KSW34" s="283"/>
      <c r="KSX34" s="283"/>
      <c r="KSY34" s="283"/>
      <c r="KSZ34" s="283"/>
      <c r="KTA34" s="283"/>
      <c r="KTB34" s="283"/>
      <c r="KTC34" s="283"/>
      <c r="KTD34" s="283"/>
      <c r="KTE34" s="283"/>
      <c r="KTF34" s="283"/>
      <c r="KTG34" s="283"/>
      <c r="KTH34" s="283"/>
      <c r="KTI34" s="283"/>
      <c r="KTJ34" s="283"/>
      <c r="KTK34" s="283"/>
      <c r="KTL34" s="283"/>
      <c r="KTM34" s="283"/>
      <c r="KTN34" s="283"/>
      <c r="KTO34" s="283"/>
      <c r="KTP34" s="283"/>
      <c r="KTQ34" s="283"/>
      <c r="KTR34" s="283"/>
      <c r="KTS34" s="283"/>
      <c r="KTT34" s="283"/>
      <c r="KTU34" s="283"/>
      <c r="KTV34" s="283"/>
      <c r="KTW34" s="283"/>
      <c r="KTX34" s="283"/>
      <c r="KTY34" s="283"/>
      <c r="KTZ34" s="283"/>
      <c r="KUA34" s="283"/>
      <c r="KUB34" s="283"/>
      <c r="KUC34" s="283"/>
      <c r="KUD34" s="283"/>
      <c r="KUE34" s="283"/>
      <c r="KUF34" s="283"/>
      <c r="KUG34" s="283"/>
      <c r="KUH34" s="283"/>
      <c r="KUI34" s="283"/>
      <c r="KUJ34" s="283"/>
      <c r="KUK34" s="283"/>
      <c r="KUL34" s="283"/>
      <c r="KUM34" s="283"/>
      <c r="KUN34" s="283"/>
      <c r="KUO34" s="283"/>
      <c r="KUP34" s="283"/>
      <c r="KUQ34" s="283"/>
      <c r="KUR34" s="283"/>
      <c r="KUS34" s="283"/>
      <c r="KUT34" s="283"/>
      <c r="KUU34" s="283"/>
      <c r="KUV34" s="283"/>
      <c r="KUW34" s="283"/>
      <c r="KUX34" s="283"/>
      <c r="KUY34" s="283"/>
      <c r="KUZ34" s="283"/>
      <c r="KVA34" s="283"/>
      <c r="KVB34" s="283"/>
      <c r="KVC34" s="283"/>
      <c r="KVD34" s="283"/>
      <c r="KVE34" s="283"/>
      <c r="KVF34" s="283"/>
      <c r="KVG34" s="283"/>
      <c r="KVH34" s="283"/>
      <c r="KVI34" s="283"/>
      <c r="KVJ34" s="283"/>
      <c r="KVK34" s="283"/>
      <c r="KVL34" s="283"/>
      <c r="KVM34" s="283"/>
      <c r="KVN34" s="283"/>
      <c r="KVO34" s="283"/>
      <c r="KVP34" s="283"/>
      <c r="KVQ34" s="283"/>
      <c r="KVR34" s="283"/>
      <c r="KVS34" s="283"/>
      <c r="KVT34" s="283"/>
      <c r="KVU34" s="283"/>
      <c r="KVV34" s="283"/>
      <c r="KVW34" s="283"/>
      <c r="KVX34" s="283"/>
      <c r="KVY34" s="283"/>
      <c r="KVZ34" s="283"/>
      <c r="KWA34" s="283"/>
      <c r="KWB34" s="283"/>
      <c r="KWC34" s="283"/>
      <c r="KWD34" s="283"/>
      <c r="KWE34" s="283"/>
      <c r="KWF34" s="283"/>
      <c r="KWG34" s="283"/>
      <c r="KWH34" s="283"/>
      <c r="KWI34" s="283"/>
      <c r="KWJ34" s="283"/>
      <c r="KWK34" s="283"/>
      <c r="KWL34" s="283"/>
      <c r="KWM34" s="283"/>
      <c r="KWN34" s="283"/>
      <c r="KWO34" s="283"/>
      <c r="KWP34" s="283"/>
      <c r="KWQ34" s="283"/>
      <c r="KWR34" s="283"/>
      <c r="KWS34" s="283"/>
      <c r="KWT34" s="283"/>
      <c r="KWU34" s="283"/>
      <c r="KWV34" s="283"/>
      <c r="KWW34" s="283"/>
      <c r="KWX34" s="283"/>
      <c r="KWY34" s="283"/>
      <c r="KWZ34" s="283"/>
      <c r="KXA34" s="283"/>
      <c r="KXB34" s="283"/>
      <c r="KXC34" s="283"/>
      <c r="KXD34" s="283"/>
      <c r="KXE34" s="283"/>
      <c r="KXF34" s="283"/>
      <c r="KXG34" s="283"/>
      <c r="KXH34" s="283"/>
      <c r="KXI34" s="283"/>
      <c r="KXJ34" s="283"/>
      <c r="KXK34" s="283"/>
      <c r="KXL34" s="283"/>
      <c r="KXM34" s="283"/>
      <c r="KXN34" s="283"/>
      <c r="KXO34" s="283"/>
      <c r="KXP34" s="283"/>
      <c r="KXQ34" s="283"/>
      <c r="KXR34" s="283"/>
      <c r="KXS34" s="283"/>
      <c r="KXT34" s="283"/>
      <c r="KXU34" s="283"/>
      <c r="KXV34" s="283"/>
      <c r="KXW34" s="283"/>
      <c r="KXX34" s="283"/>
      <c r="KXY34" s="283"/>
      <c r="KXZ34" s="283"/>
      <c r="KYA34" s="283"/>
      <c r="KYB34" s="283"/>
      <c r="KYC34" s="283"/>
      <c r="KYD34" s="283"/>
      <c r="KYE34" s="283"/>
      <c r="KYF34" s="283"/>
      <c r="KYG34" s="283"/>
      <c r="KYH34" s="283"/>
      <c r="KYI34" s="283"/>
      <c r="KYJ34" s="283"/>
      <c r="KYK34" s="283"/>
      <c r="KYL34" s="283"/>
      <c r="KYM34" s="283"/>
      <c r="KYN34" s="283"/>
      <c r="KYO34" s="283"/>
      <c r="KYP34" s="283"/>
      <c r="KYQ34" s="283"/>
      <c r="KYR34" s="283"/>
      <c r="KYS34" s="283"/>
      <c r="KYT34" s="283"/>
      <c r="KYU34" s="283"/>
      <c r="KYV34" s="283"/>
      <c r="KYW34" s="283"/>
      <c r="KYX34" s="283"/>
      <c r="KYY34" s="283"/>
      <c r="KYZ34" s="283"/>
      <c r="KZA34" s="283"/>
      <c r="KZB34" s="283"/>
      <c r="KZC34" s="283"/>
      <c r="KZD34" s="283"/>
      <c r="KZE34" s="283"/>
      <c r="KZF34" s="283"/>
      <c r="KZG34" s="283"/>
      <c r="KZH34" s="283"/>
      <c r="KZI34" s="283"/>
      <c r="KZJ34" s="283"/>
      <c r="KZK34" s="283"/>
      <c r="KZL34" s="283"/>
      <c r="KZM34" s="283"/>
      <c r="KZN34" s="283"/>
      <c r="KZO34" s="283"/>
      <c r="KZP34" s="283"/>
      <c r="KZQ34" s="283"/>
      <c r="KZR34" s="283"/>
      <c r="KZS34" s="283"/>
      <c r="KZT34" s="283"/>
      <c r="KZU34" s="283"/>
      <c r="KZV34" s="283"/>
      <c r="KZW34" s="283"/>
      <c r="KZX34" s="283"/>
      <c r="KZY34" s="283"/>
      <c r="KZZ34" s="283"/>
      <c r="LAA34" s="283"/>
      <c r="LAB34" s="283"/>
      <c r="LAC34" s="283"/>
      <c r="LAD34" s="283"/>
      <c r="LAE34" s="283"/>
      <c r="LAF34" s="283"/>
      <c r="LAG34" s="283"/>
      <c r="LAH34" s="283"/>
      <c r="LAI34" s="283"/>
      <c r="LAJ34" s="283"/>
      <c r="LAK34" s="283"/>
      <c r="LAL34" s="283"/>
      <c r="LAM34" s="283"/>
      <c r="LAN34" s="283"/>
      <c r="LAO34" s="283"/>
      <c r="LAP34" s="283"/>
      <c r="LAQ34" s="283"/>
      <c r="LAR34" s="283"/>
      <c r="LAS34" s="283"/>
      <c r="LAT34" s="283"/>
      <c r="LAU34" s="283"/>
      <c r="LAV34" s="283"/>
      <c r="LAW34" s="283"/>
      <c r="LAX34" s="283"/>
      <c r="LAY34" s="283"/>
      <c r="LAZ34" s="283"/>
      <c r="LBA34" s="283"/>
      <c r="LBB34" s="283"/>
      <c r="LBC34" s="283"/>
      <c r="LBD34" s="283"/>
      <c r="LBE34" s="283"/>
      <c r="LBF34" s="283"/>
      <c r="LBG34" s="283"/>
      <c r="LBH34" s="283"/>
      <c r="LBI34" s="283"/>
      <c r="LBJ34" s="283"/>
      <c r="LBK34" s="283"/>
      <c r="LBL34" s="283"/>
      <c r="LBM34" s="283"/>
      <c r="LBN34" s="283"/>
      <c r="LBO34" s="283"/>
      <c r="LBP34" s="283"/>
      <c r="LBQ34" s="283"/>
      <c r="LBR34" s="283"/>
      <c r="LBS34" s="283"/>
      <c r="LBT34" s="283"/>
      <c r="LBU34" s="283"/>
      <c r="LBV34" s="283"/>
      <c r="LBW34" s="283"/>
      <c r="LBX34" s="283"/>
      <c r="LBY34" s="283"/>
      <c r="LBZ34" s="283"/>
      <c r="LCA34" s="283"/>
      <c r="LCB34" s="283"/>
      <c r="LCC34" s="283"/>
      <c r="LCD34" s="283"/>
      <c r="LCE34" s="283"/>
      <c r="LCF34" s="283"/>
      <c r="LCG34" s="283"/>
      <c r="LCH34" s="283"/>
      <c r="LCI34" s="283"/>
      <c r="LCJ34" s="283"/>
      <c r="LCK34" s="283"/>
      <c r="LCL34" s="283"/>
      <c r="LCM34" s="283"/>
      <c r="LCN34" s="283"/>
      <c r="LCO34" s="283"/>
      <c r="LCP34" s="283"/>
      <c r="LCQ34" s="283"/>
      <c r="LCR34" s="283"/>
      <c r="LCS34" s="283"/>
      <c r="LCT34" s="283"/>
      <c r="LCU34" s="283"/>
      <c r="LCV34" s="283"/>
      <c r="LCW34" s="283"/>
      <c r="LCX34" s="283"/>
      <c r="LCY34" s="283"/>
      <c r="LCZ34" s="283"/>
      <c r="LDA34" s="283"/>
      <c r="LDB34" s="283"/>
      <c r="LDC34" s="283"/>
      <c r="LDD34" s="283"/>
      <c r="LDE34" s="283"/>
      <c r="LDF34" s="283"/>
      <c r="LDG34" s="283"/>
      <c r="LDH34" s="283"/>
      <c r="LDI34" s="283"/>
      <c r="LDJ34" s="283"/>
      <c r="LDK34" s="283"/>
      <c r="LDL34" s="283"/>
      <c r="LDM34" s="283"/>
      <c r="LDN34" s="283"/>
      <c r="LDO34" s="283"/>
      <c r="LDP34" s="283"/>
      <c r="LDQ34" s="283"/>
      <c r="LDR34" s="283"/>
      <c r="LDS34" s="283"/>
      <c r="LDT34" s="283"/>
      <c r="LDU34" s="283"/>
      <c r="LDV34" s="283"/>
      <c r="LDW34" s="283"/>
      <c r="LDX34" s="283"/>
      <c r="LDY34" s="283"/>
      <c r="LDZ34" s="283"/>
      <c r="LEA34" s="283"/>
      <c r="LEB34" s="283"/>
      <c r="LEC34" s="283"/>
      <c r="LED34" s="283"/>
      <c r="LEE34" s="283"/>
      <c r="LEF34" s="283"/>
      <c r="LEG34" s="283"/>
      <c r="LEH34" s="283"/>
      <c r="LEI34" s="283"/>
      <c r="LEJ34" s="283"/>
      <c r="LEK34" s="283"/>
      <c r="LEL34" s="283"/>
      <c r="LEM34" s="283"/>
      <c r="LEN34" s="283"/>
      <c r="LEO34" s="283"/>
      <c r="LEP34" s="283"/>
      <c r="LEQ34" s="283"/>
      <c r="LER34" s="283"/>
      <c r="LES34" s="283"/>
      <c r="LET34" s="283"/>
      <c r="LEU34" s="283"/>
      <c r="LEV34" s="283"/>
      <c r="LEW34" s="283"/>
      <c r="LEX34" s="283"/>
      <c r="LEY34" s="283"/>
      <c r="LEZ34" s="283"/>
      <c r="LFA34" s="283"/>
      <c r="LFB34" s="283"/>
      <c r="LFC34" s="283"/>
      <c r="LFD34" s="283"/>
      <c r="LFE34" s="283"/>
      <c r="LFF34" s="283"/>
      <c r="LFG34" s="283"/>
      <c r="LFH34" s="283"/>
      <c r="LFI34" s="283"/>
      <c r="LFJ34" s="283"/>
      <c r="LFK34" s="283"/>
      <c r="LFL34" s="283"/>
      <c r="LFM34" s="283"/>
      <c r="LFN34" s="283"/>
      <c r="LFO34" s="283"/>
      <c r="LFP34" s="283"/>
      <c r="LFQ34" s="283"/>
      <c r="LFR34" s="283"/>
      <c r="LFS34" s="283"/>
      <c r="LFT34" s="283"/>
      <c r="LFU34" s="283"/>
      <c r="LFV34" s="283"/>
      <c r="LFW34" s="283"/>
      <c r="LFX34" s="283"/>
      <c r="LFY34" s="283"/>
      <c r="LFZ34" s="283"/>
      <c r="LGA34" s="283"/>
      <c r="LGB34" s="283"/>
      <c r="LGC34" s="283"/>
      <c r="LGD34" s="283"/>
      <c r="LGE34" s="283"/>
      <c r="LGF34" s="283"/>
      <c r="LGG34" s="283"/>
      <c r="LGH34" s="283"/>
      <c r="LGI34" s="283"/>
      <c r="LGJ34" s="283"/>
      <c r="LGK34" s="283"/>
      <c r="LGL34" s="283"/>
      <c r="LGM34" s="283"/>
      <c r="LGN34" s="283"/>
      <c r="LGO34" s="283"/>
      <c r="LGP34" s="283"/>
      <c r="LGQ34" s="283"/>
      <c r="LGR34" s="283"/>
      <c r="LGS34" s="283"/>
      <c r="LGT34" s="283"/>
      <c r="LGU34" s="283"/>
      <c r="LGV34" s="283"/>
      <c r="LGW34" s="283"/>
      <c r="LGX34" s="283"/>
      <c r="LGY34" s="283"/>
      <c r="LGZ34" s="283"/>
      <c r="LHA34" s="283"/>
      <c r="LHB34" s="283"/>
      <c r="LHC34" s="283"/>
      <c r="LHD34" s="283"/>
      <c r="LHE34" s="283"/>
      <c r="LHF34" s="283"/>
      <c r="LHG34" s="283"/>
      <c r="LHH34" s="283"/>
      <c r="LHI34" s="283"/>
      <c r="LHJ34" s="283"/>
      <c r="LHK34" s="283"/>
      <c r="LHL34" s="283"/>
      <c r="LHM34" s="283"/>
      <c r="LHN34" s="283"/>
      <c r="LHO34" s="283"/>
      <c r="LHP34" s="283"/>
      <c r="LHQ34" s="283"/>
      <c r="LHR34" s="283"/>
      <c r="LHS34" s="283"/>
      <c r="LHT34" s="283"/>
      <c r="LHU34" s="283"/>
      <c r="LHV34" s="283"/>
      <c r="LHW34" s="283"/>
      <c r="LHX34" s="283"/>
      <c r="LHY34" s="283"/>
      <c r="LHZ34" s="283"/>
      <c r="LIA34" s="283"/>
      <c r="LIB34" s="283"/>
      <c r="LIC34" s="283"/>
      <c r="LID34" s="283"/>
      <c r="LIE34" s="283"/>
      <c r="LIF34" s="283"/>
      <c r="LIG34" s="283"/>
      <c r="LIH34" s="283"/>
      <c r="LII34" s="283"/>
      <c r="LIJ34" s="283"/>
      <c r="LIK34" s="283"/>
      <c r="LIL34" s="283"/>
      <c r="LIM34" s="283"/>
      <c r="LIN34" s="283"/>
      <c r="LIO34" s="283"/>
      <c r="LIP34" s="283"/>
      <c r="LIQ34" s="283"/>
      <c r="LIR34" s="283"/>
      <c r="LIS34" s="283"/>
      <c r="LIT34" s="283"/>
      <c r="LIU34" s="283"/>
      <c r="LIV34" s="283"/>
      <c r="LIW34" s="283"/>
      <c r="LIX34" s="283"/>
      <c r="LIY34" s="283"/>
      <c r="LIZ34" s="283"/>
      <c r="LJA34" s="283"/>
      <c r="LJB34" s="283"/>
      <c r="LJC34" s="283"/>
      <c r="LJD34" s="283"/>
      <c r="LJE34" s="283"/>
      <c r="LJF34" s="283"/>
      <c r="LJG34" s="283"/>
      <c r="LJH34" s="283"/>
      <c r="LJI34" s="283"/>
      <c r="LJJ34" s="283"/>
      <c r="LJK34" s="283"/>
      <c r="LJL34" s="283"/>
      <c r="LJM34" s="283"/>
      <c r="LJN34" s="283"/>
      <c r="LJO34" s="283"/>
      <c r="LJP34" s="283"/>
      <c r="LJQ34" s="283"/>
      <c r="LJR34" s="283"/>
      <c r="LJS34" s="283"/>
      <c r="LJT34" s="283"/>
      <c r="LJU34" s="283"/>
      <c r="LJV34" s="283"/>
      <c r="LJW34" s="283"/>
      <c r="LJX34" s="283"/>
      <c r="LJY34" s="283"/>
      <c r="LJZ34" s="283"/>
      <c r="LKA34" s="283"/>
      <c r="LKB34" s="283"/>
      <c r="LKC34" s="283"/>
      <c r="LKD34" s="283"/>
      <c r="LKE34" s="283"/>
      <c r="LKF34" s="283"/>
      <c r="LKG34" s="283"/>
      <c r="LKH34" s="283"/>
      <c r="LKI34" s="283"/>
      <c r="LKJ34" s="283"/>
      <c r="LKK34" s="283"/>
      <c r="LKL34" s="283"/>
      <c r="LKM34" s="283"/>
      <c r="LKN34" s="283"/>
      <c r="LKO34" s="283"/>
      <c r="LKP34" s="283"/>
      <c r="LKQ34" s="283"/>
      <c r="LKR34" s="283"/>
      <c r="LKS34" s="283"/>
      <c r="LKT34" s="283"/>
      <c r="LKU34" s="283"/>
      <c r="LKV34" s="283"/>
      <c r="LKW34" s="283"/>
      <c r="LKX34" s="283"/>
      <c r="LKY34" s="283"/>
      <c r="LKZ34" s="283"/>
      <c r="LLA34" s="283"/>
      <c r="LLB34" s="283"/>
      <c r="LLC34" s="283"/>
      <c r="LLD34" s="283"/>
      <c r="LLE34" s="283"/>
      <c r="LLF34" s="283"/>
      <c r="LLG34" s="283"/>
      <c r="LLH34" s="283"/>
      <c r="LLI34" s="283"/>
      <c r="LLJ34" s="283"/>
      <c r="LLK34" s="283"/>
      <c r="LLL34" s="283"/>
      <c r="LLM34" s="283"/>
      <c r="LLN34" s="283"/>
      <c r="LLO34" s="283"/>
      <c r="LLP34" s="283"/>
      <c r="LLQ34" s="283"/>
      <c r="LLR34" s="283"/>
      <c r="LLS34" s="283"/>
      <c r="LLT34" s="283"/>
      <c r="LLU34" s="283"/>
      <c r="LLV34" s="283"/>
      <c r="LLW34" s="283"/>
      <c r="LLX34" s="283"/>
      <c r="LLY34" s="283"/>
      <c r="LLZ34" s="283"/>
      <c r="LMA34" s="283"/>
      <c r="LMB34" s="283"/>
      <c r="LMC34" s="283"/>
      <c r="LMD34" s="283"/>
      <c r="LME34" s="283"/>
      <c r="LMF34" s="283"/>
      <c r="LMG34" s="283"/>
      <c r="LMH34" s="283"/>
      <c r="LMI34" s="283"/>
      <c r="LMJ34" s="283"/>
      <c r="LMK34" s="283"/>
      <c r="LML34" s="283"/>
      <c r="LMM34" s="283"/>
      <c r="LMN34" s="283"/>
      <c r="LMO34" s="283"/>
      <c r="LMP34" s="283"/>
      <c r="LMQ34" s="283"/>
      <c r="LMR34" s="283"/>
      <c r="LMS34" s="283"/>
      <c r="LMT34" s="283"/>
      <c r="LMU34" s="283"/>
      <c r="LMV34" s="283"/>
      <c r="LMW34" s="283"/>
      <c r="LMX34" s="283"/>
      <c r="LMY34" s="283"/>
      <c r="LMZ34" s="283"/>
      <c r="LNA34" s="283"/>
      <c r="LNB34" s="283"/>
      <c r="LNC34" s="283"/>
      <c r="LND34" s="283"/>
      <c r="LNE34" s="283"/>
      <c r="LNF34" s="283"/>
      <c r="LNG34" s="283"/>
      <c r="LNH34" s="283"/>
      <c r="LNI34" s="283"/>
      <c r="LNJ34" s="283"/>
      <c r="LNK34" s="283"/>
      <c r="LNL34" s="283"/>
      <c r="LNM34" s="283"/>
      <c r="LNN34" s="283"/>
      <c r="LNO34" s="283"/>
      <c r="LNP34" s="283"/>
      <c r="LNQ34" s="283"/>
      <c r="LNR34" s="283"/>
      <c r="LNS34" s="283"/>
      <c r="LNT34" s="283"/>
      <c r="LNU34" s="283"/>
      <c r="LNV34" s="283"/>
      <c r="LNW34" s="283"/>
      <c r="LNX34" s="283"/>
      <c r="LNY34" s="283"/>
      <c r="LNZ34" s="283"/>
      <c r="LOA34" s="283"/>
      <c r="LOB34" s="283"/>
      <c r="LOC34" s="283"/>
      <c r="LOD34" s="283"/>
      <c r="LOE34" s="283"/>
      <c r="LOF34" s="283"/>
      <c r="LOG34" s="283"/>
      <c r="LOH34" s="283"/>
      <c r="LOI34" s="283"/>
      <c r="LOJ34" s="283"/>
      <c r="LOK34" s="283"/>
      <c r="LOL34" s="283"/>
      <c r="LOM34" s="283"/>
      <c r="LON34" s="283"/>
      <c r="LOO34" s="283"/>
      <c r="LOP34" s="283"/>
      <c r="LOQ34" s="283"/>
      <c r="LOR34" s="283"/>
      <c r="LOS34" s="283"/>
      <c r="LOT34" s="283"/>
      <c r="LOU34" s="283"/>
      <c r="LOV34" s="283"/>
      <c r="LOW34" s="283"/>
      <c r="LOX34" s="283"/>
      <c r="LOY34" s="283"/>
      <c r="LOZ34" s="283"/>
      <c r="LPA34" s="283"/>
      <c r="LPB34" s="283"/>
      <c r="LPC34" s="283"/>
      <c r="LPD34" s="283"/>
      <c r="LPE34" s="283"/>
      <c r="LPF34" s="283"/>
      <c r="LPG34" s="283"/>
      <c r="LPH34" s="283"/>
      <c r="LPI34" s="283"/>
      <c r="LPJ34" s="283"/>
      <c r="LPK34" s="283"/>
      <c r="LPL34" s="283"/>
      <c r="LPM34" s="283"/>
      <c r="LPN34" s="283"/>
      <c r="LPO34" s="283"/>
      <c r="LPP34" s="283"/>
      <c r="LPQ34" s="283"/>
      <c r="LPR34" s="283"/>
      <c r="LPS34" s="283"/>
      <c r="LPT34" s="283"/>
      <c r="LPU34" s="283"/>
      <c r="LPV34" s="283"/>
      <c r="LPW34" s="283"/>
      <c r="LPX34" s="283"/>
      <c r="LPY34" s="283"/>
      <c r="LPZ34" s="283"/>
      <c r="LQA34" s="283"/>
      <c r="LQB34" s="283"/>
      <c r="LQC34" s="283"/>
      <c r="LQD34" s="283"/>
      <c r="LQE34" s="283"/>
      <c r="LQF34" s="283"/>
      <c r="LQG34" s="283"/>
      <c r="LQH34" s="283"/>
      <c r="LQI34" s="283"/>
      <c r="LQJ34" s="283"/>
      <c r="LQK34" s="283"/>
      <c r="LQL34" s="283"/>
      <c r="LQM34" s="283"/>
      <c r="LQN34" s="283"/>
      <c r="LQO34" s="283"/>
      <c r="LQP34" s="283"/>
      <c r="LQQ34" s="283"/>
      <c r="LQR34" s="283"/>
      <c r="LQS34" s="283"/>
      <c r="LQT34" s="283"/>
      <c r="LQU34" s="283"/>
      <c r="LQV34" s="283"/>
      <c r="LQW34" s="283"/>
      <c r="LQX34" s="283"/>
      <c r="LQY34" s="283"/>
      <c r="LQZ34" s="283"/>
      <c r="LRA34" s="283"/>
      <c r="LRB34" s="283"/>
      <c r="LRC34" s="283"/>
      <c r="LRD34" s="283"/>
      <c r="LRE34" s="283"/>
      <c r="LRF34" s="283"/>
      <c r="LRG34" s="283"/>
      <c r="LRH34" s="283"/>
      <c r="LRI34" s="283"/>
      <c r="LRJ34" s="283"/>
      <c r="LRK34" s="283"/>
      <c r="LRL34" s="283"/>
      <c r="LRM34" s="283"/>
      <c r="LRN34" s="283"/>
      <c r="LRO34" s="283"/>
      <c r="LRP34" s="283"/>
      <c r="LRQ34" s="283"/>
      <c r="LRR34" s="283"/>
      <c r="LRS34" s="283"/>
      <c r="LRT34" s="283"/>
      <c r="LRU34" s="283"/>
      <c r="LRV34" s="283"/>
      <c r="LRW34" s="283"/>
      <c r="LRX34" s="283"/>
      <c r="LRY34" s="283"/>
      <c r="LRZ34" s="283"/>
      <c r="LSA34" s="283"/>
      <c r="LSB34" s="283"/>
      <c r="LSC34" s="283"/>
      <c r="LSD34" s="283"/>
      <c r="LSE34" s="283"/>
      <c r="LSF34" s="283"/>
      <c r="LSG34" s="283"/>
      <c r="LSH34" s="283"/>
      <c r="LSI34" s="283"/>
      <c r="LSJ34" s="283"/>
      <c r="LSK34" s="283"/>
      <c r="LSL34" s="283"/>
      <c r="LSM34" s="283"/>
      <c r="LSN34" s="283"/>
      <c r="LSO34" s="283"/>
      <c r="LSP34" s="283"/>
      <c r="LSQ34" s="283"/>
      <c r="LSR34" s="283"/>
      <c r="LSS34" s="283"/>
      <c r="LST34" s="283"/>
      <c r="LSU34" s="283"/>
      <c r="LSV34" s="283"/>
      <c r="LSW34" s="283"/>
      <c r="LSX34" s="283"/>
      <c r="LSY34" s="283"/>
      <c r="LSZ34" s="283"/>
      <c r="LTA34" s="283"/>
      <c r="LTB34" s="283"/>
      <c r="LTC34" s="283"/>
      <c r="LTD34" s="283"/>
      <c r="LTE34" s="283"/>
      <c r="LTF34" s="283"/>
      <c r="LTG34" s="283"/>
      <c r="LTH34" s="283"/>
      <c r="LTI34" s="283"/>
      <c r="LTJ34" s="283"/>
      <c r="LTK34" s="283"/>
      <c r="LTL34" s="283"/>
      <c r="LTM34" s="283"/>
      <c r="LTN34" s="283"/>
      <c r="LTO34" s="283"/>
      <c r="LTP34" s="283"/>
      <c r="LTQ34" s="283"/>
      <c r="LTR34" s="283"/>
      <c r="LTS34" s="283"/>
      <c r="LTT34" s="283"/>
      <c r="LTU34" s="283"/>
      <c r="LTV34" s="283"/>
      <c r="LTW34" s="283"/>
      <c r="LTX34" s="283"/>
      <c r="LTY34" s="283"/>
      <c r="LTZ34" s="283"/>
      <c r="LUA34" s="283"/>
      <c r="LUB34" s="283"/>
      <c r="LUC34" s="283"/>
      <c r="LUD34" s="283"/>
      <c r="LUE34" s="283"/>
      <c r="LUF34" s="283"/>
      <c r="LUG34" s="283"/>
      <c r="LUH34" s="283"/>
      <c r="LUI34" s="283"/>
      <c r="LUJ34" s="283"/>
      <c r="LUK34" s="283"/>
      <c r="LUL34" s="283"/>
      <c r="LUM34" s="283"/>
      <c r="LUN34" s="283"/>
      <c r="LUO34" s="283"/>
      <c r="LUP34" s="283"/>
      <c r="LUQ34" s="283"/>
      <c r="LUR34" s="283"/>
      <c r="LUS34" s="283"/>
      <c r="LUT34" s="283"/>
      <c r="LUU34" s="283"/>
      <c r="LUV34" s="283"/>
      <c r="LUW34" s="283"/>
      <c r="LUX34" s="283"/>
      <c r="LUY34" s="283"/>
      <c r="LUZ34" s="283"/>
      <c r="LVA34" s="283"/>
      <c r="LVB34" s="283"/>
      <c r="LVC34" s="283"/>
      <c r="LVD34" s="283"/>
      <c r="LVE34" s="283"/>
      <c r="LVF34" s="283"/>
      <c r="LVG34" s="283"/>
      <c r="LVH34" s="283"/>
      <c r="LVI34" s="283"/>
      <c r="LVJ34" s="283"/>
      <c r="LVK34" s="283"/>
      <c r="LVL34" s="283"/>
      <c r="LVM34" s="283"/>
      <c r="LVN34" s="283"/>
      <c r="LVO34" s="283"/>
      <c r="LVP34" s="283"/>
      <c r="LVQ34" s="283"/>
      <c r="LVR34" s="283"/>
      <c r="LVS34" s="283"/>
      <c r="LVT34" s="283"/>
      <c r="LVU34" s="283"/>
      <c r="LVV34" s="283"/>
      <c r="LVW34" s="283"/>
      <c r="LVX34" s="283"/>
      <c r="LVY34" s="283"/>
      <c r="LVZ34" s="283"/>
      <c r="LWA34" s="283"/>
      <c r="LWB34" s="283"/>
      <c r="LWC34" s="283"/>
      <c r="LWD34" s="283"/>
      <c r="LWE34" s="283"/>
      <c r="LWF34" s="283"/>
      <c r="LWG34" s="283"/>
      <c r="LWH34" s="283"/>
      <c r="LWI34" s="283"/>
      <c r="LWJ34" s="283"/>
      <c r="LWK34" s="283"/>
      <c r="LWL34" s="283"/>
      <c r="LWM34" s="283"/>
      <c r="LWN34" s="283"/>
      <c r="LWO34" s="283"/>
      <c r="LWP34" s="283"/>
      <c r="LWQ34" s="283"/>
      <c r="LWR34" s="283"/>
      <c r="LWS34" s="283"/>
      <c r="LWT34" s="283"/>
      <c r="LWU34" s="283"/>
      <c r="LWV34" s="283"/>
      <c r="LWW34" s="283"/>
      <c r="LWX34" s="283"/>
      <c r="LWY34" s="283"/>
      <c r="LWZ34" s="283"/>
      <c r="LXA34" s="283"/>
      <c r="LXB34" s="283"/>
      <c r="LXC34" s="283"/>
      <c r="LXD34" s="283"/>
      <c r="LXE34" s="283"/>
      <c r="LXF34" s="283"/>
      <c r="LXG34" s="283"/>
      <c r="LXH34" s="283"/>
      <c r="LXI34" s="283"/>
      <c r="LXJ34" s="283"/>
      <c r="LXK34" s="283"/>
      <c r="LXL34" s="283"/>
      <c r="LXM34" s="283"/>
      <c r="LXN34" s="283"/>
      <c r="LXO34" s="283"/>
      <c r="LXP34" s="283"/>
      <c r="LXQ34" s="283"/>
      <c r="LXR34" s="283"/>
      <c r="LXS34" s="283"/>
      <c r="LXT34" s="283"/>
      <c r="LXU34" s="283"/>
      <c r="LXV34" s="283"/>
      <c r="LXW34" s="283"/>
      <c r="LXX34" s="283"/>
      <c r="LXY34" s="283"/>
      <c r="LXZ34" s="283"/>
      <c r="LYA34" s="283"/>
      <c r="LYB34" s="283"/>
      <c r="LYC34" s="283"/>
      <c r="LYD34" s="283"/>
      <c r="LYE34" s="283"/>
      <c r="LYF34" s="283"/>
      <c r="LYG34" s="283"/>
      <c r="LYH34" s="283"/>
      <c r="LYI34" s="283"/>
      <c r="LYJ34" s="283"/>
      <c r="LYK34" s="283"/>
      <c r="LYL34" s="283"/>
      <c r="LYM34" s="283"/>
      <c r="LYN34" s="283"/>
      <c r="LYO34" s="283"/>
      <c r="LYP34" s="283"/>
      <c r="LYQ34" s="283"/>
      <c r="LYR34" s="283"/>
      <c r="LYS34" s="283"/>
      <c r="LYT34" s="283"/>
      <c r="LYU34" s="283"/>
      <c r="LYV34" s="283"/>
      <c r="LYW34" s="283"/>
      <c r="LYX34" s="283"/>
      <c r="LYY34" s="283"/>
      <c r="LYZ34" s="283"/>
      <c r="LZA34" s="283"/>
      <c r="LZB34" s="283"/>
      <c r="LZC34" s="283"/>
      <c r="LZD34" s="283"/>
      <c r="LZE34" s="283"/>
      <c r="LZF34" s="283"/>
      <c r="LZG34" s="283"/>
      <c r="LZH34" s="283"/>
      <c r="LZI34" s="283"/>
      <c r="LZJ34" s="283"/>
      <c r="LZK34" s="283"/>
      <c r="LZL34" s="283"/>
      <c r="LZM34" s="283"/>
      <c r="LZN34" s="283"/>
      <c r="LZO34" s="283"/>
      <c r="LZP34" s="283"/>
      <c r="LZQ34" s="283"/>
      <c r="LZR34" s="283"/>
      <c r="LZS34" s="283"/>
      <c r="LZT34" s="283"/>
      <c r="LZU34" s="283"/>
      <c r="LZV34" s="283"/>
      <c r="LZW34" s="283"/>
      <c r="LZX34" s="283"/>
      <c r="LZY34" s="283"/>
      <c r="LZZ34" s="283"/>
      <c r="MAA34" s="283"/>
      <c r="MAB34" s="283"/>
      <c r="MAC34" s="283"/>
      <c r="MAD34" s="283"/>
      <c r="MAE34" s="283"/>
      <c r="MAF34" s="283"/>
      <c r="MAG34" s="283"/>
      <c r="MAH34" s="283"/>
      <c r="MAI34" s="283"/>
      <c r="MAJ34" s="283"/>
      <c r="MAK34" s="283"/>
      <c r="MAL34" s="283"/>
      <c r="MAM34" s="283"/>
      <c r="MAN34" s="283"/>
      <c r="MAO34" s="283"/>
      <c r="MAP34" s="283"/>
      <c r="MAQ34" s="283"/>
      <c r="MAR34" s="283"/>
      <c r="MAS34" s="283"/>
      <c r="MAT34" s="283"/>
      <c r="MAU34" s="283"/>
      <c r="MAV34" s="283"/>
      <c r="MAW34" s="283"/>
      <c r="MAX34" s="283"/>
      <c r="MAY34" s="283"/>
      <c r="MAZ34" s="283"/>
      <c r="MBA34" s="283"/>
      <c r="MBB34" s="283"/>
      <c r="MBC34" s="283"/>
      <c r="MBD34" s="283"/>
      <c r="MBE34" s="283"/>
      <c r="MBF34" s="283"/>
      <c r="MBG34" s="283"/>
      <c r="MBH34" s="283"/>
      <c r="MBI34" s="283"/>
      <c r="MBJ34" s="283"/>
      <c r="MBK34" s="283"/>
      <c r="MBL34" s="283"/>
      <c r="MBM34" s="283"/>
      <c r="MBN34" s="283"/>
      <c r="MBO34" s="283"/>
      <c r="MBP34" s="283"/>
      <c r="MBQ34" s="283"/>
      <c r="MBR34" s="283"/>
      <c r="MBS34" s="283"/>
      <c r="MBT34" s="283"/>
      <c r="MBU34" s="283"/>
      <c r="MBV34" s="283"/>
      <c r="MBW34" s="283"/>
      <c r="MBX34" s="283"/>
      <c r="MBY34" s="283"/>
      <c r="MBZ34" s="283"/>
      <c r="MCA34" s="283"/>
      <c r="MCB34" s="283"/>
      <c r="MCC34" s="283"/>
      <c r="MCD34" s="283"/>
      <c r="MCE34" s="283"/>
      <c r="MCF34" s="283"/>
      <c r="MCG34" s="283"/>
      <c r="MCH34" s="283"/>
      <c r="MCI34" s="283"/>
      <c r="MCJ34" s="283"/>
      <c r="MCK34" s="283"/>
      <c r="MCL34" s="283"/>
      <c r="MCM34" s="283"/>
      <c r="MCN34" s="283"/>
      <c r="MCO34" s="283"/>
      <c r="MCP34" s="283"/>
      <c r="MCQ34" s="283"/>
      <c r="MCR34" s="283"/>
      <c r="MCS34" s="283"/>
      <c r="MCT34" s="283"/>
      <c r="MCU34" s="283"/>
      <c r="MCV34" s="283"/>
      <c r="MCW34" s="283"/>
      <c r="MCX34" s="283"/>
      <c r="MCY34" s="283"/>
      <c r="MCZ34" s="283"/>
      <c r="MDA34" s="283"/>
      <c r="MDB34" s="283"/>
      <c r="MDC34" s="283"/>
      <c r="MDD34" s="283"/>
      <c r="MDE34" s="283"/>
      <c r="MDF34" s="283"/>
      <c r="MDG34" s="283"/>
      <c r="MDH34" s="283"/>
      <c r="MDI34" s="283"/>
      <c r="MDJ34" s="283"/>
      <c r="MDK34" s="283"/>
      <c r="MDL34" s="283"/>
      <c r="MDM34" s="283"/>
      <c r="MDN34" s="283"/>
      <c r="MDO34" s="283"/>
      <c r="MDP34" s="283"/>
      <c r="MDQ34" s="283"/>
      <c r="MDR34" s="283"/>
      <c r="MDS34" s="283"/>
      <c r="MDT34" s="283"/>
      <c r="MDU34" s="283"/>
      <c r="MDV34" s="283"/>
      <c r="MDW34" s="283"/>
      <c r="MDX34" s="283"/>
      <c r="MDY34" s="283"/>
      <c r="MDZ34" s="283"/>
      <c r="MEA34" s="283"/>
      <c r="MEB34" s="283"/>
      <c r="MEC34" s="283"/>
      <c r="MED34" s="283"/>
      <c r="MEE34" s="283"/>
      <c r="MEF34" s="283"/>
      <c r="MEG34" s="283"/>
      <c r="MEH34" s="283"/>
      <c r="MEI34" s="283"/>
      <c r="MEJ34" s="283"/>
      <c r="MEK34" s="283"/>
      <c r="MEL34" s="283"/>
      <c r="MEM34" s="283"/>
      <c r="MEN34" s="283"/>
      <c r="MEO34" s="283"/>
      <c r="MEP34" s="283"/>
      <c r="MEQ34" s="283"/>
      <c r="MER34" s="283"/>
      <c r="MES34" s="283"/>
      <c r="MET34" s="283"/>
      <c r="MEU34" s="283"/>
      <c r="MEV34" s="283"/>
      <c r="MEW34" s="283"/>
      <c r="MEX34" s="283"/>
      <c r="MEY34" s="283"/>
      <c r="MEZ34" s="283"/>
      <c r="MFA34" s="283"/>
      <c r="MFB34" s="283"/>
      <c r="MFC34" s="283"/>
      <c r="MFD34" s="283"/>
      <c r="MFE34" s="283"/>
      <c r="MFF34" s="283"/>
      <c r="MFG34" s="283"/>
      <c r="MFH34" s="283"/>
      <c r="MFI34" s="283"/>
      <c r="MFJ34" s="283"/>
      <c r="MFK34" s="283"/>
      <c r="MFL34" s="283"/>
      <c r="MFM34" s="283"/>
      <c r="MFN34" s="283"/>
      <c r="MFO34" s="283"/>
      <c r="MFP34" s="283"/>
      <c r="MFQ34" s="283"/>
      <c r="MFR34" s="283"/>
      <c r="MFS34" s="283"/>
      <c r="MFT34" s="283"/>
      <c r="MFU34" s="283"/>
      <c r="MFV34" s="283"/>
      <c r="MFW34" s="283"/>
      <c r="MFX34" s="283"/>
      <c r="MFY34" s="283"/>
      <c r="MFZ34" s="283"/>
      <c r="MGA34" s="283"/>
      <c r="MGB34" s="283"/>
      <c r="MGC34" s="283"/>
      <c r="MGD34" s="283"/>
      <c r="MGE34" s="283"/>
      <c r="MGF34" s="283"/>
      <c r="MGG34" s="283"/>
      <c r="MGH34" s="283"/>
      <c r="MGI34" s="283"/>
      <c r="MGJ34" s="283"/>
      <c r="MGK34" s="283"/>
      <c r="MGL34" s="283"/>
      <c r="MGM34" s="283"/>
      <c r="MGN34" s="283"/>
      <c r="MGO34" s="283"/>
      <c r="MGP34" s="283"/>
      <c r="MGQ34" s="283"/>
      <c r="MGR34" s="283"/>
      <c r="MGS34" s="283"/>
      <c r="MGT34" s="283"/>
      <c r="MGU34" s="283"/>
      <c r="MGV34" s="283"/>
      <c r="MGW34" s="283"/>
      <c r="MGX34" s="283"/>
      <c r="MGY34" s="283"/>
      <c r="MGZ34" s="283"/>
      <c r="MHA34" s="283"/>
      <c r="MHB34" s="283"/>
      <c r="MHC34" s="283"/>
      <c r="MHD34" s="283"/>
      <c r="MHE34" s="283"/>
      <c r="MHF34" s="283"/>
      <c r="MHG34" s="283"/>
      <c r="MHH34" s="283"/>
      <c r="MHI34" s="283"/>
      <c r="MHJ34" s="283"/>
      <c r="MHK34" s="283"/>
      <c r="MHL34" s="283"/>
      <c r="MHM34" s="283"/>
      <c r="MHN34" s="283"/>
      <c r="MHO34" s="283"/>
      <c r="MHP34" s="283"/>
      <c r="MHQ34" s="283"/>
      <c r="MHR34" s="283"/>
      <c r="MHS34" s="283"/>
      <c r="MHT34" s="283"/>
      <c r="MHU34" s="283"/>
      <c r="MHV34" s="283"/>
      <c r="MHW34" s="283"/>
      <c r="MHX34" s="283"/>
      <c r="MHY34" s="283"/>
      <c r="MHZ34" s="283"/>
      <c r="MIA34" s="283"/>
      <c r="MIB34" s="283"/>
      <c r="MIC34" s="283"/>
      <c r="MID34" s="283"/>
      <c r="MIE34" s="283"/>
      <c r="MIF34" s="283"/>
      <c r="MIG34" s="283"/>
      <c r="MIH34" s="283"/>
      <c r="MII34" s="283"/>
      <c r="MIJ34" s="283"/>
      <c r="MIK34" s="283"/>
      <c r="MIL34" s="283"/>
      <c r="MIM34" s="283"/>
      <c r="MIN34" s="283"/>
      <c r="MIO34" s="283"/>
      <c r="MIP34" s="283"/>
      <c r="MIQ34" s="283"/>
      <c r="MIR34" s="283"/>
      <c r="MIS34" s="283"/>
      <c r="MIT34" s="283"/>
      <c r="MIU34" s="283"/>
      <c r="MIV34" s="283"/>
      <c r="MIW34" s="283"/>
      <c r="MIX34" s="283"/>
      <c r="MIY34" s="283"/>
      <c r="MIZ34" s="283"/>
      <c r="MJA34" s="283"/>
      <c r="MJB34" s="283"/>
      <c r="MJC34" s="283"/>
      <c r="MJD34" s="283"/>
      <c r="MJE34" s="283"/>
      <c r="MJF34" s="283"/>
      <c r="MJG34" s="283"/>
      <c r="MJH34" s="283"/>
      <c r="MJI34" s="283"/>
      <c r="MJJ34" s="283"/>
      <c r="MJK34" s="283"/>
      <c r="MJL34" s="283"/>
      <c r="MJM34" s="283"/>
      <c r="MJN34" s="283"/>
      <c r="MJO34" s="283"/>
      <c r="MJP34" s="283"/>
      <c r="MJQ34" s="283"/>
      <c r="MJR34" s="283"/>
      <c r="MJS34" s="283"/>
      <c r="MJT34" s="283"/>
      <c r="MJU34" s="283"/>
      <c r="MJV34" s="283"/>
      <c r="MJW34" s="283"/>
      <c r="MJX34" s="283"/>
      <c r="MJY34" s="283"/>
      <c r="MJZ34" s="283"/>
      <c r="MKA34" s="283"/>
      <c r="MKB34" s="283"/>
      <c r="MKC34" s="283"/>
      <c r="MKD34" s="283"/>
      <c r="MKE34" s="283"/>
      <c r="MKF34" s="283"/>
      <c r="MKG34" s="283"/>
      <c r="MKH34" s="283"/>
      <c r="MKI34" s="283"/>
      <c r="MKJ34" s="283"/>
      <c r="MKK34" s="283"/>
      <c r="MKL34" s="283"/>
      <c r="MKM34" s="283"/>
      <c r="MKN34" s="283"/>
      <c r="MKO34" s="283"/>
      <c r="MKP34" s="283"/>
      <c r="MKQ34" s="283"/>
      <c r="MKR34" s="283"/>
      <c r="MKS34" s="283"/>
      <c r="MKT34" s="283"/>
      <c r="MKU34" s="283"/>
      <c r="MKV34" s="283"/>
      <c r="MKW34" s="283"/>
      <c r="MKX34" s="283"/>
      <c r="MKY34" s="283"/>
      <c r="MKZ34" s="283"/>
      <c r="MLA34" s="283"/>
      <c r="MLB34" s="283"/>
      <c r="MLC34" s="283"/>
      <c r="MLD34" s="283"/>
      <c r="MLE34" s="283"/>
      <c r="MLF34" s="283"/>
      <c r="MLG34" s="283"/>
      <c r="MLH34" s="283"/>
      <c r="MLI34" s="283"/>
      <c r="MLJ34" s="283"/>
      <c r="MLK34" s="283"/>
      <c r="MLL34" s="283"/>
      <c r="MLM34" s="283"/>
      <c r="MLN34" s="283"/>
      <c r="MLO34" s="283"/>
      <c r="MLP34" s="283"/>
      <c r="MLQ34" s="283"/>
      <c r="MLR34" s="283"/>
      <c r="MLS34" s="283"/>
      <c r="MLT34" s="283"/>
      <c r="MLU34" s="283"/>
      <c r="MLV34" s="283"/>
      <c r="MLW34" s="283"/>
      <c r="MLX34" s="283"/>
      <c r="MLY34" s="283"/>
      <c r="MLZ34" s="283"/>
      <c r="MMA34" s="283"/>
      <c r="MMB34" s="283"/>
      <c r="MMC34" s="283"/>
      <c r="MMD34" s="283"/>
      <c r="MME34" s="283"/>
      <c r="MMF34" s="283"/>
      <c r="MMG34" s="283"/>
      <c r="MMH34" s="283"/>
      <c r="MMI34" s="283"/>
      <c r="MMJ34" s="283"/>
      <c r="MMK34" s="283"/>
      <c r="MML34" s="283"/>
      <c r="MMM34" s="283"/>
      <c r="MMN34" s="283"/>
      <c r="MMO34" s="283"/>
      <c r="MMP34" s="283"/>
      <c r="MMQ34" s="283"/>
      <c r="MMR34" s="283"/>
      <c r="MMS34" s="283"/>
      <c r="MMT34" s="283"/>
      <c r="MMU34" s="283"/>
      <c r="MMV34" s="283"/>
      <c r="MMW34" s="283"/>
      <c r="MMX34" s="283"/>
      <c r="MMY34" s="283"/>
      <c r="MMZ34" s="283"/>
      <c r="MNA34" s="283"/>
      <c r="MNB34" s="283"/>
      <c r="MNC34" s="283"/>
      <c r="MND34" s="283"/>
      <c r="MNE34" s="283"/>
      <c r="MNF34" s="283"/>
      <c r="MNG34" s="283"/>
      <c r="MNH34" s="283"/>
      <c r="MNI34" s="283"/>
      <c r="MNJ34" s="283"/>
      <c r="MNK34" s="283"/>
      <c r="MNL34" s="283"/>
      <c r="MNM34" s="283"/>
      <c r="MNN34" s="283"/>
      <c r="MNO34" s="283"/>
      <c r="MNP34" s="283"/>
      <c r="MNQ34" s="283"/>
      <c r="MNR34" s="283"/>
      <c r="MNS34" s="283"/>
      <c r="MNT34" s="283"/>
      <c r="MNU34" s="283"/>
      <c r="MNV34" s="283"/>
      <c r="MNW34" s="283"/>
      <c r="MNX34" s="283"/>
      <c r="MNY34" s="283"/>
      <c r="MNZ34" s="283"/>
      <c r="MOA34" s="283"/>
      <c r="MOB34" s="283"/>
      <c r="MOC34" s="283"/>
      <c r="MOD34" s="283"/>
      <c r="MOE34" s="283"/>
      <c r="MOF34" s="283"/>
      <c r="MOG34" s="283"/>
      <c r="MOH34" s="283"/>
      <c r="MOI34" s="283"/>
      <c r="MOJ34" s="283"/>
      <c r="MOK34" s="283"/>
      <c r="MOL34" s="283"/>
      <c r="MOM34" s="283"/>
      <c r="MON34" s="283"/>
      <c r="MOO34" s="283"/>
      <c r="MOP34" s="283"/>
      <c r="MOQ34" s="283"/>
      <c r="MOR34" s="283"/>
      <c r="MOS34" s="283"/>
      <c r="MOT34" s="283"/>
      <c r="MOU34" s="283"/>
      <c r="MOV34" s="283"/>
      <c r="MOW34" s="283"/>
      <c r="MOX34" s="283"/>
      <c r="MOY34" s="283"/>
      <c r="MOZ34" s="283"/>
      <c r="MPA34" s="283"/>
      <c r="MPB34" s="283"/>
      <c r="MPC34" s="283"/>
      <c r="MPD34" s="283"/>
      <c r="MPE34" s="283"/>
      <c r="MPF34" s="283"/>
      <c r="MPG34" s="283"/>
      <c r="MPH34" s="283"/>
      <c r="MPI34" s="283"/>
      <c r="MPJ34" s="283"/>
      <c r="MPK34" s="283"/>
      <c r="MPL34" s="283"/>
      <c r="MPM34" s="283"/>
      <c r="MPN34" s="283"/>
      <c r="MPO34" s="283"/>
      <c r="MPP34" s="283"/>
      <c r="MPQ34" s="283"/>
      <c r="MPR34" s="283"/>
      <c r="MPS34" s="283"/>
      <c r="MPT34" s="283"/>
      <c r="MPU34" s="283"/>
      <c r="MPV34" s="283"/>
      <c r="MPW34" s="283"/>
      <c r="MPX34" s="283"/>
      <c r="MPY34" s="283"/>
      <c r="MPZ34" s="283"/>
      <c r="MQA34" s="283"/>
      <c r="MQB34" s="283"/>
      <c r="MQC34" s="283"/>
      <c r="MQD34" s="283"/>
      <c r="MQE34" s="283"/>
      <c r="MQF34" s="283"/>
      <c r="MQG34" s="283"/>
      <c r="MQH34" s="283"/>
      <c r="MQI34" s="283"/>
      <c r="MQJ34" s="283"/>
      <c r="MQK34" s="283"/>
      <c r="MQL34" s="283"/>
      <c r="MQM34" s="283"/>
      <c r="MQN34" s="283"/>
      <c r="MQO34" s="283"/>
      <c r="MQP34" s="283"/>
      <c r="MQQ34" s="283"/>
      <c r="MQR34" s="283"/>
      <c r="MQS34" s="283"/>
      <c r="MQT34" s="283"/>
      <c r="MQU34" s="283"/>
      <c r="MQV34" s="283"/>
      <c r="MQW34" s="283"/>
      <c r="MQX34" s="283"/>
      <c r="MQY34" s="283"/>
      <c r="MQZ34" s="283"/>
      <c r="MRA34" s="283"/>
      <c r="MRB34" s="283"/>
      <c r="MRC34" s="283"/>
      <c r="MRD34" s="283"/>
      <c r="MRE34" s="283"/>
      <c r="MRF34" s="283"/>
      <c r="MRG34" s="283"/>
      <c r="MRH34" s="283"/>
      <c r="MRI34" s="283"/>
      <c r="MRJ34" s="283"/>
      <c r="MRK34" s="283"/>
      <c r="MRL34" s="283"/>
      <c r="MRM34" s="283"/>
      <c r="MRN34" s="283"/>
      <c r="MRO34" s="283"/>
      <c r="MRP34" s="283"/>
      <c r="MRQ34" s="283"/>
      <c r="MRR34" s="283"/>
      <c r="MRS34" s="283"/>
      <c r="MRT34" s="283"/>
      <c r="MRU34" s="283"/>
      <c r="MRV34" s="283"/>
      <c r="MRW34" s="283"/>
      <c r="MRX34" s="283"/>
      <c r="MRY34" s="283"/>
      <c r="MRZ34" s="283"/>
      <c r="MSA34" s="283"/>
      <c r="MSB34" s="283"/>
      <c r="MSC34" s="283"/>
      <c r="MSD34" s="283"/>
      <c r="MSE34" s="283"/>
      <c r="MSF34" s="283"/>
      <c r="MSG34" s="283"/>
      <c r="MSH34" s="283"/>
      <c r="MSI34" s="283"/>
      <c r="MSJ34" s="283"/>
      <c r="MSK34" s="283"/>
      <c r="MSL34" s="283"/>
      <c r="MSM34" s="283"/>
      <c r="MSN34" s="283"/>
      <c r="MSO34" s="283"/>
      <c r="MSP34" s="283"/>
      <c r="MSQ34" s="283"/>
      <c r="MSR34" s="283"/>
      <c r="MSS34" s="283"/>
      <c r="MST34" s="283"/>
      <c r="MSU34" s="283"/>
      <c r="MSV34" s="283"/>
      <c r="MSW34" s="283"/>
      <c r="MSX34" s="283"/>
      <c r="MSY34" s="283"/>
      <c r="MSZ34" s="283"/>
      <c r="MTA34" s="283"/>
      <c r="MTB34" s="283"/>
      <c r="MTC34" s="283"/>
      <c r="MTD34" s="283"/>
      <c r="MTE34" s="283"/>
      <c r="MTF34" s="283"/>
      <c r="MTG34" s="283"/>
      <c r="MTH34" s="283"/>
      <c r="MTI34" s="283"/>
      <c r="MTJ34" s="283"/>
      <c r="MTK34" s="283"/>
      <c r="MTL34" s="283"/>
      <c r="MTM34" s="283"/>
      <c r="MTN34" s="283"/>
      <c r="MTO34" s="283"/>
      <c r="MTP34" s="283"/>
      <c r="MTQ34" s="283"/>
      <c r="MTR34" s="283"/>
      <c r="MTS34" s="283"/>
      <c r="MTT34" s="283"/>
      <c r="MTU34" s="283"/>
      <c r="MTV34" s="283"/>
      <c r="MTW34" s="283"/>
      <c r="MTX34" s="283"/>
      <c r="MTY34" s="283"/>
      <c r="MTZ34" s="283"/>
      <c r="MUA34" s="283"/>
      <c r="MUB34" s="283"/>
      <c r="MUC34" s="283"/>
      <c r="MUD34" s="283"/>
      <c r="MUE34" s="283"/>
      <c r="MUF34" s="283"/>
      <c r="MUG34" s="283"/>
      <c r="MUH34" s="283"/>
      <c r="MUI34" s="283"/>
      <c r="MUJ34" s="283"/>
      <c r="MUK34" s="283"/>
      <c r="MUL34" s="283"/>
      <c r="MUM34" s="283"/>
      <c r="MUN34" s="283"/>
      <c r="MUO34" s="283"/>
      <c r="MUP34" s="283"/>
      <c r="MUQ34" s="283"/>
      <c r="MUR34" s="283"/>
      <c r="MUS34" s="283"/>
      <c r="MUT34" s="283"/>
      <c r="MUU34" s="283"/>
      <c r="MUV34" s="283"/>
      <c r="MUW34" s="283"/>
      <c r="MUX34" s="283"/>
      <c r="MUY34" s="283"/>
      <c r="MUZ34" s="283"/>
      <c r="MVA34" s="283"/>
      <c r="MVB34" s="283"/>
      <c r="MVC34" s="283"/>
      <c r="MVD34" s="283"/>
      <c r="MVE34" s="283"/>
      <c r="MVF34" s="283"/>
      <c r="MVG34" s="283"/>
      <c r="MVH34" s="283"/>
      <c r="MVI34" s="283"/>
      <c r="MVJ34" s="283"/>
      <c r="MVK34" s="283"/>
      <c r="MVL34" s="283"/>
      <c r="MVM34" s="283"/>
      <c r="MVN34" s="283"/>
      <c r="MVO34" s="283"/>
      <c r="MVP34" s="283"/>
      <c r="MVQ34" s="283"/>
      <c r="MVR34" s="283"/>
      <c r="MVS34" s="283"/>
      <c r="MVT34" s="283"/>
      <c r="MVU34" s="283"/>
      <c r="MVV34" s="283"/>
      <c r="MVW34" s="283"/>
      <c r="MVX34" s="283"/>
      <c r="MVY34" s="283"/>
      <c r="MVZ34" s="283"/>
      <c r="MWA34" s="283"/>
      <c r="MWB34" s="283"/>
      <c r="MWC34" s="283"/>
      <c r="MWD34" s="283"/>
      <c r="MWE34" s="283"/>
      <c r="MWF34" s="283"/>
      <c r="MWG34" s="283"/>
      <c r="MWH34" s="283"/>
      <c r="MWI34" s="283"/>
      <c r="MWJ34" s="283"/>
      <c r="MWK34" s="283"/>
      <c r="MWL34" s="283"/>
      <c r="MWM34" s="283"/>
      <c r="MWN34" s="283"/>
      <c r="MWO34" s="283"/>
      <c r="MWP34" s="283"/>
      <c r="MWQ34" s="283"/>
      <c r="MWR34" s="283"/>
      <c r="MWS34" s="283"/>
      <c r="MWT34" s="283"/>
      <c r="MWU34" s="283"/>
      <c r="MWV34" s="283"/>
      <c r="MWW34" s="283"/>
      <c r="MWX34" s="283"/>
      <c r="MWY34" s="283"/>
      <c r="MWZ34" s="283"/>
      <c r="MXA34" s="283"/>
      <c r="MXB34" s="283"/>
      <c r="MXC34" s="283"/>
      <c r="MXD34" s="283"/>
      <c r="MXE34" s="283"/>
      <c r="MXF34" s="283"/>
      <c r="MXG34" s="283"/>
      <c r="MXH34" s="283"/>
      <c r="MXI34" s="283"/>
      <c r="MXJ34" s="283"/>
      <c r="MXK34" s="283"/>
      <c r="MXL34" s="283"/>
      <c r="MXM34" s="283"/>
      <c r="MXN34" s="283"/>
      <c r="MXO34" s="283"/>
      <c r="MXP34" s="283"/>
      <c r="MXQ34" s="283"/>
      <c r="MXR34" s="283"/>
      <c r="MXS34" s="283"/>
      <c r="MXT34" s="283"/>
      <c r="MXU34" s="283"/>
      <c r="MXV34" s="283"/>
      <c r="MXW34" s="283"/>
      <c r="MXX34" s="283"/>
      <c r="MXY34" s="283"/>
      <c r="MXZ34" s="283"/>
      <c r="MYA34" s="283"/>
      <c r="MYB34" s="283"/>
      <c r="MYC34" s="283"/>
      <c r="MYD34" s="283"/>
      <c r="MYE34" s="283"/>
      <c r="MYF34" s="283"/>
      <c r="MYG34" s="283"/>
      <c r="MYH34" s="283"/>
      <c r="MYI34" s="283"/>
      <c r="MYJ34" s="283"/>
      <c r="MYK34" s="283"/>
      <c r="MYL34" s="283"/>
      <c r="MYM34" s="283"/>
      <c r="MYN34" s="283"/>
      <c r="MYO34" s="283"/>
      <c r="MYP34" s="283"/>
      <c r="MYQ34" s="283"/>
      <c r="MYR34" s="283"/>
      <c r="MYS34" s="283"/>
      <c r="MYT34" s="283"/>
      <c r="MYU34" s="283"/>
      <c r="MYV34" s="283"/>
      <c r="MYW34" s="283"/>
      <c r="MYX34" s="283"/>
      <c r="MYY34" s="283"/>
      <c r="MYZ34" s="283"/>
      <c r="MZA34" s="283"/>
      <c r="MZB34" s="283"/>
      <c r="MZC34" s="283"/>
      <c r="MZD34" s="283"/>
      <c r="MZE34" s="283"/>
      <c r="MZF34" s="283"/>
      <c r="MZG34" s="283"/>
      <c r="MZH34" s="283"/>
      <c r="MZI34" s="283"/>
      <c r="MZJ34" s="283"/>
      <c r="MZK34" s="283"/>
      <c r="MZL34" s="283"/>
      <c r="MZM34" s="283"/>
      <c r="MZN34" s="283"/>
      <c r="MZO34" s="283"/>
      <c r="MZP34" s="283"/>
      <c r="MZQ34" s="283"/>
      <c r="MZR34" s="283"/>
      <c r="MZS34" s="283"/>
      <c r="MZT34" s="283"/>
      <c r="MZU34" s="283"/>
      <c r="MZV34" s="283"/>
      <c r="MZW34" s="283"/>
      <c r="MZX34" s="283"/>
      <c r="MZY34" s="283"/>
      <c r="MZZ34" s="283"/>
      <c r="NAA34" s="283"/>
      <c r="NAB34" s="283"/>
      <c r="NAC34" s="283"/>
      <c r="NAD34" s="283"/>
      <c r="NAE34" s="283"/>
      <c r="NAF34" s="283"/>
      <c r="NAG34" s="283"/>
      <c r="NAH34" s="283"/>
      <c r="NAI34" s="283"/>
      <c r="NAJ34" s="283"/>
      <c r="NAK34" s="283"/>
      <c r="NAL34" s="283"/>
      <c r="NAM34" s="283"/>
      <c r="NAN34" s="283"/>
      <c r="NAO34" s="283"/>
      <c r="NAP34" s="283"/>
      <c r="NAQ34" s="283"/>
      <c r="NAR34" s="283"/>
      <c r="NAS34" s="283"/>
      <c r="NAT34" s="283"/>
      <c r="NAU34" s="283"/>
      <c r="NAV34" s="283"/>
      <c r="NAW34" s="283"/>
      <c r="NAX34" s="283"/>
      <c r="NAY34" s="283"/>
      <c r="NAZ34" s="283"/>
      <c r="NBA34" s="283"/>
      <c r="NBB34" s="283"/>
      <c r="NBC34" s="283"/>
      <c r="NBD34" s="283"/>
      <c r="NBE34" s="283"/>
      <c r="NBF34" s="283"/>
      <c r="NBG34" s="283"/>
      <c r="NBH34" s="283"/>
      <c r="NBI34" s="283"/>
      <c r="NBJ34" s="283"/>
      <c r="NBK34" s="283"/>
      <c r="NBL34" s="283"/>
      <c r="NBM34" s="283"/>
      <c r="NBN34" s="283"/>
      <c r="NBO34" s="283"/>
      <c r="NBP34" s="283"/>
      <c r="NBQ34" s="283"/>
      <c r="NBR34" s="283"/>
      <c r="NBS34" s="283"/>
      <c r="NBT34" s="283"/>
      <c r="NBU34" s="283"/>
      <c r="NBV34" s="283"/>
      <c r="NBW34" s="283"/>
      <c r="NBX34" s="283"/>
      <c r="NBY34" s="283"/>
      <c r="NBZ34" s="283"/>
      <c r="NCA34" s="283"/>
      <c r="NCB34" s="283"/>
      <c r="NCC34" s="283"/>
      <c r="NCD34" s="283"/>
      <c r="NCE34" s="283"/>
      <c r="NCF34" s="283"/>
      <c r="NCG34" s="283"/>
      <c r="NCH34" s="283"/>
      <c r="NCI34" s="283"/>
      <c r="NCJ34" s="283"/>
      <c r="NCK34" s="283"/>
      <c r="NCL34" s="283"/>
      <c r="NCM34" s="283"/>
      <c r="NCN34" s="283"/>
      <c r="NCO34" s="283"/>
      <c r="NCP34" s="283"/>
      <c r="NCQ34" s="283"/>
      <c r="NCR34" s="283"/>
      <c r="NCS34" s="283"/>
      <c r="NCT34" s="283"/>
      <c r="NCU34" s="283"/>
      <c r="NCV34" s="283"/>
      <c r="NCW34" s="283"/>
      <c r="NCX34" s="283"/>
      <c r="NCY34" s="283"/>
      <c r="NCZ34" s="283"/>
      <c r="NDA34" s="283"/>
      <c r="NDB34" s="283"/>
      <c r="NDC34" s="283"/>
      <c r="NDD34" s="283"/>
      <c r="NDE34" s="283"/>
      <c r="NDF34" s="283"/>
      <c r="NDG34" s="283"/>
      <c r="NDH34" s="283"/>
      <c r="NDI34" s="283"/>
      <c r="NDJ34" s="283"/>
      <c r="NDK34" s="283"/>
      <c r="NDL34" s="283"/>
      <c r="NDM34" s="283"/>
      <c r="NDN34" s="283"/>
      <c r="NDO34" s="283"/>
      <c r="NDP34" s="283"/>
      <c r="NDQ34" s="283"/>
      <c r="NDR34" s="283"/>
      <c r="NDS34" s="283"/>
      <c r="NDT34" s="283"/>
      <c r="NDU34" s="283"/>
      <c r="NDV34" s="283"/>
      <c r="NDW34" s="283"/>
      <c r="NDX34" s="283"/>
      <c r="NDY34" s="283"/>
      <c r="NDZ34" s="283"/>
      <c r="NEA34" s="283"/>
      <c r="NEB34" s="283"/>
      <c r="NEC34" s="283"/>
      <c r="NED34" s="283"/>
      <c r="NEE34" s="283"/>
      <c r="NEF34" s="283"/>
      <c r="NEG34" s="283"/>
      <c r="NEH34" s="283"/>
      <c r="NEI34" s="283"/>
      <c r="NEJ34" s="283"/>
      <c r="NEK34" s="283"/>
      <c r="NEL34" s="283"/>
      <c r="NEM34" s="283"/>
      <c r="NEN34" s="283"/>
      <c r="NEO34" s="283"/>
      <c r="NEP34" s="283"/>
      <c r="NEQ34" s="283"/>
      <c r="NER34" s="283"/>
      <c r="NES34" s="283"/>
      <c r="NET34" s="283"/>
      <c r="NEU34" s="283"/>
      <c r="NEV34" s="283"/>
      <c r="NEW34" s="283"/>
      <c r="NEX34" s="283"/>
      <c r="NEY34" s="283"/>
      <c r="NEZ34" s="283"/>
      <c r="NFA34" s="283"/>
      <c r="NFB34" s="283"/>
      <c r="NFC34" s="283"/>
      <c r="NFD34" s="283"/>
      <c r="NFE34" s="283"/>
      <c r="NFF34" s="283"/>
      <c r="NFG34" s="283"/>
      <c r="NFH34" s="283"/>
      <c r="NFI34" s="283"/>
      <c r="NFJ34" s="283"/>
      <c r="NFK34" s="283"/>
      <c r="NFL34" s="283"/>
      <c r="NFM34" s="283"/>
      <c r="NFN34" s="283"/>
      <c r="NFO34" s="283"/>
      <c r="NFP34" s="283"/>
      <c r="NFQ34" s="283"/>
      <c r="NFR34" s="283"/>
      <c r="NFS34" s="283"/>
      <c r="NFT34" s="283"/>
      <c r="NFU34" s="283"/>
      <c r="NFV34" s="283"/>
      <c r="NFW34" s="283"/>
      <c r="NFX34" s="283"/>
      <c r="NFY34" s="283"/>
      <c r="NFZ34" s="283"/>
      <c r="NGA34" s="283"/>
      <c r="NGB34" s="283"/>
      <c r="NGC34" s="283"/>
      <c r="NGD34" s="283"/>
      <c r="NGE34" s="283"/>
      <c r="NGF34" s="283"/>
      <c r="NGG34" s="283"/>
      <c r="NGH34" s="283"/>
      <c r="NGI34" s="283"/>
      <c r="NGJ34" s="283"/>
      <c r="NGK34" s="283"/>
      <c r="NGL34" s="283"/>
      <c r="NGM34" s="283"/>
      <c r="NGN34" s="283"/>
      <c r="NGO34" s="283"/>
      <c r="NGP34" s="283"/>
      <c r="NGQ34" s="283"/>
      <c r="NGR34" s="283"/>
      <c r="NGS34" s="283"/>
      <c r="NGT34" s="283"/>
      <c r="NGU34" s="283"/>
      <c r="NGV34" s="283"/>
      <c r="NGW34" s="283"/>
      <c r="NGX34" s="283"/>
      <c r="NGY34" s="283"/>
      <c r="NGZ34" s="283"/>
      <c r="NHA34" s="283"/>
      <c r="NHB34" s="283"/>
      <c r="NHC34" s="283"/>
      <c r="NHD34" s="283"/>
      <c r="NHE34" s="283"/>
      <c r="NHF34" s="283"/>
      <c r="NHG34" s="283"/>
      <c r="NHH34" s="283"/>
      <c r="NHI34" s="283"/>
      <c r="NHJ34" s="283"/>
      <c r="NHK34" s="283"/>
      <c r="NHL34" s="283"/>
      <c r="NHM34" s="283"/>
      <c r="NHN34" s="283"/>
      <c r="NHO34" s="283"/>
      <c r="NHP34" s="283"/>
      <c r="NHQ34" s="283"/>
      <c r="NHR34" s="283"/>
      <c r="NHS34" s="283"/>
      <c r="NHT34" s="283"/>
      <c r="NHU34" s="283"/>
      <c r="NHV34" s="283"/>
      <c r="NHW34" s="283"/>
      <c r="NHX34" s="283"/>
      <c r="NHY34" s="283"/>
      <c r="NHZ34" s="283"/>
      <c r="NIA34" s="283"/>
      <c r="NIB34" s="283"/>
      <c r="NIC34" s="283"/>
      <c r="NID34" s="283"/>
      <c r="NIE34" s="283"/>
      <c r="NIF34" s="283"/>
      <c r="NIG34" s="283"/>
      <c r="NIH34" s="283"/>
      <c r="NII34" s="283"/>
      <c r="NIJ34" s="283"/>
      <c r="NIK34" s="283"/>
      <c r="NIL34" s="283"/>
      <c r="NIM34" s="283"/>
      <c r="NIN34" s="283"/>
      <c r="NIO34" s="283"/>
      <c r="NIP34" s="283"/>
      <c r="NIQ34" s="283"/>
      <c r="NIR34" s="283"/>
      <c r="NIS34" s="283"/>
      <c r="NIT34" s="283"/>
      <c r="NIU34" s="283"/>
      <c r="NIV34" s="283"/>
      <c r="NIW34" s="283"/>
      <c r="NIX34" s="283"/>
      <c r="NIY34" s="283"/>
      <c r="NIZ34" s="283"/>
      <c r="NJA34" s="283"/>
      <c r="NJB34" s="283"/>
      <c r="NJC34" s="283"/>
      <c r="NJD34" s="283"/>
      <c r="NJE34" s="283"/>
      <c r="NJF34" s="283"/>
      <c r="NJG34" s="283"/>
      <c r="NJH34" s="283"/>
      <c r="NJI34" s="283"/>
      <c r="NJJ34" s="283"/>
      <c r="NJK34" s="283"/>
      <c r="NJL34" s="283"/>
      <c r="NJM34" s="283"/>
      <c r="NJN34" s="283"/>
      <c r="NJO34" s="283"/>
      <c r="NJP34" s="283"/>
      <c r="NJQ34" s="283"/>
      <c r="NJR34" s="283"/>
      <c r="NJS34" s="283"/>
      <c r="NJT34" s="283"/>
      <c r="NJU34" s="283"/>
      <c r="NJV34" s="283"/>
      <c r="NJW34" s="283"/>
      <c r="NJX34" s="283"/>
      <c r="NJY34" s="283"/>
      <c r="NJZ34" s="283"/>
      <c r="NKA34" s="283"/>
      <c r="NKB34" s="283"/>
      <c r="NKC34" s="283"/>
      <c r="NKD34" s="283"/>
      <c r="NKE34" s="283"/>
      <c r="NKF34" s="283"/>
      <c r="NKG34" s="283"/>
      <c r="NKH34" s="283"/>
      <c r="NKI34" s="283"/>
      <c r="NKJ34" s="283"/>
      <c r="NKK34" s="283"/>
      <c r="NKL34" s="283"/>
      <c r="NKM34" s="283"/>
      <c r="NKN34" s="283"/>
      <c r="NKO34" s="283"/>
      <c r="NKP34" s="283"/>
      <c r="NKQ34" s="283"/>
      <c r="NKR34" s="283"/>
      <c r="NKS34" s="283"/>
      <c r="NKT34" s="283"/>
      <c r="NKU34" s="283"/>
      <c r="NKV34" s="283"/>
      <c r="NKW34" s="283"/>
      <c r="NKX34" s="283"/>
      <c r="NKY34" s="283"/>
      <c r="NKZ34" s="283"/>
      <c r="NLA34" s="283"/>
      <c r="NLB34" s="283"/>
      <c r="NLC34" s="283"/>
      <c r="NLD34" s="283"/>
      <c r="NLE34" s="283"/>
      <c r="NLF34" s="283"/>
      <c r="NLG34" s="283"/>
      <c r="NLH34" s="283"/>
      <c r="NLI34" s="283"/>
      <c r="NLJ34" s="283"/>
      <c r="NLK34" s="283"/>
      <c r="NLL34" s="283"/>
      <c r="NLM34" s="283"/>
      <c r="NLN34" s="283"/>
      <c r="NLO34" s="283"/>
      <c r="NLP34" s="283"/>
      <c r="NLQ34" s="283"/>
      <c r="NLR34" s="283"/>
      <c r="NLS34" s="283"/>
      <c r="NLT34" s="283"/>
      <c r="NLU34" s="283"/>
      <c r="NLV34" s="283"/>
      <c r="NLW34" s="283"/>
      <c r="NLX34" s="283"/>
      <c r="NLY34" s="283"/>
      <c r="NLZ34" s="283"/>
      <c r="NMA34" s="283"/>
      <c r="NMB34" s="283"/>
      <c r="NMC34" s="283"/>
      <c r="NMD34" s="283"/>
      <c r="NME34" s="283"/>
      <c r="NMF34" s="283"/>
      <c r="NMG34" s="283"/>
      <c r="NMH34" s="283"/>
      <c r="NMI34" s="283"/>
      <c r="NMJ34" s="283"/>
      <c r="NMK34" s="283"/>
      <c r="NML34" s="283"/>
      <c r="NMM34" s="283"/>
      <c r="NMN34" s="283"/>
      <c r="NMO34" s="283"/>
      <c r="NMP34" s="283"/>
      <c r="NMQ34" s="283"/>
      <c r="NMR34" s="283"/>
      <c r="NMS34" s="283"/>
      <c r="NMT34" s="283"/>
      <c r="NMU34" s="283"/>
      <c r="NMV34" s="283"/>
      <c r="NMW34" s="283"/>
      <c r="NMX34" s="283"/>
      <c r="NMY34" s="283"/>
      <c r="NMZ34" s="283"/>
      <c r="NNA34" s="283"/>
      <c r="NNB34" s="283"/>
      <c r="NNC34" s="283"/>
      <c r="NND34" s="283"/>
      <c r="NNE34" s="283"/>
      <c r="NNF34" s="283"/>
      <c r="NNG34" s="283"/>
      <c r="NNH34" s="283"/>
      <c r="NNI34" s="283"/>
      <c r="NNJ34" s="283"/>
      <c r="NNK34" s="283"/>
      <c r="NNL34" s="283"/>
      <c r="NNM34" s="283"/>
      <c r="NNN34" s="283"/>
      <c r="NNO34" s="283"/>
      <c r="NNP34" s="283"/>
      <c r="NNQ34" s="283"/>
      <c r="NNR34" s="283"/>
      <c r="NNS34" s="283"/>
      <c r="NNT34" s="283"/>
      <c r="NNU34" s="283"/>
      <c r="NNV34" s="283"/>
      <c r="NNW34" s="283"/>
      <c r="NNX34" s="283"/>
      <c r="NNY34" s="283"/>
      <c r="NNZ34" s="283"/>
      <c r="NOA34" s="283"/>
      <c r="NOB34" s="283"/>
      <c r="NOC34" s="283"/>
      <c r="NOD34" s="283"/>
      <c r="NOE34" s="283"/>
      <c r="NOF34" s="283"/>
      <c r="NOG34" s="283"/>
      <c r="NOH34" s="283"/>
      <c r="NOI34" s="283"/>
      <c r="NOJ34" s="283"/>
      <c r="NOK34" s="283"/>
      <c r="NOL34" s="283"/>
      <c r="NOM34" s="283"/>
      <c r="NON34" s="283"/>
      <c r="NOO34" s="283"/>
      <c r="NOP34" s="283"/>
      <c r="NOQ34" s="283"/>
      <c r="NOR34" s="283"/>
      <c r="NOS34" s="283"/>
      <c r="NOT34" s="283"/>
      <c r="NOU34" s="283"/>
      <c r="NOV34" s="283"/>
      <c r="NOW34" s="283"/>
      <c r="NOX34" s="283"/>
      <c r="NOY34" s="283"/>
      <c r="NOZ34" s="283"/>
      <c r="NPA34" s="283"/>
      <c r="NPB34" s="283"/>
      <c r="NPC34" s="283"/>
      <c r="NPD34" s="283"/>
      <c r="NPE34" s="283"/>
      <c r="NPF34" s="283"/>
      <c r="NPG34" s="283"/>
      <c r="NPH34" s="283"/>
      <c r="NPI34" s="283"/>
      <c r="NPJ34" s="283"/>
      <c r="NPK34" s="283"/>
      <c r="NPL34" s="283"/>
      <c r="NPM34" s="283"/>
      <c r="NPN34" s="283"/>
      <c r="NPO34" s="283"/>
      <c r="NPP34" s="283"/>
      <c r="NPQ34" s="283"/>
      <c r="NPR34" s="283"/>
      <c r="NPS34" s="283"/>
      <c r="NPT34" s="283"/>
      <c r="NPU34" s="283"/>
      <c r="NPV34" s="283"/>
      <c r="NPW34" s="283"/>
      <c r="NPX34" s="283"/>
      <c r="NPY34" s="283"/>
      <c r="NPZ34" s="283"/>
      <c r="NQA34" s="283"/>
      <c r="NQB34" s="283"/>
      <c r="NQC34" s="283"/>
      <c r="NQD34" s="283"/>
      <c r="NQE34" s="283"/>
      <c r="NQF34" s="283"/>
      <c r="NQG34" s="283"/>
      <c r="NQH34" s="283"/>
      <c r="NQI34" s="283"/>
      <c r="NQJ34" s="283"/>
      <c r="NQK34" s="283"/>
      <c r="NQL34" s="283"/>
      <c r="NQM34" s="283"/>
      <c r="NQN34" s="283"/>
      <c r="NQO34" s="283"/>
      <c r="NQP34" s="283"/>
      <c r="NQQ34" s="283"/>
      <c r="NQR34" s="283"/>
      <c r="NQS34" s="283"/>
      <c r="NQT34" s="283"/>
      <c r="NQU34" s="283"/>
      <c r="NQV34" s="283"/>
      <c r="NQW34" s="283"/>
      <c r="NQX34" s="283"/>
      <c r="NQY34" s="283"/>
      <c r="NQZ34" s="283"/>
      <c r="NRA34" s="283"/>
      <c r="NRB34" s="283"/>
      <c r="NRC34" s="283"/>
      <c r="NRD34" s="283"/>
      <c r="NRE34" s="283"/>
      <c r="NRF34" s="283"/>
      <c r="NRG34" s="283"/>
      <c r="NRH34" s="283"/>
      <c r="NRI34" s="283"/>
      <c r="NRJ34" s="283"/>
      <c r="NRK34" s="283"/>
      <c r="NRL34" s="283"/>
      <c r="NRM34" s="283"/>
      <c r="NRN34" s="283"/>
      <c r="NRO34" s="283"/>
      <c r="NRP34" s="283"/>
      <c r="NRQ34" s="283"/>
      <c r="NRR34" s="283"/>
      <c r="NRS34" s="283"/>
      <c r="NRT34" s="283"/>
      <c r="NRU34" s="283"/>
      <c r="NRV34" s="283"/>
      <c r="NRW34" s="283"/>
      <c r="NRX34" s="283"/>
      <c r="NRY34" s="283"/>
      <c r="NRZ34" s="283"/>
      <c r="NSA34" s="283"/>
      <c r="NSB34" s="283"/>
      <c r="NSC34" s="283"/>
      <c r="NSD34" s="283"/>
      <c r="NSE34" s="283"/>
      <c r="NSF34" s="283"/>
      <c r="NSG34" s="283"/>
      <c r="NSH34" s="283"/>
      <c r="NSI34" s="283"/>
      <c r="NSJ34" s="283"/>
      <c r="NSK34" s="283"/>
      <c r="NSL34" s="283"/>
      <c r="NSM34" s="283"/>
      <c r="NSN34" s="283"/>
      <c r="NSO34" s="283"/>
      <c r="NSP34" s="283"/>
      <c r="NSQ34" s="283"/>
      <c r="NSR34" s="283"/>
      <c r="NSS34" s="283"/>
      <c r="NST34" s="283"/>
      <c r="NSU34" s="283"/>
      <c r="NSV34" s="283"/>
      <c r="NSW34" s="283"/>
      <c r="NSX34" s="283"/>
      <c r="NSY34" s="283"/>
      <c r="NSZ34" s="283"/>
      <c r="NTA34" s="283"/>
      <c r="NTB34" s="283"/>
      <c r="NTC34" s="283"/>
      <c r="NTD34" s="283"/>
      <c r="NTE34" s="283"/>
      <c r="NTF34" s="283"/>
      <c r="NTG34" s="283"/>
      <c r="NTH34" s="283"/>
      <c r="NTI34" s="283"/>
      <c r="NTJ34" s="283"/>
      <c r="NTK34" s="283"/>
      <c r="NTL34" s="283"/>
      <c r="NTM34" s="283"/>
      <c r="NTN34" s="283"/>
      <c r="NTO34" s="283"/>
      <c r="NTP34" s="283"/>
      <c r="NTQ34" s="283"/>
      <c r="NTR34" s="283"/>
      <c r="NTS34" s="283"/>
      <c r="NTT34" s="283"/>
      <c r="NTU34" s="283"/>
      <c r="NTV34" s="283"/>
      <c r="NTW34" s="283"/>
      <c r="NTX34" s="283"/>
      <c r="NTY34" s="283"/>
      <c r="NTZ34" s="283"/>
      <c r="NUA34" s="283"/>
      <c r="NUB34" s="283"/>
      <c r="NUC34" s="283"/>
      <c r="NUD34" s="283"/>
      <c r="NUE34" s="283"/>
      <c r="NUF34" s="283"/>
      <c r="NUG34" s="283"/>
      <c r="NUH34" s="283"/>
      <c r="NUI34" s="283"/>
      <c r="NUJ34" s="283"/>
      <c r="NUK34" s="283"/>
      <c r="NUL34" s="283"/>
      <c r="NUM34" s="283"/>
      <c r="NUN34" s="283"/>
      <c r="NUO34" s="283"/>
      <c r="NUP34" s="283"/>
      <c r="NUQ34" s="283"/>
      <c r="NUR34" s="283"/>
      <c r="NUS34" s="283"/>
      <c r="NUT34" s="283"/>
      <c r="NUU34" s="283"/>
      <c r="NUV34" s="283"/>
      <c r="NUW34" s="283"/>
      <c r="NUX34" s="283"/>
      <c r="NUY34" s="283"/>
      <c r="NUZ34" s="283"/>
      <c r="NVA34" s="283"/>
      <c r="NVB34" s="283"/>
      <c r="NVC34" s="283"/>
      <c r="NVD34" s="283"/>
      <c r="NVE34" s="283"/>
      <c r="NVF34" s="283"/>
      <c r="NVG34" s="283"/>
      <c r="NVH34" s="283"/>
      <c r="NVI34" s="283"/>
      <c r="NVJ34" s="283"/>
      <c r="NVK34" s="283"/>
      <c r="NVL34" s="283"/>
      <c r="NVM34" s="283"/>
      <c r="NVN34" s="283"/>
      <c r="NVO34" s="283"/>
      <c r="NVP34" s="283"/>
      <c r="NVQ34" s="283"/>
      <c r="NVR34" s="283"/>
      <c r="NVS34" s="283"/>
      <c r="NVT34" s="283"/>
      <c r="NVU34" s="283"/>
      <c r="NVV34" s="283"/>
      <c r="NVW34" s="283"/>
      <c r="NVX34" s="283"/>
      <c r="NVY34" s="283"/>
      <c r="NVZ34" s="283"/>
      <c r="NWA34" s="283"/>
      <c r="NWB34" s="283"/>
      <c r="NWC34" s="283"/>
      <c r="NWD34" s="283"/>
      <c r="NWE34" s="283"/>
      <c r="NWF34" s="283"/>
      <c r="NWG34" s="283"/>
      <c r="NWH34" s="283"/>
      <c r="NWI34" s="283"/>
      <c r="NWJ34" s="283"/>
      <c r="NWK34" s="283"/>
      <c r="NWL34" s="283"/>
      <c r="NWM34" s="283"/>
      <c r="NWN34" s="283"/>
      <c r="NWO34" s="283"/>
      <c r="NWP34" s="283"/>
      <c r="NWQ34" s="283"/>
      <c r="NWR34" s="283"/>
      <c r="NWS34" s="283"/>
      <c r="NWT34" s="283"/>
      <c r="NWU34" s="283"/>
      <c r="NWV34" s="283"/>
      <c r="NWW34" s="283"/>
      <c r="NWX34" s="283"/>
      <c r="NWY34" s="283"/>
      <c r="NWZ34" s="283"/>
      <c r="NXA34" s="283"/>
      <c r="NXB34" s="283"/>
      <c r="NXC34" s="283"/>
      <c r="NXD34" s="283"/>
      <c r="NXE34" s="283"/>
      <c r="NXF34" s="283"/>
      <c r="NXG34" s="283"/>
      <c r="NXH34" s="283"/>
      <c r="NXI34" s="283"/>
      <c r="NXJ34" s="283"/>
      <c r="NXK34" s="283"/>
      <c r="NXL34" s="283"/>
      <c r="NXM34" s="283"/>
      <c r="NXN34" s="283"/>
      <c r="NXO34" s="283"/>
      <c r="NXP34" s="283"/>
      <c r="NXQ34" s="283"/>
      <c r="NXR34" s="283"/>
      <c r="NXS34" s="283"/>
      <c r="NXT34" s="283"/>
      <c r="NXU34" s="283"/>
      <c r="NXV34" s="283"/>
      <c r="NXW34" s="283"/>
      <c r="NXX34" s="283"/>
      <c r="NXY34" s="283"/>
      <c r="NXZ34" s="283"/>
      <c r="NYA34" s="283"/>
      <c r="NYB34" s="283"/>
      <c r="NYC34" s="283"/>
      <c r="NYD34" s="283"/>
      <c r="NYE34" s="283"/>
      <c r="NYF34" s="283"/>
      <c r="NYG34" s="283"/>
      <c r="NYH34" s="283"/>
      <c r="NYI34" s="283"/>
      <c r="NYJ34" s="283"/>
      <c r="NYK34" s="283"/>
      <c r="NYL34" s="283"/>
      <c r="NYM34" s="283"/>
      <c r="NYN34" s="283"/>
      <c r="NYO34" s="283"/>
      <c r="NYP34" s="283"/>
      <c r="NYQ34" s="283"/>
      <c r="NYR34" s="283"/>
      <c r="NYS34" s="283"/>
      <c r="NYT34" s="283"/>
      <c r="NYU34" s="283"/>
      <c r="NYV34" s="283"/>
      <c r="NYW34" s="283"/>
      <c r="NYX34" s="283"/>
      <c r="NYY34" s="283"/>
      <c r="NYZ34" s="283"/>
      <c r="NZA34" s="283"/>
      <c r="NZB34" s="283"/>
      <c r="NZC34" s="283"/>
      <c r="NZD34" s="283"/>
      <c r="NZE34" s="283"/>
      <c r="NZF34" s="283"/>
      <c r="NZG34" s="283"/>
      <c r="NZH34" s="283"/>
      <c r="NZI34" s="283"/>
      <c r="NZJ34" s="283"/>
      <c r="NZK34" s="283"/>
      <c r="NZL34" s="283"/>
      <c r="NZM34" s="283"/>
      <c r="NZN34" s="283"/>
      <c r="NZO34" s="283"/>
      <c r="NZP34" s="283"/>
      <c r="NZQ34" s="283"/>
      <c r="NZR34" s="283"/>
      <c r="NZS34" s="283"/>
      <c r="NZT34" s="283"/>
      <c r="NZU34" s="283"/>
      <c r="NZV34" s="283"/>
      <c r="NZW34" s="283"/>
      <c r="NZX34" s="283"/>
      <c r="NZY34" s="283"/>
      <c r="NZZ34" s="283"/>
      <c r="OAA34" s="283"/>
      <c r="OAB34" s="283"/>
      <c r="OAC34" s="283"/>
      <c r="OAD34" s="283"/>
      <c r="OAE34" s="283"/>
      <c r="OAF34" s="283"/>
      <c r="OAG34" s="283"/>
      <c r="OAH34" s="283"/>
      <c r="OAI34" s="283"/>
      <c r="OAJ34" s="283"/>
      <c r="OAK34" s="283"/>
      <c r="OAL34" s="283"/>
      <c r="OAM34" s="283"/>
      <c r="OAN34" s="283"/>
      <c r="OAO34" s="283"/>
      <c r="OAP34" s="283"/>
      <c r="OAQ34" s="283"/>
      <c r="OAR34" s="283"/>
      <c r="OAS34" s="283"/>
      <c r="OAT34" s="283"/>
      <c r="OAU34" s="283"/>
      <c r="OAV34" s="283"/>
      <c r="OAW34" s="283"/>
      <c r="OAX34" s="283"/>
      <c r="OAY34" s="283"/>
      <c r="OAZ34" s="283"/>
      <c r="OBA34" s="283"/>
      <c r="OBB34" s="283"/>
      <c r="OBC34" s="283"/>
      <c r="OBD34" s="283"/>
      <c r="OBE34" s="283"/>
      <c r="OBF34" s="283"/>
      <c r="OBG34" s="283"/>
      <c r="OBH34" s="283"/>
      <c r="OBI34" s="283"/>
      <c r="OBJ34" s="283"/>
      <c r="OBK34" s="283"/>
      <c r="OBL34" s="283"/>
      <c r="OBM34" s="283"/>
      <c r="OBN34" s="283"/>
      <c r="OBO34" s="283"/>
      <c r="OBP34" s="283"/>
      <c r="OBQ34" s="283"/>
      <c r="OBR34" s="283"/>
      <c r="OBS34" s="283"/>
      <c r="OBT34" s="283"/>
      <c r="OBU34" s="283"/>
      <c r="OBV34" s="283"/>
      <c r="OBW34" s="283"/>
      <c r="OBX34" s="283"/>
      <c r="OBY34" s="283"/>
      <c r="OBZ34" s="283"/>
      <c r="OCA34" s="283"/>
      <c r="OCB34" s="283"/>
      <c r="OCC34" s="283"/>
      <c r="OCD34" s="283"/>
      <c r="OCE34" s="283"/>
      <c r="OCF34" s="283"/>
      <c r="OCG34" s="283"/>
      <c r="OCH34" s="283"/>
      <c r="OCI34" s="283"/>
      <c r="OCJ34" s="283"/>
      <c r="OCK34" s="283"/>
      <c r="OCL34" s="283"/>
      <c r="OCM34" s="283"/>
      <c r="OCN34" s="283"/>
      <c r="OCO34" s="283"/>
      <c r="OCP34" s="283"/>
      <c r="OCQ34" s="283"/>
      <c r="OCR34" s="283"/>
      <c r="OCS34" s="283"/>
      <c r="OCT34" s="283"/>
      <c r="OCU34" s="283"/>
      <c r="OCV34" s="283"/>
      <c r="OCW34" s="283"/>
      <c r="OCX34" s="283"/>
      <c r="OCY34" s="283"/>
      <c r="OCZ34" s="283"/>
      <c r="ODA34" s="283"/>
      <c r="ODB34" s="283"/>
      <c r="ODC34" s="283"/>
      <c r="ODD34" s="283"/>
      <c r="ODE34" s="283"/>
      <c r="ODF34" s="283"/>
      <c r="ODG34" s="283"/>
      <c r="ODH34" s="283"/>
      <c r="ODI34" s="283"/>
      <c r="ODJ34" s="283"/>
      <c r="ODK34" s="283"/>
      <c r="ODL34" s="283"/>
      <c r="ODM34" s="283"/>
      <c r="ODN34" s="283"/>
      <c r="ODO34" s="283"/>
      <c r="ODP34" s="283"/>
      <c r="ODQ34" s="283"/>
      <c r="ODR34" s="283"/>
      <c r="ODS34" s="283"/>
      <c r="ODT34" s="283"/>
      <c r="ODU34" s="283"/>
      <c r="ODV34" s="283"/>
      <c r="ODW34" s="283"/>
      <c r="ODX34" s="283"/>
      <c r="ODY34" s="283"/>
      <c r="ODZ34" s="283"/>
      <c r="OEA34" s="283"/>
      <c r="OEB34" s="283"/>
      <c r="OEC34" s="283"/>
      <c r="OED34" s="283"/>
      <c r="OEE34" s="283"/>
      <c r="OEF34" s="283"/>
      <c r="OEG34" s="283"/>
      <c r="OEH34" s="283"/>
      <c r="OEI34" s="283"/>
      <c r="OEJ34" s="283"/>
      <c r="OEK34" s="283"/>
      <c r="OEL34" s="283"/>
      <c r="OEM34" s="283"/>
      <c r="OEN34" s="283"/>
      <c r="OEO34" s="283"/>
      <c r="OEP34" s="283"/>
      <c r="OEQ34" s="283"/>
      <c r="OER34" s="283"/>
      <c r="OES34" s="283"/>
      <c r="OET34" s="283"/>
      <c r="OEU34" s="283"/>
      <c r="OEV34" s="283"/>
      <c r="OEW34" s="283"/>
      <c r="OEX34" s="283"/>
      <c r="OEY34" s="283"/>
      <c r="OEZ34" s="283"/>
      <c r="OFA34" s="283"/>
      <c r="OFB34" s="283"/>
      <c r="OFC34" s="283"/>
      <c r="OFD34" s="283"/>
      <c r="OFE34" s="283"/>
      <c r="OFF34" s="283"/>
      <c r="OFG34" s="283"/>
      <c r="OFH34" s="283"/>
      <c r="OFI34" s="283"/>
      <c r="OFJ34" s="283"/>
      <c r="OFK34" s="283"/>
      <c r="OFL34" s="283"/>
      <c r="OFM34" s="283"/>
      <c r="OFN34" s="283"/>
      <c r="OFO34" s="283"/>
      <c r="OFP34" s="283"/>
      <c r="OFQ34" s="283"/>
      <c r="OFR34" s="283"/>
      <c r="OFS34" s="283"/>
      <c r="OFT34" s="283"/>
      <c r="OFU34" s="283"/>
      <c r="OFV34" s="283"/>
      <c r="OFW34" s="283"/>
      <c r="OFX34" s="283"/>
      <c r="OFY34" s="283"/>
      <c r="OFZ34" s="283"/>
      <c r="OGA34" s="283"/>
      <c r="OGB34" s="283"/>
      <c r="OGC34" s="283"/>
      <c r="OGD34" s="283"/>
      <c r="OGE34" s="283"/>
      <c r="OGF34" s="283"/>
      <c r="OGG34" s="283"/>
      <c r="OGH34" s="283"/>
      <c r="OGI34" s="283"/>
      <c r="OGJ34" s="283"/>
      <c r="OGK34" s="283"/>
      <c r="OGL34" s="283"/>
      <c r="OGM34" s="283"/>
      <c r="OGN34" s="283"/>
      <c r="OGO34" s="283"/>
      <c r="OGP34" s="283"/>
      <c r="OGQ34" s="283"/>
      <c r="OGR34" s="283"/>
      <c r="OGS34" s="283"/>
      <c r="OGT34" s="283"/>
      <c r="OGU34" s="283"/>
      <c r="OGV34" s="283"/>
      <c r="OGW34" s="283"/>
      <c r="OGX34" s="283"/>
      <c r="OGY34" s="283"/>
      <c r="OGZ34" s="283"/>
      <c r="OHA34" s="283"/>
      <c r="OHB34" s="283"/>
      <c r="OHC34" s="283"/>
      <c r="OHD34" s="283"/>
      <c r="OHE34" s="283"/>
      <c r="OHF34" s="283"/>
      <c r="OHG34" s="283"/>
      <c r="OHH34" s="283"/>
      <c r="OHI34" s="283"/>
      <c r="OHJ34" s="283"/>
      <c r="OHK34" s="283"/>
      <c r="OHL34" s="283"/>
      <c r="OHM34" s="283"/>
      <c r="OHN34" s="283"/>
      <c r="OHO34" s="283"/>
      <c r="OHP34" s="283"/>
      <c r="OHQ34" s="283"/>
      <c r="OHR34" s="283"/>
      <c r="OHS34" s="283"/>
      <c r="OHT34" s="283"/>
      <c r="OHU34" s="283"/>
      <c r="OHV34" s="283"/>
      <c r="OHW34" s="283"/>
      <c r="OHX34" s="283"/>
      <c r="OHY34" s="283"/>
      <c r="OHZ34" s="283"/>
      <c r="OIA34" s="283"/>
      <c r="OIB34" s="283"/>
      <c r="OIC34" s="283"/>
      <c r="OID34" s="283"/>
      <c r="OIE34" s="283"/>
      <c r="OIF34" s="283"/>
      <c r="OIG34" s="283"/>
      <c r="OIH34" s="283"/>
      <c r="OII34" s="283"/>
      <c r="OIJ34" s="283"/>
      <c r="OIK34" s="283"/>
      <c r="OIL34" s="283"/>
      <c r="OIM34" s="283"/>
      <c r="OIN34" s="283"/>
      <c r="OIO34" s="283"/>
      <c r="OIP34" s="283"/>
      <c r="OIQ34" s="283"/>
      <c r="OIR34" s="283"/>
      <c r="OIS34" s="283"/>
      <c r="OIT34" s="283"/>
      <c r="OIU34" s="283"/>
      <c r="OIV34" s="283"/>
      <c r="OIW34" s="283"/>
      <c r="OIX34" s="283"/>
      <c r="OIY34" s="283"/>
      <c r="OIZ34" s="283"/>
      <c r="OJA34" s="283"/>
      <c r="OJB34" s="283"/>
      <c r="OJC34" s="283"/>
      <c r="OJD34" s="283"/>
      <c r="OJE34" s="283"/>
      <c r="OJF34" s="283"/>
      <c r="OJG34" s="283"/>
      <c r="OJH34" s="283"/>
      <c r="OJI34" s="283"/>
      <c r="OJJ34" s="283"/>
      <c r="OJK34" s="283"/>
      <c r="OJL34" s="283"/>
      <c r="OJM34" s="283"/>
      <c r="OJN34" s="283"/>
      <c r="OJO34" s="283"/>
      <c r="OJP34" s="283"/>
      <c r="OJQ34" s="283"/>
      <c r="OJR34" s="283"/>
      <c r="OJS34" s="283"/>
      <c r="OJT34" s="283"/>
      <c r="OJU34" s="283"/>
      <c r="OJV34" s="283"/>
      <c r="OJW34" s="283"/>
      <c r="OJX34" s="283"/>
      <c r="OJY34" s="283"/>
      <c r="OJZ34" s="283"/>
      <c r="OKA34" s="283"/>
      <c r="OKB34" s="283"/>
      <c r="OKC34" s="283"/>
      <c r="OKD34" s="283"/>
      <c r="OKE34" s="283"/>
      <c r="OKF34" s="283"/>
      <c r="OKG34" s="283"/>
      <c r="OKH34" s="283"/>
      <c r="OKI34" s="283"/>
      <c r="OKJ34" s="283"/>
      <c r="OKK34" s="283"/>
      <c r="OKL34" s="283"/>
      <c r="OKM34" s="283"/>
      <c r="OKN34" s="283"/>
      <c r="OKO34" s="283"/>
      <c r="OKP34" s="283"/>
      <c r="OKQ34" s="283"/>
      <c r="OKR34" s="283"/>
      <c r="OKS34" s="283"/>
      <c r="OKT34" s="283"/>
      <c r="OKU34" s="283"/>
      <c r="OKV34" s="283"/>
      <c r="OKW34" s="283"/>
      <c r="OKX34" s="283"/>
      <c r="OKY34" s="283"/>
      <c r="OKZ34" s="283"/>
      <c r="OLA34" s="283"/>
      <c r="OLB34" s="283"/>
      <c r="OLC34" s="283"/>
      <c r="OLD34" s="283"/>
      <c r="OLE34" s="283"/>
      <c r="OLF34" s="283"/>
      <c r="OLG34" s="283"/>
      <c r="OLH34" s="283"/>
      <c r="OLI34" s="283"/>
      <c r="OLJ34" s="283"/>
      <c r="OLK34" s="283"/>
      <c r="OLL34" s="283"/>
      <c r="OLM34" s="283"/>
      <c r="OLN34" s="283"/>
      <c r="OLO34" s="283"/>
      <c r="OLP34" s="283"/>
      <c r="OLQ34" s="283"/>
      <c r="OLR34" s="283"/>
      <c r="OLS34" s="283"/>
      <c r="OLT34" s="283"/>
      <c r="OLU34" s="283"/>
      <c r="OLV34" s="283"/>
      <c r="OLW34" s="283"/>
      <c r="OLX34" s="283"/>
      <c r="OLY34" s="283"/>
      <c r="OLZ34" s="283"/>
      <c r="OMA34" s="283"/>
      <c r="OMB34" s="283"/>
      <c r="OMC34" s="283"/>
      <c r="OMD34" s="283"/>
      <c r="OME34" s="283"/>
      <c r="OMF34" s="283"/>
      <c r="OMG34" s="283"/>
      <c r="OMH34" s="283"/>
      <c r="OMI34" s="283"/>
      <c r="OMJ34" s="283"/>
      <c r="OMK34" s="283"/>
      <c r="OML34" s="283"/>
      <c r="OMM34" s="283"/>
      <c r="OMN34" s="283"/>
      <c r="OMO34" s="283"/>
      <c r="OMP34" s="283"/>
      <c r="OMQ34" s="283"/>
      <c r="OMR34" s="283"/>
      <c r="OMS34" s="283"/>
      <c r="OMT34" s="283"/>
      <c r="OMU34" s="283"/>
      <c r="OMV34" s="283"/>
      <c r="OMW34" s="283"/>
      <c r="OMX34" s="283"/>
      <c r="OMY34" s="283"/>
      <c r="OMZ34" s="283"/>
      <c r="ONA34" s="283"/>
      <c r="ONB34" s="283"/>
      <c r="ONC34" s="283"/>
      <c r="OND34" s="283"/>
      <c r="ONE34" s="283"/>
      <c r="ONF34" s="283"/>
      <c r="ONG34" s="283"/>
      <c r="ONH34" s="283"/>
      <c r="ONI34" s="283"/>
      <c r="ONJ34" s="283"/>
      <c r="ONK34" s="283"/>
      <c r="ONL34" s="283"/>
      <c r="ONM34" s="283"/>
      <c r="ONN34" s="283"/>
      <c r="ONO34" s="283"/>
      <c r="ONP34" s="283"/>
      <c r="ONQ34" s="283"/>
      <c r="ONR34" s="283"/>
      <c r="ONS34" s="283"/>
      <c r="ONT34" s="283"/>
      <c r="ONU34" s="283"/>
      <c r="ONV34" s="283"/>
      <c r="ONW34" s="283"/>
      <c r="ONX34" s="283"/>
      <c r="ONY34" s="283"/>
      <c r="ONZ34" s="283"/>
      <c r="OOA34" s="283"/>
      <c r="OOB34" s="283"/>
      <c r="OOC34" s="283"/>
      <c r="OOD34" s="283"/>
      <c r="OOE34" s="283"/>
      <c r="OOF34" s="283"/>
      <c r="OOG34" s="283"/>
      <c r="OOH34" s="283"/>
      <c r="OOI34" s="283"/>
      <c r="OOJ34" s="283"/>
      <c r="OOK34" s="283"/>
      <c r="OOL34" s="283"/>
      <c r="OOM34" s="283"/>
      <c r="OON34" s="283"/>
      <c r="OOO34" s="283"/>
      <c r="OOP34" s="283"/>
      <c r="OOQ34" s="283"/>
      <c r="OOR34" s="283"/>
      <c r="OOS34" s="283"/>
      <c r="OOT34" s="283"/>
      <c r="OOU34" s="283"/>
      <c r="OOV34" s="283"/>
      <c r="OOW34" s="283"/>
      <c r="OOX34" s="283"/>
      <c r="OOY34" s="283"/>
      <c r="OOZ34" s="283"/>
      <c r="OPA34" s="283"/>
      <c r="OPB34" s="283"/>
      <c r="OPC34" s="283"/>
      <c r="OPD34" s="283"/>
      <c r="OPE34" s="283"/>
      <c r="OPF34" s="283"/>
      <c r="OPG34" s="283"/>
      <c r="OPH34" s="283"/>
      <c r="OPI34" s="283"/>
      <c r="OPJ34" s="283"/>
      <c r="OPK34" s="283"/>
      <c r="OPL34" s="283"/>
      <c r="OPM34" s="283"/>
      <c r="OPN34" s="283"/>
      <c r="OPO34" s="283"/>
      <c r="OPP34" s="283"/>
      <c r="OPQ34" s="283"/>
      <c r="OPR34" s="283"/>
      <c r="OPS34" s="283"/>
      <c r="OPT34" s="283"/>
      <c r="OPU34" s="283"/>
      <c r="OPV34" s="283"/>
      <c r="OPW34" s="283"/>
      <c r="OPX34" s="283"/>
      <c r="OPY34" s="283"/>
      <c r="OPZ34" s="283"/>
      <c r="OQA34" s="283"/>
      <c r="OQB34" s="283"/>
      <c r="OQC34" s="283"/>
      <c r="OQD34" s="283"/>
      <c r="OQE34" s="283"/>
      <c r="OQF34" s="283"/>
      <c r="OQG34" s="283"/>
      <c r="OQH34" s="283"/>
      <c r="OQI34" s="283"/>
      <c r="OQJ34" s="283"/>
      <c r="OQK34" s="283"/>
      <c r="OQL34" s="283"/>
      <c r="OQM34" s="283"/>
      <c r="OQN34" s="283"/>
      <c r="OQO34" s="283"/>
      <c r="OQP34" s="283"/>
      <c r="OQQ34" s="283"/>
      <c r="OQR34" s="283"/>
      <c r="OQS34" s="283"/>
      <c r="OQT34" s="283"/>
      <c r="OQU34" s="283"/>
      <c r="OQV34" s="283"/>
      <c r="OQW34" s="283"/>
      <c r="OQX34" s="283"/>
      <c r="OQY34" s="283"/>
      <c r="OQZ34" s="283"/>
      <c r="ORA34" s="283"/>
      <c r="ORB34" s="283"/>
      <c r="ORC34" s="283"/>
      <c r="ORD34" s="283"/>
      <c r="ORE34" s="283"/>
      <c r="ORF34" s="283"/>
      <c r="ORG34" s="283"/>
      <c r="ORH34" s="283"/>
      <c r="ORI34" s="283"/>
      <c r="ORJ34" s="283"/>
      <c r="ORK34" s="283"/>
      <c r="ORL34" s="283"/>
      <c r="ORM34" s="283"/>
      <c r="ORN34" s="283"/>
      <c r="ORO34" s="283"/>
      <c r="ORP34" s="283"/>
      <c r="ORQ34" s="283"/>
      <c r="ORR34" s="283"/>
      <c r="ORS34" s="283"/>
      <c r="ORT34" s="283"/>
      <c r="ORU34" s="283"/>
      <c r="ORV34" s="283"/>
      <c r="ORW34" s="283"/>
      <c r="ORX34" s="283"/>
      <c r="ORY34" s="283"/>
      <c r="ORZ34" s="283"/>
      <c r="OSA34" s="283"/>
      <c r="OSB34" s="283"/>
      <c r="OSC34" s="283"/>
      <c r="OSD34" s="283"/>
      <c r="OSE34" s="283"/>
      <c r="OSF34" s="283"/>
      <c r="OSG34" s="283"/>
      <c r="OSH34" s="283"/>
      <c r="OSI34" s="283"/>
      <c r="OSJ34" s="283"/>
      <c r="OSK34" s="283"/>
      <c r="OSL34" s="283"/>
      <c r="OSM34" s="283"/>
      <c r="OSN34" s="283"/>
      <c r="OSO34" s="283"/>
      <c r="OSP34" s="283"/>
      <c r="OSQ34" s="283"/>
      <c r="OSR34" s="283"/>
      <c r="OSS34" s="283"/>
      <c r="OST34" s="283"/>
      <c r="OSU34" s="283"/>
      <c r="OSV34" s="283"/>
      <c r="OSW34" s="283"/>
      <c r="OSX34" s="283"/>
      <c r="OSY34" s="283"/>
      <c r="OSZ34" s="283"/>
      <c r="OTA34" s="283"/>
      <c r="OTB34" s="283"/>
      <c r="OTC34" s="283"/>
      <c r="OTD34" s="283"/>
      <c r="OTE34" s="283"/>
      <c r="OTF34" s="283"/>
      <c r="OTG34" s="283"/>
      <c r="OTH34" s="283"/>
      <c r="OTI34" s="283"/>
      <c r="OTJ34" s="283"/>
      <c r="OTK34" s="283"/>
      <c r="OTL34" s="283"/>
      <c r="OTM34" s="283"/>
      <c r="OTN34" s="283"/>
      <c r="OTO34" s="283"/>
      <c r="OTP34" s="283"/>
      <c r="OTQ34" s="283"/>
      <c r="OTR34" s="283"/>
      <c r="OTS34" s="283"/>
      <c r="OTT34" s="283"/>
      <c r="OTU34" s="283"/>
      <c r="OTV34" s="283"/>
      <c r="OTW34" s="283"/>
      <c r="OTX34" s="283"/>
      <c r="OTY34" s="283"/>
      <c r="OTZ34" s="283"/>
      <c r="OUA34" s="283"/>
      <c r="OUB34" s="283"/>
      <c r="OUC34" s="283"/>
      <c r="OUD34" s="283"/>
      <c r="OUE34" s="283"/>
      <c r="OUF34" s="283"/>
      <c r="OUG34" s="283"/>
      <c r="OUH34" s="283"/>
      <c r="OUI34" s="283"/>
      <c r="OUJ34" s="283"/>
      <c r="OUK34" s="283"/>
      <c r="OUL34" s="283"/>
      <c r="OUM34" s="283"/>
      <c r="OUN34" s="283"/>
      <c r="OUO34" s="283"/>
      <c r="OUP34" s="283"/>
      <c r="OUQ34" s="283"/>
      <c r="OUR34" s="283"/>
      <c r="OUS34" s="283"/>
      <c r="OUT34" s="283"/>
      <c r="OUU34" s="283"/>
      <c r="OUV34" s="283"/>
      <c r="OUW34" s="283"/>
      <c r="OUX34" s="283"/>
      <c r="OUY34" s="283"/>
      <c r="OUZ34" s="283"/>
      <c r="OVA34" s="283"/>
      <c r="OVB34" s="283"/>
      <c r="OVC34" s="283"/>
      <c r="OVD34" s="283"/>
      <c r="OVE34" s="283"/>
      <c r="OVF34" s="283"/>
      <c r="OVG34" s="283"/>
      <c r="OVH34" s="283"/>
      <c r="OVI34" s="283"/>
      <c r="OVJ34" s="283"/>
      <c r="OVK34" s="283"/>
      <c r="OVL34" s="283"/>
      <c r="OVM34" s="283"/>
      <c r="OVN34" s="283"/>
      <c r="OVO34" s="283"/>
      <c r="OVP34" s="283"/>
      <c r="OVQ34" s="283"/>
      <c r="OVR34" s="283"/>
      <c r="OVS34" s="283"/>
      <c r="OVT34" s="283"/>
      <c r="OVU34" s="283"/>
      <c r="OVV34" s="283"/>
      <c r="OVW34" s="283"/>
      <c r="OVX34" s="283"/>
      <c r="OVY34" s="283"/>
      <c r="OVZ34" s="283"/>
      <c r="OWA34" s="283"/>
      <c r="OWB34" s="283"/>
      <c r="OWC34" s="283"/>
      <c r="OWD34" s="283"/>
      <c r="OWE34" s="283"/>
      <c r="OWF34" s="283"/>
      <c r="OWG34" s="283"/>
      <c r="OWH34" s="283"/>
      <c r="OWI34" s="283"/>
      <c r="OWJ34" s="283"/>
      <c r="OWK34" s="283"/>
      <c r="OWL34" s="283"/>
      <c r="OWM34" s="283"/>
      <c r="OWN34" s="283"/>
      <c r="OWO34" s="283"/>
      <c r="OWP34" s="283"/>
      <c r="OWQ34" s="283"/>
      <c r="OWR34" s="283"/>
      <c r="OWS34" s="283"/>
      <c r="OWT34" s="283"/>
      <c r="OWU34" s="283"/>
      <c r="OWV34" s="283"/>
      <c r="OWW34" s="283"/>
      <c r="OWX34" s="283"/>
      <c r="OWY34" s="283"/>
      <c r="OWZ34" s="283"/>
      <c r="OXA34" s="283"/>
      <c r="OXB34" s="283"/>
      <c r="OXC34" s="283"/>
      <c r="OXD34" s="283"/>
      <c r="OXE34" s="283"/>
      <c r="OXF34" s="283"/>
      <c r="OXG34" s="283"/>
      <c r="OXH34" s="283"/>
      <c r="OXI34" s="283"/>
      <c r="OXJ34" s="283"/>
      <c r="OXK34" s="283"/>
      <c r="OXL34" s="283"/>
      <c r="OXM34" s="283"/>
      <c r="OXN34" s="283"/>
      <c r="OXO34" s="283"/>
      <c r="OXP34" s="283"/>
      <c r="OXQ34" s="283"/>
      <c r="OXR34" s="283"/>
      <c r="OXS34" s="283"/>
      <c r="OXT34" s="283"/>
      <c r="OXU34" s="283"/>
      <c r="OXV34" s="283"/>
      <c r="OXW34" s="283"/>
      <c r="OXX34" s="283"/>
      <c r="OXY34" s="283"/>
      <c r="OXZ34" s="283"/>
      <c r="OYA34" s="283"/>
      <c r="OYB34" s="283"/>
      <c r="OYC34" s="283"/>
      <c r="OYD34" s="283"/>
      <c r="OYE34" s="283"/>
      <c r="OYF34" s="283"/>
      <c r="OYG34" s="283"/>
      <c r="OYH34" s="283"/>
      <c r="OYI34" s="283"/>
      <c r="OYJ34" s="283"/>
      <c r="OYK34" s="283"/>
      <c r="OYL34" s="283"/>
      <c r="OYM34" s="283"/>
      <c r="OYN34" s="283"/>
      <c r="OYO34" s="283"/>
      <c r="OYP34" s="283"/>
      <c r="OYQ34" s="283"/>
      <c r="OYR34" s="283"/>
      <c r="OYS34" s="283"/>
      <c r="OYT34" s="283"/>
      <c r="OYU34" s="283"/>
      <c r="OYV34" s="283"/>
      <c r="OYW34" s="283"/>
      <c r="OYX34" s="283"/>
      <c r="OYY34" s="283"/>
      <c r="OYZ34" s="283"/>
      <c r="OZA34" s="283"/>
      <c r="OZB34" s="283"/>
      <c r="OZC34" s="283"/>
      <c r="OZD34" s="283"/>
      <c r="OZE34" s="283"/>
      <c r="OZF34" s="283"/>
      <c r="OZG34" s="283"/>
      <c r="OZH34" s="283"/>
      <c r="OZI34" s="283"/>
      <c r="OZJ34" s="283"/>
      <c r="OZK34" s="283"/>
      <c r="OZL34" s="283"/>
      <c r="OZM34" s="283"/>
      <c r="OZN34" s="283"/>
      <c r="OZO34" s="283"/>
      <c r="OZP34" s="283"/>
      <c r="OZQ34" s="283"/>
      <c r="OZR34" s="283"/>
      <c r="OZS34" s="283"/>
      <c r="OZT34" s="283"/>
      <c r="OZU34" s="283"/>
      <c r="OZV34" s="283"/>
      <c r="OZW34" s="283"/>
      <c r="OZX34" s="283"/>
      <c r="OZY34" s="283"/>
      <c r="OZZ34" s="283"/>
      <c r="PAA34" s="283"/>
      <c r="PAB34" s="283"/>
      <c r="PAC34" s="283"/>
      <c r="PAD34" s="283"/>
      <c r="PAE34" s="283"/>
      <c r="PAF34" s="283"/>
      <c r="PAG34" s="283"/>
      <c r="PAH34" s="283"/>
      <c r="PAI34" s="283"/>
      <c r="PAJ34" s="283"/>
      <c r="PAK34" s="283"/>
      <c r="PAL34" s="283"/>
      <c r="PAM34" s="283"/>
      <c r="PAN34" s="283"/>
      <c r="PAO34" s="283"/>
      <c r="PAP34" s="283"/>
      <c r="PAQ34" s="283"/>
      <c r="PAR34" s="283"/>
      <c r="PAS34" s="283"/>
      <c r="PAT34" s="283"/>
      <c r="PAU34" s="283"/>
      <c r="PAV34" s="283"/>
      <c r="PAW34" s="283"/>
      <c r="PAX34" s="283"/>
      <c r="PAY34" s="283"/>
      <c r="PAZ34" s="283"/>
      <c r="PBA34" s="283"/>
      <c r="PBB34" s="283"/>
      <c r="PBC34" s="283"/>
      <c r="PBD34" s="283"/>
      <c r="PBE34" s="283"/>
      <c r="PBF34" s="283"/>
      <c r="PBG34" s="283"/>
      <c r="PBH34" s="283"/>
      <c r="PBI34" s="283"/>
      <c r="PBJ34" s="283"/>
      <c r="PBK34" s="283"/>
      <c r="PBL34" s="283"/>
      <c r="PBM34" s="283"/>
      <c r="PBN34" s="283"/>
      <c r="PBO34" s="283"/>
      <c r="PBP34" s="283"/>
      <c r="PBQ34" s="283"/>
      <c r="PBR34" s="283"/>
      <c r="PBS34" s="283"/>
      <c r="PBT34" s="283"/>
      <c r="PBU34" s="283"/>
      <c r="PBV34" s="283"/>
      <c r="PBW34" s="283"/>
      <c r="PBX34" s="283"/>
      <c r="PBY34" s="283"/>
      <c r="PBZ34" s="283"/>
      <c r="PCA34" s="283"/>
      <c r="PCB34" s="283"/>
      <c r="PCC34" s="283"/>
      <c r="PCD34" s="283"/>
      <c r="PCE34" s="283"/>
      <c r="PCF34" s="283"/>
      <c r="PCG34" s="283"/>
      <c r="PCH34" s="283"/>
      <c r="PCI34" s="283"/>
      <c r="PCJ34" s="283"/>
      <c r="PCK34" s="283"/>
      <c r="PCL34" s="283"/>
      <c r="PCM34" s="283"/>
      <c r="PCN34" s="283"/>
      <c r="PCO34" s="283"/>
      <c r="PCP34" s="283"/>
      <c r="PCQ34" s="283"/>
      <c r="PCR34" s="283"/>
      <c r="PCS34" s="283"/>
      <c r="PCT34" s="283"/>
      <c r="PCU34" s="283"/>
      <c r="PCV34" s="283"/>
      <c r="PCW34" s="283"/>
      <c r="PCX34" s="283"/>
      <c r="PCY34" s="283"/>
      <c r="PCZ34" s="283"/>
      <c r="PDA34" s="283"/>
      <c r="PDB34" s="283"/>
      <c r="PDC34" s="283"/>
      <c r="PDD34" s="283"/>
      <c r="PDE34" s="283"/>
      <c r="PDF34" s="283"/>
      <c r="PDG34" s="283"/>
      <c r="PDH34" s="283"/>
      <c r="PDI34" s="283"/>
      <c r="PDJ34" s="283"/>
      <c r="PDK34" s="283"/>
      <c r="PDL34" s="283"/>
      <c r="PDM34" s="283"/>
      <c r="PDN34" s="283"/>
      <c r="PDO34" s="283"/>
      <c r="PDP34" s="283"/>
      <c r="PDQ34" s="283"/>
      <c r="PDR34" s="283"/>
      <c r="PDS34" s="283"/>
      <c r="PDT34" s="283"/>
      <c r="PDU34" s="283"/>
      <c r="PDV34" s="283"/>
      <c r="PDW34" s="283"/>
      <c r="PDX34" s="283"/>
      <c r="PDY34" s="283"/>
      <c r="PDZ34" s="283"/>
      <c r="PEA34" s="283"/>
      <c r="PEB34" s="283"/>
      <c r="PEC34" s="283"/>
      <c r="PED34" s="283"/>
      <c r="PEE34" s="283"/>
      <c r="PEF34" s="283"/>
      <c r="PEG34" s="283"/>
      <c r="PEH34" s="283"/>
      <c r="PEI34" s="283"/>
      <c r="PEJ34" s="283"/>
      <c r="PEK34" s="283"/>
      <c r="PEL34" s="283"/>
      <c r="PEM34" s="283"/>
      <c r="PEN34" s="283"/>
      <c r="PEO34" s="283"/>
      <c r="PEP34" s="283"/>
      <c r="PEQ34" s="283"/>
      <c r="PER34" s="283"/>
      <c r="PES34" s="283"/>
      <c r="PET34" s="283"/>
      <c r="PEU34" s="283"/>
      <c r="PEV34" s="283"/>
      <c r="PEW34" s="283"/>
      <c r="PEX34" s="283"/>
      <c r="PEY34" s="283"/>
      <c r="PEZ34" s="283"/>
      <c r="PFA34" s="283"/>
      <c r="PFB34" s="283"/>
      <c r="PFC34" s="283"/>
      <c r="PFD34" s="283"/>
      <c r="PFE34" s="283"/>
      <c r="PFF34" s="283"/>
      <c r="PFG34" s="283"/>
      <c r="PFH34" s="283"/>
      <c r="PFI34" s="283"/>
      <c r="PFJ34" s="283"/>
      <c r="PFK34" s="283"/>
      <c r="PFL34" s="283"/>
      <c r="PFM34" s="283"/>
      <c r="PFN34" s="283"/>
      <c r="PFO34" s="283"/>
      <c r="PFP34" s="283"/>
      <c r="PFQ34" s="283"/>
      <c r="PFR34" s="283"/>
      <c r="PFS34" s="283"/>
      <c r="PFT34" s="283"/>
      <c r="PFU34" s="283"/>
      <c r="PFV34" s="283"/>
      <c r="PFW34" s="283"/>
      <c r="PFX34" s="283"/>
      <c r="PFY34" s="283"/>
      <c r="PFZ34" s="283"/>
      <c r="PGA34" s="283"/>
      <c r="PGB34" s="283"/>
      <c r="PGC34" s="283"/>
      <c r="PGD34" s="283"/>
      <c r="PGE34" s="283"/>
      <c r="PGF34" s="283"/>
      <c r="PGG34" s="283"/>
      <c r="PGH34" s="283"/>
      <c r="PGI34" s="283"/>
      <c r="PGJ34" s="283"/>
      <c r="PGK34" s="283"/>
      <c r="PGL34" s="283"/>
      <c r="PGM34" s="283"/>
      <c r="PGN34" s="283"/>
      <c r="PGO34" s="283"/>
      <c r="PGP34" s="283"/>
      <c r="PGQ34" s="283"/>
      <c r="PGR34" s="283"/>
      <c r="PGS34" s="283"/>
      <c r="PGT34" s="283"/>
      <c r="PGU34" s="283"/>
      <c r="PGV34" s="283"/>
      <c r="PGW34" s="283"/>
      <c r="PGX34" s="283"/>
      <c r="PGY34" s="283"/>
      <c r="PGZ34" s="283"/>
      <c r="PHA34" s="283"/>
      <c r="PHB34" s="283"/>
      <c r="PHC34" s="283"/>
      <c r="PHD34" s="283"/>
      <c r="PHE34" s="283"/>
      <c r="PHF34" s="283"/>
      <c r="PHG34" s="283"/>
      <c r="PHH34" s="283"/>
      <c r="PHI34" s="283"/>
      <c r="PHJ34" s="283"/>
      <c r="PHK34" s="283"/>
      <c r="PHL34" s="283"/>
      <c r="PHM34" s="283"/>
      <c r="PHN34" s="283"/>
      <c r="PHO34" s="283"/>
      <c r="PHP34" s="283"/>
      <c r="PHQ34" s="283"/>
      <c r="PHR34" s="283"/>
      <c r="PHS34" s="283"/>
      <c r="PHT34" s="283"/>
      <c r="PHU34" s="283"/>
      <c r="PHV34" s="283"/>
      <c r="PHW34" s="283"/>
      <c r="PHX34" s="283"/>
      <c r="PHY34" s="283"/>
      <c r="PHZ34" s="283"/>
      <c r="PIA34" s="283"/>
      <c r="PIB34" s="283"/>
      <c r="PIC34" s="283"/>
      <c r="PID34" s="283"/>
      <c r="PIE34" s="283"/>
      <c r="PIF34" s="283"/>
      <c r="PIG34" s="283"/>
      <c r="PIH34" s="283"/>
      <c r="PII34" s="283"/>
      <c r="PIJ34" s="283"/>
      <c r="PIK34" s="283"/>
      <c r="PIL34" s="283"/>
      <c r="PIM34" s="283"/>
      <c r="PIN34" s="283"/>
      <c r="PIO34" s="283"/>
      <c r="PIP34" s="283"/>
      <c r="PIQ34" s="283"/>
      <c r="PIR34" s="283"/>
      <c r="PIS34" s="283"/>
      <c r="PIT34" s="283"/>
      <c r="PIU34" s="283"/>
      <c r="PIV34" s="283"/>
      <c r="PIW34" s="283"/>
      <c r="PIX34" s="283"/>
      <c r="PIY34" s="283"/>
      <c r="PIZ34" s="283"/>
      <c r="PJA34" s="283"/>
      <c r="PJB34" s="283"/>
      <c r="PJC34" s="283"/>
      <c r="PJD34" s="283"/>
      <c r="PJE34" s="283"/>
      <c r="PJF34" s="283"/>
      <c r="PJG34" s="283"/>
      <c r="PJH34" s="283"/>
      <c r="PJI34" s="283"/>
      <c r="PJJ34" s="283"/>
      <c r="PJK34" s="283"/>
      <c r="PJL34" s="283"/>
      <c r="PJM34" s="283"/>
      <c r="PJN34" s="283"/>
      <c r="PJO34" s="283"/>
      <c r="PJP34" s="283"/>
      <c r="PJQ34" s="283"/>
      <c r="PJR34" s="283"/>
      <c r="PJS34" s="283"/>
      <c r="PJT34" s="283"/>
      <c r="PJU34" s="283"/>
      <c r="PJV34" s="283"/>
      <c r="PJW34" s="283"/>
      <c r="PJX34" s="283"/>
      <c r="PJY34" s="283"/>
      <c r="PJZ34" s="283"/>
      <c r="PKA34" s="283"/>
      <c r="PKB34" s="283"/>
      <c r="PKC34" s="283"/>
      <c r="PKD34" s="283"/>
      <c r="PKE34" s="283"/>
      <c r="PKF34" s="283"/>
      <c r="PKG34" s="283"/>
      <c r="PKH34" s="283"/>
      <c r="PKI34" s="283"/>
      <c r="PKJ34" s="283"/>
      <c r="PKK34" s="283"/>
      <c r="PKL34" s="283"/>
      <c r="PKM34" s="283"/>
      <c r="PKN34" s="283"/>
      <c r="PKO34" s="283"/>
      <c r="PKP34" s="283"/>
      <c r="PKQ34" s="283"/>
      <c r="PKR34" s="283"/>
      <c r="PKS34" s="283"/>
      <c r="PKT34" s="283"/>
      <c r="PKU34" s="283"/>
      <c r="PKV34" s="283"/>
      <c r="PKW34" s="283"/>
      <c r="PKX34" s="283"/>
      <c r="PKY34" s="283"/>
      <c r="PKZ34" s="283"/>
      <c r="PLA34" s="283"/>
      <c r="PLB34" s="283"/>
      <c r="PLC34" s="283"/>
      <c r="PLD34" s="283"/>
      <c r="PLE34" s="283"/>
      <c r="PLF34" s="283"/>
      <c r="PLG34" s="283"/>
      <c r="PLH34" s="283"/>
      <c r="PLI34" s="283"/>
      <c r="PLJ34" s="283"/>
      <c r="PLK34" s="283"/>
      <c r="PLL34" s="283"/>
      <c r="PLM34" s="283"/>
      <c r="PLN34" s="283"/>
      <c r="PLO34" s="283"/>
      <c r="PLP34" s="283"/>
      <c r="PLQ34" s="283"/>
      <c r="PLR34" s="283"/>
      <c r="PLS34" s="283"/>
      <c r="PLT34" s="283"/>
      <c r="PLU34" s="283"/>
      <c r="PLV34" s="283"/>
      <c r="PLW34" s="283"/>
      <c r="PLX34" s="283"/>
      <c r="PLY34" s="283"/>
      <c r="PLZ34" s="283"/>
      <c r="PMA34" s="283"/>
      <c r="PMB34" s="283"/>
      <c r="PMC34" s="283"/>
      <c r="PMD34" s="283"/>
      <c r="PME34" s="283"/>
      <c r="PMF34" s="283"/>
      <c r="PMG34" s="283"/>
      <c r="PMH34" s="283"/>
      <c r="PMI34" s="283"/>
      <c r="PMJ34" s="283"/>
      <c r="PMK34" s="283"/>
      <c r="PML34" s="283"/>
      <c r="PMM34" s="283"/>
      <c r="PMN34" s="283"/>
      <c r="PMO34" s="283"/>
      <c r="PMP34" s="283"/>
      <c r="PMQ34" s="283"/>
      <c r="PMR34" s="283"/>
      <c r="PMS34" s="283"/>
      <c r="PMT34" s="283"/>
      <c r="PMU34" s="283"/>
      <c r="PMV34" s="283"/>
      <c r="PMW34" s="283"/>
      <c r="PMX34" s="283"/>
      <c r="PMY34" s="283"/>
      <c r="PMZ34" s="283"/>
      <c r="PNA34" s="283"/>
      <c r="PNB34" s="283"/>
      <c r="PNC34" s="283"/>
      <c r="PND34" s="283"/>
      <c r="PNE34" s="283"/>
      <c r="PNF34" s="283"/>
      <c r="PNG34" s="283"/>
      <c r="PNH34" s="283"/>
      <c r="PNI34" s="283"/>
      <c r="PNJ34" s="283"/>
      <c r="PNK34" s="283"/>
      <c r="PNL34" s="283"/>
      <c r="PNM34" s="283"/>
      <c r="PNN34" s="283"/>
      <c r="PNO34" s="283"/>
      <c r="PNP34" s="283"/>
      <c r="PNQ34" s="283"/>
      <c r="PNR34" s="283"/>
      <c r="PNS34" s="283"/>
      <c r="PNT34" s="283"/>
      <c r="PNU34" s="283"/>
      <c r="PNV34" s="283"/>
      <c r="PNW34" s="283"/>
      <c r="PNX34" s="283"/>
      <c r="PNY34" s="283"/>
      <c r="PNZ34" s="283"/>
      <c r="POA34" s="283"/>
      <c r="POB34" s="283"/>
      <c r="POC34" s="283"/>
      <c r="POD34" s="283"/>
      <c r="POE34" s="283"/>
      <c r="POF34" s="283"/>
      <c r="POG34" s="283"/>
      <c r="POH34" s="283"/>
      <c r="POI34" s="283"/>
      <c r="POJ34" s="283"/>
      <c r="POK34" s="283"/>
      <c r="POL34" s="283"/>
      <c r="POM34" s="283"/>
      <c r="PON34" s="283"/>
      <c r="POO34" s="283"/>
      <c r="POP34" s="283"/>
      <c r="POQ34" s="283"/>
      <c r="POR34" s="283"/>
      <c r="POS34" s="283"/>
      <c r="POT34" s="283"/>
      <c r="POU34" s="283"/>
      <c r="POV34" s="283"/>
      <c r="POW34" s="283"/>
      <c r="POX34" s="283"/>
      <c r="POY34" s="283"/>
      <c r="POZ34" s="283"/>
      <c r="PPA34" s="283"/>
      <c r="PPB34" s="283"/>
      <c r="PPC34" s="283"/>
      <c r="PPD34" s="283"/>
      <c r="PPE34" s="283"/>
      <c r="PPF34" s="283"/>
      <c r="PPG34" s="283"/>
      <c r="PPH34" s="283"/>
      <c r="PPI34" s="283"/>
      <c r="PPJ34" s="283"/>
      <c r="PPK34" s="283"/>
      <c r="PPL34" s="283"/>
      <c r="PPM34" s="283"/>
      <c r="PPN34" s="283"/>
      <c r="PPO34" s="283"/>
      <c r="PPP34" s="283"/>
      <c r="PPQ34" s="283"/>
      <c r="PPR34" s="283"/>
      <c r="PPS34" s="283"/>
      <c r="PPT34" s="283"/>
      <c r="PPU34" s="283"/>
      <c r="PPV34" s="283"/>
      <c r="PPW34" s="283"/>
      <c r="PPX34" s="283"/>
      <c r="PPY34" s="283"/>
      <c r="PPZ34" s="283"/>
      <c r="PQA34" s="283"/>
      <c r="PQB34" s="283"/>
      <c r="PQC34" s="283"/>
      <c r="PQD34" s="283"/>
      <c r="PQE34" s="283"/>
      <c r="PQF34" s="283"/>
      <c r="PQG34" s="283"/>
      <c r="PQH34" s="283"/>
      <c r="PQI34" s="283"/>
      <c r="PQJ34" s="283"/>
      <c r="PQK34" s="283"/>
      <c r="PQL34" s="283"/>
      <c r="PQM34" s="283"/>
      <c r="PQN34" s="283"/>
      <c r="PQO34" s="283"/>
      <c r="PQP34" s="283"/>
      <c r="PQQ34" s="283"/>
      <c r="PQR34" s="283"/>
      <c r="PQS34" s="283"/>
      <c r="PQT34" s="283"/>
      <c r="PQU34" s="283"/>
      <c r="PQV34" s="283"/>
      <c r="PQW34" s="283"/>
      <c r="PQX34" s="283"/>
      <c r="PQY34" s="283"/>
      <c r="PQZ34" s="283"/>
      <c r="PRA34" s="283"/>
      <c r="PRB34" s="283"/>
      <c r="PRC34" s="283"/>
      <c r="PRD34" s="283"/>
      <c r="PRE34" s="283"/>
      <c r="PRF34" s="283"/>
      <c r="PRG34" s="283"/>
      <c r="PRH34" s="283"/>
      <c r="PRI34" s="283"/>
      <c r="PRJ34" s="283"/>
      <c r="PRK34" s="283"/>
      <c r="PRL34" s="283"/>
      <c r="PRM34" s="283"/>
      <c r="PRN34" s="283"/>
      <c r="PRO34" s="283"/>
      <c r="PRP34" s="283"/>
      <c r="PRQ34" s="283"/>
      <c r="PRR34" s="283"/>
      <c r="PRS34" s="283"/>
      <c r="PRT34" s="283"/>
      <c r="PRU34" s="283"/>
      <c r="PRV34" s="283"/>
      <c r="PRW34" s="283"/>
      <c r="PRX34" s="283"/>
      <c r="PRY34" s="283"/>
      <c r="PRZ34" s="283"/>
      <c r="PSA34" s="283"/>
      <c r="PSB34" s="283"/>
      <c r="PSC34" s="283"/>
      <c r="PSD34" s="283"/>
      <c r="PSE34" s="283"/>
      <c r="PSF34" s="283"/>
      <c r="PSG34" s="283"/>
      <c r="PSH34" s="283"/>
      <c r="PSI34" s="283"/>
      <c r="PSJ34" s="283"/>
      <c r="PSK34" s="283"/>
      <c r="PSL34" s="283"/>
      <c r="PSM34" s="283"/>
      <c r="PSN34" s="283"/>
      <c r="PSO34" s="283"/>
      <c r="PSP34" s="283"/>
      <c r="PSQ34" s="283"/>
      <c r="PSR34" s="283"/>
      <c r="PSS34" s="283"/>
      <c r="PST34" s="283"/>
      <c r="PSU34" s="283"/>
      <c r="PSV34" s="283"/>
      <c r="PSW34" s="283"/>
      <c r="PSX34" s="283"/>
      <c r="PSY34" s="283"/>
      <c r="PSZ34" s="283"/>
      <c r="PTA34" s="283"/>
      <c r="PTB34" s="283"/>
      <c r="PTC34" s="283"/>
      <c r="PTD34" s="283"/>
      <c r="PTE34" s="283"/>
      <c r="PTF34" s="283"/>
      <c r="PTG34" s="283"/>
      <c r="PTH34" s="283"/>
      <c r="PTI34" s="283"/>
      <c r="PTJ34" s="283"/>
      <c r="PTK34" s="283"/>
      <c r="PTL34" s="283"/>
      <c r="PTM34" s="283"/>
      <c r="PTN34" s="283"/>
      <c r="PTO34" s="283"/>
      <c r="PTP34" s="283"/>
      <c r="PTQ34" s="283"/>
      <c r="PTR34" s="283"/>
      <c r="PTS34" s="283"/>
      <c r="PTT34" s="283"/>
      <c r="PTU34" s="283"/>
      <c r="PTV34" s="283"/>
      <c r="PTW34" s="283"/>
      <c r="PTX34" s="283"/>
      <c r="PTY34" s="283"/>
      <c r="PTZ34" s="283"/>
      <c r="PUA34" s="283"/>
      <c r="PUB34" s="283"/>
      <c r="PUC34" s="283"/>
      <c r="PUD34" s="283"/>
      <c r="PUE34" s="283"/>
      <c r="PUF34" s="283"/>
      <c r="PUG34" s="283"/>
      <c r="PUH34" s="283"/>
      <c r="PUI34" s="283"/>
      <c r="PUJ34" s="283"/>
      <c r="PUK34" s="283"/>
      <c r="PUL34" s="283"/>
      <c r="PUM34" s="283"/>
      <c r="PUN34" s="283"/>
      <c r="PUO34" s="283"/>
      <c r="PUP34" s="283"/>
      <c r="PUQ34" s="283"/>
      <c r="PUR34" s="283"/>
      <c r="PUS34" s="283"/>
      <c r="PUT34" s="283"/>
      <c r="PUU34" s="283"/>
      <c r="PUV34" s="283"/>
      <c r="PUW34" s="283"/>
      <c r="PUX34" s="283"/>
      <c r="PUY34" s="283"/>
      <c r="PUZ34" s="283"/>
      <c r="PVA34" s="283"/>
      <c r="PVB34" s="283"/>
      <c r="PVC34" s="283"/>
      <c r="PVD34" s="283"/>
      <c r="PVE34" s="283"/>
      <c r="PVF34" s="283"/>
      <c r="PVG34" s="283"/>
      <c r="PVH34" s="283"/>
      <c r="PVI34" s="283"/>
      <c r="PVJ34" s="283"/>
      <c r="PVK34" s="283"/>
      <c r="PVL34" s="283"/>
      <c r="PVM34" s="283"/>
      <c r="PVN34" s="283"/>
      <c r="PVO34" s="283"/>
      <c r="PVP34" s="283"/>
      <c r="PVQ34" s="283"/>
      <c r="PVR34" s="283"/>
      <c r="PVS34" s="283"/>
      <c r="PVT34" s="283"/>
      <c r="PVU34" s="283"/>
      <c r="PVV34" s="283"/>
      <c r="PVW34" s="283"/>
      <c r="PVX34" s="283"/>
      <c r="PVY34" s="283"/>
      <c r="PVZ34" s="283"/>
      <c r="PWA34" s="283"/>
      <c r="PWB34" s="283"/>
      <c r="PWC34" s="283"/>
      <c r="PWD34" s="283"/>
      <c r="PWE34" s="283"/>
      <c r="PWF34" s="283"/>
      <c r="PWG34" s="283"/>
      <c r="PWH34" s="283"/>
      <c r="PWI34" s="283"/>
      <c r="PWJ34" s="283"/>
      <c r="PWK34" s="283"/>
      <c r="PWL34" s="283"/>
      <c r="PWM34" s="283"/>
      <c r="PWN34" s="283"/>
      <c r="PWO34" s="283"/>
      <c r="PWP34" s="283"/>
      <c r="PWQ34" s="283"/>
      <c r="PWR34" s="283"/>
      <c r="PWS34" s="283"/>
      <c r="PWT34" s="283"/>
      <c r="PWU34" s="283"/>
      <c r="PWV34" s="283"/>
      <c r="PWW34" s="283"/>
      <c r="PWX34" s="283"/>
      <c r="PWY34" s="283"/>
      <c r="PWZ34" s="283"/>
      <c r="PXA34" s="283"/>
      <c r="PXB34" s="283"/>
      <c r="PXC34" s="283"/>
      <c r="PXD34" s="283"/>
      <c r="PXE34" s="283"/>
      <c r="PXF34" s="283"/>
      <c r="PXG34" s="283"/>
      <c r="PXH34" s="283"/>
      <c r="PXI34" s="283"/>
      <c r="PXJ34" s="283"/>
      <c r="PXK34" s="283"/>
      <c r="PXL34" s="283"/>
      <c r="PXM34" s="283"/>
      <c r="PXN34" s="283"/>
      <c r="PXO34" s="283"/>
      <c r="PXP34" s="283"/>
      <c r="PXQ34" s="283"/>
      <c r="PXR34" s="283"/>
      <c r="PXS34" s="283"/>
      <c r="PXT34" s="283"/>
      <c r="PXU34" s="283"/>
      <c r="PXV34" s="283"/>
      <c r="PXW34" s="283"/>
      <c r="PXX34" s="283"/>
      <c r="PXY34" s="283"/>
      <c r="PXZ34" s="283"/>
      <c r="PYA34" s="283"/>
      <c r="PYB34" s="283"/>
      <c r="PYC34" s="283"/>
      <c r="PYD34" s="283"/>
      <c r="PYE34" s="283"/>
      <c r="PYF34" s="283"/>
      <c r="PYG34" s="283"/>
      <c r="PYH34" s="283"/>
      <c r="PYI34" s="283"/>
      <c r="PYJ34" s="283"/>
      <c r="PYK34" s="283"/>
      <c r="PYL34" s="283"/>
      <c r="PYM34" s="283"/>
      <c r="PYN34" s="283"/>
      <c r="PYO34" s="283"/>
      <c r="PYP34" s="283"/>
      <c r="PYQ34" s="283"/>
      <c r="PYR34" s="283"/>
      <c r="PYS34" s="283"/>
      <c r="PYT34" s="283"/>
      <c r="PYU34" s="283"/>
      <c r="PYV34" s="283"/>
      <c r="PYW34" s="283"/>
      <c r="PYX34" s="283"/>
      <c r="PYY34" s="283"/>
      <c r="PYZ34" s="283"/>
      <c r="PZA34" s="283"/>
      <c r="PZB34" s="283"/>
      <c r="PZC34" s="283"/>
      <c r="PZD34" s="283"/>
      <c r="PZE34" s="283"/>
      <c r="PZF34" s="283"/>
      <c r="PZG34" s="283"/>
      <c r="PZH34" s="283"/>
      <c r="PZI34" s="283"/>
      <c r="PZJ34" s="283"/>
      <c r="PZK34" s="283"/>
      <c r="PZL34" s="283"/>
      <c r="PZM34" s="283"/>
      <c r="PZN34" s="283"/>
      <c r="PZO34" s="283"/>
      <c r="PZP34" s="283"/>
      <c r="PZQ34" s="283"/>
      <c r="PZR34" s="283"/>
      <c r="PZS34" s="283"/>
      <c r="PZT34" s="283"/>
      <c r="PZU34" s="283"/>
      <c r="PZV34" s="283"/>
      <c r="PZW34" s="283"/>
      <c r="PZX34" s="283"/>
      <c r="PZY34" s="283"/>
      <c r="PZZ34" s="283"/>
      <c r="QAA34" s="283"/>
      <c r="QAB34" s="283"/>
      <c r="QAC34" s="283"/>
      <c r="QAD34" s="283"/>
      <c r="QAE34" s="283"/>
      <c r="QAF34" s="283"/>
      <c r="QAG34" s="283"/>
      <c r="QAH34" s="283"/>
      <c r="QAI34" s="283"/>
      <c r="QAJ34" s="283"/>
      <c r="QAK34" s="283"/>
      <c r="QAL34" s="283"/>
      <c r="QAM34" s="283"/>
      <c r="QAN34" s="283"/>
      <c r="QAO34" s="283"/>
      <c r="QAP34" s="283"/>
      <c r="QAQ34" s="283"/>
      <c r="QAR34" s="283"/>
      <c r="QAS34" s="283"/>
      <c r="QAT34" s="283"/>
      <c r="QAU34" s="283"/>
      <c r="QAV34" s="283"/>
      <c r="QAW34" s="283"/>
      <c r="QAX34" s="283"/>
      <c r="QAY34" s="283"/>
      <c r="QAZ34" s="283"/>
      <c r="QBA34" s="283"/>
      <c r="QBB34" s="283"/>
      <c r="QBC34" s="283"/>
      <c r="QBD34" s="283"/>
      <c r="QBE34" s="283"/>
      <c r="QBF34" s="283"/>
      <c r="QBG34" s="283"/>
      <c r="QBH34" s="283"/>
      <c r="QBI34" s="283"/>
      <c r="QBJ34" s="283"/>
      <c r="QBK34" s="283"/>
      <c r="QBL34" s="283"/>
      <c r="QBM34" s="283"/>
      <c r="QBN34" s="283"/>
      <c r="QBO34" s="283"/>
      <c r="QBP34" s="283"/>
      <c r="QBQ34" s="283"/>
      <c r="QBR34" s="283"/>
      <c r="QBS34" s="283"/>
      <c r="QBT34" s="283"/>
      <c r="QBU34" s="283"/>
      <c r="QBV34" s="283"/>
      <c r="QBW34" s="283"/>
      <c r="QBX34" s="283"/>
      <c r="QBY34" s="283"/>
      <c r="QBZ34" s="283"/>
      <c r="QCA34" s="283"/>
      <c r="QCB34" s="283"/>
      <c r="QCC34" s="283"/>
      <c r="QCD34" s="283"/>
      <c r="QCE34" s="283"/>
      <c r="QCF34" s="283"/>
      <c r="QCG34" s="283"/>
      <c r="QCH34" s="283"/>
      <c r="QCI34" s="283"/>
      <c r="QCJ34" s="283"/>
      <c r="QCK34" s="283"/>
      <c r="QCL34" s="283"/>
      <c r="QCM34" s="283"/>
      <c r="QCN34" s="283"/>
      <c r="QCO34" s="283"/>
      <c r="QCP34" s="283"/>
      <c r="QCQ34" s="283"/>
      <c r="QCR34" s="283"/>
      <c r="QCS34" s="283"/>
      <c r="QCT34" s="283"/>
      <c r="QCU34" s="283"/>
      <c r="QCV34" s="283"/>
      <c r="QCW34" s="283"/>
      <c r="QCX34" s="283"/>
      <c r="QCY34" s="283"/>
      <c r="QCZ34" s="283"/>
      <c r="QDA34" s="283"/>
      <c r="QDB34" s="283"/>
      <c r="QDC34" s="283"/>
      <c r="QDD34" s="283"/>
      <c r="QDE34" s="283"/>
      <c r="QDF34" s="283"/>
      <c r="QDG34" s="283"/>
      <c r="QDH34" s="283"/>
      <c r="QDI34" s="283"/>
      <c r="QDJ34" s="283"/>
      <c r="QDK34" s="283"/>
      <c r="QDL34" s="283"/>
      <c r="QDM34" s="283"/>
      <c r="QDN34" s="283"/>
      <c r="QDO34" s="283"/>
      <c r="QDP34" s="283"/>
      <c r="QDQ34" s="283"/>
      <c r="QDR34" s="283"/>
      <c r="QDS34" s="283"/>
      <c r="QDT34" s="283"/>
      <c r="QDU34" s="283"/>
      <c r="QDV34" s="283"/>
      <c r="QDW34" s="283"/>
      <c r="QDX34" s="283"/>
      <c r="QDY34" s="283"/>
      <c r="QDZ34" s="283"/>
      <c r="QEA34" s="283"/>
      <c r="QEB34" s="283"/>
      <c r="QEC34" s="283"/>
      <c r="QED34" s="283"/>
      <c r="QEE34" s="283"/>
      <c r="QEF34" s="283"/>
      <c r="QEG34" s="283"/>
      <c r="QEH34" s="283"/>
      <c r="QEI34" s="283"/>
      <c r="QEJ34" s="283"/>
      <c r="QEK34" s="283"/>
      <c r="QEL34" s="283"/>
      <c r="QEM34" s="283"/>
      <c r="QEN34" s="283"/>
      <c r="QEO34" s="283"/>
      <c r="QEP34" s="283"/>
      <c r="QEQ34" s="283"/>
      <c r="QER34" s="283"/>
      <c r="QES34" s="283"/>
      <c r="QET34" s="283"/>
      <c r="QEU34" s="283"/>
      <c r="QEV34" s="283"/>
      <c r="QEW34" s="283"/>
      <c r="QEX34" s="283"/>
      <c r="QEY34" s="283"/>
      <c r="QEZ34" s="283"/>
      <c r="QFA34" s="283"/>
      <c r="QFB34" s="283"/>
      <c r="QFC34" s="283"/>
      <c r="QFD34" s="283"/>
      <c r="QFE34" s="283"/>
      <c r="QFF34" s="283"/>
      <c r="QFG34" s="283"/>
      <c r="QFH34" s="283"/>
      <c r="QFI34" s="283"/>
      <c r="QFJ34" s="283"/>
      <c r="QFK34" s="283"/>
      <c r="QFL34" s="283"/>
      <c r="QFM34" s="283"/>
      <c r="QFN34" s="283"/>
      <c r="QFO34" s="283"/>
      <c r="QFP34" s="283"/>
      <c r="QFQ34" s="283"/>
      <c r="QFR34" s="283"/>
      <c r="QFS34" s="283"/>
      <c r="QFT34" s="283"/>
      <c r="QFU34" s="283"/>
      <c r="QFV34" s="283"/>
      <c r="QFW34" s="283"/>
      <c r="QFX34" s="283"/>
      <c r="QFY34" s="283"/>
      <c r="QFZ34" s="283"/>
      <c r="QGA34" s="283"/>
      <c r="QGB34" s="283"/>
      <c r="QGC34" s="283"/>
      <c r="QGD34" s="283"/>
      <c r="QGE34" s="283"/>
      <c r="QGF34" s="283"/>
      <c r="QGG34" s="283"/>
      <c r="QGH34" s="283"/>
      <c r="QGI34" s="283"/>
      <c r="QGJ34" s="283"/>
      <c r="QGK34" s="283"/>
      <c r="QGL34" s="283"/>
      <c r="QGM34" s="283"/>
      <c r="QGN34" s="283"/>
      <c r="QGO34" s="283"/>
      <c r="QGP34" s="283"/>
      <c r="QGQ34" s="283"/>
      <c r="QGR34" s="283"/>
      <c r="QGS34" s="283"/>
      <c r="QGT34" s="283"/>
      <c r="QGU34" s="283"/>
      <c r="QGV34" s="283"/>
      <c r="QGW34" s="283"/>
      <c r="QGX34" s="283"/>
      <c r="QGY34" s="283"/>
      <c r="QGZ34" s="283"/>
      <c r="QHA34" s="283"/>
      <c r="QHB34" s="283"/>
      <c r="QHC34" s="283"/>
      <c r="QHD34" s="283"/>
      <c r="QHE34" s="283"/>
      <c r="QHF34" s="283"/>
      <c r="QHG34" s="283"/>
      <c r="QHH34" s="283"/>
      <c r="QHI34" s="283"/>
      <c r="QHJ34" s="283"/>
      <c r="QHK34" s="283"/>
      <c r="QHL34" s="283"/>
      <c r="QHM34" s="283"/>
      <c r="QHN34" s="283"/>
      <c r="QHO34" s="283"/>
      <c r="QHP34" s="283"/>
      <c r="QHQ34" s="283"/>
      <c r="QHR34" s="283"/>
      <c r="QHS34" s="283"/>
      <c r="QHT34" s="283"/>
      <c r="QHU34" s="283"/>
      <c r="QHV34" s="283"/>
      <c r="QHW34" s="283"/>
      <c r="QHX34" s="283"/>
      <c r="QHY34" s="283"/>
      <c r="QHZ34" s="283"/>
      <c r="QIA34" s="283"/>
      <c r="QIB34" s="283"/>
      <c r="QIC34" s="283"/>
      <c r="QID34" s="283"/>
      <c r="QIE34" s="283"/>
      <c r="QIF34" s="283"/>
      <c r="QIG34" s="283"/>
      <c r="QIH34" s="283"/>
      <c r="QII34" s="283"/>
      <c r="QIJ34" s="283"/>
      <c r="QIK34" s="283"/>
      <c r="QIL34" s="283"/>
      <c r="QIM34" s="283"/>
      <c r="QIN34" s="283"/>
      <c r="QIO34" s="283"/>
      <c r="QIP34" s="283"/>
      <c r="QIQ34" s="283"/>
      <c r="QIR34" s="283"/>
      <c r="QIS34" s="283"/>
      <c r="QIT34" s="283"/>
      <c r="QIU34" s="283"/>
      <c r="QIV34" s="283"/>
      <c r="QIW34" s="283"/>
      <c r="QIX34" s="283"/>
      <c r="QIY34" s="283"/>
      <c r="QIZ34" s="283"/>
      <c r="QJA34" s="283"/>
      <c r="QJB34" s="283"/>
      <c r="QJC34" s="283"/>
      <c r="QJD34" s="283"/>
      <c r="QJE34" s="283"/>
      <c r="QJF34" s="283"/>
      <c r="QJG34" s="283"/>
      <c r="QJH34" s="283"/>
      <c r="QJI34" s="283"/>
      <c r="QJJ34" s="283"/>
      <c r="QJK34" s="283"/>
      <c r="QJL34" s="283"/>
      <c r="QJM34" s="283"/>
      <c r="QJN34" s="283"/>
      <c r="QJO34" s="283"/>
      <c r="QJP34" s="283"/>
      <c r="QJQ34" s="283"/>
      <c r="QJR34" s="283"/>
      <c r="QJS34" s="283"/>
      <c r="QJT34" s="283"/>
      <c r="QJU34" s="283"/>
      <c r="QJV34" s="283"/>
      <c r="QJW34" s="283"/>
      <c r="QJX34" s="283"/>
      <c r="QJY34" s="283"/>
      <c r="QJZ34" s="283"/>
      <c r="QKA34" s="283"/>
      <c r="QKB34" s="283"/>
      <c r="QKC34" s="283"/>
      <c r="QKD34" s="283"/>
      <c r="QKE34" s="283"/>
      <c r="QKF34" s="283"/>
      <c r="QKG34" s="283"/>
      <c r="QKH34" s="283"/>
      <c r="QKI34" s="283"/>
      <c r="QKJ34" s="283"/>
      <c r="QKK34" s="283"/>
      <c r="QKL34" s="283"/>
      <c r="QKM34" s="283"/>
      <c r="QKN34" s="283"/>
      <c r="QKO34" s="283"/>
      <c r="QKP34" s="283"/>
      <c r="QKQ34" s="283"/>
      <c r="QKR34" s="283"/>
      <c r="QKS34" s="283"/>
      <c r="QKT34" s="283"/>
      <c r="QKU34" s="283"/>
      <c r="QKV34" s="283"/>
      <c r="QKW34" s="283"/>
      <c r="QKX34" s="283"/>
      <c r="QKY34" s="283"/>
      <c r="QKZ34" s="283"/>
      <c r="QLA34" s="283"/>
      <c r="QLB34" s="283"/>
      <c r="QLC34" s="283"/>
      <c r="QLD34" s="283"/>
      <c r="QLE34" s="283"/>
      <c r="QLF34" s="283"/>
      <c r="QLG34" s="283"/>
      <c r="QLH34" s="283"/>
      <c r="QLI34" s="283"/>
      <c r="QLJ34" s="283"/>
      <c r="QLK34" s="283"/>
      <c r="QLL34" s="283"/>
      <c r="QLM34" s="283"/>
      <c r="QLN34" s="283"/>
      <c r="QLO34" s="283"/>
      <c r="QLP34" s="283"/>
      <c r="QLQ34" s="283"/>
      <c r="QLR34" s="283"/>
      <c r="QLS34" s="283"/>
      <c r="QLT34" s="283"/>
      <c r="QLU34" s="283"/>
      <c r="QLV34" s="283"/>
      <c r="QLW34" s="283"/>
      <c r="QLX34" s="283"/>
      <c r="QLY34" s="283"/>
      <c r="QLZ34" s="283"/>
      <c r="QMA34" s="283"/>
      <c r="QMB34" s="283"/>
      <c r="QMC34" s="283"/>
      <c r="QMD34" s="283"/>
      <c r="QME34" s="283"/>
      <c r="QMF34" s="283"/>
      <c r="QMG34" s="283"/>
      <c r="QMH34" s="283"/>
      <c r="QMI34" s="283"/>
      <c r="QMJ34" s="283"/>
      <c r="QMK34" s="283"/>
      <c r="QML34" s="283"/>
      <c r="QMM34" s="283"/>
      <c r="QMN34" s="283"/>
      <c r="QMO34" s="283"/>
      <c r="QMP34" s="283"/>
      <c r="QMQ34" s="283"/>
      <c r="QMR34" s="283"/>
      <c r="QMS34" s="283"/>
      <c r="QMT34" s="283"/>
      <c r="QMU34" s="283"/>
      <c r="QMV34" s="283"/>
      <c r="QMW34" s="283"/>
      <c r="QMX34" s="283"/>
      <c r="QMY34" s="283"/>
      <c r="QMZ34" s="283"/>
      <c r="QNA34" s="283"/>
      <c r="QNB34" s="283"/>
      <c r="QNC34" s="283"/>
      <c r="QND34" s="283"/>
      <c r="QNE34" s="283"/>
      <c r="QNF34" s="283"/>
      <c r="QNG34" s="283"/>
      <c r="QNH34" s="283"/>
      <c r="QNI34" s="283"/>
      <c r="QNJ34" s="283"/>
      <c r="QNK34" s="283"/>
      <c r="QNL34" s="283"/>
      <c r="QNM34" s="283"/>
      <c r="QNN34" s="283"/>
      <c r="QNO34" s="283"/>
      <c r="QNP34" s="283"/>
      <c r="QNQ34" s="283"/>
      <c r="QNR34" s="283"/>
      <c r="QNS34" s="283"/>
      <c r="QNT34" s="283"/>
      <c r="QNU34" s="283"/>
      <c r="QNV34" s="283"/>
      <c r="QNW34" s="283"/>
      <c r="QNX34" s="283"/>
      <c r="QNY34" s="283"/>
      <c r="QNZ34" s="283"/>
      <c r="QOA34" s="283"/>
      <c r="QOB34" s="283"/>
      <c r="QOC34" s="283"/>
      <c r="QOD34" s="283"/>
      <c r="QOE34" s="283"/>
      <c r="QOF34" s="283"/>
      <c r="QOG34" s="283"/>
      <c r="QOH34" s="283"/>
      <c r="QOI34" s="283"/>
      <c r="QOJ34" s="283"/>
      <c r="QOK34" s="283"/>
      <c r="QOL34" s="283"/>
      <c r="QOM34" s="283"/>
      <c r="QON34" s="283"/>
      <c r="QOO34" s="283"/>
      <c r="QOP34" s="283"/>
      <c r="QOQ34" s="283"/>
      <c r="QOR34" s="283"/>
      <c r="QOS34" s="283"/>
      <c r="QOT34" s="283"/>
      <c r="QOU34" s="283"/>
      <c r="QOV34" s="283"/>
      <c r="QOW34" s="283"/>
      <c r="QOX34" s="283"/>
      <c r="QOY34" s="283"/>
      <c r="QOZ34" s="283"/>
      <c r="QPA34" s="283"/>
      <c r="QPB34" s="283"/>
      <c r="QPC34" s="283"/>
      <c r="QPD34" s="283"/>
      <c r="QPE34" s="283"/>
      <c r="QPF34" s="283"/>
      <c r="QPG34" s="283"/>
      <c r="QPH34" s="283"/>
      <c r="QPI34" s="283"/>
      <c r="QPJ34" s="283"/>
      <c r="QPK34" s="283"/>
      <c r="QPL34" s="283"/>
      <c r="QPM34" s="283"/>
      <c r="QPN34" s="283"/>
      <c r="QPO34" s="283"/>
      <c r="QPP34" s="283"/>
      <c r="QPQ34" s="283"/>
      <c r="QPR34" s="283"/>
      <c r="QPS34" s="283"/>
      <c r="QPT34" s="283"/>
      <c r="QPU34" s="283"/>
      <c r="QPV34" s="283"/>
      <c r="QPW34" s="283"/>
      <c r="QPX34" s="283"/>
      <c r="QPY34" s="283"/>
      <c r="QPZ34" s="283"/>
      <c r="QQA34" s="283"/>
      <c r="QQB34" s="283"/>
      <c r="QQC34" s="283"/>
      <c r="QQD34" s="283"/>
      <c r="QQE34" s="283"/>
      <c r="QQF34" s="283"/>
      <c r="QQG34" s="283"/>
      <c r="QQH34" s="283"/>
      <c r="QQI34" s="283"/>
      <c r="QQJ34" s="283"/>
      <c r="QQK34" s="283"/>
      <c r="QQL34" s="283"/>
      <c r="QQM34" s="283"/>
      <c r="QQN34" s="283"/>
      <c r="QQO34" s="283"/>
      <c r="QQP34" s="283"/>
      <c r="QQQ34" s="283"/>
      <c r="QQR34" s="283"/>
      <c r="QQS34" s="283"/>
      <c r="QQT34" s="283"/>
      <c r="QQU34" s="283"/>
      <c r="QQV34" s="283"/>
      <c r="QQW34" s="283"/>
      <c r="QQX34" s="283"/>
      <c r="QQY34" s="283"/>
      <c r="QQZ34" s="283"/>
      <c r="QRA34" s="283"/>
      <c r="QRB34" s="283"/>
      <c r="QRC34" s="283"/>
      <c r="QRD34" s="283"/>
      <c r="QRE34" s="283"/>
      <c r="QRF34" s="283"/>
      <c r="QRG34" s="283"/>
      <c r="QRH34" s="283"/>
      <c r="QRI34" s="283"/>
      <c r="QRJ34" s="283"/>
      <c r="QRK34" s="283"/>
      <c r="QRL34" s="283"/>
      <c r="QRM34" s="283"/>
      <c r="QRN34" s="283"/>
      <c r="QRO34" s="283"/>
      <c r="QRP34" s="283"/>
      <c r="QRQ34" s="283"/>
      <c r="QRR34" s="283"/>
      <c r="QRS34" s="283"/>
      <c r="QRT34" s="283"/>
      <c r="QRU34" s="283"/>
      <c r="QRV34" s="283"/>
      <c r="QRW34" s="283"/>
      <c r="QRX34" s="283"/>
      <c r="QRY34" s="283"/>
      <c r="QRZ34" s="283"/>
      <c r="QSA34" s="283"/>
      <c r="QSB34" s="283"/>
      <c r="QSC34" s="283"/>
      <c r="QSD34" s="283"/>
      <c r="QSE34" s="283"/>
      <c r="QSF34" s="283"/>
      <c r="QSG34" s="283"/>
      <c r="QSH34" s="283"/>
      <c r="QSI34" s="283"/>
      <c r="QSJ34" s="283"/>
      <c r="QSK34" s="283"/>
      <c r="QSL34" s="283"/>
      <c r="QSM34" s="283"/>
      <c r="QSN34" s="283"/>
      <c r="QSO34" s="283"/>
      <c r="QSP34" s="283"/>
      <c r="QSQ34" s="283"/>
      <c r="QSR34" s="283"/>
      <c r="QSS34" s="283"/>
      <c r="QST34" s="283"/>
      <c r="QSU34" s="283"/>
      <c r="QSV34" s="283"/>
      <c r="QSW34" s="283"/>
      <c r="QSX34" s="283"/>
      <c r="QSY34" s="283"/>
      <c r="QSZ34" s="283"/>
      <c r="QTA34" s="283"/>
      <c r="QTB34" s="283"/>
      <c r="QTC34" s="283"/>
      <c r="QTD34" s="283"/>
      <c r="QTE34" s="283"/>
      <c r="QTF34" s="283"/>
      <c r="QTG34" s="283"/>
      <c r="QTH34" s="283"/>
      <c r="QTI34" s="283"/>
      <c r="QTJ34" s="283"/>
      <c r="QTK34" s="283"/>
      <c r="QTL34" s="283"/>
      <c r="QTM34" s="283"/>
      <c r="QTN34" s="283"/>
      <c r="QTO34" s="283"/>
      <c r="QTP34" s="283"/>
      <c r="QTQ34" s="283"/>
      <c r="QTR34" s="283"/>
      <c r="QTS34" s="283"/>
      <c r="QTT34" s="283"/>
      <c r="QTU34" s="283"/>
      <c r="QTV34" s="283"/>
      <c r="QTW34" s="283"/>
      <c r="QTX34" s="283"/>
      <c r="QTY34" s="283"/>
      <c r="QTZ34" s="283"/>
      <c r="QUA34" s="283"/>
      <c r="QUB34" s="283"/>
      <c r="QUC34" s="283"/>
      <c r="QUD34" s="283"/>
      <c r="QUE34" s="283"/>
      <c r="QUF34" s="283"/>
      <c r="QUG34" s="283"/>
      <c r="QUH34" s="283"/>
      <c r="QUI34" s="283"/>
      <c r="QUJ34" s="283"/>
      <c r="QUK34" s="283"/>
      <c r="QUL34" s="283"/>
      <c r="QUM34" s="283"/>
      <c r="QUN34" s="283"/>
      <c r="QUO34" s="283"/>
      <c r="QUP34" s="283"/>
      <c r="QUQ34" s="283"/>
      <c r="QUR34" s="283"/>
      <c r="QUS34" s="283"/>
      <c r="QUT34" s="283"/>
      <c r="QUU34" s="283"/>
      <c r="QUV34" s="283"/>
      <c r="QUW34" s="283"/>
      <c r="QUX34" s="283"/>
      <c r="QUY34" s="283"/>
      <c r="QUZ34" s="283"/>
      <c r="QVA34" s="283"/>
      <c r="QVB34" s="283"/>
      <c r="QVC34" s="283"/>
      <c r="QVD34" s="283"/>
      <c r="QVE34" s="283"/>
      <c r="QVF34" s="283"/>
      <c r="QVG34" s="283"/>
      <c r="QVH34" s="283"/>
      <c r="QVI34" s="283"/>
      <c r="QVJ34" s="283"/>
      <c r="QVK34" s="283"/>
      <c r="QVL34" s="283"/>
      <c r="QVM34" s="283"/>
      <c r="QVN34" s="283"/>
      <c r="QVO34" s="283"/>
      <c r="QVP34" s="283"/>
      <c r="QVQ34" s="283"/>
      <c r="QVR34" s="283"/>
      <c r="QVS34" s="283"/>
      <c r="QVT34" s="283"/>
      <c r="QVU34" s="283"/>
      <c r="QVV34" s="283"/>
      <c r="QVW34" s="283"/>
      <c r="QVX34" s="283"/>
      <c r="QVY34" s="283"/>
      <c r="QVZ34" s="283"/>
      <c r="QWA34" s="283"/>
      <c r="QWB34" s="283"/>
      <c r="QWC34" s="283"/>
      <c r="QWD34" s="283"/>
      <c r="QWE34" s="283"/>
      <c r="QWF34" s="283"/>
      <c r="QWG34" s="283"/>
      <c r="QWH34" s="283"/>
      <c r="QWI34" s="283"/>
      <c r="QWJ34" s="283"/>
      <c r="QWK34" s="283"/>
      <c r="QWL34" s="283"/>
      <c r="QWM34" s="283"/>
      <c r="QWN34" s="283"/>
      <c r="QWO34" s="283"/>
      <c r="QWP34" s="283"/>
      <c r="QWQ34" s="283"/>
      <c r="QWR34" s="283"/>
      <c r="QWS34" s="283"/>
      <c r="QWT34" s="283"/>
      <c r="QWU34" s="283"/>
      <c r="QWV34" s="283"/>
      <c r="QWW34" s="283"/>
      <c r="QWX34" s="283"/>
      <c r="QWY34" s="283"/>
      <c r="QWZ34" s="283"/>
      <c r="QXA34" s="283"/>
      <c r="QXB34" s="283"/>
      <c r="QXC34" s="283"/>
      <c r="QXD34" s="283"/>
      <c r="QXE34" s="283"/>
      <c r="QXF34" s="283"/>
      <c r="QXG34" s="283"/>
      <c r="QXH34" s="283"/>
      <c r="QXI34" s="283"/>
      <c r="QXJ34" s="283"/>
      <c r="QXK34" s="283"/>
      <c r="QXL34" s="283"/>
      <c r="QXM34" s="283"/>
      <c r="QXN34" s="283"/>
      <c r="QXO34" s="283"/>
      <c r="QXP34" s="283"/>
      <c r="QXQ34" s="283"/>
      <c r="QXR34" s="283"/>
      <c r="QXS34" s="283"/>
      <c r="QXT34" s="283"/>
      <c r="QXU34" s="283"/>
      <c r="QXV34" s="283"/>
      <c r="QXW34" s="283"/>
      <c r="QXX34" s="283"/>
      <c r="QXY34" s="283"/>
      <c r="QXZ34" s="283"/>
      <c r="QYA34" s="283"/>
      <c r="QYB34" s="283"/>
      <c r="QYC34" s="283"/>
      <c r="QYD34" s="283"/>
      <c r="QYE34" s="283"/>
      <c r="QYF34" s="283"/>
      <c r="QYG34" s="283"/>
      <c r="QYH34" s="283"/>
      <c r="QYI34" s="283"/>
      <c r="QYJ34" s="283"/>
      <c r="QYK34" s="283"/>
      <c r="QYL34" s="283"/>
      <c r="QYM34" s="283"/>
      <c r="QYN34" s="283"/>
      <c r="QYO34" s="283"/>
      <c r="QYP34" s="283"/>
      <c r="QYQ34" s="283"/>
      <c r="QYR34" s="283"/>
      <c r="QYS34" s="283"/>
      <c r="QYT34" s="283"/>
      <c r="QYU34" s="283"/>
      <c r="QYV34" s="283"/>
      <c r="QYW34" s="283"/>
      <c r="QYX34" s="283"/>
      <c r="QYY34" s="283"/>
      <c r="QYZ34" s="283"/>
      <c r="QZA34" s="283"/>
      <c r="QZB34" s="283"/>
      <c r="QZC34" s="283"/>
      <c r="QZD34" s="283"/>
      <c r="QZE34" s="283"/>
      <c r="QZF34" s="283"/>
      <c r="QZG34" s="283"/>
      <c r="QZH34" s="283"/>
      <c r="QZI34" s="283"/>
      <c r="QZJ34" s="283"/>
      <c r="QZK34" s="283"/>
      <c r="QZL34" s="283"/>
      <c r="QZM34" s="283"/>
      <c r="QZN34" s="283"/>
      <c r="QZO34" s="283"/>
      <c r="QZP34" s="283"/>
      <c r="QZQ34" s="283"/>
      <c r="QZR34" s="283"/>
      <c r="QZS34" s="283"/>
      <c r="QZT34" s="283"/>
      <c r="QZU34" s="283"/>
      <c r="QZV34" s="283"/>
      <c r="QZW34" s="283"/>
      <c r="QZX34" s="283"/>
      <c r="QZY34" s="283"/>
      <c r="QZZ34" s="283"/>
      <c r="RAA34" s="283"/>
      <c r="RAB34" s="283"/>
      <c r="RAC34" s="283"/>
      <c r="RAD34" s="283"/>
      <c r="RAE34" s="283"/>
      <c r="RAF34" s="283"/>
      <c r="RAG34" s="283"/>
      <c r="RAH34" s="283"/>
      <c r="RAI34" s="283"/>
      <c r="RAJ34" s="283"/>
      <c r="RAK34" s="283"/>
      <c r="RAL34" s="283"/>
      <c r="RAM34" s="283"/>
      <c r="RAN34" s="283"/>
      <c r="RAO34" s="283"/>
      <c r="RAP34" s="283"/>
      <c r="RAQ34" s="283"/>
      <c r="RAR34" s="283"/>
      <c r="RAS34" s="283"/>
      <c r="RAT34" s="283"/>
      <c r="RAU34" s="283"/>
      <c r="RAV34" s="283"/>
      <c r="RAW34" s="283"/>
      <c r="RAX34" s="283"/>
      <c r="RAY34" s="283"/>
      <c r="RAZ34" s="283"/>
      <c r="RBA34" s="283"/>
      <c r="RBB34" s="283"/>
      <c r="RBC34" s="283"/>
      <c r="RBD34" s="283"/>
      <c r="RBE34" s="283"/>
      <c r="RBF34" s="283"/>
      <c r="RBG34" s="283"/>
      <c r="RBH34" s="283"/>
      <c r="RBI34" s="283"/>
      <c r="RBJ34" s="283"/>
      <c r="RBK34" s="283"/>
      <c r="RBL34" s="283"/>
      <c r="RBM34" s="283"/>
      <c r="RBN34" s="283"/>
      <c r="RBO34" s="283"/>
      <c r="RBP34" s="283"/>
      <c r="RBQ34" s="283"/>
      <c r="RBR34" s="283"/>
      <c r="RBS34" s="283"/>
      <c r="RBT34" s="283"/>
      <c r="RBU34" s="283"/>
      <c r="RBV34" s="283"/>
      <c r="RBW34" s="283"/>
      <c r="RBX34" s="283"/>
      <c r="RBY34" s="283"/>
      <c r="RBZ34" s="283"/>
      <c r="RCA34" s="283"/>
      <c r="RCB34" s="283"/>
      <c r="RCC34" s="283"/>
      <c r="RCD34" s="283"/>
      <c r="RCE34" s="283"/>
      <c r="RCF34" s="283"/>
      <c r="RCG34" s="283"/>
      <c r="RCH34" s="283"/>
      <c r="RCI34" s="283"/>
      <c r="RCJ34" s="283"/>
      <c r="RCK34" s="283"/>
      <c r="RCL34" s="283"/>
      <c r="RCM34" s="283"/>
      <c r="RCN34" s="283"/>
      <c r="RCO34" s="283"/>
      <c r="RCP34" s="283"/>
      <c r="RCQ34" s="283"/>
      <c r="RCR34" s="283"/>
      <c r="RCS34" s="283"/>
      <c r="RCT34" s="283"/>
      <c r="RCU34" s="283"/>
      <c r="RCV34" s="283"/>
      <c r="RCW34" s="283"/>
      <c r="RCX34" s="283"/>
      <c r="RCY34" s="283"/>
      <c r="RCZ34" s="283"/>
      <c r="RDA34" s="283"/>
      <c r="RDB34" s="283"/>
      <c r="RDC34" s="283"/>
      <c r="RDD34" s="283"/>
      <c r="RDE34" s="283"/>
      <c r="RDF34" s="283"/>
      <c r="RDG34" s="283"/>
      <c r="RDH34" s="283"/>
      <c r="RDI34" s="283"/>
      <c r="RDJ34" s="283"/>
      <c r="RDK34" s="283"/>
      <c r="RDL34" s="283"/>
      <c r="RDM34" s="283"/>
      <c r="RDN34" s="283"/>
      <c r="RDO34" s="283"/>
      <c r="RDP34" s="283"/>
      <c r="RDQ34" s="283"/>
      <c r="RDR34" s="283"/>
      <c r="RDS34" s="283"/>
      <c r="RDT34" s="283"/>
      <c r="RDU34" s="283"/>
      <c r="RDV34" s="283"/>
      <c r="RDW34" s="283"/>
      <c r="RDX34" s="283"/>
      <c r="RDY34" s="283"/>
      <c r="RDZ34" s="283"/>
      <c r="REA34" s="283"/>
      <c r="REB34" s="283"/>
      <c r="REC34" s="283"/>
      <c r="RED34" s="283"/>
      <c r="REE34" s="283"/>
      <c r="REF34" s="283"/>
      <c r="REG34" s="283"/>
      <c r="REH34" s="283"/>
      <c r="REI34" s="283"/>
      <c r="REJ34" s="283"/>
      <c r="REK34" s="283"/>
      <c r="REL34" s="283"/>
      <c r="REM34" s="283"/>
      <c r="REN34" s="283"/>
      <c r="REO34" s="283"/>
      <c r="REP34" s="283"/>
      <c r="REQ34" s="283"/>
      <c r="RER34" s="283"/>
      <c r="RES34" s="283"/>
      <c r="RET34" s="283"/>
      <c r="REU34" s="283"/>
      <c r="REV34" s="283"/>
      <c r="REW34" s="283"/>
      <c r="REX34" s="283"/>
      <c r="REY34" s="283"/>
      <c r="REZ34" s="283"/>
      <c r="RFA34" s="283"/>
      <c r="RFB34" s="283"/>
      <c r="RFC34" s="283"/>
      <c r="RFD34" s="283"/>
      <c r="RFE34" s="283"/>
      <c r="RFF34" s="283"/>
      <c r="RFG34" s="283"/>
      <c r="RFH34" s="283"/>
      <c r="RFI34" s="283"/>
      <c r="RFJ34" s="283"/>
      <c r="RFK34" s="283"/>
      <c r="RFL34" s="283"/>
      <c r="RFM34" s="283"/>
      <c r="RFN34" s="283"/>
      <c r="RFO34" s="283"/>
      <c r="RFP34" s="283"/>
      <c r="RFQ34" s="283"/>
      <c r="RFR34" s="283"/>
      <c r="RFS34" s="283"/>
      <c r="RFT34" s="283"/>
      <c r="RFU34" s="283"/>
      <c r="RFV34" s="283"/>
      <c r="RFW34" s="283"/>
      <c r="RFX34" s="283"/>
      <c r="RFY34" s="283"/>
      <c r="RFZ34" s="283"/>
      <c r="RGA34" s="283"/>
      <c r="RGB34" s="283"/>
      <c r="RGC34" s="283"/>
      <c r="RGD34" s="283"/>
      <c r="RGE34" s="283"/>
      <c r="RGF34" s="283"/>
      <c r="RGG34" s="283"/>
      <c r="RGH34" s="283"/>
      <c r="RGI34" s="283"/>
      <c r="RGJ34" s="283"/>
      <c r="RGK34" s="283"/>
      <c r="RGL34" s="283"/>
      <c r="RGM34" s="283"/>
      <c r="RGN34" s="283"/>
      <c r="RGO34" s="283"/>
      <c r="RGP34" s="283"/>
      <c r="RGQ34" s="283"/>
      <c r="RGR34" s="283"/>
      <c r="RGS34" s="283"/>
      <c r="RGT34" s="283"/>
      <c r="RGU34" s="283"/>
      <c r="RGV34" s="283"/>
      <c r="RGW34" s="283"/>
      <c r="RGX34" s="283"/>
      <c r="RGY34" s="283"/>
      <c r="RGZ34" s="283"/>
      <c r="RHA34" s="283"/>
      <c r="RHB34" s="283"/>
      <c r="RHC34" s="283"/>
      <c r="RHD34" s="283"/>
      <c r="RHE34" s="283"/>
      <c r="RHF34" s="283"/>
      <c r="RHG34" s="283"/>
      <c r="RHH34" s="283"/>
      <c r="RHI34" s="283"/>
      <c r="RHJ34" s="283"/>
      <c r="RHK34" s="283"/>
      <c r="RHL34" s="283"/>
      <c r="RHM34" s="283"/>
      <c r="RHN34" s="283"/>
      <c r="RHO34" s="283"/>
      <c r="RHP34" s="283"/>
      <c r="RHQ34" s="283"/>
      <c r="RHR34" s="283"/>
      <c r="RHS34" s="283"/>
      <c r="RHT34" s="283"/>
      <c r="RHU34" s="283"/>
      <c r="RHV34" s="283"/>
      <c r="RHW34" s="283"/>
      <c r="RHX34" s="283"/>
      <c r="RHY34" s="283"/>
      <c r="RHZ34" s="283"/>
      <c r="RIA34" s="283"/>
      <c r="RIB34" s="283"/>
      <c r="RIC34" s="283"/>
      <c r="RID34" s="283"/>
      <c r="RIE34" s="283"/>
      <c r="RIF34" s="283"/>
      <c r="RIG34" s="283"/>
      <c r="RIH34" s="283"/>
      <c r="RII34" s="283"/>
      <c r="RIJ34" s="283"/>
      <c r="RIK34" s="283"/>
      <c r="RIL34" s="283"/>
      <c r="RIM34" s="283"/>
      <c r="RIN34" s="283"/>
      <c r="RIO34" s="283"/>
      <c r="RIP34" s="283"/>
      <c r="RIQ34" s="283"/>
      <c r="RIR34" s="283"/>
      <c r="RIS34" s="283"/>
      <c r="RIT34" s="283"/>
      <c r="RIU34" s="283"/>
      <c r="RIV34" s="283"/>
      <c r="RIW34" s="283"/>
      <c r="RIX34" s="283"/>
      <c r="RIY34" s="283"/>
      <c r="RIZ34" s="283"/>
      <c r="RJA34" s="283"/>
      <c r="RJB34" s="283"/>
      <c r="RJC34" s="283"/>
      <c r="RJD34" s="283"/>
      <c r="RJE34" s="283"/>
      <c r="RJF34" s="283"/>
      <c r="RJG34" s="283"/>
      <c r="RJH34" s="283"/>
      <c r="RJI34" s="283"/>
      <c r="RJJ34" s="283"/>
      <c r="RJK34" s="283"/>
      <c r="RJL34" s="283"/>
      <c r="RJM34" s="283"/>
      <c r="RJN34" s="283"/>
      <c r="RJO34" s="283"/>
      <c r="RJP34" s="283"/>
      <c r="RJQ34" s="283"/>
      <c r="RJR34" s="283"/>
      <c r="RJS34" s="283"/>
      <c r="RJT34" s="283"/>
      <c r="RJU34" s="283"/>
      <c r="RJV34" s="283"/>
      <c r="RJW34" s="283"/>
      <c r="RJX34" s="283"/>
      <c r="RJY34" s="283"/>
      <c r="RJZ34" s="283"/>
      <c r="RKA34" s="283"/>
      <c r="RKB34" s="283"/>
      <c r="RKC34" s="283"/>
      <c r="RKD34" s="283"/>
      <c r="RKE34" s="283"/>
      <c r="RKF34" s="283"/>
      <c r="RKG34" s="283"/>
      <c r="RKH34" s="283"/>
      <c r="RKI34" s="283"/>
      <c r="RKJ34" s="283"/>
      <c r="RKK34" s="283"/>
      <c r="RKL34" s="283"/>
      <c r="RKM34" s="283"/>
      <c r="RKN34" s="283"/>
      <c r="RKO34" s="283"/>
      <c r="RKP34" s="283"/>
      <c r="RKQ34" s="283"/>
      <c r="RKR34" s="283"/>
      <c r="RKS34" s="283"/>
      <c r="RKT34" s="283"/>
      <c r="RKU34" s="283"/>
      <c r="RKV34" s="283"/>
      <c r="RKW34" s="283"/>
      <c r="RKX34" s="283"/>
      <c r="RKY34" s="283"/>
      <c r="RKZ34" s="283"/>
      <c r="RLA34" s="283"/>
      <c r="RLB34" s="283"/>
      <c r="RLC34" s="283"/>
      <c r="RLD34" s="283"/>
      <c r="RLE34" s="283"/>
      <c r="RLF34" s="283"/>
      <c r="RLG34" s="283"/>
      <c r="RLH34" s="283"/>
      <c r="RLI34" s="283"/>
      <c r="RLJ34" s="283"/>
      <c r="RLK34" s="283"/>
      <c r="RLL34" s="283"/>
      <c r="RLM34" s="283"/>
      <c r="RLN34" s="283"/>
      <c r="RLO34" s="283"/>
      <c r="RLP34" s="283"/>
      <c r="RLQ34" s="283"/>
      <c r="RLR34" s="283"/>
      <c r="RLS34" s="283"/>
      <c r="RLT34" s="283"/>
      <c r="RLU34" s="283"/>
      <c r="RLV34" s="283"/>
      <c r="RLW34" s="283"/>
      <c r="RLX34" s="283"/>
      <c r="RLY34" s="283"/>
      <c r="RLZ34" s="283"/>
      <c r="RMA34" s="283"/>
      <c r="RMB34" s="283"/>
      <c r="RMC34" s="283"/>
      <c r="RMD34" s="283"/>
      <c r="RME34" s="283"/>
      <c r="RMF34" s="283"/>
      <c r="RMG34" s="283"/>
      <c r="RMH34" s="283"/>
      <c r="RMI34" s="283"/>
      <c r="RMJ34" s="283"/>
      <c r="RMK34" s="283"/>
      <c r="RML34" s="283"/>
      <c r="RMM34" s="283"/>
      <c r="RMN34" s="283"/>
      <c r="RMO34" s="283"/>
      <c r="RMP34" s="283"/>
      <c r="RMQ34" s="283"/>
      <c r="RMR34" s="283"/>
      <c r="RMS34" s="283"/>
      <c r="RMT34" s="283"/>
      <c r="RMU34" s="283"/>
      <c r="RMV34" s="283"/>
      <c r="RMW34" s="283"/>
      <c r="RMX34" s="283"/>
      <c r="RMY34" s="283"/>
      <c r="RMZ34" s="283"/>
      <c r="RNA34" s="283"/>
      <c r="RNB34" s="283"/>
      <c r="RNC34" s="283"/>
      <c r="RND34" s="283"/>
      <c r="RNE34" s="283"/>
      <c r="RNF34" s="283"/>
      <c r="RNG34" s="283"/>
      <c r="RNH34" s="283"/>
      <c r="RNI34" s="283"/>
      <c r="RNJ34" s="283"/>
      <c r="RNK34" s="283"/>
      <c r="RNL34" s="283"/>
      <c r="RNM34" s="283"/>
      <c r="RNN34" s="283"/>
      <c r="RNO34" s="283"/>
      <c r="RNP34" s="283"/>
      <c r="RNQ34" s="283"/>
      <c r="RNR34" s="283"/>
      <c r="RNS34" s="283"/>
      <c r="RNT34" s="283"/>
      <c r="RNU34" s="283"/>
      <c r="RNV34" s="283"/>
      <c r="RNW34" s="283"/>
      <c r="RNX34" s="283"/>
      <c r="RNY34" s="283"/>
      <c r="RNZ34" s="283"/>
      <c r="ROA34" s="283"/>
      <c r="ROB34" s="283"/>
      <c r="ROC34" s="283"/>
      <c r="ROD34" s="283"/>
      <c r="ROE34" s="283"/>
      <c r="ROF34" s="283"/>
      <c r="ROG34" s="283"/>
      <c r="ROH34" s="283"/>
      <c r="ROI34" s="283"/>
      <c r="ROJ34" s="283"/>
      <c r="ROK34" s="283"/>
      <c r="ROL34" s="283"/>
      <c r="ROM34" s="283"/>
      <c r="RON34" s="283"/>
      <c r="ROO34" s="283"/>
      <c r="ROP34" s="283"/>
      <c r="ROQ34" s="283"/>
      <c r="ROR34" s="283"/>
      <c r="ROS34" s="283"/>
      <c r="ROT34" s="283"/>
      <c r="ROU34" s="283"/>
      <c r="ROV34" s="283"/>
      <c r="ROW34" s="283"/>
      <c r="ROX34" s="283"/>
      <c r="ROY34" s="283"/>
      <c r="ROZ34" s="283"/>
      <c r="RPA34" s="283"/>
      <c r="RPB34" s="283"/>
      <c r="RPC34" s="283"/>
      <c r="RPD34" s="283"/>
      <c r="RPE34" s="283"/>
      <c r="RPF34" s="283"/>
      <c r="RPG34" s="283"/>
      <c r="RPH34" s="283"/>
      <c r="RPI34" s="283"/>
      <c r="RPJ34" s="283"/>
      <c r="RPK34" s="283"/>
      <c r="RPL34" s="283"/>
      <c r="RPM34" s="283"/>
      <c r="RPN34" s="283"/>
      <c r="RPO34" s="283"/>
      <c r="RPP34" s="283"/>
      <c r="RPQ34" s="283"/>
      <c r="RPR34" s="283"/>
      <c r="RPS34" s="283"/>
      <c r="RPT34" s="283"/>
      <c r="RPU34" s="283"/>
      <c r="RPV34" s="283"/>
      <c r="RPW34" s="283"/>
      <c r="RPX34" s="283"/>
      <c r="RPY34" s="283"/>
      <c r="RPZ34" s="283"/>
      <c r="RQA34" s="283"/>
      <c r="RQB34" s="283"/>
      <c r="RQC34" s="283"/>
      <c r="RQD34" s="283"/>
      <c r="RQE34" s="283"/>
      <c r="RQF34" s="283"/>
      <c r="RQG34" s="283"/>
      <c r="RQH34" s="283"/>
      <c r="RQI34" s="283"/>
      <c r="RQJ34" s="283"/>
      <c r="RQK34" s="283"/>
      <c r="RQL34" s="283"/>
      <c r="RQM34" s="283"/>
      <c r="RQN34" s="283"/>
      <c r="RQO34" s="283"/>
      <c r="RQP34" s="283"/>
      <c r="RQQ34" s="283"/>
      <c r="RQR34" s="283"/>
      <c r="RQS34" s="283"/>
      <c r="RQT34" s="283"/>
      <c r="RQU34" s="283"/>
      <c r="RQV34" s="283"/>
      <c r="RQW34" s="283"/>
      <c r="RQX34" s="283"/>
      <c r="RQY34" s="283"/>
      <c r="RQZ34" s="283"/>
      <c r="RRA34" s="283"/>
      <c r="RRB34" s="283"/>
      <c r="RRC34" s="283"/>
      <c r="RRD34" s="283"/>
      <c r="RRE34" s="283"/>
      <c r="RRF34" s="283"/>
      <c r="RRG34" s="283"/>
      <c r="RRH34" s="283"/>
      <c r="RRI34" s="283"/>
      <c r="RRJ34" s="283"/>
      <c r="RRK34" s="283"/>
      <c r="RRL34" s="283"/>
      <c r="RRM34" s="283"/>
      <c r="RRN34" s="283"/>
      <c r="RRO34" s="283"/>
      <c r="RRP34" s="283"/>
      <c r="RRQ34" s="283"/>
      <c r="RRR34" s="283"/>
      <c r="RRS34" s="283"/>
      <c r="RRT34" s="283"/>
      <c r="RRU34" s="283"/>
      <c r="RRV34" s="283"/>
      <c r="RRW34" s="283"/>
      <c r="RRX34" s="283"/>
      <c r="RRY34" s="283"/>
      <c r="RRZ34" s="283"/>
      <c r="RSA34" s="283"/>
      <c r="RSB34" s="283"/>
      <c r="RSC34" s="283"/>
      <c r="RSD34" s="283"/>
      <c r="RSE34" s="283"/>
      <c r="RSF34" s="283"/>
      <c r="RSG34" s="283"/>
      <c r="RSH34" s="283"/>
      <c r="RSI34" s="283"/>
      <c r="RSJ34" s="283"/>
      <c r="RSK34" s="283"/>
      <c r="RSL34" s="283"/>
      <c r="RSM34" s="283"/>
      <c r="RSN34" s="283"/>
      <c r="RSO34" s="283"/>
      <c r="RSP34" s="283"/>
      <c r="RSQ34" s="283"/>
      <c r="RSR34" s="283"/>
      <c r="RSS34" s="283"/>
      <c r="RST34" s="283"/>
      <c r="RSU34" s="283"/>
      <c r="RSV34" s="283"/>
      <c r="RSW34" s="283"/>
      <c r="RSX34" s="283"/>
      <c r="RSY34" s="283"/>
      <c r="RSZ34" s="283"/>
      <c r="RTA34" s="283"/>
      <c r="RTB34" s="283"/>
      <c r="RTC34" s="283"/>
      <c r="RTD34" s="283"/>
      <c r="RTE34" s="283"/>
      <c r="RTF34" s="283"/>
      <c r="RTG34" s="283"/>
      <c r="RTH34" s="283"/>
      <c r="RTI34" s="283"/>
      <c r="RTJ34" s="283"/>
      <c r="RTK34" s="283"/>
      <c r="RTL34" s="283"/>
      <c r="RTM34" s="283"/>
      <c r="RTN34" s="283"/>
      <c r="RTO34" s="283"/>
      <c r="RTP34" s="283"/>
      <c r="RTQ34" s="283"/>
      <c r="RTR34" s="283"/>
      <c r="RTS34" s="283"/>
      <c r="RTT34" s="283"/>
      <c r="RTU34" s="283"/>
      <c r="RTV34" s="283"/>
      <c r="RTW34" s="283"/>
      <c r="RTX34" s="283"/>
      <c r="RTY34" s="283"/>
      <c r="RTZ34" s="283"/>
      <c r="RUA34" s="283"/>
      <c r="RUB34" s="283"/>
      <c r="RUC34" s="283"/>
      <c r="RUD34" s="283"/>
      <c r="RUE34" s="283"/>
      <c r="RUF34" s="283"/>
      <c r="RUG34" s="283"/>
      <c r="RUH34" s="283"/>
      <c r="RUI34" s="283"/>
      <c r="RUJ34" s="283"/>
      <c r="RUK34" s="283"/>
      <c r="RUL34" s="283"/>
      <c r="RUM34" s="283"/>
      <c r="RUN34" s="283"/>
      <c r="RUO34" s="283"/>
      <c r="RUP34" s="283"/>
      <c r="RUQ34" s="283"/>
      <c r="RUR34" s="283"/>
      <c r="RUS34" s="283"/>
      <c r="RUT34" s="283"/>
      <c r="RUU34" s="283"/>
      <c r="RUV34" s="283"/>
      <c r="RUW34" s="283"/>
      <c r="RUX34" s="283"/>
      <c r="RUY34" s="283"/>
      <c r="RUZ34" s="283"/>
      <c r="RVA34" s="283"/>
      <c r="RVB34" s="283"/>
      <c r="RVC34" s="283"/>
      <c r="RVD34" s="283"/>
      <c r="RVE34" s="283"/>
      <c r="RVF34" s="283"/>
      <c r="RVG34" s="283"/>
      <c r="RVH34" s="283"/>
      <c r="RVI34" s="283"/>
      <c r="RVJ34" s="283"/>
      <c r="RVK34" s="283"/>
      <c r="RVL34" s="283"/>
      <c r="RVM34" s="283"/>
      <c r="RVN34" s="283"/>
      <c r="RVO34" s="283"/>
      <c r="RVP34" s="283"/>
      <c r="RVQ34" s="283"/>
      <c r="RVR34" s="283"/>
      <c r="RVS34" s="283"/>
      <c r="RVT34" s="283"/>
      <c r="RVU34" s="283"/>
      <c r="RVV34" s="283"/>
      <c r="RVW34" s="283"/>
      <c r="RVX34" s="283"/>
      <c r="RVY34" s="283"/>
      <c r="RVZ34" s="283"/>
      <c r="RWA34" s="283"/>
      <c r="RWB34" s="283"/>
      <c r="RWC34" s="283"/>
      <c r="RWD34" s="283"/>
      <c r="RWE34" s="283"/>
      <c r="RWF34" s="283"/>
      <c r="RWG34" s="283"/>
      <c r="RWH34" s="283"/>
      <c r="RWI34" s="283"/>
      <c r="RWJ34" s="283"/>
      <c r="RWK34" s="283"/>
      <c r="RWL34" s="283"/>
      <c r="RWM34" s="283"/>
      <c r="RWN34" s="283"/>
      <c r="RWO34" s="283"/>
      <c r="RWP34" s="283"/>
      <c r="RWQ34" s="283"/>
      <c r="RWR34" s="283"/>
      <c r="RWS34" s="283"/>
      <c r="RWT34" s="283"/>
      <c r="RWU34" s="283"/>
      <c r="RWV34" s="283"/>
      <c r="RWW34" s="283"/>
      <c r="RWX34" s="283"/>
      <c r="RWY34" s="283"/>
      <c r="RWZ34" s="283"/>
      <c r="RXA34" s="283"/>
      <c r="RXB34" s="283"/>
      <c r="RXC34" s="283"/>
      <c r="RXD34" s="283"/>
      <c r="RXE34" s="283"/>
      <c r="RXF34" s="283"/>
      <c r="RXG34" s="283"/>
      <c r="RXH34" s="283"/>
      <c r="RXI34" s="283"/>
      <c r="RXJ34" s="283"/>
      <c r="RXK34" s="283"/>
      <c r="RXL34" s="283"/>
      <c r="RXM34" s="283"/>
      <c r="RXN34" s="283"/>
      <c r="RXO34" s="283"/>
      <c r="RXP34" s="283"/>
      <c r="RXQ34" s="283"/>
      <c r="RXR34" s="283"/>
      <c r="RXS34" s="283"/>
      <c r="RXT34" s="283"/>
      <c r="RXU34" s="283"/>
      <c r="RXV34" s="283"/>
      <c r="RXW34" s="283"/>
      <c r="RXX34" s="283"/>
      <c r="RXY34" s="283"/>
      <c r="RXZ34" s="283"/>
      <c r="RYA34" s="283"/>
      <c r="RYB34" s="283"/>
      <c r="RYC34" s="283"/>
      <c r="RYD34" s="283"/>
      <c r="RYE34" s="283"/>
      <c r="RYF34" s="283"/>
      <c r="RYG34" s="283"/>
      <c r="RYH34" s="283"/>
      <c r="RYI34" s="283"/>
      <c r="RYJ34" s="283"/>
      <c r="RYK34" s="283"/>
      <c r="RYL34" s="283"/>
      <c r="RYM34" s="283"/>
      <c r="RYN34" s="283"/>
      <c r="RYO34" s="283"/>
      <c r="RYP34" s="283"/>
      <c r="RYQ34" s="283"/>
      <c r="RYR34" s="283"/>
      <c r="RYS34" s="283"/>
      <c r="RYT34" s="283"/>
      <c r="RYU34" s="283"/>
      <c r="RYV34" s="283"/>
      <c r="RYW34" s="283"/>
      <c r="RYX34" s="283"/>
      <c r="RYY34" s="283"/>
      <c r="RYZ34" s="283"/>
      <c r="RZA34" s="283"/>
      <c r="RZB34" s="283"/>
      <c r="RZC34" s="283"/>
      <c r="RZD34" s="283"/>
      <c r="RZE34" s="283"/>
      <c r="RZF34" s="283"/>
      <c r="RZG34" s="283"/>
      <c r="RZH34" s="283"/>
      <c r="RZI34" s="283"/>
      <c r="RZJ34" s="283"/>
      <c r="RZK34" s="283"/>
      <c r="RZL34" s="283"/>
      <c r="RZM34" s="283"/>
      <c r="RZN34" s="283"/>
      <c r="RZO34" s="283"/>
      <c r="RZP34" s="283"/>
      <c r="RZQ34" s="283"/>
      <c r="RZR34" s="283"/>
      <c r="RZS34" s="283"/>
      <c r="RZT34" s="283"/>
      <c r="RZU34" s="283"/>
      <c r="RZV34" s="283"/>
      <c r="RZW34" s="283"/>
      <c r="RZX34" s="283"/>
      <c r="RZY34" s="283"/>
      <c r="RZZ34" s="283"/>
      <c r="SAA34" s="283"/>
      <c r="SAB34" s="283"/>
      <c r="SAC34" s="283"/>
      <c r="SAD34" s="283"/>
      <c r="SAE34" s="283"/>
      <c r="SAF34" s="283"/>
      <c r="SAG34" s="283"/>
      <c r="SAH34" s="283"/>
      <c r="SAI34" s="283"/>
      <c r="SAJ34" s="283"/>
      <c r="SAK34" s="283"/>
      <c r="SAL34" s="283"/>
      <c r="SAM34" s="283"/>
      <c r="SAN34" s="283"/>
      <c r="SAO34" s="283"/>
      <c r="SAP34" s="283"/>
      <c r="SAQ34" s="283"/>
      <c r="SAR34" s="283"/>
      <c r="SAS34" s="283"/>
      <c r="SAT34" s="283"/>
      <c r="SAU34" s="283"/>
      <c r="SAV34" s="283"/>
      <c r="SAW34" s="283"/>
      <c r="SAX34" s="283"/>
      <c r="SAY34" s="283"/>
      <c r="SAZ34" s="283"/>
      <c r="SBA34" s="283"/>
      <c r="SBB34" s="283"/>
      <c r="SBC34" s="283"/>
      <c r="SBD34" s="283"/>
      <c r="SBE34" s="283"/>
      <c r="SBF34" s="283"/>
      <c r="SBG34" s="283"/>
      <c r="SBH34" s="283"/>
      <c r="SBI34" s="283"/>
      <c r="SBJ34" s="283"/>
      <c r="SBK34" s="283"/>
      <c r="SBL34" s="283"/>
      <c r="SBM34" s="283"/>
      <c r="SBN34" s="283"/>
      <c r="SBO34" s="283"/>
      <c r="SBP34" s="283"/>
      <c r="SBQ34" s="283"/>
      <c r="SBR34" s="283"/>
      <c r="SBS34" s="283"/>
      <c r="SBT34" s="283"/>
      <c r="SBU34" s="283"/>
      <c r="SBV34" s="283"/>
      <c r="SBW34" s="283"/>
      <c r="SBX34" s="283"/>
      <c r="SBY34" s="283"/>
      <c r="SBZ34" s="283"/>
      <c r="SCA34" s="283"/>
      <c r="SCB34" s="283"/>
      <c r="SCC34" s="283"/>
      <c r="SCD34" s="283"/>
      <c r="SCE34" s="283"/>
      <c r="SCF34" s="283"/>
      <c r="SCG34" s="283"/>
      <c r="SCH34" s="283"/>
      <c r="SCI34" s="283"/>
      <c r="SCJ34" s="283"/>
      <c r="SCK34" s="283"/>
      <c r="SCL34" s="283"/>
      <c r="SCM34" s="283"/>
      <c r="SCN34" s="283"/>
      <c r="SCO34" s="283"/>
      <c r="SCP34" s="283"/>
      <c r="SCQ34" s="283"/>
      <c r="SCR34" s="283"/>
      <c r="SCS34" s="283"/>
      <c r="SCT34" s="283"/>
      <c r="SCU34" s="283"/>
      <c r="SCV34" s="283"/>
      <c r="SCW34" s="283"/>
      <c r="SCX34" s="283"/>
      <c r="SCY34" s="283"/>
      <c r="SCZ34" s="283"/>
      <c r="SDA34" s="283"/>
      <c r="SDB34" s="283"/>
      <c r="SDC34" s="283"/>
      <c r="SDD34" s="283"/>
      <c r="SDE34" s="283"/>
      <c r="SDF34" s="283"/>
      <c r="SDG34" s="283"/>
      <c r="SDH34" s="283"/>
      <c r="SDI34" s="283"/>
      <c r="SDJ34" s="283"/>
      <c r="SDK34" s="283"/>
      <c r="SDL34" s="283"/>
      <c r="SDM34" s="283"/>
      <c r="SDN34" s="283"/>
      <c r="SDO34" s="283"/>
      <c r="SDP34" s="283"/>
      <c r="SDQ34" s="283"/>
      <c r="SDR34" s="283"/>
      <c r="SDS34" s="283"/>
      <c r="SDT34" s="283"/>
      <c r="SDU34" s="283"/>
      <c r="SDV34" s="283"/>
      <c r="SDW34" s="283"/>
      <c r="SDX34" s="283"/>
      <c r="SDY34" s="283"/>
      <c r="SDZ34" s="283"/>
      <c r="SEA34" s="283"/>
      <c r="SEB34" s="283"/>
      <c r="SEC34" s="283"/>
      <c r="SED34" s="283"/>
      <c r="SEE34" s="283"/>
      <c r="SEF34" s="283"/>
      <c r="SEG34" s="283"/>
      <c r="SEH34" s="283"/>
      <c r="SEI34" s="283"/>
      <c r="SEJ34" s="283"/>
      <c r="SEK34" s="283"/>
      <c r="SEL34" s="283"/>
      <c r="SEM34" s="283"/>
      <c r="SEN34" s="283"/>
      <c r="SEO34" s="283"/>
      <c r="SEP34" s="283"/>
      <c r="SEQ34" s="283"/>
      <c r="SER34" s="283"/>
      <c r="SES34" s="283"/>
      <c r="SET34" s="283"/>
      <c r="SEU34" s="283"/>
      <c r="SEV34" s="283"/>
      <c r="SEW34" s="283"/>
      <c r="SEX34" s="283"/>
      <c r="SEY34" s="283"/>
      <c r="SEZ34" s="283"/>
      <c r="SFA34" s="283"/>
      <c r="SFB34" s="283"/>
      <c r="SFC34" s="283"/>
      <c r="SFD34" s="283"/>
      <c r="SFE34" s="283"/>
      <c r="SFF34" s="283"/>
      <c r="SFG34" s="283"/>
      <c r="SFH34" s="283"/>
      <c r="SFI34" s="283"/>
      <c r="SFJ34" s="283"/>
      <c r="SFK34" s="283"/>
      <c r="SFL34" s="283"/>
      <c r="SFM34" s="283"/>
      <c r="SFN34" s="283"/>
      <c r="SFO34" s="283"/>
      <c r="SFP34" s="283"/>
      <c r="SFQ34" s="283"/>
      <c r="SFR34" s="283"/>
      <c r="SFS34" s="283"/>
      <c r="SFT34" s="283"/>
      <c r="SFU34" s="283"/>
      <c r="SFV34" s="283"/>
      <c r="SFW34" s="283"/>
      <c r="SFX34" s="283"/>
      <c r="SFY34" s="283"/>
      <c r="SFZ34" s="283"/>
      <c r="SGA34" s="283"/>
      <c r="SGB34" s="283"/>
      <c r="SGC34" s="283"/>
      <c r="SGD34" s="283"/>
      <c r="SGE34" s="283"/>
      <c r="SGF34" s="283"/>
      <c r="SGG34" s="283"/>
      <c r="SGH34" s="283"/>
      <c r="SGI34" s="283"/>
      <c r="SGJ34" s="283"/>
      <c r="SGK34" s="283"/>
      <c r="SGL34" s="283"/>
      <c r="SGM34" s="283"/>
      <c r="SGN34" s="283"/>
      <c r="SGO34" s="283"/>
      <c r="SGP34" s="283"/>
      <c r="SGQ34" s="283"/>
      <c r="SGR34" s="283"/>
      <c r="SGS34" s="283"/>
      <c r="SGT34" s="283"/>
      <c r="SGU34" s="283"/>
      <c r="SGV34" s="283"/>
      <c r="SGW34" s="283"/>
      <c r="SGX34" s="283"/>
      <c r="SGY34" s="283"/>
      <c r="SGZ34" s="283"/>
      <c r="SHA34" s="283"/>
      <c r="SHB34" s="283"/>
      <c r="SHC34" s="283"/>
      <c r="SHD34" s="283"/>
      <c r="SHE34" s="283"/>
      <c r="SHF34" s="283"/>
      <c r="SHG34" s="283"/>
      <c r="SHH34" s="283"/>
      <c r="SHI34" s="283"/>
      <c r="SHJ34" s="283"/>
      <c r="SHK34" s="283"/>
      <c r="SHL34" s="283"/>
      <c r="SHM34" s="283"/>
      <c r="SHN34" s="283"/>
      <c r="SHO34" s="283"/>
      <c r="SHP34" s="283"/>
      <c r="SHQ34" s="283"/>
      <c r="SHR34" s="283"/>
      <c r="SHS34" s="283"/>
      <c r="SHT34" s="283"/>
      <c r="SHU34" s="283"/>
      <c r="SHV34" s="283"/>
      <c r="SHW34" s="283"/>
      <c r="SHX34" s="283"/>
      <c r="SHY34" s="283"/>
      <c r="SHZ34" s="283"/>
      <c r="SIA34" s="283"/>
      <c r="SIB34" s="283"/>
      <c r="SIC34" s="283"/>
      <c r="SID34" s="283"/>
      <c r="SIE34" s="283"/>
      <c r="SIF34" s="283"/>
      <c r="SIG34" s="283"/>
      <c r="SIH34" s="283"/>
      <c r="SII34" s="283"/>
      <c r="SIJ34" s="283"/>
      <c r="SIK34" s="283"/>
      <c r="SIL34" s="283"/>
      <c r="SIM34" s="283"/>
      <c r="SIN34" s="283"/>
      <c r="SIO34" s="283"/>
      <c r="SIP34" s="283"/>
      <c r="SIQ34" s="283"/>
      <c r="SIR34" s="283"/>
      <c r="SIS34" s="283"/>
      <c r="SIT34" s="283"/>
      <c r="SIU34" s="283"/>
      <c r="SIV34" s="283"/>
      <c r="SIW34" s="283"/>
      <c r="SIX34" s="283"/>
      <c r="SIY34" s="283"/>
      <c r="SIZ34" s="283"/>
      <c r="SJA34" s="283"/>
      <c r="SJB34" s="283"/>
      <c r="SJC34" s="283"/>
      <c r="SJD34" s="283"/>
      <c r="SJE34" s="283"/>
      <c r="SJF34" s="283"/>
      <c r="SJG34" s="283"/>
      <c r="SJH34" s="283"/>
      <c r="SJI34" s="283"/>
      <c r="SJJ34" s="283"/>
      <c r="SJK34" s="283"/>
      <c r="SJL34" s="283"/>
      <c r="SJM34" s="283"/>
      <c r="SJN34" s="283"/>
      <c r="SJO34" s="283"/>
      <c r="SJP34" s="283"/>
      <c r="SJQ34" s="283"/>
      <c r="SJR34" s="283"/>
      <c r="SJS34" s="283"/>
      <c r="SJT34" s="283"/>
      <c r="SJU34" s="283"/>
      <c r="SJV34" s="283"/>
      <c r="SJW34" s="283"/>
      <c r="SJX34" s="283"/>
      <c r="SJY34" s="283"/>
      <c r="SJZ34" s="283"/>
      <c r="SKA34" s="283"/>
      <c r="SKB34" s="283"/>
      <c r="SKC34" s="283"/>
      <c r="SKD34" s="283"/>
      <c r="SKE34" s="283"/>
      <c r="SKF34" s="283"/>
      <c r="SKG34" s="283"/>
      <c r="SKH34" s="283"/>
      <c r="SKI34" s="283"/>
      <c r="SKJ34" s="283"/>
      <c r="SKK34" s="283"/>
      <c r="SKL34" s="283"/>
      <c r="SKM34" s="283"/>
      <c r="SKN34" s="283"/>
      <c r="SKO34" s="283"/>
      <c r="SKP34" s="283"/>
      <c r="SKQ34" s="283"/>
      <c r="SKR34" s="283"/>
      <c r="SKS34" s="283"/>
      <c r="SKT34" s="283"/>
      <c r="SKU34" s="283"/>
      <c r="SKV34" s="283"/>
      <c r="SKW34" s="283"/>
      <c r="SKX34" s="283"/>
      <c r="SKY34" s="283"/>
      <c r="SKZ34" s="283"/>
      <c r="SLA34" s="283"/>
      <c r="SLB34" s="283"/>
      <c r="SLC34" s="283"/>
      <c r="SLD34" s="283"/>
      <c r="SLE34" s="283"/>
      <c r="SLF34" s="283"/>
      <c r="SLG34" s="283"/>
      <c r="SLH34" s="283"/>
      <c r="SLI34" s="283"/>
      <c r="SLJ34" s="283"/>
      <c r="SLK34" s="283"/>
      <c r="SLL34" s="283"/>
      <c r="SLM34" s="283"/>
      <c r="SLN34" s="283"/>
      <c r="SLO34" s="283"/>
      <c r="SLP34" s="283"/>
      <c r="SLQ34" s="283"/>
      <c r="SLR34" s="283"/>
      <c r="SLS34" s="283"/>
      <c r="SLT34" s="283"/>
      <c r="SLU34" s="283"/>
      <c r="SLV34" s="283"/>
      <c r="SLW34" s="283"/>
      <c r="SLX34" s="283"/>
      <c r="SLY34" s="283"/>
      <c r="SLZ34" s="283"/>
      <c r="SMA34" s="283"/>
      <c r="SMB34" s="283"/>
      <c r="SMC34" s="283"/>
      <c r="SMD34" s="283"/>
      <c r="SME34" s="283"/>
      <c r="SMF34" s="283"/>
      <c r="SMG34" s="283"/>
      <c r="SMH34" s="283"/>
      <c r="SMI34" s="283"/>
      <c r="SMJ34" s="283"/>
      <c r="SMK34" s="283"/>
      <c r="SML34" s="283"/>
      <c r="SMM34" s="283"/>
      <c r="SMN34" s="283"/>
      <c r="SMO34" s="283"/>
      <c r="SMP34" s="283"/>
      <c r="SMQ34" s="283"/>
      <c r="SMR34" s="283"/>
      <c r="SMS34" s="283"/>
      <c r="SMT34" s="283"/>
      <c r="SMU34" s="283"/>
      <c r="SMV34" s="283"/>
      <c r="SMW34" s="283"/>
      <c r="SMX34" s="283"/>
      <c r="SMY34" s="283"/>
      <c r="SMZ34" s="283"/>
      <c r="SNA34" s="283"/>
      <c r="SNB34" s="283"/>
      <c r="SNC34" s="283"/>
      <c r="SND34" s="283"/>
      <c r="SNE34" s="283"/>
      <c r="SNF34" s="283"/>
      <c r="SNG34" s="283"/>
      <c r="SNH34" s="283"/>
      <c r="SNI34" s="283"/>
      <c r="SNJ34" s="283"/>
      <c r="SNK34" s="283"/>
      <c r="SNL34" s="283"/>
      <c r="SNM34" s="283"/>
      <c r="SNN34" s="283"/>
      <c r="SNO34" s="283"/>
      <c r="SNP34" s="283"/>
      <c r="SNQ34" s="283"/>
      <c r="SNR34" s="283"/>
      <c r="SNS34" s="283"/>
      <c r="SNT34" s="283"/>
      <c r="SNU34" s="283"/>
      <c r="SNV34" s="283"/>
      <c r="SNW34" s="283"/>
      <c r="SNX34" s="283"/>
      <c r="SNY34" s="283"/>
      <c r="SNZ34" s="283"/>
      <c r="SOA34" s="283"/>
      <c r="SOB34" s="283"/>
      <c r="SOC34" s="283"/>
      <c r="SOD34" s="283"/>
      <c r="SOE34" s="283"/>
      <c r="SOF34" s="283"/>
      <c r="SOG34" s="283"/>
      <c r="SOH34" s="283"/>
      <c r="SOI34" s="283"/>
      <c r="SOJ34" s="283"/>
      <c r="SOK34" s="283"/>
      <c r="SOL34" s="283"/>
      <c r="SOM34" s="283"/>
      <c r="SON34" s="283"/>
      <c r="SOO34" s="283"/>
      <c r="SOP34" s="283"/>
      <c r="SOQ34" s="283"/>
      <c r="SOR34" s="283"/>
      <c r="SOS34" s="283"/>
      <c r="SOT34" s="283"/>
      <c r="SOU34" s="283"/>
      <c r="SOV34" s="283"/>
      <c r="SOW34" s="283"/>
      <c r="SOX34" s="283"/>
      <c r="SOY34" s="283"/>
      <c r="SOZ34" s="283"/>
      <c r="SPA34" s="283"/>
      <c r="SPB34" s="283"/>
      <c r="SPC34" s="283"/>
      <c r="SPD34" s="283"/>
      <c r="SPE34" s="283"/>
      <c r="SPF34" s="283"/>
      <c r="SPG34" s="283"/>
      <c r="SPH34" s="283"/>
      <c r="SPI34" s="283"/>
      <c r="SPJ34" s="283"/>
      <c r="SPK34" s="283"/>
      <c r="SPL34" s="283"/>
      <c r="SPM34" s="283"/>
      <c r="SPN34" s="283"/>
      <c r="SPO34" s="283"/>
      <c r="SPP34" s="283"/>
      <c r="SPQ34" s="283"/>
      <c r="SPR34" s="283"/>
      <c r="SPS34" s="283"/>
      <c r="SPT34" s="283"/>
      <c r="SPU34" s="283"/>
      <c r="SPV34" s="283"/>
      <c r="SPW34" s="283"/>
      <c r="SPX34" s="283"/>
      <c r="SPY34" s="283"/>
      <c r="SPZ34" s="283"/>
      <c r="SQA34" s="283"/>
      <c r="SQB34" s="283"/>
      <c r="SQC34" s="283"/>
      <c r="SQD34" s="283"/>
      <c r="SQE34" s="283"/>
      <c r="SQF34" s="283"/>
      <c r="SQG34" s="283"/>
      <c r="SQH34" s="283"/>
      <c r="SQI34" s="283"/>
      <c r="SQJ34" s="283"/>
      <c r="SQK34" s="283"/>
      <c r="SQL34" s="283"/>
      <c r="SQM34" s="283"/>
      <c r="SQN34" s="283"/>
      <c r="SQO34" s="283"/>
      <c r="SQP34" s="283"/>
      <c r="SQQ34" s="283"/>
      <c r="SQR34" s="283"/>
      <c r="SQS34" s="283"/>
      <c r="SQT34" s="283"/>
      <c r="SQU34" s="283"/>
      <c r="SQV34" s="283"/>
      <c r="SQW34" s="283"/>
      <c r="SQX34" s="283"/>
      <c r="SQY34" s="283"/>
      <c r="SQZ34" s="283"/>
      <c r="SRA34" s="283"/>
      <c r="SRB34" s="283"/>
      <c r="SRC34" s="283"/>
      <c r="SRD34" s="283"/>
      <c r="SRE34" s="283"/>
      <c r="SRF34" s="283"/>
      <c r="SRG34" s="283"/>
      <c r="SRH34" s="283"/>
      <c r="SRI34" s="283"/>
      <c r="SRJ34" s="283"/>
      <c r="SRK34" s="283"/>
      <c r="SRL34" s="283"/>
      <c r="SRM34" s="283"/>
      <c r="SRN34" s="283"/>
      <c r="SRO34" s="283"/>
      <c r="SRP34" s="283"/>
      <c r="SRQ34" s="283"/>
      <c r="SRR34" s="283"/>
      <c r="SRS34" s="283"/>
      <c r="SRT34" s="283"/>
      <c r="SRU34" s="283"/>
      <c r="SRV34" s="283"/>
      <c r="SRW34" s="283"/>
      <c r="SRX34" s="283"/>
      <c r="SRY34" s="283"/>
      <c r="SRZ34" s="283"/>
      <c r="SSA34" s="283"/>
      <c r="SSB34" s="283"/>
      <c r="SSC34" s="283"/>
      <c r="SSD34" s="283"/>
      <c r="SSE34" s="283"/>
      <c r="SSF34" s="283"/>
      <c r="SSG34" s="283"/>
      <c r="SSH34" s="283"/>
      <c r="SSI34" s="283"/>
      <c r="SSJ34" s="283"/>
      <c r="SSK34" s="283"/>
      <c r="SSL34" s="283"/>
      <c r="SSM34" s="283"/>
      <c r="SSN34" s="283"/>
      <c r="SSO34" s="283"/>
      <c r="SSP34" s="283"/>
      <c r="SSQ34" s="283"/>
      <c r="SSR34" s="283"/>
      <c r="SSS34" s="283"/>
      <c r="SST34" s="283"/>
      <c r="SSU34" s="283"/>
      <c r="SSV34" s="283"/>
      <c r="SSW34" s="283"/>
      <c r="SSX34" s="283"/>
      <c r="SSY34" s="283"/>
      <c r="SSZ34" s="283"/>
      <c r="STA34" s="283"/>
      <c r="STB34" s="283"/>
      <c r="STC34" s="283"/>
      <c r="STD34" s="283"/>
      <c r="STE34" s="283"/>
      <c r="STF34" s="283"/>
      <c r="STG34" s="283"/>
      <c r="STH34" s="283"/>
      <c r="STI34" s="283"/>
      <c r="STJ34" s="283"/>
      <c r="STK34" s="283"/>
      <c r="STL34" s="283"/>
      <c r="STM34" s="283"/>
      <c r="STN34" s="283"/>
      <c r="STO34" s="283"/>
      <c r="STP34" s="283"/>
      <c r="STQ34" s="283"/>
      <c r="STR34" s="283"/>
      <c r="STS34" s="283"/>
      <c r="STT34" s="283"/>
      <c r="STU34" s="283"/>
      <c r="STV34" s="283"/>
      <c r="STW34" s="283"/>
      <c r="STX34" s="283"/>
      <c r="STY34" s="283"/>
      <c r="STZ34" s="283"/>
      <c r="SUA34" s="283"/>
      <c r="SUB34" s="283"/>
      <c r="SUC34" s="283"/>
      <c r="SUD34" s="283"/>
      <c r="SUE34" s="283"/>
      <c r="SUF34" s="283"/>
      <c r="SUG34" s="283"/>
      <c r="SUH34" s="283"/>
      <c r="SUI34" s="283"/>
      <c r="SUJ34" s="283"/>
      <c r="SUK34" s="283"/>
      <c r="SUL34" s="283"/>
      <c r="SUM34" s="283"/>
      <c r="SUN34" s="283"/>
      <c r="SUO34" s="283"/>
      <c r="SUP34" s="283"/>
      <c r="SUQ34" s="283"/>
      <c r="SUR34" s="283"/>
      <c r="SUS34" s="283"/>
      <c r="SUT34" s="283"/>
      <c r="SUU34" s="283"/>
      <c r="SUV34" s="283"/>
      <c r="SUW34" s="283"/>
      <c r="SUX34" s="283"/>
      <c r="SUY34" s="283"/>
      <c r="SUZ34" s="283"/>
      <c r="SVA34" s="283"/>
      <c r="SVB34" s="283"/>
      <c r="SVC34" s="283"/>
      <c r="SVD34" s="283"/>
      <c r="SVE34" s="283"/>
      <c r="SVF34" s="283"/>
      <c r="SVG34" s="283"/>
      <c r="SVH34" s="283"/>
      <c r="SVI34" s="283"/>
      <c r="SVJ34" s="283"/>
      <c r="SVK34" s="283"/>
      <c r="SVL34" s="283"/>
      <c r="SVM34" s="283"/>
      <c r="SVN34" s="283"/>
      <c r="SVO34" s="283"/>
      <c r="SVP34" s="283"/>
      <c r="SVQ34" s="283"/>
      <c r="SVR34" s="283"/>
      <c r="SVS34" s="283"/>
      <c r="SVT34" s="283"/>
      <c r="SVU34" s="283"/>
      <c r="SVV34" s="283"/>
      <c r="SVW34" s="283"/>
      <c r="SVX34" s="283"/>
      <c r="SVY34" s="283"/>
      <c r="SVZ34" s="283"/>
      <c r="SWA34" s="283"/>
      <c r="SWB34" s="283"/>
      <c r="SWC34" s="283"/>
      <c r="SWD34" s="283"/>
      <c r="SWE34" s="283"/>
      <c r="SWF34" s="283"/>
      <c r="SWG34" s="283"/>
      <c r="SWH34" s="283"/>
      <c r="SWI34" s="283"/>
      <c r="SWJ34" s="283"/>
      <c r="SWK34" s="283"/>
      <c r="SWL34" s="283"/>
      <c r="SWM34" s="283"/>
      <c r="SWN34" s="283"/>
      <c r="SWO34" s="283"/>
      <c r="SWP34" s="283"/>
      <c r="SWQ34" s="283"/>
      <c r="SWR34" s="283"/>
      <c r="SWS34" s="283"/>
      <c r="SWT34" s="283"/>
      <c r="SWU34" s="283"/>
      <c r="SWV34" s="283"/>
      <c r="SWW34" s="283"/>
      <c r="SWX34" s="283"/>
      <c r="SWY34" s="283"/>
      <c r="SWZ34" s="283"/>
      <c r="SXA34" s="283"/>
      <c r="SXB34" s="283"/>
      <c r="SXC34" s="283"/>
      <c r="SXD34" s="283"/>
      <c r="SXE34" s="283"/>
      <c r="SXF34" s="283"/>
      <c r="SXG34" s="283"/>
      <c r="SXH34" s="283"/>
      <c r="SXI34" s="283"/>
      <c r="SXJ34" s="283"/>
      <c r="SXK34" s="283"/>
      <c r="SXL34" s="283"/>
      <c r="SXM34" s="283"/>
      <c r="SXN34" s="283"/>
      <c r="SXO34" s="283"/>
      <c r="SXP34" s="283"/>
      <c r="SXQ34" s="283"/>
      <c r="SXR34" s="283"/>
      <c r="SXS34" s="283"/>
      <c r="SXT34" s="283"/>
      <c r="SXU34" s="283"/>
      <c r="SXV34" s="283"/>
      <c r="SXW34" s="283"/>
      <c r="SXX34" s="283"/>
      <c r="SXY34" s="283"/>
      <c r="SXZ34" s="283"/>
      <c r="SYA34" s="283"/>
      <c r="SYB34" s="283"/>
      <c r="SYC34" s="283"/>
      <c r="SYD34" s="283"/>
      <c r="SYE34" s="283"/>
      <c r="SYF34" s="283"/>
      <c r="SYG34" s="283"/>
      <c r="SYH34" s="283"/>
      <c r="SYI34" s="283"/>
      <c r="SYJ34" s="283"/>
      <c r="SYK34" s="283"/>
      <c r="SYL34" s="283"/>
      <c r="SYM34" s="283"/>
      <c r="SYN34" s="283"/>
      <c r="SYO34" s="283"/>
      <c r="SYP34" s="283"/>
      <c r="SYQ34" s="283"/>
      <c r="SYR34" s="283"/>
      <c r="SYS34" s="283"/>
      <c r="SYT34" s="283"/>
      <c r="SYU34" s="283"/>
      <c r="SYV34" s="283"/>
      <c r="SYW34" s="283"/>
      <c r="SYX34" s="283"/>
      <c r="SYY34" s="283"/>
      <c r="SYZ34" s="283"/>
      <c r="SZA34" s="283"/>
      <c r="SZB34" s="283"/>
      <c r="SZC34" s="283"/>
      <c r="SZD34" s="283"/>
      <c r="SZE34" s="283"/>
      <c r="SZF34" s="283"/>
      <c r="SZG34" s="283"/>
      <c r="SZH34" s="283"/>
      <c r="SZI34" s="283"/>
      <c r="SZJ34" s="283"/>
      <c r="SZK34" s="283"/>
      <c r="SZL34" s="283"/>
      <c r="SZM34" s="283"/>
      <c r="SZN34" s="283"/>
      <c r="SZO34" s="283"/>
      <c r="SZP34" s="283"/>
      <c r="SZQ34" s="283"/>
      <c r="SZR34" s="283"/>
      <c r="SZS34" s="283"/>
      <c r="SZT34" s="283"/>
      <c r="SZU34" s="283"/>
      <c r="SZV34" s="283"/>
      <c r="SZW34" s="283"/>
      <c r="SZX34" s="283"/>
      <c r="SZY34" s="283"/>
      <c r="SZZ34" s="283"/>
      <c r="TAA34" s="283"/>
      <c r="TAB34" s="283"/>
      <c r="TAC34" s="283"/>
      <c r="TAD34" s="283"/>
      <c r="TAE34" s="283"/>
      <c r="TAF34" s="283"/>
      <c r="TAG34" s="283"/>
      <c r="TAH34" s="283"/>
      <c r="TAI34" s="283"/>
      <c r="TAJ34" s="283"/>
      <c r="TAK34" s="283"/>
      <c r="TAL34" s="283"/>
      <c r="TAM34" s="283"/>
      <c r="TAN34" s="283"/>
      <c r="TAO34" s="283"/>
      <c r="TAP34" s="283"/>
      <c r="TAQ34" s="283"/>
      <c r="TAR34" s="283"/>
      <c r="TAS34" s="283"/>
      <c r="TAT34" s="283"/>
      <c r="TAU34" s="283"/>
      <c r="TAV34" s="283"/>
      <c r="TAW34" s="283"/>
      <c r="TAX34" s="283"/>
      <c r="TAY34" s="283"/>
      <c r="TAZ34" s="283"/>
      <c r="TBA34" s="283"/>
      <c r="TBB34" s="283"/>
      <c r="TBC34" s="283"/>
      <c r="TBD34" s="283"/>
      <c r="TBE34" s="283"/>
      <c r="TBF34" s="283"/>
      <c r="TBG34" s="283"/>
      <c r="TBH34" s="283"/>
      <c r="TBI34" s="283"/>
      <c r="TBJ34" s="283"/>
      <c r="TBK34" s="283"/>
      <c r="TBL34" s="283"/>
      <c r="TBM34" s="283"/>
      <c r="TBN34" s="283"/>
      <c r="TBO34" s="283"/>
      <c r="TBP34" s="283"/>
      <c r="TBQ34" s="283"/>
      <c r="TBR34" s="283"/>
      <c r="TBS34" s="283"/>
      <c r="TBT34" s="283"/>
      <c r="TBU34" s="283"/>
      <c r="TBV34" s="283"/>
      <c r="TBW34" s="283"/>
      <c r="TBX34" s="283"/>
      <c r="TBY34" s="283"/>
      <c r="TBZ34" s="283"/>
      <c r="TCA34" s="283"/>
      <c r="TCB34" s="283"/>
      <c r="TCC34" s="283"/>
      <c r="TCD34" s="283"/>
      <c r="TCE34" s="283"/>
      <c r="TCF34" s="283"/>
      <c r="TCG34" s="283"/>
      <c r="TCH34" s="283"/>
      <c r="TCI34" s="283"/>
      <c r="TCJ34" s="283"/>
      <c r="TCK34" s="283"/>
      <c r="TCL34" s="283"/>
      <c r="TCM34" s="283"/>
      <c r="TCN34" s="283"/>
      <c r="TCO34" s="283"/>
      <c r="TCP34" s="283"/>
      <c r="TCQ34" s="283"/>
      <c r="TCR34" s="283"/>
      <c r="TCS34" s="283"/>
      <c r="TCT34" s="283"/>
      <c r="TCU34" s="283"/>
      <c r="TCV34" s="283"/>
      <c r="TCW34" s="283"/>
      <c r="TCX34" s="283"/>
      <c r="TCY34" s="283"/>
      <c r="TCZ34" s="283"/>
      <c r="TDA34" s="283"/>
      <c r="TDB34" s="283"/>
      <c r="TDC34" s="283"/>
      <c r="TDD34" s="283"/>
      <c r="TDE34" s="283"/>
      <c r="TDF34" s="283"/>
      <c r="TDG34" s="283"/>
      <c r="TDH34" s="283"/>
      <c r="TDI34" s="283"/>
      <c r="TDJ34" s="283"/>
      <c r="TDK34" s="283"/>
      <c r="TDL34" s="283"/>
      <c r="TDM34" s="283"/>
      <c r="TDN34" s="283"/>
      <c r="TDO34" s="283"/>
      <c r="TDP34" s="283"/>
      <c r="TDQ34" s="283"/>
      <c r="TDR34" s="283"/>
      <c r="TDS34" s="283"/>
      <c r="TDT34" s="283"/>
      <c r="TDU34" s="283"/>
      <c r="TDV34" s="283"/>
      <c r="TDW34" s="283"/>
      <c r="TDX34" s="283"/>
      <c r="TDY34" s="283"/>
      <c r="TDZ34" s="283"/>
      <c r="TEA34" s="283"/>
      <c r="TEB34" s="283"/>
      <c r="TEC34" s="283"/>
      <c r="TED34" s="283"/>
      <c r="TEE34" s="283"/>
      <c r="TEF34" s="283"/>
      <c r="TEG34" s="283"/>
      <c r="TEH34" s="283"/>
      <c r="TEI34" s="283"/>
      <c r="TEJ34" s="283"/>
      <c r="TEK34" s="283"/>
      <c r="TEL34" s="283"/>
      <c r="TEM34" s="283"/>
      <c r="TEN34" s="283"/>
      <c r="TEO34" s="283"/>
      <c r="TEP34" s="283"/>
      <c r="TEQ34" s="283"/>
      <c r="TER34" s="283"/>
      <c r="TES34" s="283"/>
      <c r="TET34" s="283"/>
      <c r="TEU34" s="283"/>
      <c r="TEV34" s="283"/>
      <c r="TEW34" s="283"/>
      <c r="TEX34" s="283"/>
      <c r="TEY34" s="283"/>
      <c r="TEZ34" s="283"/>
      <c r="TFA34" s="283"/>
      <c r="TFB34" s="283"/>
      <c r="TFC34" s="283"/>
      <c r="TFD34" s="283"/>
      <c r="TFE34" s="283"/>
      <c r="TFF34" s="283"/>
      <c r="TFG34" s="283"/>
      <c r="TFH34" s="283"/>
      <c r="TFI34" s="283"/>
      <c r="TFJ34" s="283"/>
      <c r="TFK34" s="283"/>
      <c r="TFL34" s="283"/>
      <c r="TFM34" s="283"/>
      <c r="TFN34" s="283"/>
      <c r="TFO34" s="283"/>
      <c r="TFP34" s="283"/>
      <c r="TFQ34" s="283"/>
      <c r="TFR34" s="283"/>
      <c r="TFS34" s="283"/>
      <c r="TFT34" s="283"/>
      <c r="TFU34" s="283"/>
      <c r="TFV34" s="283"/>
      <c r="TFW34" s="283"/>
      <c r="TFX34" s="283"/>
      <c r="TFY34" s="283"/>
      <c r="TFZ34" s="283"/>
      <c r="TGA34" s="283"/>
      <c r="TGB34" s="283"/>
      <c r="TGC34" s="283"/>
      <c r="TGD34" s="283"/>
      <c r="TGE34" s="283"/>
      <c r="TGF34" s="283"/>
      <c r="TGG34" s="283"/>
      <c r="TGH34" s="283"/>
      <c r="TGI34" s="283"/>
      <c r="TGJ34" s="283"/>
      <c r="TGK34" s="283"/>
      <c r="TGL34" s="283"/>
      <c r="TGM34" s="283"/>
      <c r="TGN34" s="283"/>
      <c r="TGO34" s="283"/>
      <c r="TGP34" s="283"/>
      <c r="TGQ34" s="283"/>
      <c r="TGR34" s="283"/>
      <c r="TGS34" s="283"/>
      <c r="TGT34" s="283"/>
      <c r="TGU34" s="283"/>
      <c r="TGV34" s="283"/>
      <c r="TGW34" s="283"/>
      <c r="TGX34" s="283"/>
      <c r="TGY34" s="283"/>
      <c r="TGZ34" s="283"/>
      <c r="THA34" s="283"/>
      <c r="THB34" s="283"/>
      <c r="THC34" s="283"/>
      <c r="THD34" s="283"/>
      <c r="THE34" s="283"/>
      <c r="THF34" s="283"/>
      <c r="THG34" s="283"/>
      <c r="THH34" s="283"/>
      <c r="THI34" s="283"/>
      <c r="THJ34" s="283"/>
      <c r="THK34" s="283"/>
      <c r="THL34" s="283"/>
      <c r="THM34" s="283"/>
      <c r="THN34" s="283"/>
      <c r="THO34" s="283"/>
      <c r="THP34" s="283"/>
      <c r="THQ34" s="283"/>
      <c r="THR34" s="283"/>
      <c r="THS34" s="283"/>
      <c r="THT34" s="283"/>
      <c r="THU34" s="283"/>
      <c r="THV34" s="283"/>
      <c r="THW34" s="283"/>
      <c r="THX34" s="283"/>
      <c r="THY34" s="283"/>
      <c r="THZ34" s="283"/>
      <c r="TIA34" s="283"/>
      <c r="TIB34" s="283"/>
      <c r="TIC34" s="283"/>
      <c r="TID34" s="283"/>
      <c r="TIE34" s="283"/>
      <c r="TIF34" s="283"/>
      <c r="TIG34" s="283"/>
      <c r="TIH34" s="283"/>
      <c r="TII34" s="283"/>
      <c r="TIJ34" s="283"/>
      <c r="TIK34" s="283"/>
      <c r="TIL34" s="283"/>
      <c r="TIM34" s="283"/>
      <c r="TIN34" s="283"/>
      <c r="TIO34" s="283"/>
      <c r="TIP34" s="283"/>
      <c r="TIQ34" s="283"/>
      <c r="TIR34" s="283"/>
      <c r="TIS34" s="283"/>
      <c r="TIT34" s="283"/>
      <c r="TIU34" s="283"/>
      <c r="TIV34" s="283"/>
      <c r="TIW34" s="283"/>
      <c r="TIX34" s="283"/>
      <c r="TIY34" s="283"/>
      <c r="TIZ34" s="283"/>
      <c r="TJA34" s="283"/>
      <c r="TJB34" s="283"/>
      <c r="TJC34" s="283"/>
      <c r="TJD34" s="283"/>
      <c r="TJE34" s="283"/>
      <c r="TJF34" s="283"/>
      <c r="TJG34" s="283"/>
      <c r="TJH34" s="283"/>
      <c r="TJI34" s="283"/>
      <c r="TJJ34" s="283"/>
      <c r="TJK34" s="283"/>
      <c r="TJL34" s="283"/>
      <c r="TJM34" s="283"/>
      <c r="TJN34" s="283"/>
      <c r="TJO34" s="283"/>
      <c r="TJP34" s="283"/>
      <c r="TJQ34" s="283"/>
      <c r="TJR34" s="283"/>
      <c r="TJS34" s="283"/>
      <c r="TJT34" s="283"/>
      <c r="TJU34" s="283"/>
      <c r="TJV34" s="283"/>
      <c r="TJW34" s="283"/>
      <c r="TJX34" s="283"/>
      <c r="TJY34" s="283"/>
      <c r="TJZ34" s="283"/>
      <c r="TKA34" s="283"/>
      <c r="TKB34" s="283"/>
      <c r="TKC34" s="283"/>
      <c r="TKD34" s="283"/>
      <c r="TKE34" s="283"/>
      <c r="TKF34" s="283"/>
      <c r="TKG34" s="283"/>
      <c r="TKH34" s="283"/>
      <c r="TKI34" s="283"/>
      <c r="TKJ34" s="283"/>
      <c r="TKK34" s="283"/>
      <c r="TKL34" s="283"/>
      <c r="TKM34" s="283"/>
      <c r="TKN34" s="283"/>
      <c r="TKO34" s="283"/>
      <c r="TKP34" s="283"/>
      <c r="TKQ34" s="283"/>
      <c r="TKR34" s="283"/>
      <c r="TKS34" s="283"/>
      <c r="TKT34" s="283"/>
      <c r="TKU34" s="283"/>
      <c r="TKV34" s="283"/>
      <c r="TKW34" s="283"/>
      <c r="TKX34" s="283"/>
      <c r="TKY34" s="283"/>
      <c r="TKZ34" s="283"/>
      <c r="TLA34" s="283"/>
      <c r="TLB34" s="283"/>
      <c r="TLC34" s="283"/>
      <c r="TLD34" s="283"/>
      <c r="TLE34" s="283"/>
      <c r="TLF34" s="283"/>
      <c r="TLG34" s="283"/>
      <c r="TLH34" s="283"/>
      <c r="TLI34" s="283"/>
      <c r="TLJ34" s="283"/>
      <c r="TLK34" s="283"/>
      <c r="TLL34" s="283"/>
      <c r="TLM34" s="283"/>
      <c r="TLN34" s="283"/>
      <c r="TLO34" s="283"/>
      <c r="TLP34" s="283"/>
      <c r="TLQ34" s="283"/>
      <c r="TLR34" s="283"/>
      <c r="TLS34" s="283"/>
      <c r="TLT34" s="283"/>
      <c r="TLU34" s="283"/>
      <c r="TLV34" s="283"/>
      <c r="TLW34" s="283"/>
      <c r="TLX34" s="283"/>
      <c r="TLY34" s="283"/>
      <c r="TLZ34" s="283"/>
      <c r="TMA34" s="283"/>
      <c r="TMB34" s="283"/>
      <c r="TMC34" s="283"/>
      <c r="TMD34" s="283"/>
      <c r="TME34" s="283"/>
      <c r="TMF34" s="283"/>
      <c r="TMG34" s="283"/>
      <c r="TMH34" s="283"/>
      <c r="TMI34" s="283"/>
      <c r="TMJ34" s="283"/>
      <c r="TMK34" s="283"/>
      <c r="TML34" s="283"/>
      <c r="TMM34" s="283"/>
      <c r="TMN34" s="283"/>
      <c r="TMO34" s="283"/>
      <c r="TMP34" s="283"/>
      <c r="TMQ34" s="283"/>
      <c r="TMR34" s="283"/>
      <c r="TMS34" s="283"/>
      <c r="TMT34" s="283"/>
      <c r="TMU34" s="283"/>
      <c r="TMV34" s="283"/>
      <c r="TMW34" s="283"/>
      <c r="TMX34" s="283"/>
      <c r="TMY34" s="283"/>
      <c r="TMZ34" s="283"/>
      <c r="TNA34" s="283"/>
      <c r="TNB34" s="283"/>
      <c r="TNC34" s="283"/>
      <c r="TND34" s="283"/>
      <c r="TNE34" s="283"/>
      <c r="TNF34" s="283"/>
      <c r="TNG34" s="283"/>
      <c r="TNH34" s="283"/>
      <c r="TNI34" s="283"/>
      <c r="TNJ34" s="283"/>
      <c r="TNK34" s="283"/>
      <c r="TNL34" s="283"/>
      <c r="TNM34" s="283"/>
      <c r="TNN34" s="283"/>
      <c r="TNO34" s="283"/>
      <c r="TNP34" s="283"/>
      <c r="TNQ34" s="283"/>
      <c r="TNR34" s="283"/>
      <c r="TNS34" s="283"/>
      <c r="TNT34" s="283"/>
      <c r="TNU34" s="283"/>
      <c r="TNV34" s="283"/>
      <c r="TNW34" s="283"/>
      <c r="TNX34" s="283"/>
      <c r="TNY34" s="283"/>
      <c r="TNZ34" s="283"/>
      <c r="TOA34" s="283"/>
      <c r="TOB34" s="283"/>
      <c r="TOC34" s="283"/>
      <c r="TOD34" s="283"/>
      <c r="TOE34" s="283"/>
      <c r="TOF34" s="283"/>
      <c r="TOG34" s="283"/>
      <c r="TOH34" s="283"/>
      <c r="TOI34" s="283"/>
      <c r="TOJ34" s="283"/>
      <c r="TOK34" s="283"/>
      <c r="TOL34" s="283"/>
      <c r="TOM34" s="283"/>
      <c r="TON34" s="283"/>
      <c r="TOO34" s="283"/>
      <c r="TOP34" s="283"/>
      <c r="TOQ34" s="283"/>
      <c r="TOR34" s="283"/>
      <c r="TOS34" s="283"/>
      <c r="TOT34" s="283"/>
      <c r="TOU34" s="283"/>
      <c r="TOV34" s="283"/>
      <c r="TOW34" s="283"/>
      <c r="TOX34" s="283"/>
      <c r="TOY34" s="283"/>
      <c r="TOZ34" s="283"/>
      <c r="TPA34" s="283"/>
      <c r="TPB34" s="283"/>
      <c r="TPC34" s="283"/>
      <c r="TPD34" s="283"/>
      <c r="TPE34" s="283"/>
      <c r="TPF34" s="283"/>
      <c r="TPG34" s="283"/>
      <c r="TPH34" s="283"/>
      <c r="TPI34" s="283"/>
      <c r="TPJ34" s="283"/>
      <c r="TPK34" s="283"/>
      <c r="TPL34" s="283"/>
      <c r="TPM34" s="283"/>
      <c r="TPN34" s="283"/>
      <c r="TPO34" s="283"/>
      <c r="TPP34" s="283"/>
      <c r="TPQ34" s="283"/>
      <c r="TPR34" s="283"/>
      <c r="TPS34" s="283"/>
      <c r="TPT34" s="283"/>
      <c r="TPU34" s="283"/>
      <c r="TPV34" s="283"/>
      <c r="TPW34" s="283"/>
      <c r="TPX34" s="283"/>
      <c r="TPY34" s="283"/>
      <c r="TPZ34" s="283"/>
      <c r="TQA34" s="283"/>
      <c r="TQB34" s="283"/>
      <c r="TQC34" s="283"/>
      <c r="TQD34" s="283"/>
      <c r="TQE34" s="283"/>
      <c r="TQF34" s="283"/>
      <c r="TQG34" s="283"/>
      <c r="TQH34" s="283"/>
      <c r="TQI34" s="283"/>
      <c r="TQJ34" s="283"/>
      <c r="TQK34" s="283"/>
      <c r="TQL34" s="283"/>
      <c r="TQM34" s="283"/>
      <c r="TQN34" s="283"/>
      <c r="TQO34" s="283"/>
      <c r="TQP34" s="283"/>
      <c r="TQQ34" s="283"/>
      <c r="TQR34" s="283"/>
      <c r="TQS34" s="283"/>
      <c r="TQT34" s="283"/>
      <c r="TQU34" s="283"/>
      <c r="TQV34" s="283"/>
      <c r="TQW34" s="283"/>
      <c r="TQX34" s="283"/>
      <c r="TQY34" s="283"/>
      <c r="TQZ34" s="283"/>
      <c r="TRA34" s="283"/>
      <c r="TRB34" s="283"/>
      <c r="TRC34" s="283"/>
      <c r="TRD34" s="283"/>
      <c r="TRE34" s="283"/>
      <c r="TRF34" s="283"/>
      <c r="TRG34" s="283"/>
      <c r="TRH34" s="283"/>
      <c r="TRI34" s="283"/>
      <c r="TRJ34" s="283"/>
      <c r="TRK34" s="283"/>
      <c r="TRL34" s="283"/>
      <c r="TRM34" s="283"/>
      <c r="TRN34" s="283"/>
      <c r="TRO34" s="283"/>
      <c r="TRP34" s="283"/>
      <c r="TRQ34" s="283"/>
      <c r="TRR34" s="283"/>
      <c r="TRS34" s="283"/>
      <c r="TRT34" s="283"/>
      <c r="TRU34" s="283"/>
      <c r="TRV34" s="283"/>
      <c r="TRW34" s="283"/>
      <c r="TRX34" s="283"/>
      <c r="TRY34" s="283"/>
      <c r="TRZ34" s="283"/>
      <c r="TSA34" s="283"/>
      <c r="TSB34" s="283"/>
      <c r="TSC34" s="283"/>
      <c r="TSD34" s="283"/>
      <c r="TSE34" s="283"/>
      <c r="TSF34" s="283"/>
      <c r="TSG34" s="283"/>
      <c r="TSH34" s="283"/>
      <c r="TSI34" s="283"/>
      <c r="TSJ34" s="283"/>
      <c r="TSK34" s="283"/>
      <c r="TSL34" s="283"/>
      <c r="TSM34" s="283"/>
      <c r="TSN34" s="283"/>
      <c r="TSO34" s="283"/>
      <c r="TSP34" s="283"/>
      <c r="TSQ34" s="283"/>
      <c r="TSR34" s="283"/>
      <c r="TSS34" s="283"/>
      <c r="TST34" s="283"/>
      <c r="TSU34" s="283"/>
      <c r="TSV34" s="283"/>
      <c r="TSW34" s="283"/>
      <c r="TSX34" s="283"/>
      <c r="TSY34" s="283"/>
      <c r="TSZ34" s="283"/>
      <c r="TTA34" s="283"/>
      <c r="TTB34" s="283"/>
      <c r="TTC34" s="283"/>
      <c r="TTD34" s="283"/>
      <c r="TTE34" s="283"/>
      <c r="TTF34" s="283"/>
      <c r="TTG34" s="283"/>
      <c r="TTH34" s="283"/>
      <c r="TTI34" s="283"/>
      <c r="TTJ34" s="283"/>
      <c r="TTK34" s="283"/>
      <c r="TTL34" s="283"/>
      <c r="TTM34" s="283"/>
      <c r="TTN34" s="283"/>
      <c r="TTO34" s="283"/>
      <c r="TTP34" s="283"/>
      <c r="TTQ34" s="283"/>
      <c r="TTR34" s="283"/>
      <c r="TTS34" s="283"/>
      <c r="TTT34" s="283"/>
      <c r="TTU34" s="283"/>
      <c r="TTV34" s="283"/>
      <c r="TTW34" s="283"/>
      <c r="TTX34" s="283"/>
      <c r="TTY34" s="283"/>
      <c r="TTZ34" s="283"/>
      <c r="TUA34" s="283"/>
      <c r="TUB34" s="283"/>
      <c r="TUC34" s="283"/>
      <c r="TUD34" s="283"/>
      <c r="TUE34" s="283"/>
      <c r="TUF34" s="283"/>
      <c r="TUG34" s="283"/>
      <c r="TUH34" s="283"/>
      <c r="TUI34" s="283"/>
      <c r="TUJ34" s="283"/>
      <c r="TUK34" s="283"/>
      <c r="TUL34" s="283"/>
      <c r="TUM34" s="283"/>
      <c r="TUN34" s="283"/>
      <c r="TUO34" s="283"/>
      <c r="TUP34" s="283"/>
      <c r="TUQ34" s="283"/>
      <c r="TUR34" s="283"/>
      <c r="TUS34" s="283"/>
      <c r="TUT34" s="283"/>
      <c r="TUU34" s="283"/>
      <c r="TUV34" s="283"/>
      <c r="TUW34" s="283"/>
      <c r="TUX34" s="283"/>
      <c r="TUY34" s="283"/>
      <c r="TUZ34" s="283"/>
      <c r="TVA34" s="283"/>
      <c r="TVB34" s="283"/>
      <c r="TVC34" s="283"/>
      <c r="TVD34" s="283"/>
      <c r="TVE34" s="283"/>
      <c r="TVF34" s="283"/>
      <c r="TVG34" s="283"/>
      <c r="TVH34" s="283"/>
      <c r="TVI34" s="283"/>
      <c r="TVJ34" s="283"/>
      <c r="TVK34" s="283"/>
      <c r="TVL34" s="283"/>
      <c r="TVM34" s="283"/>
      <c r="TVN34" s="283"/>
      <c r="TVO34" s="283"/>
      <c r="TVP34" s="283"/>
      <c r="TVQ34" s="283"/>
      <c r="TVR34" s="283"/>
      <c r="TVS34" s="283"/>
      <c r="TVT34" s="283"/>
      <c r="TVU34" s="283"/>
      <c r="TVV34" s="283"/>
      <c r="TVW34" s="283"/>
      <c r="TVX34" s="283"/>
      <c r="TVY34" s="283"/>
      <c r="TVZ34" s="283"/>
      <c r="TWA34" s="283"/>
      <c r="TWB34" s="283"/>
      <c r="TWC34" s="283"/>
      <c r="TWD34" s="283"/>
      <c r="TWE34" s="283"/>
      <c r="TWF34" s="283"/>
      <c r="TWG34" s="283"/>
      <c r="TWH34" s="283"/>
      <c r="TWI34" s="283"/>
      <c r="TWJ34" s="283"/>
      <c r="TWK34" s="283"/>
      <c r="TWL34" s="283"/>
      <c r="TWM34" s="283"/>
      <c r="TWN34" s="283"/>
      <c r="TWO34" s="283"/>
      <c r="TWP34" s="283"/>
      <c r="TWQ34" s="283"/>
      <c r="TWR34" s="283"/>
      <c r="TWS34" s="283"/>
      <c r="TWT34" s="283"/>
      <c r="TWU34" s="283"/>
      <c r="TWV34" s="283"/>
      <c r="TWW34" s="283"/>
      <c r="TWX34" s="283"/>
      <c r="TWY34" s="283"/>
      <c r="TWZ34" s="283"/>
      <c r="TXA34" s="283"/>
      <c r="TXB34" s="283"/>
      <c r="TXC34" s="283"/>
      <c r="TXD34" s="283"/>
      <c r="TXE34" s="283"/>
      <c r="TXF34" s="283"/>
      <c r="TXG34" s="283"/>
      <c r="TXH34" s="283"/>
      <c r="TXI34" s="283"/>
      <c r="TXJ34" s="283"/>
      <c r="TXK34" s="283"/>
      <c r="TXL34" s="283"/>
      <c r="TXM34" s="283"/>
      <c r="TXN34" s="283"/>
      <c r="TXO34" s="283"/>
      <c r="TXP34" s="283"/>
      <c r="TXQ34" s="283"/>
      <c r="TXR34" s="283"/>
      <c r="TXS34" s="283"/>
      <c r="TXT34" s="283"/>
      <c r="TXU34" s="283"/>
      <c r="TXV34" s="283"/>
      <c r="TXW34" s="283"/>
      <c r="TXX34" s="283"/>
      <c r="TXY34" s="283"/>
      <c r="TXZ34" s="283"/>
      <c r="TYA34" s="283"/>
      <c r="TYB34" s="283"/>
      <c r="TYC34" s="283"/>
      <c r="TYD34" s="283"/>
      <c r="TYE34" s="283"/>
      <c r="TYF34" s="283"/>
      <c r="TYG34" s="283"/>
      <c r="TYH34" s="283"/>
      <c r="TYI34" s="283"/>
      <c r="TYJ34" s="283"/>
      <c r="TYK34" s="283"/>
      <c r="TYL34" s="283"/>
      <c r="TYM34" s="283"/>
      <c r="TYN34" s="283"/>
      <c r="TYO34" s="283"/>
      <c r="TYP34" s="283"/>
      <c r="TYQ34" s="283"/>
      <c r="TYR34" s="283"/>
      <c r="TYS34" s="283"/>
      <c r="TYT34" s="283"/>
      <c r="TYU34" s="283"/>
      <c r="TYV34" s="283"/>
      <c r="TYW34" s="283"/>
      <c r="TYX34" s="283"/>
      <c r="TYY34" s="283"/>
      <c r="TYZ34" s="283"/>
      <c r="TZA34" s="283"/>
      <c r="TZB34" s="283"/>
      <c r="TZC34" s="283"/>
      <c r="TZD34" s="283"/>
      <c r="TZE34" s="283"/>
      <c r="TZF34" s="283"/>
      <c r="TZG34" s="283"/>
      <c r="TZH34" s="283"/>
      <c r="TZI34" s="283"/>
      <c r="TZJ34" s="283"/>
      <c r="TZK34" s="283"/>
      <c r="TZL34" s="283"/>
      <c r="TZM34" s="283"/>
      <c r="TZN34" s="283"/>
      <c r="TZO34" s="283"/>
      <c r="TZP34" s="283"/>
      <c r="TZQ34" s="283"/>
      <c r="TZR34" s="283"/>
      <c r="TZS34" s="283"/>
      <c r="TZT34" s="283"/>
      <c r="TZU34" s="283"/>
      <c r="TZV34" s="283"/>
      <c r="TZW34" s="283"/>
      <c r="TZX34" s="283"/>
      <c r="TZY34" s="283"/>
      <c r="TZZ34" s="283"/>
      <c r="UAA34" s="283"/>
      <c r="UAB34" s="283"/>
      <c r="UAC34" s="283"/>
      <c r="UAD34" s="283"/>
      <c r="UAE34" s="283"/>
      <c r="UAF34" s="283"/>
      <c r="UAG34" s="283"/>
      <c r="UAH34" s="283"/>
      <c r="UAI34" s="283"/>
      <c r="UAJ34" s="283"/>
      <c r="UAK34" s="283"/>
      <c r="UAL34" s="283"/>
      <c r="UAM34" s="283"/>
      <c r="UAN34" s="283"/>
      <c r="UAO34" s="283"/>
      <c r="UAP34" s="283"/>
      <c r="UAQ34" s="283"/>
      <c r="UAR34" s="283"/>
      <c r="UAS34" s="283"/>
      <c r="UAT34" s="283"/>
      <c r="UAU34" s="283"/>
      <c r="UAV34" s="283"/>
      <c r="UAW34" s="283"/>
      <c r="UAX34" s="283"/>
      <c r="UAY34" s="283"/>
      <c r="UAZ34" s="283"/>
      <c r="UBA34" s="283"/>
      <c r="UBB34" s="283"/>
      <c r="UBC34" s="283"/>
      <c r="UBD34" s="283"/>
      <c r="UBE34" s="283"/>
      <c r="UBF34" s="283"/>
      <c r="UBG34" s="283"/>
      <c r="UBH34" s="283"/>
      <c r="UBI34" s="283"/>
      <c r="UBJ34" s="283"/>
      <c r="UBK34" s="283"/>
      <c r="UBL34" s="283"/>
      <c r="UBM34" s="283"/>
      <c r="UBN34" s="283"/>
      <c r="UBO34" s="283"/>
      <c r="UBP34" s="283"/>
      <c r="UBQ34" s="283"/>
      <c r="UBR34" s="283"/>
      <c r="UBS34" s="283"/>
      <c r="UBT34" s="283"/>
      <c r="UBU34" s="283"/>
      <c r="UBV34" s="283"/>
      <c r="UBW34" s="283"/>
      <c r="UBX34" s="283"/>
      <c r="UBY34" s="283"/>
      <c r="UBZ34" s="283"/>
      <c r="UCA34" s="283"/>
      <c r="UCB34" s="283"/>
      <c r="UCC34" s="283"/>
      <c r="UCD34" s="283"/>
      <c r="UCE34" s="283"/>
      <c r="UCF34" s="283"/>
      <c r="UCG34" s="283"/>
      <c r="UCH34" s="283"/>
      <c r="UCI34" s="283"/>
      <c r="UCJ34" s="283"/>
      <c r="UCK34" s="283"/>
      <c r="UCL34" s="283"/>
      <c r="UCM34" s="283"/>
      <c r="UCN34" s="283"/>
      <c r="UCO34" s="283"/>
      <c r="UCP34" s="283"/>
      <c r="UCQ34" s="283"/>
      <c r="UCR34" s="283"/>
      <c r="UCS34" s="283"/>
      <c r="UCT34" s="283"/>
      <c r="UCU34" s="283"/>
      <c r="UCV34" s="283"/>
      <c r="UCW34" s="283"/>
      <c r="UCX34" s="283"/>
      <c r="UCY34" s="283"/>
      <c r="UCZ34" s="283"/>
      <c r="UDA34" s="283"/>
      <c r="UDB34" s="283"/>
      <c r="UDC34" s="283"/>
      <c r="UDD34" s="283"/>
      <c r="UDE34" s="283"/>
      <c r="UDF34" s="283"/>
      <c r="UDG34" s="283"/>
      <c r="UDH34" s="283"/>
      <c r="UDI34" s="283"/>
      <c r="UDJ34" s="283"/>
      <c r="UDK34" s="283"/>
      <c r="UDL34" s="283"/>
      <c r="UDM34" s="283"/>
      <c r="UDN34" s="283"/>
      <c r="UDO34" s="283"/>
      <c r="UDP34" s="283"/>
      <c r="UDQ34" s="283"/>
      <c r="UDR34" s="283"/>
      <c r="UDS34" s="283"/>
      <c r="UDT34" s="283"/>
      <c r="UDU34" s="283"/>
      <c r="UDV34" s="283"/>
      <c r="UDW34" s="283"/>
      <c r="UDX34" s="283"/>
      <c r="UDY34" s="283"/>
      <c r="UDZ34" s="283"/>
      <c r="UEA34" s="283"/>
      <c r="UEB34" s="283"/>
      <c r="UEC34" s="283"/>
      <c r="UED34" s="283"/>
      <c r="UEE34" s="283"/>
      <c r="UEF34" s="283"/>
      <c r="UEG34" s="283"/>
      <c r="UEH34" s="283"/>
      <c r="UEI34" s="283"/>
      <c r="UEJ34" s="283"/>
      <c r="UEK34" s="283"/>
      <c r="UEL34" s="283"/>
      <c r="UEM34" s="283"/>
      <c r="UEN34" s="283"/>
      <c r="UEO34" s="283"/>
      <c r="UEP34" s="283"/>
      <c r="UEQ34" s="283"/>
      <c r="UER34" s="283"/>
      <c r="UES34" s="283"/>
      <c r="UET34" s="283"/>
      <c r="UEU34" s="283"/>
      <c r="UEV34" s="283"/>
      <c r="UEW34" s="283"/>
      <c r="UEX34" s="283"/>
      <c r="UEY34" s="283"/>
      <c r="UEZ34" s="283"/>
      <c r="UFA34" s="283"/>
      <c r="UFB34" s="283"/>
      <c r="UFC34" s="283"/>
      <c r="UFD34" s="283"/>
      <c r="UFE34" s="283"/>
      <c r="UFF34" s="283"/>
      <c r="UFG34" s="283"/>
      <c r="UFH34" s="283"/>
      <c r="UFI34" s="283"/>
      <c r="UFJ34" s="283"/>
      <c r="UFK34" s="283"/>
      <c r="UFL34" s="283"/>
      <c r="UFM34" s="283"/>
      <c r="UFN34" s="283"/>
      <c r="UFO34" s="283"/>
      <c r="UFP34" s="283"/>
      <c r="UFQ34" s="283"/>
      <c r="UFR34" s="283"/>
      <c r="UFS34" s="283"/>
      <c r="UFT34" s="283"/>
      <c r="UFU34" s="283"/>
      <c r="UFV34" s="283"/>
      <c r="UFW34" s="283"/>
      <c r="UFX34" s="283"/>
      <c r="UFY34" s="283"/>
      <c r="UFZ34" s="283"/>
      <c r="UGA34" s="283"/>
      <c r="UGB34" s="283"/>
      <c r="UGC34" s="283"/>
      <c r="UGD34" s="283"/>
      <c r="UGE34" s="283"/>
      <c r="UGF34" s="283"/>
      <c r="UGG34" s="283"/>
      <c r="UGH34" s="283"/>
      <c r="UGI34" s="283"/>
      <c r="UGJ34" s="283"/>
      <c r="UGK34" s="283"/>
      <c r="UGL34" s="283"/>
      <c r="UGM34" s="283"/>
      <c r="UGN34" s="283"/>
      <c r="UGO34" s="283"/>
      <c r="UGP34" s="283"/>
      <c r="UGQ34" s="283"/>
      <c r="UGR34" s="283"/>
      <c r="UGS34" s="283"/>
      <c r="UGT34" s="283"/>
      <c r="UGU34" s="283"/>
      <c r="UGV34" s="283"/>
      <c r="UGW34" s="283"/>
      <c r="UGX34" s="283"/>
      <c r="UGY34" s="283"/>
      <c r="UGZ34" s="283"/>
      <c r="UHA34" s="283"/>
      <c r="UHB34" s="283"/>
      <c r="UHC34" s="283"/>
      <c r="UHD34" s="283"/>
      <c r="UHE34" s="283"/>
      <c r="UHF34" s="283"/>
      <c r="UHG34" s="283"/>
      <c r="UHH34" s="283"/>
      <c r="UHI34" s="283"/>
      <c r="UHJ34" s="283"/>
      <c r="UHK34" s="283"/>
      <c r="UHL34" s="283"/>
      <c r="UHM34" s="283"/>
      <c r="UHN34" s="283"/>
      <c r="UHO34" s="283"/>
      <c r="UHP34" s="283"/>
      <c r="UHQ34" s="283"/>
      <c r="UHR34" s="283"/>
      <c r="UHS34" s="283"/>
      <c r="UHT34" s="283"/>
      <c r="UHU34" s="283"/>
      <c r="UHV34" s="283"/>
      <c r="UHW34" s="283"/>
      <c r="UHX34" s="283"/>
      <c r="UHY34" s="283"/>
      <c r="UHZ34" s="283"/>
      <c r="UIA34" s="283"/>
      <c r="UIB34" s="283"/>
      <c r="UIC34" s="283"/>
      <c r="UID34" s="283"/>
      <c r="UIE34" s="283"/>
      <c r="UIF34" s="283"/>
      <c r="UIG34" s="283"/>
      <c r="UIH34" s="283"/>
      <c r="UII34" s="283"/>
      <c r="UIJ34" s="283"/>
      <c r="UIK34" s="283"/>
      <c r="UIL34" s="283"/>
      <c r="UIM34" s="283"/>
      <c r="UIN34" s="283"/>
      <c r="UIO34" s="283"/>
      <c r="UIP34" s="283"/>
      <c r="UIQ34" s="283"/>
      <c r="UIR34" s="283"/>
      <c r="UIS34" s="283"/>
      <c r="UIT34" s="283"/>
      <c r="UIU34" s="283"/>
      <c r="UIV34" s="283"/>
      <c r="UIW34" s="283"/>
      <c r="UIX34" s="283"/>
      <c r="UIY34" s="283"/>
      <c r="UIZ34" s="283"/>
      <c r="UJA34" s="283"/>
      <c r="UJB34" s="283"/>
      <c r="UJC34" s="283"/>
      <c r="UJD34" s="283"/>
      <c r="UJE34" s="283"/>
      <c r="UJF34" s="283"/>
      <c r="UJG34" s="283"/>
      <c r="UJH34" s="283"/>
      <c r="UJI34" s="283"/>
      <c r="UJJ34" s="283"/>
      <c r="UJK34" s="283"/>
      <c r="UJL34" s="283"/>
      <c r="UJM34" s="283"/>
      <c r="UJN34" s="283"/>
      <c r="UJO34" s="283"/>
      <c r="UJP34" s="283"/>
      <c r="UJQ34" s="283"/>
      <c r="UJR34" s="283"/>
      <c r="UJS34" s="283"/>
      <c r="UJT34" s="283"/>
      <c r="UJU34" s="283"/>
      <c r="UJV34" s="283"/>
      <c r="UJW34" s="283"/>
      <c r="UJX34" s="283"/>
      <c r="UJY34" s="283"/>
      <c r="UJZ34" s="283"/>
      <c r="UKA34" s="283"/>
      <c r="UKB34" s="283"/>
      <c r="UKC34" s="283"/>
      <c r="UKD34" s="283"/>
      <c r="UKE34" s="283"/>
      <c r="UKF34" s="283"/>
      <c r="UKG34" s="283"/>
      <c r="UKH34" s="283"/>
      <c r="UKI34" s="283"/>
      <c r="UKJ34" s="283"/>
      <c r="UKK34" s="283"/>
      <c r="UKL34" s="283"/>
      <c r="UKM34" s="283"/>
      <c r="UKN34" s="283"/>
      <c r="UKO34" s="283"/>
      <c r="UKP34" s="283"/>
      <c r="UKQ34" s="283"/>
      <c r="UKR34" s="283"/>
      <c r="UKS34" s="283"/>
      <c r="UKT34" s="283"/>
      <c r="UKU34" s="283"/>
      <c r="UKV34" s="283"/>
      <c r="UKW34" s="283"/>
      <c r="UKX34" s="283"/>
      <c r="UKY34" s="283"/>
      <c r="UKZ34" s="283"/>
      <c r="ULA34" s="283"/>
      <c r="ULB34" s="283"/>
      <c r="ULC34" s="283"/>
      <c r="ULD34" s="283"/>
      <c r="ULE34" s="283"/>
      <c r="ULF34" s="283"/>
      <c r="ULG34" s="283"/>
      <c r="ULH34" s="283"/>
      <c r="ULI34" s="283"/>
      <c r="ULJ34" s="283"/>
      <c r="ULK34" s="283"/>
      <c r="ULL34" s="283"/>
      <c r="ULM34" s="283"/>
      <c r="ULN34" s="283"/>
      <c r="ULO34" s="283"/>
      <c r="ULP34" s="283"/>
      <c r="ULQ34" s="283"/>
      <c r="ULR34" s="283"/>
      <c r="ULS34" s="283"/>
      <c r="ULT34" s="283"/>
      <c r="ULU34" s="283"/>
      <c r="ULV34" s="283"/>
      <c r="ULW34" s="283"/>
      <c r="ULX34" s="283"/>
      <c r="ULY34" s="283"/>
      <c r="ULZ34" s="283"/>
      <c r="UMA34" s="283"/>
      <c r="UMB34" s="283"/>
      <c r="UMC34" s="283"/>
      <c r="UMD34" s="283"/>
      <c r="UME34" s="283"/>
      <c r="UMF34" s="283"/>
      <c r="UMG34" s="283"/>
      <c r="UMH34" s="283"/>
      <c r="UMI34" s="283"/>
      <c r="UMJ34" s="283"/>
      <c r="UMK34" s="283"/>
      <c r="UML34" s="283"/>
      <c r="UMM34" s="283"/>
      <c r="UMN34" s="283"/>
      <c r="UMO34" s="283"/>
      <c r="UMP34" s="283"/>
      <c r="UMQ34" s="283"/>
      <c r="UMR34" s="283"/>
      <c r="UMS34" s="283"/>
      <c r="UMT34" s="283"/>
      <c r="UMU34" s="283"/>
      <c r="UMV34" s="283"/>
      <c r="UMW34" s="283"/>
      <c r="UMX34" s="283"/>
      <c r="UMY34" s="283"/>
      <c r="UMZ34" s="283"/>
      <c r="UNA34" s="283"/>
      <c r="UNB34" s="283"/>
      <c r="UNC34" s="283"/>
      <c r="UND34" s="283"/>
      <c r="UNE34" s="283"/>
      <c r="UNF34" s="283"/>
      <c r="UNG34" s="283"/>
      <c r="UNH34" s="283"/>
      <c r="UNI34" s="283"/>
      <c r="UNJ34" s="283"/>
      <c r="UNK34" s="283"/>
      <c r="UNL34" s="283"/>
      <c r="UNM34" s="283"/>
      <c r="UNN34" s="283"/>
      <c r="UNO34" s="283"/>
      <c r="UNP34" s="283"/>
      <c r="UNQ34" s="283"/>
      <c r="UNR34" s="283"/>
      <c r="UNS34" s="283"/>
      <c r="UNT34" s="283"/>
      <c r="UNU34" s="283"/>
      <c r="UNV34" s="283"/>
      <c r="UNW34" s="283"/>
      <c r="UNX34" s="283"/>
      <c r="UNY34" s="283"/>
      <c r="UNZ34" s="283"/>
      <c r="UOA34" s="283"/>
      <c r="UOB34" s="283"/>
      <c r="UOC34" s="283"/>
      <c r="UOD34" s="283"/>
      <c r="UOE34" s="283"/>
      <c r="UOF34" s="283"/>
      <c r="UOG34" s="283"/>
      <c r="UOH34" s="283"/>
      <c r="UOI34" s="283"/>
      <c r="UOJ34" s="283"/>
      <c r="UOK34" s="283"/>
      <c r="UOL34" s="283"/>
      <c r="UOM34" s="283"/>
      <c r="UON34" s="283"/>
      <c r="UOO34" s="283"/>
      <c r="UOP34" s="283"/>
      <c r="UOQ34" s="283"/>
      <c r="UOR34" s="283"/>
      <c r="UOS34" s="283"/>
      <c r="UOT34" s="283"/>
      <c r="UOU34" s="283"/>
      <c r="UOV34" s="283"/>
      <c r="UOW34" s="283"/>
      <c r="UOX34" s="283"/>
      <c r="UOY34" s="283"/>
      <c r="UOZ34" s="283"/>
      <c r="UPA34" s="283"/>
      <c r="UPB34" s="283"/>
      <c r="UPC34" s="283"/>
      <c r="UPD34" s="283"/>
      <c r="UPE34" s="283"/>
      <c r="UPF34" s="283"/>
      <c r="UPG34" s="283"/>
      <c r="UPH34" s="283"/>
      <c r="UPI34" s="283"/>
      <c r="UPJ34" s="283"/>
      <c r="UPK34" s="283"/>
      <c r="UPL34" s="283"/>
      <c r="UPM34" s="283"/>
      <c r="UPN34" s="283"/>
      <c r="UPO34" s="283"/>
      <c r="UPP34" s="283"/>
      <c r="UPQ34" s="283"/>
      <c r="UPR34" s="283"/>
      <c r="UPS34" s="283"/>
      <c r="UPT34" s="283"/>
      <c r="UPU34" s="283"/>
      <c r="UPV34" s="283"/>
      <c r="UPW34" s="283"/>
      <c r="UPX34" s="283"/>
      <c r="UPY34" s="283"/>
      <c r="UPZ34" s="283"/>
      <c r="UQA34" s="283"/>
      <c r="UQB34" s="283"/>
      <c r="UQC34" s="283"/>
      <c r="UQD34" s="283"/>
      <c r="UQE34" s="283"/>
      <c r="UQF34" s="283"/>
      <c r="UQG34" s="283"/>
      <c r="UQH34" s="283"/>
      <c r="UQI34" s="283"/>
      <c r="UQJ34" s="283"/>
      <c r="UQK34" s="283"/>
      <c r="UQL34" s="283"/>
      <c r="UQM34" s="283"/>
      <c r="UQN34" s="283"/>
      <c r="UQO34" s="283"/>
      <c r="UQP34" s="283"/>
      <c r="UQQ34" s="283"/>
      <c r="UQR34" s="283"/>
      <c r="UQS34" s="283"/>
      <c r="UQT34" s="283"/>
      <c r="UQU34" s="283"/>
      <c r="UQV34" s="283"/>
      <c r="UQW34" s="283"/>
      <c r="UQX34" s="283"/>
      <c r="UQY34" s="283"/>
      <c r="UQZ34" s="283"/>
      <c r="URA34" s="283"/>
      <c r="URB34" s="283"/>
      <c r="URC34" s="283"/>
      <c r="URD34" s="283"/>
      <c r="URE34" s="283"/>
      <c r="URF34" s="283"/>
      <c r="URG34" s="283"/>
      <c r="URH34" s="283"/>
      <c r="URI34" s="283"/>
      <c r="URJ34" s="283"/>
      <c r="URK34" s="283"/>
      <c r="URL34" s="283"/>
      <c r="URM34" s="283"/>
      <c r="URN34" s="283"/>
      <c r="URO34" s="283"/>
      <c r="URP34" s="283"/>
      <c r="URQ34" s="283"/>
      <c r="URR34" s="283"/>
      <c r="URS34" s="283"/>
      <c r="URT34" s="283"/>
      <c r="URU34" s="283"/>
      <c r="URV34" s="283"/>
      <c r="URW34" s="283"/>
      <c r="URX34" s="283"/>
      <c r="URY34" s="283"/>
      <c r="URZ34" s="283"/>
      <c r="USA34" s="283"/>
      <c r="USB34" s="283"/>
      <c r="USC34" s="283"/>
      <c r="USD34" s="283"/>
      <c r="USE34" s="283"/>
      <c r="USF34" s="283"/>
      <c r="USG34" s="283"/>
      <c r="USH34" s="283"/>
      <c r="USI34" s="283"/>
      <c r="USJ34" s="283"/>
      <c r="USK34" s="283"/>
      <c r="USL34" s="283"/>
      <c r="USM34" s="283"/>
      <c r="USN34" s="283"/>
      <c r="USO34" s="283"/>
      <c r="USP34" s="283"/>
      <c r="USQ34" s="283"/>
      <c r="USR34" s="283"/>
      <c r="USS34" s="283"/>
      <c r="UST34" s="283"/>
      <c r="USU34" s="283"/>
      <c r="USV34" s="283"/>
      <c r="USW34" s="283"/>
      <c r="USX34" s="283"/>
      <c r="USY34" s="283"/>
      <c r="USZ34" s="283"/>
      <c r="UTA34" s="283"/>
      <c r="UTB34" s="283"/>
      <c r="UTC34" s="283"/>
      <c r="UTD34" s="283"/>
      <c r="UTE34" s="283"/>
      <c r="UTF34" s="283"/>
      <c r="UTG34" s="283"/>
      <c r="UTH34" s="283"/>
      <c r="UTI34" s="283"/>
      <c r="UTJ34" s="283"/>
      <c r="UTK34" s="283"/>
      <c r="UTL34" s="283"/>
      <c r="UTM34" s="283"/>
      <c r="UTN34" s="283"/>
      <c r="UTO34" s="283"/>
      <c r="UTP34" s="283"/>
      <c r="UTQ34" s="283"/>
      <c r="UTR34" s="283"/>
      <c r="UTS34" s="283"/>
      <c r="UTT34" s="283"/>
      <c r="UTU34" s="283"/>
      <c r="UTV34" s="283"/>
      <c r="UTW34" s="283"/>
      <c r="UTX34" s="283"/>
      <c r="UTY34" s="283"/>
      <c r="UTZ34" s="283"/>
      <c r="UUA34" s="283"/>
      <c r="UUB34" s="283"/>
      <c r="UUC34" s="283"/>
      <c r="UUD34" s="283"/>
      <c r="UUE34" s="283"/>
      <c r="UUF34" s="283"/>
      <c r="UUG34" s="283"/>
      <c r="UUH34" s="283"/>
      <c r="UUI34" s="283"/>
      <c r="UUJ34" s="283"/>
      <c r="UUK34" s="283"/>
      <c r="UUL34" s="283"/>
      <c r="UUM34" s="283"/>
      <c r="UUN34" s="283"/>
      <c r="UUO34" s="283"/>
      <c r="UUP34" s="283"/>
      <c r="UUQ34" s="283"/>
      <c r="UUR34" s="283"/>
      <c r="UUS34" s="283"/>
      <c r="UUT34" s="283"/>
      <c r="UUU34" s="283"/>
      <c r="UUV34" s="283"/>
      <c r="UUW34" s="283"/>
      <c r="UUX34" s="283"/>
      <c r="UUY34" s="283"/>
      <c r="UUZ34" s="283"/>
      <c r="UVA34" s="283"/>
      <c r="UVB34" s="283"/>
      <c r="UVC34" s="283"/>
      <c r="UVD34" s="283"/>
      <c r="UVE34" s="283"/>
      <c r="UVF34" s="283"/>
      <c r="UVG34" s="283"/>
      <c r="UVH34" s="283"/>
      <c r="UVI34" s="283"/>
      <c r="UVJ34" s="283"/>
      <c r="UVK34" s="283"/>
      <c r="UVL34" s="283"/>
      <c r="UVM34" s="283"/>
      <c r="UVN34" s="283"/>
      <c r="UVO34" s="283"/>
      <c r="UVP34" s="283"/>
      <c r="UVQ34" s="283"/>
      <c r="UVR34" s="283"/>
      <c r="UVS34" s="283"/>
      <c r="UVT34" s="283"/>
      <c r="UVU34" s="283"/>
      <c r="UVV34" s="283"/>
      <c r="UVW34" s="283"/>
      <c r="UVX34" s="283"/>
      <c r="UVY34" s="283"/>
      <c r="UVZ34" s="283"/>
      <c r="UWA34" s="283"/>
      <c r="UWB34" s="283"/>
      <c r="UWC34" s="283"/>
      <c r="UWD34" s="283"/>
      <c r="UWE34" s="283"/>
      <c r="UWF34" s="283"/>
      <c r="UWG34" s="283"/>
      <c r="UWH34" s="283"/>
      <c r="UWI34" s="283"/>
      <c r="UWJ34" s="283"/>
      <c r="UWK34" s="283"/>
      <c r="UWL34" s="283"/>
      <c r="UWM34" s="283"/>
      <c r="UWN34" s="283"/>
      <c r="UWO34" s="283"/>
      <c r="UWP34" s="283"/>
      <c r="UWQ34" s="283"/>
      <c r="UWR34" s="283"/>
      <c r="UWS34" s="283"/>
      <c r="UWT34" s="283"/>
      <c r="UWU34" s="283"/>
      <c r="UWV34" s="283"/>
      <c r="UWW34" s="283"/>
      <c r="UWX34" s="283"/>
      <c r="UWY34" s="283"/>
      <c r="UWZ34" s="283"/>
      <c r="UXA34" s="283"/>
      <c r="UXB34" s="283"/>
      <c r="UXC34" s="283"/>
      <c r="UXD34" s="283"/>
      <c r="UXE34" s="283"/>
      <c r="UXF34" s="283"/>
      <c r="UXG34" s="283"/>
      <c r="UXH34" s="283"/>
      <c r="UXI34" s="283"/>
      <c r="UXJ34" s="283"/>
      <c r="UXK34" s="283"/>
      <c r="UXL34" s="283"/>
      <c r="UXM34" s="283"/>
      <c r="UXN34" s="283"/>
      <c r="UXO34" s="283"/>
      <c r="UXP34" s="283"/>
      <c r="UXQ34" s="283"/>
      <c r="UXR34" s="283"/>
      <c r="UXS34" s="283"/>
      <c r="UXT34" s="283"/>
      <c r="UXU34" s="283"/>
      <c r="UXV34" s="283"/>
      <c r="UXW34" s="283"/>
      <c r="UXX34" s="283"/>
      <c r="UXY34" s="283"/>
      <c r="UXZ34" s="283"/>
      <c r="UYA34" s="283"/>
      <c r="UYB34" s="283"/>
      <c r="UYC34" s="283"/>
      <c r="UYD34" s="283"/>
      <c r="UYE34" s="283"/>
      <c r="UYF34" s="283"/>
      <c r="UYG34" s="283"/>
      <c r="UYH34" s="283"/>
      <c r="UYI34" s="283"/>
      <c r="UYJ34" s="283"/>
      <c r="UYK34" s="283"/>
      <c r="UYL34" s="283"/>
      <c r="UYM34" s="283"/>
      <c r="UYN34" s="283"/>
      <c r="UYO34" s="283"/>
      <c r="UYP34" s="283"/>
      <c r="UYQ34" s="283"/>
      <c r="UYR34" s="283"/>
      <c r="UYS34" s="283"/>
      <c r="UYT34" s="283"/>
      <c r="UYU34" s="283"/>
      <c r="UYV34" s="283"/>
      <c r="UYW34" s="283"/>
      <c r="UYX34" s="283"/>
      <c r="UYY34" s="283"/>
      <c r="UYZ34" s="283"/>
      <c r="UZA34" s="283"/>
      <c r="UZB34" s="283"/>
      <c r="UZC34" s="283"/>
      <c r="UZD34" s="283"/>
      <c r="UZE34" s="283"/>
      <c r="UZF34" s="283"/>
      <c r="UZG34" s="283"/>
      <c r="UZH34" s="283"/>
      <c r="UZI34" s="283"/>
      <c r="UZJ34" s="283"/>
      <c r="UZK34" s="283"/>
      <c r="UZL34" s="283"/>
      <c r="UZM34" s="283"/>
      <c r="UZN34" s="283"/>
      <c r="UZO34" s="283"/>
      <c r="UZP34" s="283"/>
      <c r="UZQ34" s="283"/>
      <c r="UZR34" s="283"/>
      <c r="UZS34" s="283"/>
      <c r="UZT34" s="283"/>
      <c r="UZU34" s="283"/>
      <c r="UZV34" s="283"/>
      <c r="UZW34" s="283"/>
      <c r="UZX34" s="283"/>
      <c r="UZY34" s="283"/>
      <c r="UZZ34" s="283"/>
      <c r="VAA34" s="283"/>
      <c r="VAB34" s="283"/>
      <c r="VAC34" s="283"/>
      <c r="VAD34" s="283"/>
      <c r="VAE34" s="283"/>
      <c r="VAF34" s="283"/>
      <c r="VAG34" s="283"/>
      <c r="VAH34" s="283"/>
      <c r="VAI34" s="283"/>
      <c r="VAJ34" s="283"/>
      <c r="VAK34" s="283"/>
      <c r="VAL34" s="283"/>
      <c r="VAM34" s="283"/>
      <c r="VAN34" s="283"/>
      <c r="VAO34" s="283"/>
      <c r="VAP34" s="283"/>
      <c r="VAQ34" s="283"/>
      <c r="VAR34" s="283"/>
      <c r="VAS34" s="283"/>
      <c r="VAT34" s="283"/>
      <c r="VAU34" s="283"/>
      <c r="VAV34" s="283"/>
      <c r="VAW34" s="283"/>
      <c r="VAX34" s="283"/>
      <c r="VAY34" s="283"/>
      <c r="VAZ34" s="283"/>
      <c r="VBA34" s="283"/>
      <c r="VBB34" s="283"/>
      <c r="VBC34" s="283"/>
      <c r="VBD34" s="283"/>
      <c r="VBE34" s="283"/>
      <c r="VBF34" s="283"/>
      <c r="VBG34" s="283"/>
      <c r="VBH34" s="283"/>
      <c r="VBI34" s="283"/>
      <c r="VBJ34" s="283"/>
      <c r="VBK34" s="283"/>
      <c r="VBL34" s="283"/>
      <c r="VBM34" s="283"/>
      <c r="VBN34" s="283"/>
      <c r="VBO34" s="283"/>
      <c r="VBP34" s="283"/>
      <c r="VBQ34" s="283"/>
      <c r="VBR34" s="283"/>
      <c r="VBS34" s="283"/>
      <c r="VBT34" s="283"/>
      <c r="VBU34" s="283"/>
      <c r="VBV34" s="283"/>
      <c r="VBW34" s="283"/>
      <c r="VBX34" s="283"/>
      <c r="VBY34" s="283"/>
      <c r="VBZ34" s="283"/>
      <c r="VCA34" s="283"/>
      <c r="VCB34" s="283"/>
      <c r="VCC34" s="283"/>
      <c r="VCD34" s="283"/>
      <c r="VCE34" s="283"/>
      <c r="VCF34" s="283"/>
      <c r="VCG34" s="283"/>
      <c r="VCH34" s="283"/>
      <c r="VCI34" s="283"/>
      <c r="VCJ34" s="283"/>
      <c r="VCK34" s="283"/>
      <c r="VCL34" s="283"/>
      <c r="VCM34" s="283"/>
      <c r="VCN34" s="283"/>
      <c r="VCO34" s="283"/>
      <c r="VCP34" s="283"/>
      <c r="VCQ34" s="283"/>
      <c r="VCR34" s="283"/>
      <c r="VCS34" s="283"/>
      <c r="VCT34" s="283"/>
      <c r="VCU34" s="283"/>
      <c r="VCV34" s="283"/>
      <c r="VCW34" s="283"/>
      <c r="VCX34" s="283"/>
      <c r="VCY34" s="283"/>
      <c r="VCZ34" s="283"/>
      <c r="VDA34" s="283"/>
      <c r="VDB34" s="283"/>
      <c r="VDC34" s="283"/>
      <c r="VDD34" s="283"/>
      <c r="VDE34" s="283"/>
      <c r="VDF34" s="283"/>
      <c r="VDG34" s="283"/>
      <c r="VDH34" s="283"/>
      <c r="VDI34" s="283"/>
      <c r="VDJ34" s="283"/>
      <c r="VDK34" s="283"/>
      <c r="VDL34" s="283"/>
      <c r="VDM34" s="283"/>
      <c r="VDN34" s="283"/>
      <c r="VDO34" s="283"/>
      <c r="VDP34" s="283"/>
      <c r="VDQ34" s="283"/>
      <c r="VDR34" s="283"/>
      <c r="VDS34" s="283"/>
      <c r="VDT34" s="283"/>
      <c r="VDU34" s="283"/>
      <c r="VDV34" s="283"/>
      <c r="VDW34" s="283"/>
      <c r="VDX34" s="283"/>
      <c r="VDY34" s="283"/>
      <c r="VDZ34" s="283"/>
      <c r="VEA34" s="283"/>
      <c r="VEB34" s="283"/>
      <c r="VEC34" s="283"/>
      <c r="VED34" s="283"/>
      <c r="VEE34" s="283"/>
      <c r="VEF34" s="283"/>
      <c r="VEG34" s="283"/>
      <c r="VEH34" s="283"/>
      <c r="VEI34" s="283"/>
      <c r="VEJ34" s="283"/>
      <c r="VEK34" s="283"/>
      <c r="VEL34" s="283"/>
      <c r="VEM34" s="283"/>
      <c r="VEN34" s="283"/>
      <c r="VEO34" s="283"/>
      <c r="VEP34" s="283"/>
      <c r="VEQ34" s="283"/>
      <c r="VER34" s="283"/>
      <c r="VES34" s="283"/>
      <c r="VET34" s="283"/>
      <c r="VEU34" s="283"/>
      <c r="VEV34" s="283"/>
      <c r="VEW34" s="283"/>
      <c r="VEX34" s="283"/>
      <c r="VEY34" s="283"/>
      <c r="VEZ34" s="283"/>
      <c r="VFA34" s="283"/>
      <c r="VFB34" s="283"/>
      <c r="VFC34" s="283"/>
      <c r="VFD34" s="283"/>
      <c r="VFE34" s="283"/>
      <c r="VFF34" s="283"/>
      <c r="VFG34" s="283"/>
      <c r="VFH34" s="283"/>
      <c r="VFI34" s="283"/>
      <c r="VFJ34" s="283"/>
      <c r="VFK34" s="283"/>
      <c r="VFL34" s="283"/>
      <c r="VFM34" s="283"/>
      <c r="VFN34" s="283"/>
      <c r="VFO34" s="283"/>
      <c r="VFP34" s="283"/>
      <c r="VFQ34" s="283"/>
      <c r="VFR34" s="283"/>
      <c r="VFS34" s="283"/>
      <c r="VFT34" s="283"/>
      <c r="VFU34" s="283"/>
      <c r="VFV34" s="283"/>
      <c r="VFW34" s="283"/>
      <c r="VFX34" s="283"/>
      <c r="VFY34" s="283"/>
      <c r="VFZ34" s="283"/>
      <c r="VGA34" s="283"/>
      <c r="VGB34" s="283"/>
      <c r="VGC34" s="283"/>
      <c r="VGD34" s="283"/>
      <c r="VGE34" s="283"/>
      <c r="VGF34" s="283"/>
      <c r="VGG34" s="283"/>
      <c r="VGH34" s="283"/>
      <c r="VGI34" s="283"/>
      <c r="VGJ34" s="283"/>
      <c r="VGK34" s="283"/>
      <c r="VGL34" s="283"/>
      <c r="VGM34" s="283"/>
      <c r="VGN34" s="283"/>
      <c r="VGO34" s="283"/>
      <c r="VGP34" s="283"/>
      <c r="VGQ34" s="283"/>
      <c r="VGR34" s="283"/>
      <c r="VGS34" s="283"/>
      <c r="VGT34" s="283"/>
      <c r="VGU34" s="283"/>
      <c r="VGV34" s="283"/>
      <c r="VGW34" s="283"/>
      <c r="VGX34" s="283"/>
      <c r="VGY34" s="283"/>
      <c r="VGZ34" s="283"/>
      <c r="VHA34" s="283"/>
      <c r="VHB34" s="283"/>
      <c r="VHC34" s="283"/>
      <c r="VHD34" s="283"/>
      <c r="VHE34" s="283"/>
      <c r="VHF34" s="283"/>
      <c r="VHG34" s="283"/>
      <c r="VHH34" s="283"/>
      <c r="VHI34" s="283"/>
      <c r="VHJ34" s="283"/>
      <c r="VHK34" s="283"/>
      <c r="VHL34" s="283"/>
      <c r="VHM34" s="283"/>
      <c r="VHN34" s="283"/>
      <c r="VHO34" s="283"/>
      <c r="VHP34" s="283"/>
      <c r="VHQ34" s="283"/>
      <c r="VHR34" s="283"/>
      <c r="VHS34" s="283"/>
      <c r="VHT34" s="283"/>
      <c r="VHU34" s="283"/>
      <c r="VHV34" s="283"/>
      <c r="VHW34" s="283"/>
      <c r="VHX34" s="283"/>
      <c r="VHY34" s="283"/>
      <c r="VHZ34" s="283"/>
      <c r="VIA34" s="283"/>
      <c r="VIB34" s="283"/>
      <c r="VIC34" s="283"/>
      <c r="VID34" s="283"/>
      <c r="VIE34" s="283"/>
      <c r="VIF34" s="283"/>
      <c r="VIG34" s="283"/>
      <c r="VIH34" s="283"/>
      <c r="VII34" s="283"/>
      <c r="VIJ34" s="283"/>
      <c r="VIK34" s="283"/>
      <c r="VIL34" s="283"/>
      <c r="VIM34" s="283"/>
      <c r="VIN34" s="283"/>
      <c r="VIO34" s="283"/>
      <c r="VIP34" s="283"/>
      <c r="VIQ34" s="283"/>
      <c r="VIR34" s="283"/>
      <c r="VIS34" s="283"/>
      <c r="VIT34" s="283"/>
      <c r="VIU34" s="283"/>
      <c r="VIV34" s="283"/>
      <c r="VIW34" s="283"/>
      <c r="VIX34" s="283"/>
      <c r="VIY34" s="283"/>
      <c r="VIZ34" s="283"/>
      <c r="VJA34" s="283"/>
      <c r="VJB34" s="283"/>
      <c r="VJC34" s="283"/>
      <c r="VJD34" s="283"/>
      <c r="VJE34" s="283"/>
      <c r="VJF34" s="283"/>
      <c r="VJG34" s="283"/>
      <c r="VJH34" s="283"/>
      <c r="VJI34" s="283"/>
      <c r="VJJ34" s="283"/>
      <c r="VJK34" s="283"/>
      <c r="VJL34" s="283"/>
      <c r="VJM34" s="283"/>
      <c r="VJN34" s="283"/>
      <c r="VJO34" s="283"/>
      <c r="VJP34" s="283"/>
      <c r="VJQ34" s="283"/>
      <c r="VJR34" s="283"/>
      <c r="VJS34" s="283"/>
      <c r="VJT34" s="283"/>
      <c r="VJU34" s="283"/>
      <c r="VJV34" s="283"/>
      <c r="VJW34" s="283"/>
      <c r="VJX34" s="283"/>
      <c r="VJY34" s="283"/>
      <c r="VJZ34" s="283"/>
      <c r="VKA34" s="283"/>
      <c r="VKB34" s="283"/>
      <c r="VKC34" s="283"/>
      <c r="VKD34" s="283"/>
      <c r="VKE34" s="283"/>
      <c r="VKF34" s="283"/>
      <c r="VKG34" s="283"/>
      <c r="VKH34" s="283"/>
      <c r="VKI34" s="283"/>
      <c r="VKJ34" s="283"/>
      <c r="VKK34" s="283"/>
      <c r="VKL34" s="283"/>
      <c r="VKM34" s="283"/>
      <c r="VKN34" s="283"/>
      <c r="VKO34" s="283"/>
      <c r="VKP34" s="283"/>
      <c r="VKQ34" s="283"/>
      <c r="VKR34" s="283"/>
      <c r="VKS34" s="283"/>
      <c r="VKT34" s="283"/>
      <c r="VKU34" s="283"/>
      <c r="VKV34" s="283"/>
      <c r="VKW34" s="283"/>
      <c r="VKX34" s="283"/>
      <c r="VKY34" s="283"/>
      <c r="VKZ34" s="283"/>
      <c r="VLA34" s="283"/>
      <c r="VLB34" s="283"/>
      <c r="VLC34" s="283"/>
      <c r="VLD34" s="283"/>
      <c r="VLE34" s="283"/>
      <c r="VLF34" s="283"/>
      <c r="VLG34" s="283"/>
      <c r="VLH34" s="283"/>
      <c r="VLI34" s="283"/>
      <c r="VLJ34" s="283"/>
      <c r="VLK34" s="283"/>
      <c r="VLL34" s="283"/>
      <c r="VLM34" s="283"/>
      <c r="VLN34" s="283"/>
      <c r="VLO34" s="283"/>
      <c r="VLP34" s="283"/>
      <c r="VLQ34" s="283"/>
      <c r="VLR34" s="283"/>
      <c r="VLS34" s="283"/>
      <c r="VLT34" s="283"/>
      <c r="VLU34" s="283"/>
      <c r="VLV34" s="283"/>
      <c r="VLW34" s="283"/>
      <c r="VLX34" s="283"/>
      <c r="VLY34" s="283"/>
      <c r="VLZ34" s="283"/>
      <c r="VMA34" s="283"/>
      <c r="VMB34" s="283"/>
      <c r="VMC34" s="283"/>
      <c r="VMD34" s="283"/>
      <c r="VME34" s="283"/>
      <c r="VMF34" s="283"/>
      <c r="VMG34" s="283"/>
      <c r="VMH34" s="283"/>
      <c r="VMI34" s="283"/>
      <c r="VMJ34" s="283"/>
      <c r="VMK34" s="283"/>
      <c r="VML34" s="283"/>
      <c r="VMM34" s="283"/>
      <c r="VMN34" s="283"/>
      <c r="VMO34" s="283"/>
      <c r="VMP34" s="283"/>
      <c r="VMQ34" s="283"/>
      <c r="VMR34" s="283"/>
      <c r="VMS34" s="283"/>
      <c r="VMT34" s="283"/>
      <c r="VMU34" s="283"/>
      <c r="VMV34" s="283"/>
      <c r="VMW34" s="283"/>
      <c r="VMX34" s="283"/>
      <c r="VMY34" s="283"/>
      <c r="VMZ34" s="283"/>
      <c r="VNA34" s="283"/>
      <c r="VNB34" s="283"/>
      <c r="VNC34" s="283"/>
      <c r="VND34" s="283"/>
      <c r="VNE34" s="283"/>
      <c r="VNF34" s="283"/>
      <c r="VNG34" s="283"/>
      <c r="VNH34" s="283"/>
      <c r="VNI34" s="283"/>
      <c r="VNJ34" s="283"/>
      <c r="VNK34" s="283"/>
      <c r="VNL34" s="283"/>
      <c r="VNM34" s="283"/>
      <c r="VNN34" s="283"/>
      <c r="VNO34" s="283"/>
      <c r="VNP34" s="283"/>
      <c r="VNQ34" s="283"/>
      <c r="VNR34" s="283"/>
      <c r="VNS34" s="283"/>
      <c r="VNT34" s="283"/>
      <c r="VNU34" s="283"/>
      <c r="VNV34" s="283"/>
      <c r="VNW34" s="283"/>
      <c r="VNX34" s="283"/>
      <c r="VNY34" s="283"/>
      <c r="VNZ34" s="283"/>
      <c r="VOA34" s="283"/>
      <c r="VOB34" s="283"/>
      <c r="VOC34" s="283"/>
      <c r="VOD34" s="283"/>
      <c r="VOE34" s="283"/>
      <c r="VOF34" s="283"/>
      <c r="VOG34" s="283"/>
      <c r="VOH34" s="283"/>
      <c r="VOI34" s="283"/>
      <c r="VOJ34" s="283"/>
      <c r="VOK34" s="283"/>
      <c r="VOL34" s="283"/>
      <c r="VOM34" s="283"/>
      <c r="VON34" s="283"/>
      <c r="VOO34" s="283"/>
      <c r="VOP34" s="283"/>
      <c r="VOQ34" s="283"/>
      <c r="VOR34" s="283"/>
      <c r="VOS34" s="283"/>
      <c r="VOT34" s="283"/>
      <c r="VOU34" s="283"/>
      <c r="VOV34" s="283"/>
      <c r="VOW34" s="283"/>
      <c r="VOX34" s="283"/>
      <c r="VOY34" s="283"/>
      <c r="VOZ34" s="283"/>
      <c r="VPA34" s="283"/>
      <c r="VPB34" s="283"/>
      <c r="VPC34" s="283"/>
      <c r="VPD34" s="283"/>
      <c r="VPE34" s="283"/>
      <c r="VPF34" s="283"/>
      <c r="VPG34" s="283"/>
      <c r="VPH34" s="283"/>
      <c r="VPI34" s="283"/>
      <c r="VPJ34" s="283"/>
      <c r="VPK34" s="283"/>
      <c r="VPL34" s="283"/>
      <c r="VPM34" s="283"/>
      <c r="VPN34" s="283"/>
      <c r="VPO34" s="283"/>
      <c r="VPP34" s="283"/>
      <c r="VPQ34" s="283"/>
      <c r="VPR34" s="283"/>
      <c r="VPS34" s="283"/>
      <c r="VPT34" s="283"/>
      <c r="VPU34" s="283"/>
      <c r="VPV34" s="283"/>
      <c r="VPW34" s="283"/>
      <c r="VPX34" s="283"/>
      <c r="VPY34" s="283"/>
      <c r="VPZ34" s="283"/>
      <c r="VQA34" s="283"/>
      <c r="VQB34" s="283"/>
      <c r="VQC34" s="283"/>
      <c r="VQD34" s="283"/>
      <c r="VQE34" s="283"/>
      <c r="VQF34" s="283"/>
      <c r="VQG34" s="283"/>
      <c r="VQH34" s="283"/>
      <c r="VQI34" s="283"/>
      <c r="VQJ34" s="283"/>
      <c r="VQK34" s="283"/>
      <c r="VQL34" s="283"/>
      <c r="VQM34" s="283"/>
      <c r="VQN34" s="283"/>
      <c r="VQO34" s="283"/>
      <c r="VQP34" s="283"/>
      <c r="VQQ34" s="283"/>
      <c r="VQR34" s="283"/>
      <c r="VQS34" s="283"/>
      <c r="VQT34" s="283"/>
      <c r="VQU34" s="283"/>
      <c r="VQV34" s="283"/>
      <c r="VQW34" s="283"/>
      <c r="VQX34" s="283"/>
      <c r="VQY34" s="283"/>
      <c r="VQZ34" s="283"/>
      <c r="VRA34" s="283"/>
      <c r="VRB34" s="283"/>
      <c r="VRC34" s="283"/>
      <c r="VRD34" s="283"/>
      <c r="VRE34" s="283"/>
      <c r="VRF34" s="283"/>
      <c r="VRG34" s="283"/>
      <c r="VRH34" s="283"/>
      <c r="VRI34" s="283"/>
      <c r="VRJ34" s="283"/>
      <c r="VRK34" s="283"/>
      <c r="VRL34" s="283"/>
      <c r="VRM34" s="283"/>
      <c r="VRN34" s="283"/>
      <c r="VRO34" s="283"/>
      <c r="VRP34" s="283"/>
      <c r="VRQ34" s="283"/>
      <c r="VRR34" s="283"/>
      <c r="VRS34" s="283"/>
      <c r="VRT34" s="283"/>
      <c r="VRU34" s="283"/>
      <c r="VRV34" s="283"/>
      <c r="VRW34" s="283"/>
      <c r="VRX34" s="283"/>
      <c r="VRY34" s="283"/>
      <c r="VRZ34" s="283"/>
      <c r="VSA34" s="283"/>
      <c r="VSB34" s="283"/>
      <c r="VSC34" s="283"/>
      <c r="VSD34" s="283"/>
      <c r="VSE34" s="283"/>
      <c r="VSF34" s="283"/>
      <c r="VSG34" s="283"/>
      <c r="VSH34" s="283"/>
      <c r="VSI34" s="283"/>
      <c r="VSJ34" s="283"/>
      <c r="VSK34" s="283"/>
      <c r="VSL34" s="283"/>
      <c r="VSM34" s="283"/>
      <c r="VSN34" s="283"/>
      <c r="VSO34" s="283"/>
      <c r="VSP34" s="283"/>
      <c r="VSQ34" s="283"/>
      <c r="VSR34" s="283"/>
      <c r="VSS34" s="283"/>
      <c r="VST34" s="283"/>
      <c r="VSU34" s="283"/>
      <c r="VSV34" s="283"/>
      <c r="VSW34" s="283"/>
      <c r="VSX34" s="283"/>
      <c r="VSY34" s="283"/>
      <c r="VSZ34" s="283"/>
      <c r="VTA34" s="283"/>
      <c r="VTB34" s="283"/>
      <c r="VTC34" s="283"/>
      <c r="VTD34" s="283"/>
      <c r="VTE34" s="283"/>
      <c r="VTF34" s="283"/>
      <c r="VTG34" s="283"/>
      <c r="VTH34" s="283"/>
      <c r="VTI34" s="283"/>
      <c r="VTJ34" s="283"/>
      <c r="VTK34" s="283"/>
      <c r="VTL34" s="283"/>
      <c r="VTM34" s="283"/>
      <c r="VTN34" s="283"/>
      <c r="VTO34" s="283"/>
      <c r="VTP34" s="283"/>
      <c r="VTQ34" s="283"/>
      <c r="VTR34" s="283"/>
      <c r="VTS34" s="283"/>
      <c r="VTT34" s="283"/>
      <c r="VTU34" s="283"/>
      <c r="VTV34" s="283"/>
      <c r="VTW34" s="283"/>
      <c r="VTX34" s="283"/>
      <c r="VTY34" s="283"/>
      <c r="VTZ34" s="283"/>
      <c r="VUA34" s="283"/>
      <c r="VUB34" s="283"/>
      <c r="VUC34" s="283"/>
      <c r="VUD34" s="283"/>
      <c r="VUE34" s="283"/>
      <c r="VUF34" s="283"/>
      <c r="VUG34" s="283"/>
      <c r="VUH34" s="283"/>
      <c r="VUI34" s="283"/>
      <c r="VUJ34" s="283"/>
      <c r="VUK34" s="283"/>
      <c r="VUL34" s="283"/>
      <c r="VUM34" s="283"/>
      <c r="VUN34" s="283"/>
      <c r="VUO34" s="283"/>
      <c r="VUP34" s="283"/>
      <c r="VUQ34" s="283"/>
      <c r="VUR34" s="283"/>
      <c r="VUS34" s="283"/>
      <c r="VUT34" s="283"/>
      <c r="VUU34" s="283"/>
      <c r="VUV34" s="283"/>
      <c r="VUW34" s="283"/>
      <c r="VUX34" s="283"/>
      <c r="VUY34" s="283"/>
      <c r="VUZ34" s="283"/>
      <c r="VVA34" s="283"/>
      <c r="VVB34" s="283"/>
      <c r="VVC34" s="283"/>
      <c r="VVD34" s="283"/>
      <c r="VVE34" s="283"/>
      <c r="VVF34" s="283"/>
      <c r="VVG34" s="283"/>
      <c r="VVH34" s="283"/>
      <c r="VVI34" s="283"/>
      <c r="VVJ34" s="283"/>
      <c r="VVK34" s="283"/>
      <c r="VVL34" s="283"/>
      <c r="VVM34" s="283"/>
      <c r="VVN34" s="283"/>
      <c r="VVO34" s="283"/>
      <c r="VVP34" s="283"/>
      <c r="VVQ34" s="283"/>
      <c r="VVR34" s="283"/>
      <c r="VVS34" s="283"/>
      <c r="VVT34" s="283"/>
      <c r="VVU34" s="283"/>
      <c r="VVV34" s="283"/>
      <c r="VVW34" s="283"/>
      <c r="VVX34" s="283"/>
      <c r="VVY34" s="283"/>
      <c r="VVZ34" s="283"/>
      <c r="VWA34" s="283"/>
      <c r="VWB34" s="283"/>
      <c r="VWC34" s="283"/>
      <c r="VWD34" s="283"/>
      <c r="VWE34" s="283"/>
      <c r="VWF34" s="283"/>
      <c r="VWG34" s="283"/>
      <c r="VWH34" s="283"/>
      <c r="VWI34" s="283"/>
      <c r="VWJ34" s="283"/>
      <c r="VWK34" s="283"/>
      <c r="VWL34" s="283"/>
      <c r="VWM34" s="283"/>
      <c r="VWN34" s="283"/>
      <c r="VWO34" s="283"/>
      <c r="VWP34" s="283"/>
      <c r="VWQ34" s="283"/>
      <c r="VWR34" s="283"/>
      <c r="VWS34" s="283"/>
      <c r="VWT34" s="283"/>
      <c r="VWU34" s="283"/>
      <c r="VWV34" s="283"/>
      <c r="VWW34" s="283"/>
      <c r="VWX34" s="283"/>
      <c r="VWY34" s="283"/>
      <c r="VWZ34" s="283"/>
      <c r="VXA34" s="283"/>
      <c r="VXB34" s="283"/>
      <c r="VXC34" s="283"/>
      <c r="VXD34" s="283"/>
      <c r="VXE34" s="283"/>
      <c r="VXF34" s="283"/>
      <c r="VXG34" s="283"/>
      <c r="VXH34" s="283"/>
      <c r="VXI34" s="283"/>
      <c r="VXJ34" s="283"/>
      <c r="VXK34" s="283"/>
      <c r="VXL34" s="283"/>
      <c r="VXM34" s="283"/>
      <c r="VXN34" s="283"/>
      <c r="VXO34" s="283"/>
      <c r="VXP34" s="283"/>
      <c r="VXQ34" s="283"/>
      <c r="VXR34" s="283"/>
      <c r="VXS34" s="283"/>
      <c r="VXT34" s="283"/>
      <c r="VXU34" s="283"/>
      <c r="VXV34" s="283"/>
      <c r="VXW34" s="283"/>
      <c r="VXX34" s="283"/>
      <c r="VXY34" s="283"/>
      <c r="VXZ34" s="283"/>
      <c r="VYA34" s="283"/>
      <c r="VYB34" s="283"/>
      <c r="VYC34" s="283"/>
      <c r="VYD34" s="283"/>
      <c r="VYE34" s="283"/>
      <c r="VYF34" s="283"/>
      <c r="VYG34" s="283"/>
      <c r="VYH34" s="283"/>
      <c r="VYI34" s="283"/>
      <c r="VYJ34" s="283"/>
      <c r="VYK34" s="283"/>
      <c r="VYL34" s="283"/>
      <c r="VYM34" s="283"/>
      <c r="VYN34" s="283"/>
      <c r="VYO34" s="283"/>
      <c r="VYP34" s="283"/>
      <c r="VYQ34" s="283"/>
      <c r="VYR34" s="283"/>
      <c r="VYS34" s="283"/>
      <c r="VYT34" s="283"/>
      <c r="VYU34" s="283"/>
      <c r="VYV34" s="283"/>
      <c r="VYW34" s="283"/>
      <c r="VYX34" s="283"/>
      <c r="VYY34" s="283"/>
      <c r="VYZ34" s="283"/>
      <c r="VZA34" s="283"/>
      <c r="VZB34" s="283"/>
      <c r="VZC34" s="283"/>
      <c r="VZD34" s="283"/>
      <c r="VZE34" s="283"/>
      <c r="VZF34" s="283"/>
      <c r="VZG34" s="283"/>
      <c r="VZH34" s="283"/>
      <c r="VZI34" s="283"/>
      <c r="VZJ34" s="283"/>
      <c r="VZK34" s="283"/>
      <c r="VZL34" s="283"/>
      <c r="VZM34" s="283"/>
      <c r="VZN34" s="283"/>
      <c r="VZO34" s="283"/>
      <c r="VZP34" s="283"/>
      <c r="VZQ34" s="283"/>
      <c r="VZR34" s="283"/>
      <c r="VZS34" s="283"/>
      <c r="VZT34" s="283"/>
      <c r="VZU34" s="283"/>
      <c r="VZV34" s="283"/>
      <c r="VZW34" s="283"/>
      <c r="VZX34" s="283"/>
      <c r="VZY34" s="283"/>
      <c r="VZZ34" s="283"/>
      <c r="WAA34" s="283"/>
      <c r="WAB34" s="283"/>
      <c r="WAC34" s="283"/>
      <c r="WAD34" s="283"/>
      <c r="WAE34" s="283"/>
      <c r="WAF34" s="283"/>
      <c r="WAG34" s="283"/>
      <c r="WAH34" s="283"/>
      <c r="WAI34" s="283"/>
      <c r="WAJ34" s="283"/>
      <c r="WAK34" s="283"/>
      <c r="WAL34" s="283"/>
      <c r="WAM34" s="283"/>
      <c r="WAN34" s="283"/>
      <c r="WAO34" s="283"/>
      <c r="WAP34" s="283"/>
      <c r="WAQ34" s="283"/>
      <c r="WAR34" s="283"/>
      <c r="WAS34" s="283"/>
      <c r="WAT34" s="283"/>
      <c r="WAU34" s="283"/>
      <c r="WAV34" s="283"/>
      <c r="WAW34" s="283"/>
      <c r="WAX34" s="283"/>
      <c r="WAY34" s="283"/>
      <c r="WAZ34" s="283"/>
      <c r="WBA34" s="283"/>
      <c r="WBB34" s="283"/>
      <c r="WBC34" s="283"/>
      <c r="WBD34" s="283"/>
      <c r="WBE34" s="283"/>
      <c r="WBF34" s="283"/>
      <c r="WBG34" s="283"/>
      <c r="WBH34" s="283"/>
      <c r="WBI34" s="283"/>
      <c r="WBJ34" s="283"/>
      <c r="WBK34" s="283"/>
      <c r="WBL34" s="283"/>
      <c r="WBM34" s="283"/>
      <c r="WBN34" s="283"/>
      <c r="WBO34" s="283"/>
      <c r="WBP34" s="283"/>
      <c r="WBQ34" s="283"/>
      <c r="WBR34" s="283"/>
      <c r="WBS34" s="283"/>
      <c r="WBT34" s="283"/>
      <c r="WBU34" s="283"/>
      <c r="WBV34" s="283"/>
      <c r="WBW34" s="283"/>
      <c r="WBX34" s="283"/>
      <c r="WBY34" s="283"/>
      <c r="WBZ34" s="283"/>
      <c r="WCA34" s="283"/>
      <c r="WCB34" s="283"/>
      <c r="WCC34" s="283"/>
      <c r="WCD34" s="283"/>
      <c r="WCE34" s="283"/>
      <c r="WCF34" s="283"/>
      <c r="WCG34" s="283"/>
      <c r="WCH34" s="283"/>
      <c r="WCI34" s="283"/>
      <c r="WCJ34" s="283"/>
      <c r="WCK34" s="283"/>
      <c r="WCL34" s="283"/>
      <c r="WCM34" s="283"/>
      <c r="WCN34" s="283"/>
      <c r="WCO34" s="283"/>
      <c r="WCP34" s="283"/>
      <c r="WCQ34" s="283"/>
      <c r="WCR34" s="283"/>
      <c r="WCS34" s="283"/>
      <c r="WCT34" s="283"/>
      <c r="WCU34" s="283"/>
      <c r="WCV34" s="283"/>
      <c r="WCW34" s="283"/>
      <c r="WCX34" s="283"/>
      <c r="WCY34" s="283"/>
      <c r="WCZ34" s="283"/>
      <c r="WDA34" s="283"/>
      <c r="WDB34" s="283"/>
      <c r="WDC34" s="283"/>
      <c r="WDD34" s="283"/>
      <c r="WDE34" s="283"/>
      <c r="WDF34" s="283"/>
      <c r="WDG34" s="283"/>
      <c r="WDH34" s="283"/>
      <c r="WDI34" s="283"/>
      <c r="WDJ34" s="283"/>
      <c r="WDK34" s="283"/>
      <c r="WDL34" s="283"/>
      <c r="WDM34" s="283"/>
      <c r="WDN34" s="283"/>
      <c r="WDO34" s="283"/>
      <c r="WDP34" s="283"/>
      <c r="WDQ34" s="283"/>
      <c r="WDR34" s="283"/>
      <c r="WDS34" s="283"/>
      <c r="WDT34" s="283"/>
      <c r="WDU34" s="283"/>
      <c r="WDV34" s="283"/>
      <c r="WDW34" s="283"/>
      <c r="WDX34" s="283"/>
      <c r="WDY34" s="283"/>
      <c r="WDZ34" s="283"/>
      <c r="WEA34" s="283"/>
      <c r="WEB34" s="283"/>
      <c r="WEC34" s="283"/>
      <c r="WED34" s="283"/>
      <c r="WEE34" s="283"/>
      <c r="WEF34" s="283"/>
      <c r="WEG34" s="283"/>
      <c r="WEH34" s="283"/>
      <c r="WEI34" s="283"/>
      <c r="WEJ34" s="283"/>
      <c r="WEK34" s="283"/>
      <c r="WEL34" s="283"/>
      <c r="WEM34" s="283"/>
      <c r="WEN34" s="283"/>
      <c r="WEO34" s="283"/>
      <c r="WEP34" s="283"/>
      <c r="WEQ34" s="283"/>
      <c r="WER34" s="283"/>
      <c r="WES34" s="283"/>
      <c r="WET34" s="283"/>
      <c r="WEU34" s="283"/>
      <c r="WEV34" s="283"/>
      <c r="WEW34" s="283"/>
      <c r="WEX34" s="283"/>
      <c r="WEY34" s="283"/>
      <c r="WEZ34" s="283"/>
      <c r="WFA34" s="283"/>
      <c r="WFB34" s="283"/>
      <c r="WFC34" s="283"/>
      <c r="WFD34" s="283"/>
      <c r="WFE34" s="283"/>
      <c r="WFF34" s="283"/>
      <c r="WFG34" s="283"/>
      <c r="WFH34" s="283"/>
      <c r="WFI34" s="283"/>
      <c r="WFJ34" s="283"/>
      <c r="WFK34" s="283"/>
      <c r="WFL34" s="283"/>
      <c r="WFM34" s="283"/>
      <c r="WFN34" s="283"/>
      <c r="WFO34" s="283"/>
      <c r="WFP34" s="283"/>
      <c r="WFQ34" s="283"/>
      <c r="WFR34" s="283"/>
      <c r="WFS34" s="283"/>
      <c r="WFT34" s="283"/>
      <c r="WFU34" s="283"/>
      <c r="WFV34" s="283"/>
      <c r="WFW34" s="283"/>
      <c r="WFX34" s="283"/>
      <c r="WFY34" s="283"/>
      <c r="WFZ34" s="283"/>
      <c r="WGA34" s="283"/>
      <c r="WGB34" s="283"/>
      <c r="WGC34" s="283"/>
      <c r="WGD34" s="283"/>
      <c r="WGE34" s="283"/>
      <c r="WGF34" s="283"/>
      <c r="WGG34" s="283"/>
      <c r="WGH34" s="283"/>
      <c r="WGI34" s="283"/>
      <c r="WGJ34" s="283"/>
      <c r="WGK34" s="283"/>
      <c r="WGL34" s="283"/>
      <c r="WGM34" s="283"/>
      <c r="WGN34" s="283"/>
      <c r="WGO34" s="283"/>
      <c r="WGP34" s="283"/>
      <c r="WGQ34" s="283"/>
      <c r="WGR34" s="283"/>
      <c r="WGS34" s="283"/>
      <c r="WGT34" s="283"/>
      <c r="WGU34" s="283"/>
      <c r="WGV34" s="283"/>
      <c r="WGW34" s="283"/>
      <c r="WGX34" s="283"/>
      <c r="WGY34" s="283"/>
      <c r="WGZ34" s="283"/>
      <c r="WHA34" s="283"/>
      <c r="WHB34" s="283"/>
      <c r="WHC34" s="283"/>
      <c r="WHD34" s="283"/>
      <c r="WHE34" s="283"/>
      <c r="WHF34" s="283"/>
      <c r="WHG34" s="283"/>
      <c r="WHH34" s="283"/>
      <c r="WHI34" s="283"/>
      <c r="WHJ34" s="283"/>
      <c r="WHK34" s="283"/>
      <c r="WHL34" s="283"/>
      <c r="WHM34" s="283"/>
      <c r="WHN34" s="283"/>
      <c r="WHO34" s="283"/>
      <c r="WHP34" s="283"/>
      <c r="WHQ34" s="283"/>
      <c r="WHR34" s="283"/>
      <c r="WHS34" s="283"/>
      <c r="WHT34" s="283"/>
      <c r="WHU34" s="283"/>
      <c r="WHV34" s="283"/>
      <c r="WHW34" s="283"/>
      <c r="WHX34" s="283"/>
      <c r="WHY34" s="283"/>
      <c r="WHZ34" s="283"/>
      <c r="WIA34" s="283"/>
      <c r="WIB34" s="283"/>
      <c r="WIC34" s="283"/>
      <c r="WID34" s="283"/>
      <c r="WIE34" s="283"/>
      <c r="WIF34" s="283"/>
      <c r="WIG34" s="283"/>
      <c r="WIH34" s="283"/>
      <c r="WII34" s="283"/>
      <c r="WIJ34" s="283"/>
      <c r="WIK34" s="283"/>
      <c r="WIL34" s="283"/>
      <c r="WIM34" s="283"/>
      <c r="WIN34" s="283"/>
      <c r="WIO34" s="283"/>
      <c r="WIP34" s="283"/>
      <c r="WIQ34" s="283"/>
      <c r="WIR34" s="283"/>
      <c r="WIS34" s="283"/>
      <c r="WIT34" s="283"/>
      <c r="WIU34" s="283"/>
      <c r="WIV34" s="283"/>
      <c r="WIW34" s="283"/>
      <c r="WIX34" s="283"/>
      <c r="WIY34" s="283"/>
      <c r="WIZ34" s="283"/>
      <c r="WJA34" s="283"/>
      <c r="WJB34" s="283"/>
      <c r="WJC34" s="283"/>
      <c r="WJD34" s="283"/>
      <c r="WJE34" s="283"/>
      <c r="WJF34" s="283"/>
      <c r="WJG34" s="283"/>
      <c r="WJH34" s="283"/>
      <c r="WJI34" s="283"/>
      <c r="WJJ34" s="283"/>
      <c r="WJK34" s="283"/>
      <c r="WJL34" s="283"/>
      <c r="WJM34" s="283"/>
      <c r="WJN34" s="283"/>
      <c r="WJO34" s="283"/>
      <c r="WJP34" s="283"/>
      <c r="WJQ34" s="283"/>
      <c r="WJR34" s="283"/>
      <c r="WJS34" s="283"/>
      <c r="WJT34" s="283"/>
      <c r="WJU34" s="283"/>
      <c r="WJV34" s="283"/>
      <c r="WJW34" s="283"/>
      <c r="WJX34" s="283"/>
      <c r="WJY34" s="283"/>
      <c r="WJZ34" s="283"/>
      <c r="WKA34" s="283"/>
      <c r="WKB34" s="283"/>
      <c r="WKC34" s="283"/>
      <c r="WKD34" s="283"/>
      <c r="WKE34" s="283"/>
      <c r="WKF34" s="283"/>
      <c r="WKG34" s="283"/>
      <c r="WKH34" s="283"/>
      <c r="WKI34" s="283"/>
      <c r="WKJ34" s="283"/>
      <c r="WKK34" s="283"/>
      <c r="WKL34" s="283"/>
      <c r="WKM34" s="283"/>
      <c r="WKN34" s="283"/>
      <c r="WKO34" s="283"/>
      <c r="WKP34" s="283"/>
      <c r="WKQ34" s="283"/>
      <c r="WKR34" s="283"/>
      <c r="WKS34" s="283"/>
      <c r="WKT34" s="283"/>
      <c r="WKU34" s="283"/>
      <c r="WKV34" s="283"/>
      <c r="WKW34" s="283"/>
      <c r="WKX34" s="283"/>
      <c r="WKY34" s="283"/>
      <c r="WKZ34" s="283"/>
      <c r="WLA34" s="283"/>
      <c r="WLB34" s="283"/>
      <c r="WLC34" s="283"/>
      <c r="WLD34" s="283"/>
      <c r="WLE34" s="283"/>
      <c r="WLF34" s="283"/>
      <c r="WLG34" s="283"/>
      <c r="WLH34" s="283"/>
      <c r="WLI34" s="283"/>
      <c r="WLJ34" s="283"/>
      <c r="WLK34" s="283"/>
      <c r="WLL34" s="283"/>
      <c r="WLM34" s="283"/>
      <c r="WLN34" s="283"/>
      <c r="WLO34" s="283"/>
      <c r="WLP34" s="283"/>
      <c r="WLQ34" s="283"/>
      <c r="WLR34" s="283"/>
      <c r="WLS34" s="283"/>
      <c r="WLT34" s="283"/>
      <c r="WLU34" s="283"/>
      <c r="WLV34" s="283"/>
      <c r="WLW34" s="283"/>
      <c r="WLX34" s="283"/>
      <c r="WLY34" s="283"/>
      <c r="WLZ34" s="283"/>
      <c r="WMA34" s="283"/>
      <c r="WMB34" s="283"/>
      <c r="WMC34" s="283"/>
      <c r="WMD34" s="283"/>
      <c r="WME34" s="283"/>
      <c r="WMF34" s="283"/>
      <c r="WMG34" s="283"/>
      <c r="WMH34" s="283"/>
      <c r="WMI34" s="283"/>
      <c r="WMJ34" s="283"/>
      <c r="WMK34" s="283"/>
      <c r="WML34" s="283"/>
      <c r="WMM34" s="283"/>
      <c r="WMN34" s="283"/>
      <c r="WMO34" s="283"/>
      <c r="WMP34" s="283"/>
      <c r="WMQ34" s="283"/>
      <c r="WMR34" s="283"/>
      <c r="WMS34" s="283"/>
      <c r="WMT34" s="283"/>
      <c r="WMU34" s="283"/>
      <c r="WMV34" s="283"/>
      <c r="WMW34" s="283"/>
      <c r="WMX34" s="283"/>
      <c r="WMY34" s="283"/>
      <c r="WMZ34" s="283"/>
      <c r="WNA34" s="283"/>
      <c r="WNB34" s="283"/>
      <c r="WNC34" s="283"/>
      <c r="WND34" s="283"/>
      <c r="WNE34" s="283"/>
      <c r="WNF34" s="283"/>
      <c r="WNG34" s="283"/>
      <c r="WNH34" s="283"/>
      <c r="WNI34" s="283"/>
      <c r="WNJ34" s="283"/>
      <c r="WNK34" s="283"/>
      <c r="WNL34" s="283"/>
      <c r="WNM34" s="283"/>
      <c r="WNN34" s="283"/>
      <c r="WNO34" s="283"/>
      <c r="WNP34" s="283"/>
      <c r="WNQ34" s="283"/>
      <c r="WNR34" s="283"/>
      <c r="WNS34" s="283"/>
      <c r="WNT34" s="283"/>
      <c r="WNU34" s="283"/>
      <c r="WNV34" s="283"/>
      <c r="WNW34" s="283"/>
      <c r="WNX34" s="283"/>
      <c r="WNY34" s="283"/>
      <c r="WNZ34" s="283"/>
      <c r="WOA34" s="283"/>
      <c r="WOB34" s="283"/>
      <c r="WOC34" s="283"/>
      <c r="WOD34" s="283"/>
      <c r="WOE34" s="283"/>
      <c r="WOF34" s="283"/>
      <c r="WOG34" s="283"/>
      <c r="WOH34" s="283"/>
      <c r="WOI34" s="283"/>
      <c r="WOJ34" s="283"/>
      <c r="WOK34" s="283"/>
      <c r="WOL34" s="283"/>
      <c r="WOM34" s="283"/>
      <c r="WON34" s="283"/>
      <c r="WOO34" s="283"/>
      <c r="WOP34" s="283"/>
      <c r="WOQ34" s="283"/>
      <c r="WOR34" s="283"/>
      <c r="WOS34" s="283"/>
      <c r="WOT34" s="283"/>
      <c r="WOU34" s="283"/>
      <c r="WOV34" s="283"/>
      <c r="WOW34" s="283"/>
      <c r="WOX34" s="283"/>
      <c r="WOY34" s="283"/>
      <c r="WOZ34" s="283"/>
      <c r="WPA34" s="283"/>
      <c r="WPB34" s="283"/>
      <c r="WPC34" s="283"/>
      <c r="WPD34" s="283"/>
      <c r="WPE34" s="283"/>
      <c r="WPF34" s="283"/>
      <c r="WPG34" s="283"/>
      <c r="WPH34" s="283"/>
      <c r="WPI34" s="283"/>
      <c r="WPJ34" s="283"/>
      <c r="WPK34" s="283"/>
      <c r="WPL34" s="283"/>
      <c r="WPM34" s="283"/>
      <c r="WPN34" s="283"/>
      <c r="WPO34" s="283"/>
      <c r="WPP34" s="283"/>
      <c r="WPQ34" s="283"/>
      <c r="WPR34" s="283"/>
      <c r="WPS34" s="283"/>
      <c r="WPT34" s="283"/>
      <c r="WPU34" s="283"/>
      <c r="WPV34" s="283"/>
      <c r="WPW34" s="283"/>
      <c r="WPX34" s="283"/>
      <c r="WPY34" s="283"/>
      <c r="WPZ34" s="283"/>
      <c r="WQA34" s="283"/>
      <c r="WQB34" s="283"/>
      <c r="WQC34" s="283"/>
      <c r="WQD34" s="283"/>
      <c r="WQE34" s="283"/>
      <c r="WQF34" s="283"/>
      <c r="WQG34" s="283"/>
      <c r="WQH34" s="283"/>
      <c r="WQI34" s="283"/>
      <c r="WQJ34" s="283"/>
      <c r="WQK34" s="283"/>
      <c r="WQL34" s="283"/>
      <c r="WQM34" s="283"/>
      <c r="WQN34" s="283"/>
      <c r="WQO34" s="283"/>
      <c r="WQP34" s="283"/>
      <c r="WQQ34" s="283"/>
      <c r="WQR34" s="283"/>
      <c r="WQS34" s="283"/>
      <c r="WQT34" s="283"/>
      <c r="WQU34" s="283"/>
      <c r="WQV34" s="283"/>
      <c r="WQW34" s="283"/>
      <c r="WQX34" s="283"/>
      <c r="WQY34" s="283"/>
      <c r="WQZ34" s="283"/>
      <c r="WRA34" s="283"/>
      <c r="WRB34" s="283"/>
      <c r="WRC34" s="283"/>
      <c r="WRD34" s="283"/>
      <c r="WRE34" s="283"/>
      <c r="WRF34" s="283"/>
      <c r="WRG34" s="283"/>
      <c r="WRH34" s="283"/>
      <c r="WRI34" s="283"/>
      <c r="WRJ34" s="283"/>
      <c r="WRK34" s="283"/>
      <c r="WRL34" s="283"/>
      <c r="WRM34" s="283"/>
      <c r="WRN34" s="283"/>
      <c r="WRO34" s="283"/>
      <c r="WRP34" s="283"/>
      <c r="WRQ34" s="283"/>
      <c r="WRR34" s="283"/>
      <c r="WRS34" s="283"/>
      <c r="WRT34" s="283"/>
      <c r="WRU34" s="283"/>
      <c r="WRV34" s="283"/>
      <c r="WRW34" s="283"/>
      <c r="WRX34" s="283"/>
      <c r="WRY34" s="283"/>
      <c r="WRZ34" s="283"/>
      <c r="WSA34" s="283"/>
      <c r="WSB34" s="283"/>
      <c r="WSC34" s="283"/>
      <c r="WSD34" s="283"/>
      <c r="WSE34" s="283"/>
      <c r="WSF34" s="283"/>
      <c r="WSG34" s="283"/>
      <c r="WSH34" s="283"/>
      <c r="WSI34" s="283"/>
      <c r="WSJ34" s="283"/>
      <c r="WSK34" s="283"/>
      <c r="WSL34" s="283"/>
      <c r="WSM34" s="283"/>
      <c r="WSN34" s="283"/>
      <c r="WSO34" s="283"/>
      <c r="WSP34" s="283"/>
      <c r="WSQ34" s="283"/>
      <c r="WSR34" s="283"/>
      <c r="WSS34" s="283"/>
      <c r="WST34" s="283"/>
      <c r="WSU34" s="283"/>
      <c r="WSV34" s="283"/>
      <c r="WSW34" s="283"/>
      <c r="WSX34" s="283"/>
      <c r="WSY34" s="283"/>
      <c r="WSZ34" s="283"/>
      <c r="WTA34" s="283"/>
      <c r="WTB34" s="283"/>
      <c r="WTC34" s="283"/>
      <c r="WTD34" s="283"/>
      <c r="WTE34" s="283"/>
      <c r="WTF34" s="283"/>
      <c r="WTG34" s="283"/>
      <c r="WTH34" s="283"/>
      <c r="WTI34" s="283"/>
      <c r="WTJ34" s="283"/>
      <c r="WTK34" s="283"/>
      <c r="WTL34" s="283"/>
      <c r="WTM34" s="283"/>
      <c r="WTN34" s="283"/>
      <c r="WTO34" s="283"/>
      <c r="WTP34" s="283"/>
      <c r="WTQ34" s="283"/>
      <c r="WTR34" s="283"/>
      <c r="WTS34" s="283"/>
      <c r="WTT34" s="283"/>
      <c r="WTU34" s="283"/>
      <c r="WTV34" s="283"/>
      <c r="WTW34" s="283"/>
      <c r="WTX34" s="283"/>
      <c r="WTY34" s="283"/>
      <c r="WTZ34" s="283"/>
      <c r="WUA34" s="283"/>
      <c r="WUB34" s="283"/>
      <c r="WUC34" s="283"/>
      <c r="WUD34" s="283"/>
      <c r="WUE34" s="283"/>
      <c r="WUF34" s="283"/>
      <c r="WUG34" s="283"/>
      <c r="WUH34" s="283"/>
      <c r="WUI34" s="283"/>
      <c r="WUJ34" s="283"/>
      <c r="WUK34" s="283"/>
      <c r="WUL34" s="283"/>
      <c r="WUM34" s="283"/>
      <c r="WUN34" s="283"/>
      <c r="WUO34" s="283"/>
      <c r="WUP34" s="283"/>
      <c r="WUQ34" s="283"/>
      <c r="WUR34" s="283"/>
      <c r="WUS34" s="283"/>
      <c r="WUT34" s="283"/>
      <c r="WUU34" s="283"/>
      <c r="WUV34" s="283"/>
      <c r="WUW34" s="283"/>
      <c r="WUX34" s="283"/>
      <c r="WUY34" s="283"/>
      <c r="WUZ34" s="283"/>
      <c r="WVA34" s="283"/>
      <c r="WVB34" s="283"/>
      <c r="WVC34" s="283"/>
      <c r="WVD34" s="283"/>
      <c r="WVE34" s="283"/>
      <c r="WVF34" s="283"/>
      <c r="WVG34" s="283"/>
      <c r="WVH34" s="283"/>
      <c r="WVI34" s="283"/>
      <c r="WVJ34" s="283"/>
      <c r="WVK34" s="283"/>
      <c r="WVL34" s="283"/>
      <c r="WVM34" s="283"/>
      <c r="WVN34" s="283"/>
      <c r="WVO34" s="283"/>
      <c r="WVP34" s="283"/>
      <c r="WVQ34" s="283"/>
      <c r="WVR34" s="283"/>
      <c r="WVS34" s="283"/>
      <c r="WVT34" s="283"/>
      <c r="WVU34" s="283"/>
      <c r="WVV34" s="283"/>
      <c r="WVW34" s="283"/>
      <c r="WVX34" s="283"/>
      <c r="WVY34" s="283"/>
      <c r="WVZ34" s="283"/>
      <c r="WWA34" s="283"/>
      <c r="WWB34" s="283"/>
      <c r="WWC34" s="283"/>
      <c r="WWD34" s="283"/>
      <c r="WWE34" s="283"/>
      <c r="WWF34" s="283"/>
      <c r="WWG34" s="283"/>
      <c r="WWH34" s="283"/>
      <c r="WWI34" s="283"/>
      <c r="WWJ34" s="283"/>
      <c r="WWK34" s="283"/>
      <c r="WWL34" s="283"/>
      <c r="WWM34" s="283"/>
      <c r="WWN34" s="283"/>
      <c r="WWO34" s="283"/>
      <c r="WWP34" s="283"/>
      <c r="WWQ34" s="283"/>
      <c r="WWR34" s="283"/>
      <c r="WWS34" s="283"/>
      <c r="WWT34" s="283"/>
      <c r="WWU34" s="283"/>
      <c r="WWV34" s="283"/>
      <c r="WWW34" s="283"/>
      <c r="WWX34" s="283"/>
      <c r="WWY34" s="283"/>
      <c r="WWZ34" s="283"/>
      <c r="WXA34" s="283"/>
      <c r="WXB34" s="283"/>
      <c r="WXC34" s="283"/>
      <c r="WXD34" s="283"/>
      <c r="WXE34" s="283"/>
      <c r="WXF34" s="283"/>
      <c r="WXG34" s="283"/>
      <c r="WXH34" s="283"/>
      <c r="WXI34" s="283"/>
      <c r="WXJ34" s="283"/>
      <c r="WXK34" s="283"/>
      <c r="WXL34" s="283"/>
      <c r="WXM34" s="283"/>
      <c r="WXN34" s="283"/>
      <c r="WXO34" s="283"/>
      <c r="WXP34" s="283"/>
      <c r="WXQ34" s="283"/>
      <c r="WXR34" s="283"/>
      <c r="WXS34" s="283"/>
      <c r="WXT34" s="283"/>
      <c r="WXU34" s="283"/>
      <c r="WXV34" s="283"/>
      <c r="WXW34" s="283"/>
      <c r="WXX34" s="283"/>
      <c r="WXY34" s="283"/>
      <c r="WXZ34" s="283"/>
      <c r="WYA34" s="283"/>
      <c r="WYB34" s="283"/>
      <c r="WYC34" s="283"/>
      <c r="WYD34" s="283"/>
      <c r="WYE34" s="283"/>
      <c r="WYF34" s="283"/>
      <c r="WYG34" s="283"/>
      <c r="WYH34" s="283"/>
      <c r="WYI34" s="283"/>
      <c r="WYJ34" s="283"/>
      <c r="WYK34" s="283"/>
      <c r="WYL34" s="283"/>
      <c r="WYM34" s="283"/>
      <c r="WYN34" s="283"/>
      <c r="WYO34" s="283"/>
      <c r="WYP34" s="283"/>
      <c r="WYQ34" s="283"/>
      <c r="WYR34" s="283"/>
      <c r="WYS34" s="283"/>
      <c r="WYT34" s="283"/>
      <c r="WYU34" s="283"/>
      <c r="WYV34" s="283"/>
      <c r="WYW34" s="283"/>
      <c r="WYX34" s="283"/>
      <c r="WYY34" s="283"/>
      <c r="WYZ34" s="283"/>
      <c r="WZA34" s="283"/>
      <c r="WZB34" s="283"/>
      <c r="WZC34" s="283"/>
      <c r="WZD34" s="283"/>
      <c r="WZE34" s="283"/>
      <c r="WZF34" s="283"/>
      <c r="WZG34" s="283"/>
      <c r="WZH34" s="283"/>
      <c r="WZI34" s="283"/>
      <c r="WZJ34" s="283"/>
      <c r="WZK34" s="283"/>
      <c r="WZL34" s="283"/>
      <c r="WZM34" s="283"/>
      <c r="WZN34" s="283"/>
      <c r="WZO34" s="283"/>
      <c r="WZP34" s="283"/>
      <c r="WZQ34" s="283"/>
      <c r="WZR34" s="283"/>
      <c r="WZS34" s="283"/>
      <c r="WZT34" s="283"/>
      <c r="WZU34" s="283"/>
      <c r="WZV34" s="283"/>
      <c r="WZW34" s="283"/>
      <c r="WZX34" s="283"/>
      <c r="WZY34" s="283"/>
      <c r="WZZ34" s="283"/>
      <c r="XAA34" s="283"/>
      <c r="XAB34" s="283"/>
      <c r="XAC34" s="283"/>
      <c r="XAD34" s="283"/>
      <c r="XAE34" s="283"/>
      <c r="XAF34" s="283"/>
      <c r="XAG34" s="283"/>
      <c r="XAH34" s="283"/>
      <c r="XAI34" s="283"/>
      <c r="XAJ34" s="283"/>
      <c r="XAK34" s="283"/>
      <c r="XAL34" s="283"/>
      <c r="XAM34" s="283"/>
      <c r="XAN34" s="283"/>
      <c r="XAO34" s="283"/>
      <c r="XAP34" s="283"/>
      <c r="XAQ34" s="283"/>
      <c r="XAR34" s="283"/>
      <c r="XAS34" s="283"/>
      <c r="XAT34" s="283"/>
      <c r="XAU34" s="283"/>
      <c r="XAV34" s="283"/>
      <c r="XAW34" s="283"/>
      <c r="XAX34" s="283"/>
      <c r="XAY34" s="283"/>
      <c r="XAZ34" s="283"/>
      <c r="XBA34" s="283"/>
      <c r="XBB34" s="283"/>
      <c r="XBC34" s="283"/>
      <c r="XBD34" s="283"/>
      <c r="XBE34" s="283"/>
      <c r="XBF34" s="283"/>
      <c r="XBG34" s="283"/>
      <c r="XBH34" s="283"/>
      <c r="XBI34" s="283"/>
      <c r="XBJ34" s="283"/>
      <c r="XBK34" s="283"/>
      <c r="XBL34" s="283"/>
      <c r="XBM34" s="283"/>
      <c r="XBN34" s="283"/>
      <c r="XBO34" s="283"/>
      <c r="XBP34" s="283"/>
      <c r="XBQ34" s="283"/>
      <c r="XBR34" s="283"/>
      <c r="XBS34" s="283"/>
      <c r="XBT34" s="283"/>
      <c r="XBU34" s="283"/>
      <c r="XBV34" s="283"/>
      <c r="XBW34" s="283"/>
      <c r="XBX34" s="283"/>
      <c r="XBY34" s="283"/>
      <c r="XBZ34" s="283"/>
      <c r="XCA34" s="283"/>
      <c r="XCB34" s="283"/>
      <c r="XCC34" s="283"/>
      <c r="XCD34" s="283"/>
      <c r="XCE34" s="283"/>
      <c r="XCF34" s="283"/>
      <c r="XCG34" s="283"/>
      <c r="XCH34" s="283"/>
      <c r="XCI34" s="283"/>
      <c r="XCJ34" s="283"/>
      <c r="XCK34" s="283"/>
      <c r="XCL34" s="283"/>
      <c r="XCM34" s="283"/>
      <c r="XCN34" s="283"/>
      <c r="XCO34" s="283"/>
      <c r="XCP34" s="283"/>
      <c r="XCQ34" s="283"/>
      <c r="XCR34" s="283"/>
      <c r="XCS34" s="283"/>
      <c r="XCT34" s="283"/>
      <c r="XCU34" s="283"/>
      <c r="XCV34" s="283"/>
      <c r="XCW34" s="283"/>
      <c r="XCX34" s="283"/>
      <c r="XCY34" s="283"/>
      <c r="XCZ34" s="283"/>
      <c r="XDA34" s="283"/>
      <c r="XDB34" s="283"/>
      <c r="XDC34" s="283"/>
      <c r="XDD34" s="283"/>
      <c r="XDE34" s="283"/>
      <c r="XDF34" s="283"/>
      <c r="XDG34" s="283"/>
      <c r="XDH34" s="283"/>
      <c r="XDI34" s="283"/>
      <c r="XDJ34" s="283"/>
      <c r="XDK34" s="283"/>
      <c r="XDL34" s="283"/>
      <c r="XDM34" s="283"/>
      <c r="XDN34" s="283"/>
      <c r="XDO34" s="283"/>
      <c r="XDP34" s="283"/>
      <c r="XDQ34" s="283"/>
      <c r="XDR34" s="283"/>
      <c r="XDS34" s="283"/>
      <c r="XDT34" s="283"/>
      <c r="XDU34" s="283"/>
      <c r="XDV34" s="283"/>
      <c r="XDW34" s="283"/>
      <c r="XDX34" s="283"/>
      <c r="XDY34" s="283"/>
      <c r="XDZ34" s="283"/>
      <c r="XEA34" s="283"/>
      <c r="XEB34" s="283"/>
      <c r="XEC34" s="283"/>
      <c r="XED34" s="283"/>
      <c r="XEE34" s="283"/>
      <c r="XEF34" s="283"/>
      <c r="XEG34" s="283"/>
      <c r="XEH34" s="283"/>
      <c r="XEI34" s="283"/>
      <c r="XEJ34" s="283"/>
      <c r="XEK34" s="283"/>
      <c r="XEL34" s="283"/>
      <c r="XEM34" s="283"/>
      <c r="XEN34" s="283"/>
      <c r="XEO34" s="283"/>
      <c r="XEP34" s="283"/>
      <c r="XEQ34" s="283"/>
      <c r="XER34" s="283"/>
      <c r="XES34" s="283"/>
      <c r="XET34" s="283"/>
      <c r="XEU34" s="283"/>
      <c r="XEV34" s="283"/>
      <c r="XEW34" s="283"/>
      <c r="XEX34" s="283"/>
      <c r="XEY34" s="283"/>
      <c r="XEZ34" s="283"/>
      <c r="XFA34" s="283"/>
      <c r="XFB34" s="283"/>
      <c r="XFC34" s="283"/>
      <c r="XFD34" s="283"/>
    </row>
    <row r="35" spans="1:16384" s="127" customFormat="1" ht="23.25" customHeight="1" x14ac:dyDescent="0.25">
      <c r="A35" s="322" t="s">
        <v>134</v>
      </c>
      <c r="B35" s="330"/>
      <c r="C35" s="350"/>
      <c r="D35" s="330"/>
    </row>
    <row r="36" spans="1:16384" ht="18" customHeight="1" x14ac:dyDescent="0.35">
      <c r="B36" s="349"/>
      <c r="C36" s="349"/>
      <c r="D36" s="349"/>
      <c r="E36" s="349"/>
      <c r="F36" s="349"/>
      <c r="G36" s="349"/>
      <c r="H36" s="349"/>
      <c r="I36" s="349"/>
      <c r="J36" s="349"/>
      <c r="K36" s="349"/>
      <c r="L36" s="349"/>
      <c r="M36" s="349"/>
      <c r="N36" s="349"/>
      <c r="O36" s="349"/>
      <c r="P36" s="349"/>
      <c r="Q36" s="349"/>
      <c r="R36" s="349"/>
      <c r="S36" s="349"/>
      <c r="T36" s="349"/>
      <c r="U36" s="349"/>
      <c r="V36" s="349"/>
      <c r="W36" s="349"/>
    </row>
    <row r="37" spans="1:16384" x14ac:dyDescent="0.35">
      <c r="A37" s="244"/>
    </row>
    <row r="39" spans="1:16384" x14ac:dyDescent="0.35">
      <c r="B39" s="351"/>
      <c r="C39" s="351"/>
      <c r="D39" s="351"/>
      <c r="E39" s="351"/>
      <c r="F39" s="351"/>
      <c r="G39" s="351"/>
      <c r="H39" s="351"/>
      <c r="I39" s="351"/>
      <c r="J39" s="351"/>
      <c r="K39" s="351"/>
      <c r="L39" s="351"/>
      <c r="M39" s="351"/>
      <c r="N39" s="351"/>
      <c r="O39" s="351"/>
      <c r="P39" s="351"/>
      <c r="Q39" s="351"/>
      <c r="R39" s="351"/>
      <c r="S39" s="351"/>
      <c r="T39" s="351"/>
      <c r="U39" s="351"/>
      <c r="V39" s="351"/>
      <c r="W39" s="351"/>
    </row>
    <row r="40" spans="1:16384" x14ac:dyDescent="0.35">
      <c r="B40" s="351"/>
      <c r="C40" s="351"/>
      <c r="D40" s="351"/>
      <c r="E40" s="351"/>
      <c r="F40" s="351"/>
      <c r="G40" s="351"/>
      <c r="H40" s="351"/>
      <c r="I40" s="351"/>
      <c r="J40" s="351"/>
      <c r="K40" s="351"/>
      <c r="L40" s="351"/>
      <c r="M40" s="351"/>
      <c r="N40" s="351"/>
      <c r="O40" s="351"/>
      <c r="P40" s="351"/>
      <c r="Q40" s="351"/>
      <c r="R40" s="351"/>
      <c r="S40" s="351"/>
      <c r="T40" s="351"/>
      <c r="U40" s="351"/>
      <c r="V40" s="351"/>
      <c r="W40" s="351"/>
    </row>
  </sheetData>
  <pageMargins left="0.75" right="0.75" top="0.75" bottom="0.75" header="0.3" footer="0"/>
  <pageSetup paperSize="9" scale="10" fitToHeight="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pageSetUpPr fitToPage="1"/>
  </sheetPr>
  <dimension ref="A1:AF21"/>
  <sheetViews>
    <sheetView showGridLines="0" zoomScaleNormal="100" zoomScaleSheetLayoutView="90" workbookViewId="0"/>
  </sheetViews>
  <sheetFormatPr defaultRowHeight="14.25" x14ac:dyDescent="0.25"/>
  <cols>
    <col min="1" max="1" width="46.7109375" style="284" customWidth="1"/>
    <col min="2" max="2" width="13.7109375" style="284" hidden="1" customWidth="1"/>
    <col min="3" max="4" width="13.7109375" style="352" hidden="1" customWidth="1"/>
    <col min="5" max="5" width="12.7109375" style="352" hidden="1" customWidth="1"/>
    <col min="6" max="7" width="13.7109375" style="352" hidden="1" customWidth="1"/>
    <col min="8" max="8" width="12.7109375" style="352" hidden="1" customWidth="1"/>
    <col min="9" max="13" width="13.7109375" style="352" hidden="1" customWidth="1"/>
    <col min="14" max="19" width="12.7109375" style="352" hidden="1" customWidth="1"/>
    <col min="20" max="32" width="12.7109375" style="352" customWidth="1"/>
    <col min="33" max="114" width="9.140625" style="284"/>
    <col min="115" max="115" width="55.7109375" style="284" customWidth="1"/>
    <col min="116" max="207" width="9.140625" style="284" customWidth="1"/>
    <col min="208" max="209" width="9.28515625" style="284" customWidth="1"/>
    <col min="210" max="220" width="10.28515625" style="284" customWidth="1"/>
    <col min="221" max="370" width="9.140625" style="284"/>
    <col min="371" max="371" width="55.7109375" style="284" customWidth="1"/>
    <col min="372" max="463" width="9.140625" style="284" customWidth="1"/>
    <col min="464" max="465" width="9.28515625" style="284" customWidth="1"/>
    <col min="466" max="476" width="10.28515625" style="284" customWidth="1"/>
    <col min="477" max="626" width="9.140625" style="284"/>
    <col min="627" max="627" width="55.7109375" style="284" customWidth="1"/>
    <col min="628" max="719" width="9.140625" style="284" customWidth="1"/>
    <col min="720" max="721" width="9.28515625" style="284" customWidth="1"/>
    <col min="722" max="732" width="10.28515625" style="284" customWidth="1"/>
    <col min="733" max="882" width="9.140625" style="284"/>
    <col min="883" max="883" width="55.7109375" style="284" customWidth="1"/>
    <col min="884" max="975" width="9.140625" style="284" customWidth="1"/>
    <col min="976" max="977" width="9.28515625" style="284" customWidth="1"/>
    <col min="978" max="988" width="10.28515625" style="284" customWidth="1"/>
    <col min="989" max="1138" width="9.140625" style="284"/>
    <col min="1139" max="1139" width="55.7109375" style="284" customWidth="1"/>
    <col min="1140" max="1231" width="9.140625" style="284" customWidth="1"/>
    <col min="1232" max="1233" width="9.28515625" style="284" customWidth="1"/>
    <col min="1234" max="1244" width="10.28515625" style="284" customWidth="1"/>
    <col min="1245" max="1394" width="9.140625" style="284"/>
    <col min="1395" max="1395" width="55.7109375" style="284" customWidth="1"/>
    <col min="1396" max="1487" width="9.140625" style="284" customWidth="1"/>
    <col min="1488" max="1489" width="9.28515625" style="284" customWidth="1"/>
    <col min="1490" max="1500" width="10.28515625" style="284" customWidth="1"/>
    <col min="1501" max="1650" width="9.140625" style="284"/>
    <col min="1651" max="1651" width="55.7109375" style="284" customWidth="1"/>
    <col min="1652" max="1743" width="9.140625" style="284" customWidth="1"/>
    <col min="1744" max="1745" width="9.28515625" style="284" customWidth="1"/>
    <col min="1746" max="1756" width="10.28515625" style="284" customWidth="1"/>
    <col min="1757" max="1906" width="9.140625" style="284"/>
    <col min="1907" max="1907" width="55.7109375" style="284" customWidth="1"/>
    <col min="1908" max="1999" width="9.140625" style="284" customWidth="1"/>
    <col min="2000" max="2001" width="9.28515625" style="284" customWidth="1"/>
    <col min="2002" max="2012" width="10.28515625" style="284" customWidth="1"/>
    <col min="2013" max="2162" width="9.140625" style="284"/>
    <col min="2163" max="2163" width="55.7109375" style="284" customWidth="1"/>
    <col min="2164" max="2255" width="9.140625" style="284" customWidth="1"/>
    <col min="2256" max="2257" width="9.28515625" style="284" customWidth="1"/>
    <col min="2258" max="2268" width="10.28515625" style="284" customWidth="1"/>
    <col min="2269" max="2418" width="9.140625" style="284"/>
    <col min="2419" max="2419" width="55.7109375" style="284" customWidth="1"/>
    <col min="2420" max="2511" width="9.140625" style="284" customWidth="1"/>
    <col min="2512" max="2513" width="9.28515625" style="284" customWidth="1"/>
    <col min="2514" max="2524" width="10.28515625" style="284" customWidth="1"/>
    <col min="2525" max="2674" width="9.140625" style="284"/>
    <col min="2675" max="2675" width="55.7109375" style="284" customWidth="1"/>
    <col min="2676" max="2767" width="9.140625" style="284" customWidth="1"/>
    <col min="2768" max="2769" width="9.28515625" style="284" customWidth="1"/>
    <col min="2770" max="2780" width="10.28515625" style="284" customWidth="1"/>
    <col min="2781" max="2930" width="9.140625" style="284"/>
    <col min="2931" max="2931" width="55.7109375" style="284" customWidth="1"/>
    <col min="2932" max="3023" width="9.140625" style="284" customWidth="1"/>
    <col min="3024" max="3025" width="9.28515625" style="284" customWidth="1"/>
    <col min="3026" max="3036" width="10.28515625" style="284" customWidth="1"/>
    <col min="3037" max="3186" width="9.140625" style="284"/>
    <col min="3187" max="3187" width="55.7109375" style="284" customWidth="1"/>
    <col min="3188" max="3279" width="9.140625" style="284" customWidth="1"/>
    <col min="3280" max="3281" width="9.28515625" style="284" customWidth="1"/>
    <col min="3282" max="3292" width="10.28515625" style="284" customWidth="1"/>
    <col min="3293" max="3442" width="9.140625" style="284"/>
    <col min="3443" max="3443" width="55.7109375" style="284" customWidth="1"/>
    <col min="3444" max="3535" width="9.140625" style="284" customWidth="1"/>
    <col min="3536" max="3537" width="9.28515625" style="284" customWidth="1"/>
    <col min="3538" max="3548" width="10.28515625" style="284" customWidth="1"/>
    <col min="3549" max="3698" width="9.140625" style="284"/>
    <col min="3699" max="3699" width="55.7109375" style="284" customWidth="1"/>
    <col min="3700" max="3791" width="9.140625" style="284" customWidth="1"/>
    <col min="3792" max="3793" width="9.28515625" style="284" customWidth="1"/>
    <col min="3794" max="3804" width="10.28515625" style="284" customWidth="1"/>
    <col min="3805" max="3954" width="9.140625" style="284"/>
    <col min="3955" max="3955" width="55.7109375" style="284" customWidth="1"/>
    <col min="3956" max="4047" width="9.140625" style="284" customWidth="1"/>
    <col min="4048" max="4049" width="9.28515625" style="284" customWidth="1"/>
    <col min="4050" max="4060" width="10.28515625" style="284" customWidth="1"/>
    <col min="4061" max="4210" width="9.140625" style="284"/>
    <col min="4211" max="4211" width="55.7109375" style="284" customWidth="1"/>
    <col min="4212" max="4303" width="9.140625" style="284" customWidth="1"/>
    <col min="4304" max="4305" width="9.28515625" style="284" customWidth="1"/>
    <col min="4306" max="4316" width="10.28515625" style="284" customWidth="1"/>
    <col min="4317" max="4466" width="9.140625" style="284"/>
    <col min="4467" max="4467" width="55.7109375" style="284" customWidth="1"/>
    <col min="4468" max="4559" width="9.140625" style="284" customWidth="1"/>
    <col min="4560" max="4561" width="9.28515625" style="284" customWidth="1"/>
    <col min="4562" max="4572" width="10.28515625" style="284" customWidth="1"/>
    <col min="4573" max="4722" width="9.140625" style="284"/>
    <col min="4723" max="4723" width="55.7109375" style="284" customWidth="1"/>
    <col min="4724" max="4815" width="9.140625" style="284" customWidth="1"/>
    <col min="4816" max="4817" width="9.28515625" style="284" customWidth="1"/>
    <col min="4818" max="4828" width="10.28515625" style="284" customWidth="1"/>
    <col min="4829" max="4978" width="9.140625" style="284"/>
    <col min="4979" max="4979" width="55.7109375" style="284" customWidth="1"/>
    <col min="4980" max="5071" width="9.140625" style="284" customWidth="1"/>
    <col min="5072" max="5073" width="9.28515625" style="284" customWidth="1"/>
    <col min="5074" max="5084" width="10.28515625" style="284" customWidth="1"/>
    <col min="5085" max="5234" width="9.140625" style="284"/>
    <col min="5235" max="5235" width="55.7109375" style="284" customWidth="1"/>
    <col min="5236" max="5327" width="9.140625" style="284" customWidth="1"/>
    <col min="5328" max="5329" width="9.28515625" style="284" customWidth="1"/>
    <col min="5330" max="5340" width="10.28515625" style="284" customWidth="1"/>
    <col min="5341" max="5490" width="9.140625" style="284"/>
    <col min="5491" max="5491" width="55.7109375" style="284" customWidth="1"/>
    <col min="5492" max="5583" width="9.140625" style="284" customWidth="1"/>
    <col min="5584" max="5585" width="9.28515625" style="284" customWidth="1"/>
    <col min="5586" max="5596" width="10.28515625" style="284" customWidth="1"/>
    <col min="5597" max="5746" width="9.140625" style="284"/>
    <col min="5747" max="5747" width="55.7109375" style="284" customWidth="1"/>
    <col min="5748" max="5839" width="9.140625" style="284" customWidth="1"/>
    <col min="5840" max="5841" width="9.28515625" style="284" customWidth="1"/>
    <col min="5842" max="5852" width="10.28515625" style="284" customWidth="1"/>
    <col min="5853" max="6002" width="9.140625" style="284"/>
    <col min="6003" max="6003" width="55.7109375" style="284" customWidth="1"/>
    <col min="6004" max="6095" width="9.140625" style="284" customWidth="1"/>
    <col min="6096" max="6097" width="9.28515625" style="284" customWidth="1"/>
    <col min="6098" max="6108" width="10.28515625" style="284" customWidth="1"/>
    <col min="6109" max="6258" width="9.140625" style="284"/>
    <col min="6259" max="6259" width="55.7109375" style="284" customWidth="1"/>
    <col min="6260" max="6351" width="9.140625" style="284" customWidth="1"/>
    <col min="6352" max="6353" width="9.28515625" style="284" customWidth="1"/>
    <col min="6354" max="6364" width="10.28515625" style="284" customWidth="1"/>
    <col min="6365" max="6514" width="9.140625" style="284"/>
    <col min="6515" max="6515" width="55.7109375" style="284" customWidth="1"/>
    <col min="6516" max="6607" width="9.140625" style="284" customWidth="1"/>
    <col min="6608" max="6609" width="9.28515625" style="284" customWidth="1"/>
    <col min="6610" max="6620" width="10.28515625" style="284" customWidth="1"/>
    <col min="6621" max="6770" width="9.140625" style="284"/>
    <col min="6771" max="6771" width="55.7109375" style="284" customWidth="1"/>
    <col min="6772" max="6863" width="9.140625" style="284" customWidth="1"/>
    <col min="6864" max="6865" width="9.28515625" style="284" customWidth="1"/>
    <col min="6866" max="6876" width="10.28515625" style="284" customWidth="1"/>
    <col min="6877" max="7026" width="9.140625" style="284"/>
    <col min="7027" max="7027" width="55.7109375" style="284" customWidth="1"/>
    <col min="7028" max="7119" width="9.140625" style="284" customWidth="1"/>
    <col min="7120" max="7121" width="9.28515625" style="284" customWidth="1"/>
    <col min="7122" max="7132" width="10.28515625" style="284" customWidth="1"/>
    <col min="7133" max="7282" width="9.140625" style="284"/>
    <col min="7283" max="7283" width="55.7109375" style="284" customWidth="1"/>
    <col min="7284" max="7375" width="9.140625" style="284" customWidth="1"/>
    <col min="7376" max="7377" width="9.28515625" style="284" customWidth="1"/>
    <col min="7378" max="7388" width="10.28515625" style="284" customWidth="1"/>
    <col min="7389" max="7538" width="9.140625" style="284"/>
    <col min="7539" max="7539" width="55.7109375" style="284" customWidth="1"/>
    <col min="7540" max="7631" width="9.140625" style="284" customWidth="1"/>
    <col min="7632" max="7633" width="9.28515625" style="284" customWidth="1"/>
    <col min="7634" max="7644" width="10.28515625" style="284" customWidth="1"/>
    <col min="7645" max="7794" width="9.140625" style="284"/>
    <col min="7795" max="7795" width="55.7109375" style="284" customWidth="1"/>
    <col min="7796" max="7887" width="9.140625" style="284" customWidth="1"/>
    <col min="7888" max="7889" width="9.28515625" style="284" customWidth="1"/>
    <col min="7890" max="7900" width="10.28515625" style="284" customWidth="1"/>
    <col min="7901" max="8050" width="9.140625" style="284"/>
    <col min="8051" max="8051" width="55.7109375" style="284" customWidth="1"/>
    <col min="8052" max="8143" width="9.140625" style="284" customWidth="1"/>
    <col min="8144" max="8145" width="9.28515625" style="284" customWidth="1"/>
    <col min="8146" max="8156" width="10.28515625" style="284" customWidth="1"/>
    <col min="8157" max="8306" width="9.140625" style="284"/>
    <col min="8307" max="8307" width="55.7109375" style="284" customWidth="1"/>
    <col min="8308" max="8399" width="9.140625" style="284" customWidth="1"/>
    <col min="8400" max="8401" width="9.28515625" style="284" customWidth="1"/>
    <col min="8402" max="8412" width="10.28515625" style="284" customWidth="1"/>
    <col min="8413" max="8562" width="9.140625" style="284"/>
    <col min="8563" max="8563" width="55.7109375" style="284" customWidth="1"/>
    <col min="8564" max="8655" width="9.140625" style="284" customWidth="1"/>
    <col min="8656" max="8657" width="9.28515625" style="284" customWidth="1"/>
    <col min="8658" max="8668" width="10.28515625" style="284" customWidth="1"/>
    <col min="8669" max="8818" width="9.140625" style="284"/>
    <col min="8819" max="8819" width="55.7109375" style="284" customWidth="1"/>
    <col min="8820" max="8911" width="9.140625" style="284" customWidth="1"/>
    <col min="8912" max="8913" width="9.28515625" style="284" customWidth="1"/>
    <col min="8914" max="8924" width="10.28515625" style="284" customWidth="1"/>
    <col min="8925" max="9074" width="9.140625" style="284"/>
    <col min="9075" max="9075" width="55.7109375" style="284" customWidth="1"/>
    <col min="9076" max="9167" width="9.140625" style="284" customWidth="1"/>
    <col min="9168" max="9169" width="9.28515625" style="284" customWidth="1"/>
    <col min="9170" max="9180" width="10.28515625" style="284" customWidth="1"/>
    <col min="9181" max="9330" width="9.140625" style="284"/>
    <col min="9331" max="9331" width="55.7109375" style="284" customWidth="1"/>
    <col min="9332" max="9423" width="9.140625" style="284" customWidth="1"/>
    <col min="9424" max="9425" width="9.28515625" style="284" customWidth="1"/>
    <col min="9426" max="9436" width="10.28515625" style="284" customWidth="1"/>
    <col min="9437" max="9586" width="9.140625" style="284"/>
    <col min="9587" max="9587" width="55.7109375" style="284" customWidth="1"/>
    <col min="9588" max="9679" width="9.140625" style="284" customWidth="1"/>
    <col min="9680" max="9681" width="9.28515625" style="284" customWidth="1"/>
    <col min="9682" max="9692" width="10.28515625" style="284" customWidth="1"/>
    <col min="9693" max="9842" width="9.140625" style="284"/>
    <col min="9843" max="9843" width="55.7109375" style="284" customWidth="1"/>
    <col min="9844" max="9935" width="9.140625" style="284" customWidth="1"/>
    <col min="9936" max="9937" width="9.28515625" style="284" customWidth="1"/>
    <col min="9938" max="9948" width="10.28515625" style="284" customWidth="1"/>
    <col min="9949" max="10098" width="9.140625" style="284"/>
    <col min="10099" max="10099" width="55.7109375" style="284" customWidth="1"/>
    <col min="10100" max="10191" width="9.140625" style="284" customWidth="1"/>
    <col min="10192" max="10193" width="9.28515625" style="284" customWidth="1"/>
    <col min="10194" max="10204" width="10.28515625" style="284" customWidth="1"/>
    <col min="10205" max="10354" width="9.140625" style="284"/>
    <col min="10355" max="10355" width="55.7109375" style="284" customWidth="1"/>
    <col min="10356" max="10447" width="9.140625" style="284" customWidth="1"/>
    <col min="10448" max="10449" width="9.28515625" style="284" customWidth="1"/>
    <col min="10450" max="10460" width="10.28515625" style="284" customWidth="1"/>
    <col min="10461" max="10610" width="9.140625" style="284"/>
    <col min="10611" max="10611" width="55.7109375" style="284" customWidth="1"/>
    <col min="10612" max="10703" width="9.140625" style="284" customWidth="1"/>
    <col min="10704" max="10705" width="9.28515625" style="284" customWidth="1"/>
    <col min="10706" max="10716" width="10.28515625" style="284" customWidth="1"/>
    <col min="10717" max="10866" width="9.140625" style="284"/>
    <col min="10867" max="10867" width="55.7109375" style="284" customWidth="1"/>
    <col min="10868" max="10959" width="9.140625" style="284" customWidth="1"/>
    <col min="10960" max="10961" width="9.28515625" style="284" customWidth="1"/>
    <col min="10962" max="10972" width="10.28515625" style="284" customWidth="1"/>
    <col min="10973" max="11122" width="9.140625" style="284"/>
    <col min="11123" max="11123" width="55.7109375" style="284" customWidth="1"/>
    <col min="11124" max="11215" width="9.140625" style="284" customWidth="1"/>
    <col min="11216" max="11217" width="9.28515625" style="284" customWidth="1"/>
    <col min="11218" max="11228" width="10.28515625" style="284" customWidth="1"/>
    <col min="11229" max="11378" width="9.140625" style="284"/>
    <col min="11379" max="11379" width="55.7109375" style="284" customWidth="1"/>
    <col min="11380" max="11471" width="9.140625" style="284" customWidth="1"/>
    <col min="11472" max="11473" width="9.28515625" style="284" customWidth="1"/>
    <col min="11474" max="11484" width="10.28515625" style="284" customWidth="1"/>
    <col min="11485" max="11634" width="9.140625" style="284"/>
    <col min="11635" max="11635" width="55.7109375" style="284" customWidth="1"/>
    <col min="11636" max="11727" width="9.140625" style="284" customWidth="1"/>
    <col min="11728" max="11729" width="9.28515625" style="284" customWidth="1"/>
    <col min="11730" max="11740" width="10.28515625" style="284" customWidth="1"/>
    <col min="11741" max="11890" width="9.140625" style="284"/>
    <col min="11891" max="11891" width="55.7109375" style="284" customWidth="1"/>
    <col min="11892" max="11983" width="9.140625" style="284" customWidth="1"/>
    <col min="11984" max="11985" width="9.28515625" style="284" customWidth="1"/>
    <col min="11986" max="11996" width="10.28515625" style="284" customWidth="1"/>
    <col min="11997" max="12146" width="9.140625" style="284"/>
    <col min="12147" max="12147" width="55.7109375" style="284" customWidth="1"/>
    <col min="12148" max="12239" width="9.140625" style="284" customWidth="1"/>
    <col min="12240" max="12241" width="9.28515625" style="284" customWidth="1"/>
    <col min="12242" max="12252" width="10.28515625" style="284" customWidth="1"/>
    <col min="12253" max="12402" width="9.140625" style="284"/>
    <col min="12403" max="12403" width="55.7109375" style="284" customWidth="1"/>
    <col min="12404" max="12495" width="9.140625" style="284" customWidth="1"/>
    <col min="12496" max="12497" width="9.28515625" style="284" customWidth="1"/>
    <col min="12498" max="12508" width="10.28515625" style="284" customWidth="1"/>
    <col min="12509" max="12658" width="9.140625" style="284"/>
    <col min="12659" max="12659" width="55.7109375" style="284" customWidth="1"/>
    <col min="12660" max="12751" width="9.140625" style="284" customWidth="1"/>
    <col min="12752" max="12753" width="9.28515625" style="284" customWidth="1"/>
    <col min="12754" max="12764" width="10.28515625" style="284" customWidth="1"/>
    <col min="12765" max="12914" width="9.140625" style="284"/>
    <col min="12915" max="12915" width="55.7109375" style="284" customWidth="1"/>
    <col min="12916" max="13007" width="9.140625" style="284" customWidth="1"/>
    <col min="13008" max="13009" width="9.28515625" style="284" customWidth="1"/>
    <col min="13010" max="13020" width="10.28515625" style="284" customWidth="1"/>
    <col min="13021" max="13170" width="9.140625" style="284"/>
    <col min="13171" max="13171" width="55.7109375" style="284" customWidth="1"/>
    <col min="13172" max="13263" width="9.140625" style="284" customWidth="1"/>
    <col min="13264" max="13265" width="9.28515625" style="284" customWidth="1"/>
    <col min="13266" max="13276" width="10.28515625" style="284" customWidth="1"/>
    <col min="13277" max="13426" width="9.140625" style="284"/>
    <col min="13427" max="13427" width="55.7109375" style="284" customWidth="1"/>
    <col min="13428" max="13519" width="9.140625" style="284" customWidth="1"/>
    <col min="13520" max="13521" width="9.28515625" style="284" customWidth="1"/>
    <col min="13522" max="13532" width="10.28515625" style="284" customWidth="1"/>
    <col min="13533" max="13682" width="9.140625" style="284"/>
    <col min="13683" max="13683" width="55.7109375" style="284" customWidth="1"/>
    <col min="13684" max="13775" width="9.140625" style="284" customWidth="1"/>
    <col min="13776" max="13777" width="9.28515625" style="284" customWidth="1"/>
    <col min="13778" max="13788" width="10.28515625" style="284" customWidth="1"/>
    <col min="13789" max="13938" width="9.140625" style="284"/>
    <col min="13939" max="13939" width="55.7109375" style="284" customWidth="1"/>
    <col min="13940" max="14031" width="9.140625" style="284" customWidth="1"/>
    <col min="14032" max="14033" width="9.28515625" style="284" customWidth="1"/>
    <col min="14034" max="14044" width="10.28515625" style="284" customWidth="1"/>
    <col min="14045" max="14194" width="9.140625" style="284"/>
    <col min="14195" max="14195" width="55.7109375" style="284" customWidth="1"/>
    <col min="14196" max="14287" width="9.140625" style="284" customWidth="1"/>
    <col min="14288" max="14289" width="9.28515625" style="284" customWidth="1"/>
    <col min="14290" max="14300" width="10.28515625" style="284" customWidth="1"/>
    <col min="14301" max="14450" width="9.140625" style="284"/>
    <col min="14451" max="14451" width="55.7109375" style="284" customWidth="1"/>
    <col min="14452" max="14543" width="9.140625" style="284" customWidth="1"/>
    <col min="14544" max="14545" width="9.28515625" style="284" customWidth="1"/>
    <col min="14546" max="14556" width="10.28515625" style="284" customWidth="1"/>
    <col min="14557" max="14706" width="9.140625" style="284"/>
    <col min="14707" max="14707" width="55.7109375" style="284" customWidth="1"/>
    <col min="14708" max="14799" width="9.140625" style="284" customWidth="1"/>
    <col min="14800" max="14801" width="9.28515625" style="284" customWidth="1"/>
    <col min="14802" max="14812" width="10.28515625" style="284" customWidth="1"/>
    <col min="14813" max="14962" width="9.140625" style="284"/>
    <col min="14963" max="14963" width="55.7109375" style="284" customWidth="1"/>
    <col min="14964" max="15055" width="9.140625" style="284" customWidth="1"/>
    <col min="15056" max="15057" width="9.28515625" style="284" customWidth="1"/>
    <col min="15058" max="15068" width="10.28515625" style="284" customWidth="1"/>
    <col min="15069" max="15218" width="9.140625" style="284"/>
    <col min="15219" max="15219" width="55.7109375" style="284" customWidth="1"/>
    <col min="15220" max="15311" width="9.140625" style="284" customWidth="1"/>
    <col min="15312" max="15313" width="9.28515625" style="284" customWidth="1"/>
    <col min="15314" max="15324" width="10.28515625" style="284" customWidth="1"/>
    <col min="15325" max="15474" width="9.140625" style="284"/>
    <col min="15475" max="15475" width="55.7109375" style="284" customWidth="1"/>
    <col min="15476" max="15567" width="9.140625" style="284" customWidth="1"/>
    <col min="15568" max="15569" width="9.28515625" style="284" customWidth="1"/>
    <col min="15570" max="15580" width="10.28515625" style="284" customWidth="1"/>
    <col min="15581" max="15730" width="9.140625" style="284"/>
    <col min="15731" max="15731" width="55.7109375" style="284" customWidth="1"/>
    <col min="15732" max="15823" width="9.140625" style="284" customWidth="1"/>
    <col min="15824" max="15825" width="9.28515625" style="284" customWidth="1"/>
    <col min="15826" max="15836" width="10.28515625" style="284" customWidth="1"/>
    <col min="15837" max="15986" width="9.140625" style="284"/>
    <col min="15987" max="15987" width="55.7109375" style="284" customWidth="1"/>
    <col min="15988" max="16079" width="9.140625" style="284" customWidth="1"/>
    <col min="16080" max="16081" width="9.28515625" style="284" customWidth="1"/>
    <col min="16082" max="16092" width="10.28515625" style="284" customWidth="1"/>
    <col min="16093" max="16384" width="9.140625" style="284"/>
  </cols>
  <sheetData>
    <row r="1" spans="1:32" ht="17.25" x14ac:dyDescent="0.3">
      <c r="A1" s="279" t="s">
        <v>1038</v>
      </c>
      <c r="B1" s="280"/>
    </row>
    <row r="2" spans="1:32" ht="17.25" customHeight="1" thickBot="1" x14ac:dyDescent="0.35">
      <c r="A2" s="285"/>
      <c r="B2" s="281"/>
      <c r="C2" s="281"/>
      <c r="D2" s="281"/>
      <c r="E2" s="286"/>
      <c r="F2" s="281"/>
      <c r="G2" s="281"/>
      <c r="H2" s="286"/>
      <c r="I2" s="286"/>
      <c r="J2" s="286"/>
      <c r="K2" s="286"/>
      <c r="L2" s="286"/>
      <c r="M2" s="286"/>
      <c r="N2" s="286"/>
      <c r="O2" s="286"/>
      <c r="P2" s="286"/>
      <c r="Q2" s="286"/>
      <c r="R2" s="286"/>
      <c r="S2" s="286"/>
      <c r="T2" s="286"/>
      <c r="U2" s="286"/>
      <c r="V2" s="286"/>
      <c r="W2" s="286"/>
      <c r="X2" s="286"/>
      <c r="Y2" s="286"/>
      <c r="Z2" s="286"/>
      <c r="AA2" s="286"/>
      <c r="AB2" s="286"/>
      <c r="AD2" s="286"/>
      <c r="AE2" s="286"/>
      <c r="AF2" s="286" t="s">
        <v>416</v>
      </c>
    </row>
    <row r="3" spans="1:32" ht="22.5" customHeight="1" thickTop="1" thickBot="1" x14ac:dyDescent="0.35">
      <c r="A3" s="353"/>
      <c r="B3" s="354">
        <v>43435</v>
      </c>
      <c r="C3" s="354">
        <v>43466</v>
      </c>
      <c r="D3" s="355">
        <v>43497</v>
      </c>
      <c r="E3" s="355">
        <v>43525</v>
      </c>
      <c r="F3" s="355">
        <v>43556</v>
      </c>
      <c r="G3" s="355">
        <v>43586</v>
      </c>
      <c r="H3" s="355">
        <v>43617</v>
      </c>
      <c r="I3" s="355">
        <v>43647</v>
      </c>
      <c r="J3" s="355">
        <v>43678</v>
      </c>
      <c r="K3" s="355">
        <v>43709</v>
      </c>
      <c r="L3" s="355">
        <v>43739</v>
      </c>
      <c r="M3" s="355">
        <v>43770</v>
      </c>
      <c r="N3" s="355">
        <v>43800</v>
      </c>
      <c r="O3" s="355">
        <v>43831</v>
      </c>
      <c r="P3" s="355">
        <v>43862</v>
      </c>
      <c r="Q3" s="355">
        <v>43891</v>
      </c>
      <c r="R3" s="355">
        <v>43922</v>
      </c>
      <c r="S3" s="355">
        <v>43952</v>
      </c>
      <c r="T3" s="355">
        <v>43983</v>
      </c>
      <c r="U3" s="355">
        <v>44013</v>
      </c>
      <c r="V3" s="355">
        <v>44044</v>
      </c>
      <c r="W3" s="355">
        <v>44075</v>
      </c>
      <c r="X3" s="355">
        <v>44105</v>
      </c>
      <c r="Y3" s="355">
        <v>44136</v>
      </c>
      <c r="Z3" s="355">
        <v>44166</v>
      </c>
      <c r="AA3" s="355">
        <v>44197</v>
      </c>
      <c r="AB3" s="342" t="s">
        <v>928</v>
      </c>
      <c r="AC3" s="342" t="s">
        <v>929</v>
      </c>
      <c r="AD3" s="342" t="s">
        <v>3273</v>
      </c>
      <c r="AE3" s="342" t="s">
        <v>3274</v>
      </c>
      <c r="AF3" s="342" t="s">
        <v>3275</v>
      </c>
    </row>
    <row r="4" spans="1:32" ht="17.45" customHeight="1" x14ac:dyDescent="0.3">
      <c r="A4" s="356" t="s">
        <v>511</v>
      </c>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row>
    <row r="5" spans="1:32" ht="17.45" customHeight="1" x14ac:dyDescent="0.3">
      <c r="A5" s="358" t="s">
        <v>512</v>
      </c>
      <c r="B5" s="359" t="s">
        <v>513</v>
      </c>
      <c r="C5" s="359" t="s">
        <v>445</v>
      </c>
      <c r="D5" s="359" t="s">
        <v>514</v>
      </c>
      <c r="E5" s="359" t="s">
        <v>458</v>
      </c>
      <c r="F5" s="359" t="s">
        <v>515</v>
      </c>
      <c r="G5" s="359" t="s">
        <v>516</v>
      </c>
      <c r="H5" s="359" t="s">
        <v>517</v>
      </c>
      <c r="I5" s="359" t="s">
        <v>518</v>
      </c>
      <c r="J5" s="359" t="s">
        <v>519</v>
      </c>
      <c r="K5" s="359" t="s">
        <v>520</v>
      </c>
      <c r="L5" s="359" t="s">
        <v>521</v>
      </c>
      <c r="M5" s="359" t="s">
        <v>522</v>
      </c>
      <c r="N5" s="359" t="s">
        <v>523</v>
      </c>
      <c r="O5" s="359" t="s">
        <v>524</v>
      </c>
      <c r="P5" s="359" t="s">
        <v>525</v>
      </c>
      <c r="Q5" s="359" t="s">
        <v>526</v>
      </c>
      <c r="R5" s="359" t="s">
        <v>465</v>
      </c>
      <c r="S5" s="359" t="s">
        <v>527</v>
      </c>
      <c r="T5" s="359" t="s">
        <v>528</v>
      </c>
      <c r="U5" s="359" t="s">
        <v>529</v>
      </c>
      <c r="V5" s="359" t="s">
        <v>530</v>
      </c>
      <c r="W5" s="359" t="s">
        <v>531</v>
      </c>
      <c r="X5" s="359" t="s">
        <v>532</v>
      </c>
      <c r="Y5" s="359" t="s">
        <v>533</v>
      </c>
      <c r="Z5" s="359" t="s">
        <v>459</v>
      </c>
      <c r="AA5" s="359" t="s">
        <v>534</v>
      </c>
      <c r="AB5" s="359" t="s">
        <v>535</v>
      </c>
      <c r="AC5" s="359" t="s">
        <v>869</v>
      </c>
      <c r="AD5" s="359" t="s">
        <v>459</v>
      </c>
      <c r="AE5" s="359" t="s">
        <v>1016</v>
      </c>
      <c r="AF5" s="359" t="s">
        <v>532</v>
      </c>
    </row>
    <row r="6" spans="1:32" ht="19.149999999999999" customHeight="1" x14ac:dyDescent="0.3">
      <c r="A6" s="282" t="s">
        <v>434</v>
      </c>
      <c r="B6" s="360" t="s">
        <v>115</v>
      </c>
      <c r="C6" s="360" t="s">
        <v>115</v>
      </c>
      <c r="D6" s="360" t="s">
        <v>115</v>
      </c>
      <c r="E6" s="360" t="s">
        <v>115</v>
      </c>
      <c r="F6" s="360" t="s">
        <v>115</v>
      </c>
      <c r="G6" s="360" t="s">
        <v>115</v>
      </c>
      <c r="H6" s="360" t="s">
        <v>115</v>
      </c>
      <c r="I6" s="360" t="s">
        <v>115</v>
      </c>
      <c r="J6" s="360" t="s">
        <v>115</v>
      </c>
      <c r="K6" s="360" t="s">
        <v>115</v>
      </c>
      <c r="L6" s="360" t="s">
        <v>115</v>
      </c>
      <c r="M6" s="360" t="s">
        <v>115</v>
      </c>
      <c r="N6" s="360" t="s">
        <v>115</v>
      </c>
      <c r="O6" s="360" t="s">
        <v>115</v>
      </c>
      <c r="P6" s="360" t="s">
        <v>115</v>
      </c>
      <c r="Q6" s="360" t="s">
        <v>115</v>
      </c>
      <c r="R6" s="360" t="s">
        <v>115</v>
      </c>
      <c r="S6" s="360" t="s">
        <v>115</v>
      </c>
      <c r="T6" s="360" t="s">
        <v>115</v>
      </c>
      <c r="U6" s="360" t="s">
        <v>115</v>
      </c>
      <c r="V6" s="360" t="s">
        <v>115</v>
      </c>
      <c r="W6" s="360" t="s">
        <v>115</v>
      </c>
      <c r="X6" s="360" t="s">
        <v>115</v>
      </c>
      <c r="Y6" s="360" t="s">
        <v>115</v>
      </c>
      <c r="Z6" s="360" t="s">
        <v>115</v>
      </c>
      <c r="AA6" s="360" t="s">
        <v>115</v>
      </c>
      <c r="AB6" s="360" t="s">
        <v>115</v>
      </c>
      <c r="AC6" s="360" t="s">
        <v>115</v>
      </c>
      <c r="AD6" s="360" t="s">
        <v>115</v>
      </c>
      <c r="AE6" s="360" t="s">
        <v>115</v>
      </c>
      <c r="AF6" s="360" t="s">
        <v>115</v>
      </c>
    </row>
    <row r="7" spans="1:32" ht="17.25" customHeight="1" x14ac:dyDescent="0.3">
      <c r="A7" s="282" t="s">
        <v>439</v>
      </c>
      <c r="B7" s="360" t="s">
        <v>115</v>
      </c>
      <c r="C7" s="360" t="s">
        <v>115</v>
      </c>
      <c r="D7" s="360" t="s">
        <v>115</v>
      </c>
      <c r="E7" s="360" t="s">
        <v>115</v>
      </c>
      <c r="F7" s="360" t="s">
        <v>115</v>
      </c>
      <c r="G7" s="360" t="s">
        <v>115</v>
      </c>
      <c r="H7" s="360" t="s">
        <v>115</v>
      </c>
      <c r="I7" s="360" t="s">
        <v>115</v>
      </c>
      <c r="J7" s="360" t="s">
        <v>115</v>
      </c>
      <c r="K7" s="360" t="s">
        <v>115</v>
      </c>
      <c r="L7" s="360" t="s">
        <v>115</v>
      </c>
      <c r="M7" s="360" t="s">
        <v>115</v>
      </c>
      <c r="N7" s="360" t="s">
        <v>115</v>
      </c>
      <c r="O7" s="360" t="s">
        <v>115</v>
      </c>
      <c r="P7" s="360" t="s">
        <v>115</v>
      </c>
      <c r="Q7" s="360" t="s">
        <v>115</v>
      </c>
      <c r="R7" s="360" t="s">
        <v>115</v>
      </c>
      <c r="S7" s="360" t="s">
        <v>115</v>
      </c>
      <c r="T7" s="360" t="s">
        <v>115</v>
      </c>
      <c r="U7" s="360" t="s">
        <v>115</v>
      </c>
      <c r="V7" s="360" t="s">
        <v>115</v>
      </c>
      <c r="W7" s="360" t="s">
        <v>115</v>
      </c>
      <c r="X7" s="360" t="s">
        <v>115</v>
      </c>
      <c r="Y7" s="360" t="s">
        <v>115</v>
      </c>
      <c r="Z7" s="360" t="s">
        <v>115</v>
      </c>
      <c r="AA7" s="360" t="s">
        <v>115</v>
      </c>
      <c r="AB7" s="360" t="s">
        <v>115</v>
      </c>
      <c r="AC7" s="360" t="s">
        <v>115</v>
      </c>
      <c r="AD7" s="360" t="s">
        <v>115</v>
      </c>
      <c r="AE7" s="360" t="s">
        <v>115</v>
      </c>
      <c r="AF7" s="360" t="s">
        <v>115</v>
      </c>
    </row>
    <row r="8" spans="1:32" ht="16.5" x14ac:dyDescent="0.3">
      <c r="A8" s="282" t="s">
        <v>446</v>
      </c>
      <c r="B8" s="360" t="s">
        <v>115</v>
      </c>
      <c r="C8" s="360" t="s">
        <v>115</v>
      </c>
      <c r="D8" s="360" t="s">
        <v>115</v>
      </c>
      <c r="E8" s="360" t="s">
        <v>115</v>
      </c>
      <c r="F8" s="360" t="s">
        <v>115</v>
      </c>
      <c r="G8" s="360" t="s">
        <v>115</v>
      </c>
      <c r="H8" s="360" t="s">
        <v>115</v>
      </c>
      <c r="I8" s="360" t="s">
        <v>115</v>
      </c>
      <c r="J8" s="360" t="s">
        <v>115</v>
      </c>
      <c r="K8" s="360" t="s">
        <v>115</v>
      </c>
      <c r="L8" s="360" t="s">
        <v>115</v>
      </c>
      <c r="M8" s="360" t="s">
        <v>115</v>
      </c>
      <c r="N8" s="360" t="s">
        <v>115</v>
      </c>
      <c r="O8" s="360" t="s">
        <v>115</v>
      </c>
      <c r="P8" s="360" t="s">
        <v>115</v>
      </c>
      <c r="Q8" s="360" t="s">
        <v>115</v>
      </c>
      <c r="R8" s="360" t="s">
        <v>115</v>
      </c>
      <c r="S8" s="360" t="s">
        <v>115</v>
      </c>
      <c r="T8" s="360" t="s">
        <v>115</v>
      </c>
      <c r="U8" s="360" t="s">
        <v>115</v>
      </c>
      <c r="V8" s="360" t="s">
        <v>115</v>
      </c>
      <c r="W8" s="360" t="s">
        <v>115</v>
      </c>
      <c r="X8" s="360" t="s">
        <v>115</v>
      </c>
      <c r="Y8" s="360" t="s">
        <v>115</v>
      </c>
      <c r="Z8" s="360" t="s">
        <v>115</v>
      </c>
      <c r="AA8" s="360" t="s">
        <v>115</v>
      </c>
      <c r="AB8" s="360" t="s">
        <v>115</v>
      </c>
      <c r="AC8" s="360" t="s">
        <v>115</v>
      </c>
      <c r="AD8" s="360" t="s">
        <v>115</v>
      </c>
      <c r="AE8" s="360" t="s">
        <v>115</v>
      </c>
      <c r="AF8" s="360" t="s">
        <v>115</v>
      </c>
    </row>
    <row r="9" spans="1:32" ht="17.45" customHeight="1" x14ac:dyDescent="0.3">
      <c r="A9" s="282" t="s">
        <v>451</v>
      </c>
      <c r="B9" s="360" t="s">
        <v>115</v>
      </c>
      <c r="C9" s="360" t="s">
        <v>115</v>
      </c>
      <c r="D9" s="360">
        <v>2</v>
      </c>
      <c r="E9" s="360" t="s">
        <v>115</v>
      </c>
      <c r="F9" s="360" t="s">
        <v>115</v>
      </c>
      <c r="G9" s="360">
        <v>2.7</v>
      </c>
      <c r="H9" s="360" t="s">
        <v>115</v>
      </c>
      <c r="I9" s="360" t="s">
        <v>115</v>
      </c>
      <c r="J9" s="360" t="s">
        <v>115</v>
      </c>
      <c r="K9" s="360" t="s">
        <v>115</v>
      </c>
      <c r="L9" s="360" t="s">
        <v>115</v>
      </c>
      <c r="M9" s="360" t="s">
        <v>115</v>
      </c>
      <c r="N9" s="360" t="s">
        <v>115</v>
      </c>
      <c r="O9" s="360" t="s">
        <v>115</v>
      </c>
      <c r="P9" s="360" t="s">
        <v>115</v>
      </c>
      <c r="Q9" s="360" t="s">
        <v>115</v>
      </c>
      <c r="R9" s="360" t="s">
        <v>115</v>
      </c>
      <c r="S9" s="360" t="s">
        <v>115</v>
      </c>
      <c r="T9" s="360" t="s">
        <v>115</v>
      </c>
      <c r="U9" s="360" t="s">
        <v>115</v>
      </c>
      <c r="V9" s="360" t="s">
        <v>115</v>
      </c>
      <c r="W9" s="360">
        <v>2.5</v>
      </c>
      <c r="X9" s="360" t="s">
        <v>115</v>
      </c>
      <c r="Y9" s="360" t="s">
        <v>115</v>
      </c>
      <c r="Z9" s="360" t="s">
        <v>536</v>
      </c>
      <c r="AA9" s="360" t="s">
        <v>115</v>
      </c>
      <c r="AB9" s="360" t="s">
        <v>115</v>
      </c>
      <c r="AC9" s="360">
        <v>1</v>
      </c>
      <c r="AD9" s="360" t="s">
        <v>115</v>
      </c>
      <c r="AE9" s="360" t="s">
        <v>115</v>
      </c>
      <c r="AF9" s="360">
        <v>1</v>
      </c>
    </row>
    <row r="10" spans="1:32" ht="15.75" customHeight="1" x14ac:dyDescent="0.3">
      <c r="A10" s="282" t="s">
        <v>456</v>
      </c>
      <c r="B10" s="360" t="s">
        <v>537</v>
      </c>
      <c r="C10" s="360">
        <v>1.35</v>
      </c>
      <c r="D10" s="360">
        <v>2.1</v>
      </c>
      <c r="E10" s="360" t="s">
        <v>538</v>
      </c>
      <c r="F10" s="360">
        <v>2.7</v>
      </c>
      <c r="G10" s="360" t="s">
        <v>433</v>
      </c>
      <c r="H10" s="360">
        <v>3.5</v>
      </c>
      <c r="I10" s="360" t="s">
        <v>115</v>
      </c>
      <c r="J10" s="360">
        <v>2</v>
      </c>
      <c r="K10" s="360">
        <v>2</v>
      </c>
      <c r="L10" s="360" t="s">
        <v>115</v>
      </c>
      <c r="M10" s="360" t="s">
        <v>115</v>
      </c>
      <c r="N10" s="360">
        <v>2</v>
      </c>
      <c r="O10" s="360">
        <v>2.75</v>
      </c>
      <c r="P10" s="360">
        <v>2.75</v>
      </c>
      <c r="Q10" s="360" t="s">
        <v>115</v>
      </c>
      <c r="R10" s="360">
        <v>1.95</v>
      </c>
      <c r="S10" s="360">
        <v>1</v>
      </c>
      <c r="T10" s="360">
        <v>1</v>
      </c>
      <c r="U10" s="360">
        <v>1</v>
      </c>
      <c r="V10" s="360">
        <v>1</v>
      </c>
      <c r="W10" s="360">
        <v>1</v>
      </c>
      <c r="X10" s="360" t="s">
        <v>539</v>
      </c>
      <c r="Y10" s="360" t="s">
        <v>539</v>
      </c>
      <c r="Z10" s="360" t="s">
        <v>539</v>
      </c>
      <c r="AA10" s="360">
        <v>1</v>
      </c>
      <c r="AB10" s="360" t="s">
        <v>540</v>
      </c>
      <c r="AC10" s="360" t="s">
        <v>870</v>
      </c>
      <c r="AD10" s="360" t="s">
        <v>890</v>
      </c>
      <c r="AE10" s="360" t="s">
        <v>1017</v>
      </c>
      <c r="AF10" s="360" t="s">
        <v>1032</v>
      </c>
    </row>
    <row r="11" spans="1:32" ht="16.899999999999999" customHeight="1" x14ac:dyDescent="0.3">
      <c r="A11" s="282" t="s">
        <v>460</v>
      </c>
      <c r="B11" s="360" t="s">
        <v>541</v>
      </c>
      <c r="C11" s="360" t="s">
        <v>542</v>
      </c>
      <c r="D11" s="360" t="s">
        <v>543</v>
      </c>
      <c r="E11" s="360" t="s">
        <v>544</v>
      </c>
      <c r="F11" s="360" t="s">
        <v>545</v>
      </c>
      <c r="G11" s="360" t="s">
        <v>546</v>
      </c>
      <c r="H11" s="360" t="s">
        <v>547</v>
      </c>
      <c r="I11" s="360" t="s">
        <v>543</v>
      </c>
      <c r="J11" s="360" t="s">
        <v>548</v>
      </c>
      <c r="K11" s="360" t="s">
        <v>549</v>
      </c>
      <c r="L11" s="360" t="s">
        <v>550</v>
      </c>
      <c r="M11" s="360" t="s">
        <v>551</v>
      </c>
      <c r="N11" s="360" t="s">
        <v>552</v>
      </c>
      <c r="O11" s="360" t="s">
        <v>553</v>
      </c>
      <c r="P11" s="360" t="s">
        <v>549</v>
      </c>
      <c r="Q11" s="360" t="s">
        <v>554</v>
      </c>
      <c r="R11" s="360" t="s">
        <v>115</v>
      </c>
      <c r="S11" s="360" t="s">
        <v>555</v>
      </c>
      <c r="T11" s="360" t="s">
        <v>556</v>
      </c>
      <c r="U11" s="360" t="s">
        <v>557</v>
      </c>
      <c r="V11" s="360" t="s">
        <v>477</v>
      </c>
      <c r="W11" s="360" t="s">
        <v>462</v>
      </c>
      <c r="X11" s="360" t="s">
        <v>558</v>
      </c>
      <c r="Y11" s="360" t="s">
        <v>559</v>
      </c>
      <c r="Z11" s="360" t="s">
        <v>560</v>
      </c>
      <c r="AA11" s="360" t="s">
        <v>476</v>
      </c>
      <c r="AB11" s="360" t="s">
        <v>561</v>
      </c>
      <c r="AC11" s="360" t="s">
        <v>871</v>
      </c>
      <c r="AD11" s="360" t="s">
        <v>891</v>
      </c>
      <c r="AE11" s="360" t="s">
        <v>1018</v>
      </c>
      <c r="AF11" s="360" t="s">
        <v>1033</v>
      </c>
    </row>
    <row r="12" spans="1:32" ht="16.899999999999999" customHeight="1" x14ac:dyDescent="0.3">
      <c r="A12" s="282" t="s">
        <v>463</v>
      </c>
      <c r="B12" s="360">
        <v>5.0999999999999996</v>
      </c>
      <c r="C12" s="360" t="s">
        <v>115</v>
      </c>
      <c r="D12" s="360" t="s">
        <v>115</v>
      </c>
      <c r="E12" s="360" t="s">
        <v>115</v>
      </c>
      <c r="F12" s="360" t="s">
        <v>562</v>
      </c>
      <c r="G12" s="360" t="s">
        <v>563</v>
      </c>
      <c r="H12" s="360" t="s">
        <v>563</v>
      </c>
      <c r="I12" s="360" t="s">
        <v>563</v>
      </c>
      <c r="J12" s="360" t="s">
        <v>563</v>
      </c>
      <c r="K12" s="360" t="s">
        <v>563</v>
      </c>
      <c r="L12" s="360" t="s">
        <v>563</v>
      </c>
      <c r="M12" s="360" t="s">
        <v>563</v>
      </c>
      <c r="N12" s="360">
        <v>4</v>
      </c>
      <c r="O12" s="360" t="s">
        <v>564</v>
      </c>
      <c r="P12" s="360" t="s">
        <v>564</v>
      </c>
      <c r="Q12" s="360">
        <v>3.5</v>
      </c>
      <c r="R12" s="360" t="s">
        <v>565</v>
      </c>
      <c r="S12" s="360">
        <v>3.25</v>
      </c>
      <c r="T12" s="360" t="s">
        <v>566</v>
      </c>
      <c r="U12" s="360" t="s">
        <v>567</v>
      </c>
      <c r="V12" s="360">
        <v>1.85</v>
      </c>
      <c r="W12" s="360" t="s">
        <v>568</v>
      </c>
      <c r="X12" s="360" t="s">
        <v>569</v>
      </c>
      <c r="Y12" s="360" t="s">
        <v>570</v>
      </c>
      <c r="Z12" s="360" t="s">
        <v>571</v>
      </c>
      <c r="AA12" s="360" t="s">
        <v>572</v>
      </c>
      <c r="AB12" s="360">
        <v>2.5</v>
      </c>
      <c r="AC12" s="360">
        <v>2.1</v>
      </c>
      <c r="AD12" s="360" t="s">
        <v>115</v>
      </c>
      <c r="AE12" s="360" t="s">
        <v>1019</v>
      </c>
      <c r="AF12" s="360" t="s">
        <v>115</v>
      </c>
    </row>
    <row r="13" spans="1:32" ht="16.5" x14ac:dyDescent="0.3">
      <c r="A13" s="282" t="s">
        <v>466</v>
      </c>
      <c r="B13" s="360" t="s">
        <v>573</v>
      </c>
      <c r="C13" s="360" t="s">
        <v>574</v>
      </c>
      <c r="D13" s="360" t="s">
        <v>437</v>
      </c>
      <c r="E13" s="360" t="s">
        <v>575</v>
      </c>
      <c r="F13" s="360" t="s">
        <v>576</v>
      </c>
      <c r="G13" s="360" t="s">
        <v>577</v>
      </c>
      <c r="H13" s="360" t="s">
        <v>578</v>
      </c>
      <c r="I13" s="360" t="s">
        <v>577</v>
      </c>
      <c r="J13" s="360" t="s">
        <v>579</v>
      </c>
      <c r="K13" s="360" t="s">
        <v>580</v>
      </c>
      <c r="L13" s="360" t="s">
        <v>581</v>
      </c>
      <c r="M13" s="360" t="s">
        <v>478</v>
      </c>
      <c r="N13" s="360" t="s">
        <v>582</v>
      </c>
      <c r="O13" s="360" t="s">
        <v>583</v>
      </c>
      <c r="P13" s="360" t="s">
        <v>580</v>
      </c>
      <c r="Q13" s="360" t="s">
        <v>581</v>
      </c>
      <c r="R13" s="360" t="s">
        <v>115</v>
      </c>
      <c r="S13" s="360" t="s">
        <v>584</v>
      </c>
      <c r="T13" s="360" t="s">
        <v>585</v>
      </c>
      <c r="U13" s="360" t="s">
        <v>586</v>
      </c>
      <c r="V13" s="360" t="s">
        <v>587</v>
      </c>
      <c r="W13" s="360" t="s">
        <v>483</v>
      </c>
      <c r="X13" s="360" t="s">
        <v>588</v>
      </c>
      <c r="Y13" s="360" t="s">
        <v>589</v>
      </c>
      <c r="Z13" s="360" t="s">
        <v>590</v>
      </c>
      <c r="AA13" s="360" t="s">
        <v>591</v>
      </c>
      <c r="AB13" s="360" t="s">
        <v>592</v>
      </c>
      <c r="AC13" s="360" t="s">
        <v>872</v>
      </c>
      <c r="AD13" s="360" t="s">
        <v>892</v>
      </c>
      <c r="AE13" s="360" t="s">
        <v>1020</v>
      </c>
      <c r="AF13" s="360" t="s">
        <v>1034</v>
      </c>
    </row>
    <row r="14" spans="1:32" ht="17.45" customHeight="1" x14ac:dyDescent="0.3">
      <c r="A14" s="282" t="s">
        <v>468</v>
      </c>
      <c r="B14" s="360" t="s">
        <v>593</v>
      </c>
      <c r="C14" s="360" t="s">
        <v>594</v>
      </c>
      <c r="D14" s="360" t="s">
        <v>595</v>
      </c>
      <c r="E14" s="360" t="s">
        <v>596</v>
      </c>
      <c r="F14" s="360" t="s">
        <v>596</v>
      </c>
      <c r="G14" s="360" t="s">
        <v>597</v>
      </c>
      <c r="H14" s="360" t="s">
        <v>598</v>
      </c>
      <c r="I14" s="360" t="s">
        <v>599</v>
      </c>
      <c r="J14" s="360" t="s">
        <v>600</v>
      </c>
      <c r="K14" s="360" t="s">
        <v>601</v>
      </c>
      <c r="L14" s="360" t="s">
        <v>602</v>
      </c>
      <c r="M14" s="360" t="s">
        <v>603</v>
      </c>
      <c r="N14" s="360" t="s">
        <v>482</v>
      </c>
      <c r="O14" s="360" t="s">
        <v>604</v>
      </c>
      <c r="P14" s="360" t="s">
        <v>605</v>
      </c>
      <c r="Q14" s="360" t="s">
        <v>606</v>
      </c>
      <c r="R14" s="360" t="s">
        <v>455</v>
      </c>
      <c r="S14" s="360" t="s">
        <v>607</v>
      </c>
      <c r="T14" s="360" t="s">
        <v>608</v>
      </c>
      <c r="U14" s="360" t="s">
        <v>609</v>
      </c>
      <c r="V14" s="360" t="s">
        <v>610</v>
      </c>
      <c r="W14" s="360" t="s">
        <v>611</v>
      </c>
      <c r="X14" s="360" t="s">
        <v>612</v>
      </c>
      <c r="Y14" s="360" t="s">
        <v>613</v>
      </c>
      <c r="Z14" s="360" t="s">
        <v>607</v>
      </c>
      <c r="AA14" s="360" t="s">
        <v>614</v>
      </c>
      <c r="AB14" s="360" t="s">
        <v>474</v>
      </c>
      <c r="AC14" s="360" t="s">
        <v>873</v>
      </c>
      <c r="AD14" s="360" t="s">
        <v>893</v>
      </c>
      <c r="AE14" s="360" t="s">
        <v>1021</v>
      </c>
      <c r="AF14" s="360" t="s">
        <v>1035</v>
      </c>
    </row>
    <row r="15" spans="1:32" ht="17.45" customHeight="1" x14ac:dyDescent="0.3">
      <c r="A15" s="282" t="s">
        <v>469</v>
      </c>
      <c r="B15" s="360" t="s">
        <v>615</v>
      </c>
      <c r="C15" s="360" t="s">
        <v>616</v>
      </c>
      <c r="D15" s="360" t="s">
        <v>617</v>
      </c>
      <c r="E15" s="360" t="s">
        <v>618</v>
      </c>
      <c r="F15" s="360" t="s">
        <v>619</v>
      </c>
      <c r="G15" s="360" t="s">
        <v>620</v>
      </c>
      <c r="H15" s="360" t="s">
        <v>621</v>
      </c>
      <c r="I15" s="360" t="s">
        <v>622</v>
      </c>
      <c r="J15" s="360" t="s">
        <v>623</v>
      </c>
      <c r="K15" s="360" t="s">
        <v>473</v>
      </c>
      <c r="L15" s="360" t="s">
        <v>480</v>
      </c>
      <c r="M15" s="360" t="s">
        <v>624</v>
      </c>
      <c r="N15" s="360" t="s">
        <v>598</v>
      </c>
      <c r="O15" s="360" t="s">
        <v>625</v>
      </c>
      <c r="P15" s="360" t="s">
        <v>619</v>
      </c>
      <c r="Q15" s="360" t="s">
        <v>619</v>
      </c>
      <c r="R15" s="360" t="s">
        <v>626</v>
      </c>
      <c r="S15" s="360" t="s">
        <v>627</v>
      </c>
      <c r="T15" s="360" t="s">
        <v>628</v>
      </c>
      <c r="U15" s="360" t="s">
        <v>438</v>
      </c>
      <c r="V15" s="360" t="s">
        <v>629</v>
      </c>
      <c r="W15" s="360" t="s">
        <v>630</v>
      </c>
      <c r="X15" s="360" t="s">
        <v>631</v>
      </c>
      <c r="Y15" s="360" t="s">
        <v>632</v>
      </c>
      <c r="Z15" s="360" t="s">
        <v>633</v>
      </c>
      <c r="AA15" s="360" t="s">
        <v>634</v>
      </c>
      <c r="AB15" s="360" t="s">
        <v>633</v>
      </c>
      <c r="AC15" s="360" t="s">
        <v>874</v>
      </c>
      <c r="AD15" s="360" t="s">
        <v>894</v>
      </c>
      <c r="AE15" s="360" t="s">
        <v>648</v>
      </c>
      <c r="AF15" s="360" t="s">
        <v>1036</v>
      </c>
    </row>
    <row r="16" spans="1:32" ht="17.25" customHeight="1" x14ac:dyDescent="0.3">
      <c r="A16" s="282" t="s">
        <v>470</v>
      </c>
      <c r="B16" s="360" t="s">
        <v>635</v>
      </c>
      <c r="C16" s="360" t="s">
        <v>636</v>
      </c>
      <c r="D16" s="360" t="s">
        <v>637</v>
      </c>
      <c r="E16" s="360" t="s">
        <v>638</v>
      </c>
      <c r="F16" s="360" t="s">
        <v>639</v>
      </c>
      <c r="G16" s="360" t="s">
        <v>640</v>
      </c>
      <c r="H16" s="360" t="s">
        <v>641</v>
      </c>
      <c r="I16" s="360" t="s">
        <v>642</v>
      </c>
      <c r="J16" s="360" t="s">
        <v>636</v>
      </c>
      <c r="K16" s="360" t="s">
        <v>636</v>
      </c>
      <c r="L16" s="360" t="s">
        <v>635</v>
      </c>
      <c r="M16" s="360" t="s">
        <v>643</v>
      </c>
      <c r="N16" s="360" t="s">
        <v>635</v>
      </c>
      <c r="O16" s="360" t="s">
        <v>644</v>
      </c>
      <c r="P16" s="360" t="s">
        <v>641</v>
      </c>
      <c r="Q16" s="360" t="s">
        <v>641</v>
      </c>
      <c r="R16" s="360" t="s">
        <v>645</v>
      </c>
      <c r="S16" s="360" t="s">
        <v>646</v>
      </c>
      <c r="T16" s="360" t="s">
        <v>647</v>
      </c>
      <c r="U16" s="360" t="s">
        <v>438</v>
      </c>
      <c r="V16" s="360" t="s">
        <v>648</v>
      </c>
      <c r="W16" s="360" t="s">
        <v>649</v>
      </c>
      <c r="X16" s="360" t="s">
        <v>432</v>
      </c>
      <c r="Y16" s="360" t="s">
        <v>475</v>
      </c>
      <c r="Z16" s="360" t="s">
        <v>543</v>
      </c>
      <c r="AA16" s="360" t="s">
        <v>648</v>
      </c>
      <c r="AB16" s="360" t="s">
        <v>650</v>
      </c>
      <c r="AC16" s="360" t="s">
        <v>543</v>
      </c>
      <c r="AD16" s="360" t="s">
        <v>895</v>
      </c>
      <c r="AE16" s="360" t="s">
        <v>543</v>
      </c>
      <c r="AF16" s="360" t="s">
        <v>543</v>
      </c>
    </row>
    <row r="17" spans="1:32" ht="18" customHeight="1" x14ac:dyDescent="0.3">
      <c r="A17" s="282" t="s">
        <v>471</v>
      </c>
      <c r="B17" s="360" t="s">
        <v>651</v>
      </c>
      <c r="C17" s="360" t="s">
        <v>652</v>
      </c>
      <c r="D17" s="360" t="s">
        <v>653</v>
      </c>
      <c r="E17" s="360" t="s">
        <v>654</v>
      </c>
      <c r="F17" s="360" t="s">
        <v>654</v>
      </c>
      <c r="G17" s="360" t="s">
        <v>655</v>
      </c>
      <c r="H17" s="360" t="s">
        <v>656</v>
      </c>
      <c r="I17" s="360" t="s">
        <v>652</v>
      </c>
      <c r="J17" s="360" t="s">
        <v>657</v>
      </c>
      <c r="K17" s="360" t="s">
        <v>658</v>
      </c>
      <c r="L17" s="360" t="s">
        <v>659</v>
      </c>
      <c r="M17" s="360" t="s">
        <v>660</v>
      </c>
      <c r="N17" s="360" t="s">
        <v>661</v>
      </c>
      <c r="O17" s="360" t="s">
        <v>661</v>
      </c>
      <c r="P17" s="360" t="s">
        <v>653</v>
      </c>
      <c r="Q17" s="360" t="s">
        <v>662</v>
      </c>
      <c r="R17" s="360" t="s">
        <v>115</v>
      </c>
      <c r="S17" s="360" t="s">
        <v>663</v>
      </c>
      <c r="T17" s="360" t="s">
        <v>664</v>
      </c>
      <c r="U17" s="360" t="s">
        <v>665</v>
      </c>
      <c r="V17" s="360" t="s">
        <v>481</v>
      </c>
      <c r="W17" s="360" t="s">
        <v>666</v>
      </c>
      <c r="X17" s="360" t="s">
        <v>479</v>
      </c>
      <c r="Y17" s="360" t="s">
        <v>431</v>
      </c>
      <c r="Z17" s="360" t="s">
        <v>431</v>
      </c>
      <c r="AA17" s="360" t="s">
        <v>431</v>
      </c>
      <c r="AB17" s="360" t="s">
        <v>667</v>
      </c>
      <c r="AC17" s="360" t="s">
        <v>431</v>
      </c>
      <c r="AD17" s="360" t="s">
        <v>896</v>
      </c>
      <c r="AE17" s="360" t="s">
        <v>1022</v>
      </c>
      <c r="AF17" s="360" t="s">
        <v>431</v>
      </c>
    </row>
    <row r="18" spans="1:32" ht="17.100000000000001" customHeight="1" thickBot="1" x14ac:dyDescent="0.35">
      <c r="A18" s="361"/>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row>
    <row r="19" spans="1:32" ht="15" customHeight="1" thickTop="1" x14ac:dyDescent="0.25">
      <c r="A19" s="283" t="s">
        <v>914</v>
      </c>
    </row>
    <row r="20" spans="1:32" ht="15" customHeight="1" x14ac:dyDescent="0.25">
      <c r="A20" s="283"/>
    </row>
    <row r="21" spans="1:32" ht="15" customHeight="1" x14ac:dyDescent="0.25">
      <c r="A21" s="283" t="s">
        <v>134</v>
      </c>
    </row>
  </sheetData>
  <pageMargins left="0.75" right="0.75" top="0.75" bottom="0.75" header="0.3" footer="0"/>
  <pageSetup paperSize="9" scale="6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pageSetUpPr fitToPage="1"/>
  </sheetPr>
  <dimension ref="A1:AF32"/>
  <sheetViews>
    <sheetView showGridLines="0" zoomScale="80" zoomScaleNormal="80" zoomScaleSheetLayoutView="80" workbookViewId="0">
      <pane xSplit="3" ySplit="3" topLeftCell="V4" activePane="bottomRight" state="frozen"/>
      <selection activeCell="K39" sqref="K39"/>
      <selection pane="topRight" activeCell="K39" sqref="K39"/>
      <selection pane="bottomLeft" activeCell="K39" sqref="K39"/>
      <selection pane="bottomRight" activeCell="T37" sqref="T37"/>
    </sheetView>
  </sheetViews>
  <sheetFormatPr defaultColWidth="9.140625" defaultRowHeight="20.25" x14ac:dyDescent="0.35"/>
  <cols>
    <col min="1" max="1" width="79.28515625" style="392" customWidth="1"/>
    <col min="2" max="4" width="13.85546875" style="393" hidden="1" customWidth="1"/>
    <col min="5" max="19" width="14.140625" style="287" hidden="1" customWidth="1"/>
    <col min="20" max="32" width="14.140625" style="287" customWidth="1"/>
    <col min="33" max="16384" width="9.140625" style="287"/>
  </cols>
  <sheetData>
    <row r="1" spans="1:32" ht="23.25" customHeight="1" x14ac:dyDescent="0.3">
      <c r="A1" s="224" t="s">
        <v>1039</v>
      </c>
      <c r="B1" s="224"/>
      <c r="C1" s="224"/>
      <c r="D1" s="224"/>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row>
    <row r="2" spans="1:32" s="364" customFormat="1" ht="23.1" customHeight="1" thickBot="1" x14ac:dyDescent="0.3">
      <c r="A2" s="363"/>
      <c r="E2" s="365"/>
      <c r="F2" s="365"/>
      <c r="G2" s="365"/>
      <c r="H2" s="365"/>
      <c r="I2" s="365"/>
      <c r="J2" s="365"/>
      <c r="K2" s="365"/>
      <c r="L2" s="365"/>
      <c r="M2" s="365"/>
      <c r="N2" s="365"/>
      <c r="O2" s="365"/>
      <c r="P2" s="365"/>
      <c r="Q2" s="365"/>
      <c r="R2" s="365"/>
      <c r="S2" s="365"/>
      <c r="T2" s="365"/>
      <c r="U2" s="365"/>
      <c r="V2" s="365"/>
      <c r="Z2" s="365"/>
      <c r="AA2" s="365"/>
      <c r="AB2" s="365"/>
      <c r="AC2" s="365"/>
      <c r="AD2" s="365"/>
      <c r="AE2" s="365"/>
      <c r="AF2" s="365" t="s">
        <v>416</v>
      </c>
    </row>
    <row r="3" spans="1:32" ht="30" customHeight="1" thickTop="1" thickBot="1" x14ac:dyDescent="0.4">
      <c r="A3" s="366"/>
      <c r="B3" s="367">
        <v>43435</v>
      </c>
      <c r="C3" s="368">
        <v>43466</v>
      </c>
      <c r="D3" s="368">
        <v>43497</v>
      </c>
      <c r="E3" s="368">
        <v>43525</v>
      </c>
      <c r="F3" s="368">
        <v>43556</v>
      </c>
      <c r="G3" s="368">
        <v>43586</v>
      </c>
      <c r="H3" s="369" t="s">
        <v>886</v>
      </c>
      <c r="I3" s="368">
        <v>43647</v>
      </c>
      <c r="J3" s="368">
        <v>43678</v>
      </c>
      <c r="K3" s="368">
        <v>43709</v>
      </c>
      <c r="L3" s="368">
        <v>43739</v>
      </c>
      <c r="M3" s="368">
        <v>43770</v>
      </c>
      <c r="N3" s="369" t="s">
        <v>887</v>
      </c>
      <c r="O3" s="369" t="s">
        <v>392</v>
      </c>
      <c r="P3" s="369" t="s">
        <v>501</v>
      </c>
      <c r="Q3" s="369" t="s">
        <v>502</v>
      </c>
      <c r="R3" s="369" t="s">
        <v>412</v>
      </c>
      <c r="S3" s="369" t="s">
        <v>503</v>
      </c>
      <c r="T3" s="369" t="s">
        <v>177</v>
      </c>
      <c r="U3" s="369" t="s">
        <v>142</v>
      </c>
      <c r="V3" s="369" t="s">
        <v>143</v>
      </c>
      <c r="W3" s="369" t="s">
        <v>144</v>
      </c>
      <c r="X3" s="369" t="s">
        <v>145</v>
      </c>
      <c r="Y3" s="369" t="s">
        <v>146</v>
      </c>
      <c r="Z3" s="369" t="s">
        <v>147</v>
      </c>
      <c r="AA3" s="369" t="s">
        <v>148</v>
      </c>
      <c r="AB3" s="368">
        <v>44228</v>
      </c>
      <c r="AC3" s="368">
        <v>44256</v>
      </c>
      <c r="AD3" s="368">
        <v>44287</v>
      </c>
      <c r="AE3" s="368">
        <v>44317</v>
      </c>
      <c r="AF3" s="368">
        <v>44348</v>
      </c>
    </row>
    <row r="4" spans="1:32" s="373" customFormat="1" ht="27.95" customHeight="1" thickTop="1" x14ac:dyDescent="0.25">
      <c r="A4" s="370" t="s">
        <v>338</v>
      </c>
      <c r="B4" s="371" t="s">
        <v>669</v>
      </c>
      <c r="C4" s="372" t="s">
        <v>491</v>
      </c>
      <c r="D4" s="372" t="s">
        <v>489</v>
      </c>
      <c r="E4" s="372" t="s">
        <v>489</v>
      </c>
      <c r="F4" s="372" t="s">
        <v>489</v>
      </c>
      <c r="G4" s="372" t="s">
        <v>489</v>
      </c>
      <c r="H4" s="372" t="s">
        <v>670</v>
      </c>
      <c r="I4" s="372" t="s">
        <v>671</v>
      </c>
      <c r="J4" s="372" t="s">
        <v>672</v>
      </c>
      <c r="K4" s="372" t="s">
        <v>672</v>
      </c>
      <c r="L4" s="372" t="s">
        <v>669</v>
      </c>
      <c r="M4" s="372" t="s">
        <v>672</v>
      </c>
      <c r="N4" s="372" t="s">
        <v>672</v>
      </c>
      <c r="O4" s="372" t="s">
        <v>424</v>
      </c>
      <c r="P4" s="372" t="s">
        <v>673</v>
      </c>
      <c r="Q4" s="372" t="s">
        <v>674</v>
      </c>
      <c r="R4" s="372" t="s">
        <v>675</v>
      </c>
      <c r="S4" s="372" t="s">
        <v>676</v>
      </c>
      <c r="T4" s="372" t="s">
        <v>488</v>
      </c>
      <c r="U4" s="372" t="s">
        <v>486</v>
      </c>
      <c r="V4" s="372" t="s">
        <v>677</v>
      </c>
      <c r="W4" s="372" t="s">
        <v>678</v>
      </c>
      <c r="X4" s="372" t="s">
        <v>915</v>
      </c>
      <c r="Y4" s="372" t="s">
        <v>676</v>
      </c>
      <c r="Z4" s="372" t="s">
        <v>676</v>
      </c>
      <c r="AA4" s="372" t="s">
        <v>677</v>
      </c>
      <c r="AB4" s="372" t="s">
        <v>679</v>
      </c>
      <c r="AC4" s="372" t="s">
        <v>678</v>
      </c>
      <c r="AD4" s="372" t="s">
        <v>897</v>
      </c>
      <c r="AE4" s="372" t="s">
        <v>1006</v>
      </c>
      <c r="AF4" s="372" t="s">
        <v>1040</v>
      </c>
    </row>
    <row r="5" spans="1:32" s="375" customFormat="1" ht="27.95" customHeight="1" x14ac:dyDescent="0.25">
      <c r="A5" s="374" t="s">
        <v>505</v>
      </c>
      <c r="B5" s="371" t="s">
        <v>680</v>
      </c>
      <c r="C5" s="372" t="s">
        <v>681</v>
      </c>
      <c r="D5" s="372">
        <v>6.25</v>
      </c>
      <c r="E5" s="372" t="s">
        <v>682</v>
      </c>
      <c r="F5" s="372" t="s">
        <v>683</v>
      </c>
      <c r="G5" s="372" t="s">
        <v>684</v>
      </c>
      <c r="H5" s="372" t="s">
        <v>685</v>
      </c>
      <c r="I5" s="372" t="s">
        <v>686</v>
      </c>
      <c r="J5" s="372" t="s">
        <v>685</v>
      </c>
      <c r="K5" s="372" t="s">
        <v>687</v>
      </c>
      <c r="L5" s="372" t="s">
        <v>688</v>
      </c>
      <c r="M5" s="372">
        <v>6.1</v>
      </c>
      <c r="N5" s="372" t="s">
        <v>689</v>
      </c>
      <c r="O5" s="372" t="s">
        <v>447</v>
      </c>
      <c r="P5" s="372" t="s">
        <v>690</v>
      </c>
      <c r="Q5" s="372">
        <v>6.35</v>
      </c>
      <c r="R5" s="372" t="s">
        <v>115</v>
      </c>
      <c r="S5" s="372">
        <v>6.4</v>
      </c>
      <c r="T5" s="372" t="s">
        <v>691</v>
      </c>
      <c r="U5" s="372" t="s">
        <v>692</v>
      </c>
      <c r="V5" s="372">
        <v>7.51</v>
      </c>
      <c r="W5" s="372" t="s">
        <v>419</v>
      </c>
      <c r="X5" s="372" t="s">
        <v>916</v>
      </c>
      <c r="Y5" s="372" t="s">
        <v>693</v>
      </c>
      <c r="Z5" s="372" t="s">
        <v>694</v>
      </c>
      <c r="AA5" s="372" t="s">
        <v>695</v>
      </c>
      <c r="AB5" s="372" t="s">
        <v>696</v>
      </c>
      <c r="AC5" s="372">
        <v>5.72</v>
      </c>
      <c r="AD5" s="372" t="s">
        <v>115</v>
      </c>
      <c r="AE5" s="372" t="s">
        <v>1007</v>
      </c>
      <c r="AF5" s="372" t="s">
        <v>696</v>
      </c>
    </row>
    <row r="6" spans="1:32" s="375" customFormat="1" ht="27.95" customHeight="1" x14ac:dyDescent="0.25">
      <c r="A6" s="374" t="s">
        <v>282</v>
      </c>
      <c r="B6" s="371">
        <v>6.75</v>
      </c>
      <c r="C6" s="372" t="s">
        <v>697</v>
      </c>
      <c r="D6" s="372" t="s">
        <v>697</v>
      </c>
      <c r="E6" s="372">
        <v>6.75</v>
      </c>
      <c r="F6" s="372" t="s">
        <v>697</v>
      </c>
      <c r="G6" s="372" t="s">
        <v>697</v>
      </c>
      <c r="H6" s="372" t="s">
        <v>698</v>
      </c>
      <c r="I6" s="372" t="s">
        <v>115</v>
      </c>
      <c r="J6" s="372" t="s">
        <v>115</v>
      </c>
      <c r="K6" s="372" t="s">
        <v>115</v>
      </c>
      <c r="L6" s="372" t="s">
        <v>115</v>
      </c>
      <c r="M6" s="372" t="s">
        <v>115</v>
      </c>
      <c r="N6" s="372">
        <v>6.75</v>
      </c>
      <c r="O6" s="372" t="s">
        <v>115</v>
      </c>
      <c r="P6" s="372" t="s">
        <v>115</v>
      </c>
      <c r="Q6" s="372">
        <v>6.75</v>
      </c>
      <c r="R6" s="372" t="s">
        <v>115</v>
      </c>
      <c r="S6" s="372" t="s">
        <v>115</v>
      </c>
      <c r="T6" s="372" t="s">
        <v>115</v>
      </c>
      <c r="U6" s="372" t="s">
        <v>115</v>
      </c>
      <c r="V6" s="372" t="s">
        <v>115</v>
      </c>
      <c r="W6" s="372" t="s">
        <v>115</v>
      </c>
      <c r="X6" s="372" t="s">
        <v>115</v>
      </c>
      <c r="Y6" s="372" t="s">
        <v>115</v>
      </c>
      <c r="Z6" s="372" t="s">
        <v>115</v>
      </c>
      <c r="AA6" s="372" t="s">
        <v>115</v>
      </c>
      <c r="AB6" s="372" t="s">
        <v>115</v>
      </c>
      <c r="AC6" s="372" t="s">
        <v>115</v>
      </c>
      <c r="AD6" s="372" t="s">
        <v>115</v>
      </c>
      <c r="AE6" s="372" t="s">
        <v>115</v>
      </c>
      <c r="AF6" s="372" t="s">
        <v>115</v>
      </c>
    </row>
    <row r="7" spans="1:32" s="375" customFormat="1" ht="27.95" customHeight="1" x14ac:dyDescent="0.25">
      <c r="A7" s="374" t="s">
        <v>283</v>
      </c>
      <c r="B7" s="371" t="s">
        <v>699</v>
      </c>
      <c r="C7" s="372" t="s">
        <v>681</v>
      </c>
      <c r="D7" s="372" t="s">
        <v>690</v>
      </c>
      <c r="E7" s="372" t="s">
        <v>700</v>
      </c>
      <c r="F7" s="372" t="s">
        <v>701</v>
      </c>
      <c r="G7" s="372" t="s">
        <v>702</v>
      </c>
      <c r="H7" s="372" t="s">
        <v>670</v>
      </c>
      <c r="I7" s="372" t="s">
        <v>702</v>
      </c>
      <c r="J7" s="372" t="s">
        <v>702</v>
      </c>
      <c r="K7" s="372" t="s">
        <v>703</v>
      </c>
      <c r="L7" s="372" t="s">
        <v>704</v>
      </c>
      <c r="M7" s="372" t="s">
        <v>444</v>
      </c>
      <c r="N7" s="372" t="s">
        <v>704</v>
      </c>
      <c r="O7" s="372" t="s">
        <v>705</v>
      </c>
      <c r="P7" s="372" t="s">
        <v>428</v>
      </c>
      <c r="Q7" s="372" t="s">
        <v>454</v>
      </c>
      <c r="R7" s="372" t="s">
        <v>706</v>
      </c>
      <c r="S7" s="372" t="s">
        <v>707</v>
      </c>
      <c r="T7" s="372" t="s">
        <v>442</v>
      </c>
      <c r="U7" s="372" t="s">
        <v>708</v>
      </c>
      <c r="V7" s="372" t="s">
        <v>709</v>
      </c>
      <c r="W7" s="372" t="s">
        <v>678</v>
      </c>
      <c r="X7" s="372" t="s">
        <v>726</v>
      </c>
      <c r="Y7" s="372" t="s">
        <v>710</v>
      </c>
      <c r="Z7" s="372" t="s">
        <v>711</v>
      </c>
      <c r="AA7" s="372" t="s">
        <v>712</v>
      </c>
      <c r="AB7" s="372" t="s">
        <v>464</v>
      </c>
      <c r="AC7" s="372" t="s">
        <v>711</v>
      </c>
      <c r="AD7" s="372" t="s">
        <v>442</v>
      </c>
      <c r="AE7" s="372" t="s">
        <v>1008</v>
      </c>
      <c r="AF7" s="372" t="s">
        <v>1041</v>
      </c>
    </row>
    <row r="8" spans="1:32" s="375" customFormat="1" ht="27.95" customHeight="1" x14ac:dyDescent="0.25">
      <c r="A8" s="374" t="s">
        <v>306</v>
      </c>
      <c r="B8" s="371" t="s">
        <v>697</v>
      </c>
      <c r="C8" s="372" t="s">
        <v>697</v>
      </c>
      <c r="D8" s="372" t="s">
        <v>697</v>
      </c>
      <c r="E8" s="372">
        <v>8</v>
      </c>
      <c r="F8" s="372">
        <v>8</v>
      </c>
      <c r="G8" s="372">
        <v>9.1999999999999993</v>
      </c>
      <c r="H8" s="372">
        <v>9.1999999999999993</v>
      </c>
      <c r="I8" s="372">
        <v>9.1999999999999993</v>
      </c>
      <c r="J8" s="372" t="s">
        <v>115</v>
      </c>
      <c r="K8" s="372" t="s">
        <v>115</v>
      </c>
      <c r="L8" s="372" t="s">
        <v>115</v>
      </c>
      <c r="M8" s="372" t="s">
        <v>436</v>
      </c>
      <c r="N8" s="372" t="s">
        <v>115</v>
      </c>
      <c r="O8" s="372" t="s">
        <v>115</v>
      </c>
      <c r="P8" s="372">
        <v>6</v>
      </c>
      <c r="Q8" s="372">
        <v>8.9499999999999993</v>
      </c>
      <c r="R8" s="372" t="s">
        <v>115</v>
      </c>
      <c r="S8" s="372" t="s">
        <v>115</v>
      </c>
      <c r="T8" s="372">
        <v>7.05</v>
      </c>
      <c r="U8" s="372" t="s">
        <v>115</v>
      </c>
      <c r="V8" s="372" t="s">
        <v>115</v>
      </c>
      <c r="W8" s="372" t="s">
        <v>115</v>
      </c>
      <c r="X8" s="372">
        <v>8.75</v>
      </c>
      <c r="Y8" s="372" t="s">
        <v>115</v>
      </c>
      <c r="Z8" s="372" t="s">
        <v>115</v>
      </c>
      <c r="AA8" s="372">
        <v>7.28</v>
      </c>
      <c r="AB8" s="372" t="s">
        <v>115</v>
      </c>
      <c r="AC8" s="372" t="s">
        <v>115</v>
      </c>
      <c r="AD8" s="372" t="s">
        <v>115</v>
      </c>
      <c r="AE8" s="372" t="s">
        <v>115</v>
      </c>
      <c r="AF8" s="372" t="s">
        <v>115</v>
      </c>
    </row>
    <row r="9" spans="1:32" s="375" customFormat="1" ht="27.95" customHeight="1" x14ac:dyDescent="0.25">
      <c r="A9" s="374" t="s">
        <v>307</v>
      </c>
      <c r="B9" s="371" t="s">
        <v>697</v>
      </c>
      <c r="C9" s="372" t="s">
        <v>697</v>
      </c>
      <c r="D9" s="372" t="s">
        <v>697</v>
      </c>
      <c r="E9" s="372" t="s">
        <v>697</v>
      </c>
      <c r="F9" s="372">
        <v>6.5</v>
      </c>
      <c r="G9" s="372">
        <v>7.2</v>
      </c>
      <c r="H9" s="372">
        <v>7.2</v>
      </c>
      <c r="I9" s="372" t="s">
        <v>115</v>
      </c>
      <c r="J9" s="372" t="s">
        <v>713</v>
      </c>
      <c r="K9" s="372" t="s">
        <v>115</v>
      </c>
      <c r="L9" s="372" t="s">
        <v>115</v>
      </c>
      <c r="M9" s="372" t="s">
        <v>115</v>
      </c>
      <c r="N9" s="372">
        <v>7</v>
      </c>
      <c r="O9" s="372" t="s">
        <v>115</v>
      </c>
      <c r="P9" s="372" t="s">
        <v>115</v>
      </c>
      <c r="Q9" s="372" t="s">
        <v>115</v>
      </c>
      <c r="R9" s="372" t="s">
        <v>115</v>
      </c>
      <c r="S9" s="372" t="s">
        <v>115</v>
      </c>
      <c r="T9" s="372">
        <v>8.75</v>
      </c>
      <c r="U9" s="372" t="s">
        <v>115</v>
      </c>
      <c r="V9" s="372" t="s">
        <v>115</v>
      </c>
      <c r="W9" s="372" t="s">
        <v>115</v>
      </c>
      <c r="X9" s="372">
        <v>7.22</v>
      </c>
      <c r="Y9" s="372">
        <v>6</v>
      </c>
      <c r="Z9" s="372" t="s">
        <v>115</v>
      </c>
      <c r="AA9" s="372" t="s">
        <v>115</v>
      </c>
      <c r="AB9" s="372" t="s">
        <v>115</v>
      </c>
      <c r="AC9" s="372" t="s">
        <v>115</v>
      </c>
      <c r="AD9" s="372" t="s">
        <v>115</v>
      </c>
      <c r="AE9" s="372">
        <v>5.75</v>
      </c>
      <c r="AF9" s="372" t="s">
        <v>115</v>
      </c>
    </row>
    <row r="10" spans="1:32" s="375" customFormat="1" ht="27.95" customHeight="1" x14ac:dyDescent="0.25">
      <c r="A10" s="374" t="s">
        <v>308</v>
      </c>
      <c r="B10" s="371" t="s">
        <v>714</v>
      </c>
      <c r="C10" s="372" t="s">
        <v>448</v>
      </c>
      <c r="D10" s="372" t="s">
        <v>674</v>
      </c>
      <c r="E10" s="372" t="s">
        <v>715</v>
      </c>
      <c r="F10" s="372" t="s">
        <v>454</v>
      </c>
      <c r="G10" s="372" t="s">
        <v>705</v>
      </c>
      <c r="H10" s="372" t="s">
        <v>705</v>
      </c>
      <c r="I10" s="372" t="s">
        <v>674</v>
      </c>
      <c r="J10" s="372" t="s">
        <v>716</v>
      </c>
      <c r="K10" s="372" t="s">
        <v>717</v>
      </c>
      <c r="L10" s="372" t="s">
        <v>704</v>
      </c>
      <c r="M10" s="372" t="s">
        <v>674</v>
      </c>
      <c r="N10" s="372" t="s">
        <v>718</v>
      </c>
      <c r="O10" s="372" t="s">
        <v>704</v>
      </c>
      <c r="P10" s="372" t="s">
        <v>674</v>
      </c>
      <c r="Q10" s="372" t="s">
        <v>683</v>
      </c>
      <c r="R10" s="372" t="s">
        <v>719</v>
      </c>
      <c r="S10" s="372" t="s">
        <v>720</v>
      </c>
      <c r="T10" s="372" t="s">
        <v>484</v>
      </c>
      <c r="U10" s="372" t="s">
        <v>721</v>
      </c>
      <c r="V10" s="372" t="s">
        <v>722</v>
      </c>
      <c r="W10" s="372" t="s">
        <v>723</v>
      </c>
      <c r="X10" s="372" t="s">
        <v>917</v>
      </c>
      <c r="Y10" s="372" t="s">
        <v>724</v>
      </c>
      <c r="Z10" s="372" t="s">
        <v>725</v>
      </c>
      <c r="AA10" s="372" t="s">
        <v>677</v>
      </c>
      <c r="AB10" s="372" t="s">
        <v>726</v>
      </c>
      <c r="AC10" s="372" t="s">
        <v>875</v>
      </c>
      <c r="AD10" s="372" t="s">
        <v>421</v>
      </c>
      <c r="AE10" s="372" t="s">
        <v>1009</v>
      </c>
      <c r="AF10" s="372" t="s">
        <v>1042</v>
      </c>
    </row>
    <row r="11" spans="1:32" s="375" customFormat="1" ht="27.95" customHeight="1" x14ac:dyDescent="0.25">
      <c r="A11" s="374" t="s">
        <v>318</v>
      </c>
      <c r="B11" s="371" t="s">
        <v>491</v>
      </c>
      <c r="C11" s="372" t="s">
        <v>491</v>
      </c>
      <c r="D11" s="372" t="s">
        <v>714</v>
      </c>
      <c r="E11" s="372" t="s">
        <v>672</v>
      </c>
      <c r="F11" s="372" t="s">
        <v>727</v>
      </c>
      <c r="G11" s="372" t="s">
        <v>672</v>
      </c>
      <c r="H11" s="372" t="s">
        <v>491</v>
      </c>
      <c r="I11" s="372" t="s">
        <v>671</v>
      </c>
      <c r="J11" s="372" t="s">
        <v>702</v>
      </c>
      <c r="K11" s="372" t="s">
        <v>728</v>
      </c>
      <c r="L11" s="372" t="s">
        <v>491</v>
      </c>
      <c r="M11" s="372" t="s">
        <v>490</v>
      </c>
      <c r="N11" s="372" t="s">
        <v>671</v>
      </c>
      <c r="O11" s="372" t="s">
        <v>671</v>
      </c>
      <c r="P11" s="372" t="s">
        <v>704</v>
      </c>
      <c r="Q11" s="372" t="s">
        <v>454</v>
      </c>
      <c r="R11" s="372" t="s">
        <v>115</v>
      </c>
      <c r="S11" s="372" t="s">
        <v>674</v>
      </c>
      <c r="T11" s="372" t="s">
        <v>729</v>
      </c>
      <c r="U11" s="372" t="s">
        <v>730</v>
      </c>
      <c r="V11" s="372" t="s">
        <v>731</v>
      </c>
      <c r="W11" s="372" t="s">
        <v>732</v>
      </c>
      <c r="X11" s="372" t="s">
        <v>915</v>
      </c>
      <c r="Y11" s="372" t="s">
        <v>732</v>
      </c>
      <c r="Z11" s="372" t="s">
        <v>705</v>
      </c>
      <c r="AA11" s="372" t="s">
        <v>733</v>
      </c>
      <c r="AB11" s="372" t="s">
        <v>734</v>
      </c>
      <c r="AC11" s="372" t="s">
        <v>876</v>
      </c>
      <c r="AD11" s="372" t="s">
        <v>898</v>
      </c>
      <c r="AE11" s="372" t="s">
        <v>1010</v>
      </c>
      <c r="AF11" s="372" t="s">
        <v>1043</v>
      </c>
    </row>
    <row r="12" spans="1:32" s="375" customFormat="1" ht="27.95" customHeight="1" x14ac:dyDescent="0.25">
      <c r="A12" s="374" t="s">
        <v>322</v>
      </c>
      <c r="B12" s="371" t="s">
        <v>683</v>
      </c>
      <c r="C12" s="372" t="s">
        <v>735</v>
      </c>
      <c r="D12" s="372" t="s">
        <v>443</v>
      </c>
      <c r="E12" s="372" t="s">
        <v>681</v>
      </c>
      <c r="F12" s="372" t="s">
        <v>736</v>
      </c>
      <c r="G12" s="372" t="s">
        <v>737</v>
      </c>
      <c r="H12" s="372" t="s">
        <v>738</v>
      </c>
      <c r="I12" s="372" t="s">
        <v>739</v>
      </c>
      <c r="J12" s="372" t="s">
        <v>680</v>
      </c>
      <c r="K12" s="372" t="s">
        <v>740</v>
      </c>
      <c r="L12" s="372" t="s">
        <v>741</v>
      </c>
      <c r="M12" s="372" t="s">
        <v>742</v>
      </c>
      <c r="N12" s="372" t="s">
        <v>454</v>
      </c>
      <c r="O12" s="372" t="s">
        <v>440</v>
      </c>
      <c r="P12" s="372" t="s">
        <v>743</v>
      </c>
      <c r="Q12" s="372" t="s">
        <v>683</v>
      </c>
      <c r="R12" s="372">
        <v>7.99</v>
      </c>
      <c r="S12" s="372">
        <v>9</v>
      </c>
      <c r="T12" s="372" t="s">
        <v>744</v>
      </c>
      <c r="U12" s="372" t="s">
        <v>745</v>
      </c>
      <c r="V12" s="372" t="s">
        <v>746</v>
      </c>
      <c r="W12" s="372" t="s">
        <v>454</v>
      </c>
      <c r="X12" s="372" t="s">
        <v>918</v>
      </c>
      <c r="Y12" s="372" t="s">
        <v>747</v>
      </c>
      <c r="Z12" s="372" t="s">
        <v>487</v>
      </c>
      <c r="AA12" s="372" t="s">
        <v>748</v>
      </c>
      <c r="AB12" s="372" t="s">
        <v>467</v>
      </c>
      <c r="AC12" s="372" t="s">
        <v>877</v>
      </c>
      <c r="AD12" s="372" t="s">
        <v>899</v>
      </c>
      <c r="AE12" s="372" t="s">
        <v>490</v>
      </c>
      <c r="AF12" s="372" t="s">
        <v>678</v>
      </c>
    </row>
    <row r="13" spans="1:32" s="375" customFormat="1" ht="27.95" customHeight="1" x14ac:dyDescent="0.25">
      <c r="A13" s="374" t="s">
        <v>328</v>
      </c>
      <c r="B13" s="371" t="s">
        <v>500</v>
      </c>
      <c r="C13" s="372" t="s">
        <v>727</v>
      </c>
      <c r="D13" s="372" t="s">
        <v>749</v>
      </c>
      <c r="E13" s="372" t="s">
        <v>750</v>
      </c>
      <c r="F13" s="372">
        <v>7.5</v>
      </c>
      <c r="G13" s="372" t="s">
        <v>490</v>
      </c>
      <c r="H13" s="372" t="s">
        <v>491</v>
      </c>
      <c r="I13" s="372" t="s">
        <v>671</v>
      </c>
      <c r="J13" s="372" t="s">
        <v>490</v>
      </c>
      <c r="K13" s="372" t="s">
        <v>497</v>
      </c>
      <c r="L13" s="372" t="s">
        <v>751</v>
      </c>
      <c r="M13" s="372" t="s">
        <v>752</v>
      </c>
      <c r="N13" s="372" t="s">
        <v>427</v>
      </c>
      <c r="O13" s="372" t="s">
        <v>753</v>
      </c>
      <c r="P13" s="372" t="s">
        <v>674</v>
      </c>
      <c r="Q13" s="372" t="s">
        <v>754</v>
      </c>
      <c r="R13" s="372" t="s">
        <v>115</v>
      </c>
      <c r="S13" s="372">
        <v>8.25</v>
      </c>
      <c r="T13" s="372" t="s">
        <v>755</v>
      </c>
      <c r="U13" s="372" t="s">
        <v>756</v>
      </c>
      <c r="V13" s="372">
        <v>6.17</v>
      </c>
      <c r="W13" s="372" t="s">
        <v>450</v>
      </c>
      <c r="X13" s="372" t="s">
        <v>919</v>
      </c>
      <c r="Y13" s="372">
        <v>6.6</v>
      </c>
      <c r="Z13" s="372">
        <v>6.95</v>
      </c>
      <c r="AA13" s="372">
        <v>4.0999999999999996</v>
      </c>
      <c r="AB13" s="372" t="s">
        <v>757</v>
      </c>
      <c r="AC13" s="372" t="s">
        <v>878</v>
      </c>
      <c r="AD13" s="372" t="s">
        <v>900</v>
      </c>
      <c r="AE13" s="372">
        <v>7.52</v>
      </c>
      <c r="AF13" s="372" t="s">
        <v>1044</v>
      </c>
    </row>
    <row r="14" spans="1:32" s="375" customFormat="1" ht="27.95" customHeight="1" x14ac:dyDescent="0.25">
      <c r="A14" s="374" t="s">
        <v>339</v>
      </c>
      <c r="B14" s="371" t="s">
        <v>758</v>
      </c>
      <c r="C14" s="372" t="s">
        <v>759</v>
      </c>
      <c r="D14" s="372" t="s">
        <v>472</v>
      </c>
      <c r="E14" s="372" t="s">
        <v>760</v>
      </c>
      <c r="F14" s="372" t="s">
        <v>761</v>
      </c>
      <c r="G14" s="372" t="s">
        <v>702</v>
      </c>
      <c r="H14" s="372" t="s">
        <v>702</v>
      </c>
      <c r="I14" s="372" t="s">
        <v>762</v>
      </c>
      <c r="J14" s="372" t="s">
        <v>702</v>
      </c>
      <c r="K14" s="372" t="s">
        <v>719</v>
      </c>
      <c r="L14" s="372">
        <v>7</v>
      </c>
      <c r="M14" s="372" t="s">
        <v>498</v>
      </c>
      <c r="N14" s="372" t="s">
        <v>457</v>
      </c>
      <c r="O14" s="372" t="s">
        <v>687</v>
      </c>
      <c r="P14" s="372" t="s">
        <v>763</v>
      </c>
      <c r="Q14" s="372" t="s">
        <v>764</v>
      </c>
      <c r="R14" s="372" t="s">
        <v>115</v>
      </c>
      <c r="S14" s="372" t="s">
        <v>435</v>
      </c>
      <c r="T14" s="372">
        <v>8</v>
      </c>
      <c r="U14" s="372" t="s">
        <v>765</v>
      </c>
      <c r="V14" s="372" t="s">
        <v>766</v>
      </c>
      <c r="W14" s="372" t="s">
        <v>767</v>
      </c>
      <c r="X14" s="372">
        <v>6.01</v>
      </c>
      <c r="Y14" s="372" t="s">
        <v>115</v>
      </c>
      <c r="Z14" s="372" t="s">
        <v>768</v>
      </c>
      <c r="AA14" s="372" t="s">
        <v>115</v>
      </c>
      <c r="AB14" s="372" t="s">
        <v>769</v>
      </c>
      <c r="AC14" s="372" t="s">
        <v>879</v>
      </c>
      <c r="AD14" s="372">
        <v>7</v>
      </c>
      <c r="AE14" s="372" t="s">
        <v>115</v>
      </c>
      <c r="AF14" s="372" t="s">
        <v>1045</v>
      </c>
    </row>
    <row r="15" spans="1:32" s="375" customFormat="1" ht="27.95" customHeight="1" x14ac:dyDescent="0.25">
      <c r="A15" s="374" t="s">
        <v>346</v>
      </c>
      <c r="B15" s="371">
        <v>6.2</v>
      </c>
      <c r="C15" s="372" t="s">
        <v>736</v>
      </c>
      <c r="D15" s="372">
        <v>6.35</v>
      </c>
      <c r="E15" s="372" t="s">
        <v>697</v>
      </c>
      <c r="F15" s="372">
        <v>7.5</v>
      </c>
      <c r="G15" s="372">
        <v>8</v>
      </c>
      <c r="H15" s="372" t="s">
        <v>770</v>
      </c>
      <c r="I15" s="372" t="s">
        <v>115</v>
      </c>
      <c r="J15" s="372" t="s">
        <v>763</v>
      </c>
      <c r="K15" s="372" t="s">
        <v>115</v>
      </c>
      <c r="L15" s="372">
        <v>8</v>
      </c>
      <c r="M15" s="372">
        <v>8.9499999999999993</v>
      </c>
      <c r="N15" s="372" t="s">
        <v>771</v>
      </c>
      <c r="O15" s="372" t="s">
        <v>772</v>
      </c>
      <c r="P15" s="372">
        <v>8.5</v>
      </c>
      <c r="Q15" s="372" t="s">
        <v>418</v>
      </c>
      <c r="R15" s="372" t="s">
        <v>115</v>
      </c>
      <c r="S15" s="372" t="s">
        <v>115</v>
      </c>
      <c r="T15" s="372" t="s">
        <v>773</v>
      </c>
      <c r="U15" s="372" t="s">
        <v>774</v>
      </c>
      <c r="V15" s="372" t="s">
        <v>775</v>
      </c>
      <c r="W15" s="372" t="s">
        <v>776</v>
      </c>
      <c r="X15" s="372" t="s">
        <v>776</v>
      </c>
      <c r="Y15" s="372" t="s">
        <v>777</v>
      </c>
      <c r="Z15" s="372" t="s">
        <v>115</v>
      </c>
      <c r="AA15" s="372" t="s">
        <v>115</v>
      </c>
      <c r="AB15" s="372" t="s">
        <v>777</v>
      </c>
      <c r="AC15" s="372" t="s">
        <v>880</v>
      </c>
      <c r="AD15" s="372" t="s">
        <v>115</v>
      </c>
      <c r="AE15" s="372">
        <v>7</v>
      </c>
      <c r="AF15" s="372" t="s">
        <v>1046</v>
      </c>
    </row>
    <row r="16" spans="1:32" s="375" customFormat="1" ht="27.95" customHeight="1" x14ac:dyDescent="0.25">
      <c r="A16" s="374" t="s">
        <v>347</v>
      </c>
      <c r="B16" s="371" t="s">
        <v>422</v>
      </c>
      <c r="C16" s="372" t="s">
        <v>778</v>
      </c>
      <c r="D16" s="372" t="s">
        <v>779</v>
      </c>
      <c r="E16" s="372" t="s">
        <v>780</v>
      </c>
      <c r="F16" s="372" t="s">
        <v>690</v>
      </c>
      <c r="G16" s="372" t="s">
        <v>490</v>
      </c>
      <c r="H16" s="372" t="s">
        <v>500</v>
      </c>
      <c r="I16" s="372" t="s">
        <v>500</v>
      </c>
      <c r="J16" s="372" t="s">
        <v>672</v>
      </c>
      <c r="K16" s="372" t="s">
        <v>781</v>
      </c>
      <c r="L16" s="372" t="s">
        <v>782</v>
      </c>
      <c r="M16" s="372" t="s">
        <v>738</v>
      </c>
      <c r="N16" s="372" t="s">
        <v>738</v>
      </c>
      <c r="O16" s="372" t="s">
        <v>444</v>
      </c>
      <c r="P16" s="372" t="s">
        <v>783</v>
      </c>
      <c r="Q16" s="372" t="s">
        <v>784</v>
      </c>
      <c r="R16" s="372">
        <v>6.6</v>
      </c>
      <c r="S16" s="372" t="s">
        <v>115</v>
      </c>
      <c r="T16" s="372" t="s">
        <v>785</v>
      </c>
      <c r="U16" s="372" t="s">
        <v>786</v>
      </c>
      <c r="V16" s="372" t="s">
        <v>787</v>
      </c>
      <c r="W16" s="372" t="s">
        <v>441</v>
      </c>
      <c r="X16" s="372" t="s">
        <v>920</v>
      </c>
      <c r="Y16" s="372" t="s">
        <v>788</v>
      </c>
      <c r="Z16" s="372" t="s">
        <v>789</v>
      </c>
      <c r="AA16" s="372" t="s">
        <v>790</v>
      </c>
      <c r="AB16" s="372" t="s">
        <v>426</v>
      </c>
      <c r="AC16" s="372" t="s">
        <v>726</v>
      </c>
      <c r="AD16" s="372" t="s">
        <v>672</v>
      </c>
      <c r="AE16" s="372" t="s">
        <v>1011</v>
      </c>
      <c r="AF16" s="372" t="s">
        <v>1047</v>
      </c>
    </row>
    <row r="17" spans="1:32" s="375" customFormat="1" ht="27.95" customHeight="1" x14ac:dyDescent="0.25">
      <c r="A17" s="374" t="s">
        <v>354</v>
      </c>
      <c r="B17" s="371" t="s">
        <v>791</v>
      </c>
      <c r="C17" s="372" t="s">
        <v>421</v>
      </c>
      <c r="D17" s="372" t="s">
        <v>491</v>
      </c>
      <c r="E17" s="372" t="s">
        <v>792</v>
      </c>
      <c r="F17" s="372" t="s">
        <v>492</v>
      </c>
      <c r="G17" s="372" t="s">
        <v>492</v>
      </c>
      <c r="H17" s="372" t="s">
        <v>737</v>
      </c>
      <c r="I17" s="372" t="s">
        <v>793</v>
      </c>
      <c r="J17" s="372" t="s">
        <v>794</v>
      </c>
      <c r="K17" s="372" t="s">
        <v>718</v>
      </c>
      <c r="L17" s="372" t="s">
        <v>795</v>
      </c>
      <c r="M17" s="372" t="s">
        <v>690</v>
      </c>
      <c r="N17" s="372" t="s">
        <v>674</v>
      </c>
      <c r="O17" s="372" t="s">
        <v>674</v>
      </c>
      <c r="P17" s="372" t="s">
        <v>796</v>
      </c>
      <c r="Q17" s="372" t="s">
        <v>703</v>
      </c>
      <c r="R17" s="372" t="s">
        <v>115</v>
      </c>
      <c r="S17" s="372" t="s">
        <v>797</v>
      </c>
      <c r="T17" s="372" t="s">
        <v>798</v>
      </c>
      <c r="U17" s="372" t="s">
        <v>720</v>
      </c>
      <c r="V17" s="372" t="s">
        <v>799</v>
      </c>
      <c r="W17" s="372" t="s">
        <v>714</v>
      </c>
      <c r="X17" s="372" t="s">
        <v>921</v>
      </c>
      <c r="Y17" s="372" t="s">
        <v>703</v>
      </c>
      <c r="Z17" s="372" t="s">
        <v>800</v>
      </c>
      <c r="AA17" s="372" t="s">
        <v>801</v>
      </c>
      <c r="AB17" s="372" t="s">
        <v>789</v>
      </c>
      <c r="AC17" s="372" t="s">
        <v>881</v>
      </c>
      <c r="AD17" s="372" t="s">
        <v>881</v>
      </c>
      <c r="AE17" s="372" t="s">
        <v>1012</v>
      </c>
      <c r="AF17" s="372" t="s">
        <v>1011</v>
      </c>
    </row>
    <row r="18" spans="1:32" s="375" customFormat="1" ht="27.95" customHeight="1" x14ac:dyDescent="0.25">
      <c r="A18" s="374" t="s">
        <v>361</v>
      </c>
      <c r="B18" s="371">
        <v>8</v>
      </c>
      <c r="C18" s="372" t="s">
        <v>802</v>
      </c>
      <c r="D18" s="372" t="s">
        <v>752</v>
      </c>
      <c r="E18" s="372">
        <v>7.82</v>
      </c>
      <c r="F18" s="372" t="s">
        <v>760</v>
      </c>
      <c r="G18" s="372" t="s">
        <v>449</v>
      </c>
      <c r="H18" s="372" t="s">
        <v>803</v>
      </c>
      <c r="I18" s="372" t="s">
        <v>115</v>
      </c>
      <c r="J18" s="372" t="s">
        <v>804</v>
      </c>
      <c r="K18" s="372" t="s">
        <v>115</v>
      </c>
      <c r="L18" s="372" t="s">
        <v>115</v>
      </c>
      <c r="M18" s="372">
        <v>7.05</v>
      </c>
      <c r="N18" s="372" t="s">
        <v>435</v>
      </c>
      <c r="O18" s="372" t="s">
        <v>115</v>
      </c>
      <c r="P18" s="372">
        <v>7.5</v>
      </c>
      <c r="Q18" s="372" t="s">
        <v>805</v>
      </c>
      <c r="R18" s="372" t="s">
        <v>115</v>
      </c>
      <c r="S18" s="372">
        <v>8</v>
      </c>
      <c r="T18" s="372" t="s">
        <v>806</v>
      </c>
      <c r="U18" s="372" t="s">
        <v>807</v>
      </c>
      <c r="V18" s="372" t="s">
        <v>453</v>
      </c>
      <c r="W18" s="372" t="s">
        <v>764</v>
      </c>
      <c r="X18" s="372">
        <v>8</v>
      </c>
      <c r="Y18" s="372" t="s">
        <v>739</v>
      </c>
      <c r="Z18" s="372">
        <v>7</v>
      </c>
      <c r="AA18" s="372" t="s">
        <v>115</v>
      </c>
      <c r="AB18" s="372" t="s">
        <v>115</v>
      </c>
      <c r="AC18" s="372" t="s">
        <v>115</v>
      </c>
      <c r="AD18" s="372" t="s">
        <v>115</v>
      </c>
      <c r="AE18" s="372" t="s">
        <v>115</v>
      </c>
      <c r="AF18" s="372" t="s">
        <v>1048</v>
      </c>
    </row>
    <row r="19" spans="1:32" s="375" customFormat="1" ht="27.95" customHeight="1" x14ac:dyDescent="0.25">
      <c r="A19" s="374" t="s">
        <v>367</v>
      </c>
      <c r="B19" s="371" t="s">
        <v>697</v>
      </c>
      <c r="C19" s="372" t="s">
        <v>697</v>
      </c>
      <c r="D19" s="372" t="s">
        <v>697</v>
      </c>
      <c r="E19" s="372">
        <v>8</v>
      </c>
      <c r="F19" s="372" t="s">
        <v>697</v>
      </c>
      <c r="G19" s="372" t="s">
        <v>697</v>
      </c>
      <c r="H19" s="372" t="s">
        <v>808</v>
      </c>
      <c r="I19" s="372" t="s">
        <v>809</v>
      </c>
      <c r="J19" s="372" t="s">
        <v>810</v>
      </c>
      <c r="K19" s="372" t="s">
        <v>429</v>
      </c>
      <c r="L19" s="372" t="s">
        <v>811</v>
      </c>
      <c r="M19" s="372">
        <v>9.5</v>
      </c>
      <c r="N19" s="372" t="s">
        <v>115</v>
      </c>
      <c r="O19" s="372" t="s">
        <v>115</v>
      </c>
      <c r="P19" s="372" t="s">
        <v>789</v>
      </c>
      <c r="Q19" s="372" t="s">
        <v>115</v>
      </c>
      <c r="R19" s="372" t="s">
        <v>115</v>
      </c>
      <c r="S19" s="372">
        <v>8.01</v>
      </c>
      <c r="T19" s="372" t="s">
        <v>115</v>
      </c>
      <c r="U19" s="372">
        <v>7</v>
      </c>
      <c r="V19" s="372">
        <v>7</v>
      </c>
      <c r="W19" s="372" t="s">
        <v>115</v>
      </c>
      <c r="X19" s="372">
        <v>5.75</v>
      </c>
      <c r="Y19" s="372" t="s">
        <v>115</v>
      </c>
      <c r="Z19" s="372">
        <v>5.75</v>
      </c>
      <c r="AA19" s="372" t="s">
        <v>115</v>
      </c>
      <c r="AB19" s="372">
        <v>6.59</v>
      </c>
      <c r="AC19" s="372" t="s">
        <v>115</v>
      </c>
      <c r="AD19" s="372" t="s">
        <v>901</v>
      </c>
      <c r="AE19" s="372" t="s">
        <v>1013</v>
      </c>
      <c r="AF19" s="372" t="s">
        <v>1049</v>
      </c>
    </row>
    <row r="20" spans="1:32" s="375" customFormat="1" ht="27.95" customHeight="1" x14ac:dyDescent="0.25">
      <c r="A20" s="226" t="s">
        <v>370</v>
      </c>
      <c r="B20" s="371" t="s">
        <v>812</v>
      </c>
      <c r="C20" s="372" t="s">
        <v>813</v>
      </c>
      <c r="D20" s="372" t="s">
        <v>814</v>
      </c>
      <c r="E20" s="372" t="s">
        <v>489</v>
      </c>
      <c r="F20" s="372" t="s">
        <v>815</v>
      </c>
      <c r="G20" s="372" t="s">
        <v>816</v>
      </c>
      <c r="H20" s="372" t="s">
        <v>500</v>
      </c>
      <c r="I20" s="372" t="s">
        <v>452</v>
      </c>
      <c r="J20" s="372" t="s">
        <v>671</v>
      </c>
      <c r="K20" s="372" t="s">
        <v>436</v>
      </c>
      <c r="L20" s="372">
        <v>9.9499999999999993</v>
      </c>
      <c r="M20" s="372" t="s">
        <v>782</v>
      </c>
      <c r="N20" s="372" t="s">
        <v>817</v>
      </c>
      <c r="O20" s="372" t="s">
        <v>818</v>
      </c>
      <c r="P20" s="372" t="s">
        <v>419</v>
      </c>
      <c r="Q20" s="372" t="s">
        <v>688</v>
      </c>
      <c r="R20" s="372" t="s">
        <v>115</v>
      </c>
      <c r="S20" s="372">
        <v>6.95</v>
      </c>
      <c r="T20" s="372" t="s">
        <v>115</v>
      </c>
      <c r="U20" s="372">
        <v>7.25</v>
      </c>
      <c r="V20" s="372" t="s">
        <v>115</v>
      </c>
      <c r="W20" s="372" t="s">
        <v>819</v>
      </c>
      <c r="X20" s="372">
        <v>7</v>
      </c>
      <c r="Y20" s="372">
        <v>7.5</v>
      </c>
      <c r="Z20" s="372" t="s">
        <v>820</v>
      </c>
      <c r="AA20" s="372" t="s">
        <v>821</v>
      </c>
      <c r="AB20" s="372" t="s">
        <v>115</v>
      </c>
      <c r="AC20" s="372" t="s">
        <v>436</v>
      </c>
      <c r="AD20" s="372" t="s">
        <v>436</v>
      </c>
      <c r="AE20" s="372" t="s">
        <v>115</v>
      </c>
      <c r="AF20" s="372" t="s">
        <v>1050</v>
      </c>
    </row>
    <row r="21" spans="1:32" s="375" customFormat="1" ht="27.95" customHeight="1" thickBot="1" x14ac:dyDescent="0.3">
      <c r="A21" s="374" t="s">
        <v>375</v>
      </c>
      <c r="B21" s="371" t="s">
        <v>420</v>
      </c>
      <c r="C21" s="372" t="s">
        <v>485</v>
      </c>
      <c r="D21" s="372" t="s">
        <v>792</v>
      </c>
      <c r="E21" s="372">
        <v>9.25</v>
      </c>
      <c r="F21" s="372" t="s">
        <v>822</v>
      </c>
      <c r="G21" s="372" t="s">
        <v>823</v>
      </c>
      <c r="H21" s="372" t="s">
        <v>425</v>
      </c>
      <c r="I21" s="372" t="s">
        <v>794</v>
      </c>
      <c r="J21" s="372" t="s">
        <v>786</v>
      </c>
      <c r="K21" s="372" t="s">
        <v>824</v>
      </c>
      <c r="L21" s="372" t="s">
        <v>825</v>
      </c>
      <c r="M21" s="372" t="s">
        <v>417</v>
      </c>
      <c r="N21" s="372" t="s">
        <v>826</v>
      </c>
      <c r="O21" s="372" t="s">
        <v>827</v>
      </c>
      <c r="P21" s="372">
        <v>6.3</v>
      </c>
      <c r="Q21" s="372" t="s">
        <v>423</v>
      </c>
      <c r="R21" s="372" t="s">
        <v>115</v>
      </c>
      <c r="S21" s="372" t="s">
        <v>115</v>
      </c>
      <c r="T21" s="372" t="s">
        <v>728</v>
      </c>
      <c r="U21" s="372" t="s">
        <v>828</v>
      </c>
      <c r="V21" s="372" t="s">
        <v>430</v>
      </c>
      <c r="W21" s="372" t="s">
        <v>115</v>
      </c>
      <c r="X21" s="372">
        <v>7.43</v>
      </c>
      <c r="Y21" s="372" t="s">
        <v>115</v>
      </c>
      <c r="Z21" s="372" t="s">
        <v>829</v>
      </c>
      <c r="AA21" s="372">
        <v>5.25</v>
      </c>
      <c r="AB21" s="372">
        <v>5.25</v>
      </c>
      <c r="AC21" s="372" t="s">
        <v>882</v>
      </c>
      <c r="AD21" s="372" t="s">
        <v>902</v>
      </c>
      <c r="AE21" s="372">
        <v>9</v>
      </c>
      <c r="AF21" s="372" t="s">
        <v>1051</v>
      </c>
    </row>
    <row r="22" spans="1:32" s="373" customFormat="1" ht="27.95" customHeight="1" x14ac:dyDescent="0.25">
      <c r="A22" s="376" t="s">
        <v>493</v>
      </c>
      <c r="B22" s="377" t="s">
        <v>830</v>
      </c>
      <c r="C22" s="378" t="s">
        <v>831</v>
      </c>
      <c r="D22" s="378" t="s">
        <v>830</v>
      </c>
      <c r="E22" s="380" t="s">
        <v>831</v>
      </c>
      <c r="F22" s="379" t="s">
        <v>831</v>
      </c>
      <c r="G22" s="379" t="s">
        <v>832</v>
      </c>
      <c r="H22" s="380" t="s">
        <v>830</v>
      </c>
      <c r="I22" s="380" t="s">
        <v>833</v>
      </c>
      <c r="J22" s="380" t="s">
        <v>834</v>
      </c>
      <c r="K22" s="380" t="s">
        <v>834</v>
      </c>
      <c r="L22" s="380" t="s">
        <v>830</v>
      </c>
      <c r="M22" s="380" t="s">
        <v>461</v>
      </c>
      <c r="N22" s="380" t="s">
        <v>835</v>
      </c>
      <c r="O22" s="380" t="s">
        <v>836</v>
      </c>
      <c r="P22" s="380" t="s">
        <v>837</v>
      </c>
      <c r="Q22" s="380" t="s">
        <v>838</v>
      </c>
      <c r="R22" s="380" t="s">
        <v>839</v>
      </c>
      <c r="S22" s="380" t="s">
        <v>840</v>
      </c>
      <c r="T22" s="380" t="s">
        <v>841</v>
      </c>
      <c r="U22" s="380" t="s">
        <v>842</v>
      </c>
      <c r="V22" s="380" t="s">
        <v>843</v>
      </c>
      <c r="W22" s="380" t="s">
        <v>844</v>
      </c>
      <c r="X22" s="380" t="s">
        <v>843</v>
      </c>
      <c r="Y22" s="380" t="s">
        <v>845</v>
      </c>
      <c r="Z22" s="380" t="s">
        <v>844</v>
      </c>
      <c r="AA22" s="380" t="s">
        <v>845</v>
      </c>
      <c r="AB22" s="380" t="s">
        <v>845</v>
      </c>
      <c r="AC22" s="380" t="s">
        <v>883</v>
      </c>
      <c r="AD22" s="380" t="s">
        <v>843</v>
      </c>
      <c r="AE22" s="380" t="s">
        <v>1014</v>
      </c>
      <c r="AF22" s="380" t="s">
        <v>1052</v>
      </c>
    </row>
    <row r="23" spans="1:32" s="373" customFormat="1" ht="27.95" customHeight="1" x14ac:dyDescent="0.25">
      <c r="A23" s="381" t="s">
        <v>494</v>
      </c>
      <c r="B23" s="382" t="s">
        <v>846</v>
      </c>
      <c r="C23" s="383" t="s">
        <v>847</v>
      </c>
      <c r="D23" s="383" t="s">
        <v>848</v>
      </c>
      <c r="E23" s="383" t="s">
        <v>847</v>
      </c>
      <c r="F23" s="383" t="s">
        <v>849</v>
      </c>
      <c r="G23" s="383" t="s">
        <v>850</v>
      </c>
      <c r="H23" s="383" t="s">
        <v>846</v>
      </c>
      <c r="I23" s="383" t="s">
        <v>851</v>
      </c>
      <c r="J23" s="383" t="s">
        <v>852</v>
      </c>
      <c r="K23" s="383" t="s">
        <v>852</v>
      </c>
      <c r="L23" s="383" t="s">
        <v>853</v>
      </c>
      <c r="M23" s="383" t="s">
        <v>854</v>
      </c>
      <c r="N23" s="383" t="s">
        <v>835</v>
      </c>
      <c r="O23" s="383" t="s">
        <v>855</v>
      </c>
      <c r="P23" s="383" t="s">
        <v>856</v>
      </c>
      <c r="Q23" s="383" t="s">
        <v>857</v>
      </c>
      <c r="R23" s="383" t="s">
        <v>858</v>
      </c>
      <c r="S23" s="383" t="s">
        <v>839</v>
      </c>
      <c r="T23" s="383" t="s">
        <v>859</v>
      </c>
      <c r="U23" s="383" t="s">
        <v>860</v>
      </c>
      <c r="V23" s="383" t="s">
        <v>861</v>
      </c>
      <c r="W23" s="383" t="s">
        <v>862</v>
      </c>
      <c r="X23" s="383" t="s">
        <v>863</v>
      </c>
      <c r="Y23" s="383" t="s">
        <v>863</v>
      </c>
      <c r="Z23" s="383" t="s">
        <v>862</v>
      </c>
      <c r="AA23" s="383" t="s">
        <v>863</v>
      </c>
      <c r="AB23" s="383" t="s">
        <v>863</v>
      </c>
      <c r="AC23" s="383" t="s">
        <v>884</v>
      </c>
      <c r="AD23" s="383" t="s">
        <v>863</v>
      </c>
      <c r="AE23" s="383" t="s">
        <v>1015</v>
      </c>
      <c r="AF23" s="383" t="s">
        <v>1053</v>
      </c>
    </row>
    <row r="24" spans="1:32" s="373" customFormat="1" ht="27.95" customHeight="1" x14ac:dyDescent="0.25">
      <c r="A24" s="226" t="s">
        <v>495</v>
      </c>
      <c r="B24" s="371" t="s">
        <v>697</v>
      </c>
      <c r="C24" s="372" t="s">
        <v>697</v>
      </c>
      <c r="D24" s="372" t="s">
        <v>697</v>
      </c>
      <c r="E24" s="384" t="s">
        <v>790</v>
      </c>
      <c r="F24" s="384">
        <v>6.85</v>
      </c>
      <c r="G24" s="384" t="s">
        <v>762</v>
      </c>
      <c r="H24" s="384" t="s">
        <v>864</v>
      </c>
      <c r="I24" s="384">
        <v>8.1999999999999993</v>
      </c>
      <c r="J24" s="384" t="s">
        <v>865</v>
      </c>
      <c r="K24" s="384">
        <v>7</v>
      </c>
      <c r="L24" s="384" t="s">
        <v>115</v>
      </c>
      <c r="M24" s="384">
        <v>8</v>
      </c>
      <c r="N24" s="384">
        <v>7.5</v>
      </c>
      <c r="O24" s="384" t="s">
        <v>115</v>
      </c>
      <c r="P24" s="384">
        <v>7.95</v>
      </c>
      <c r="Q24" s="384" t="s">
        <v>115</v>
      </c>
      <c r="R24" s="384" t="s">
        <v>115</v>
      </c>
      <c r="S24" s="384" t="s">
        <v>115</v>
      </c>
      <c r="T24" s="384">
        <v>9.9499999999999993</v>
      </c>
      <c r="U24" s="384" t="s">
        <v>115</v>
      </c>
      <c r="V24" s="384" t="s">
        <v>115</v>
      </c>
      <c r="W24" s="384" t="s">
        <v>115</v>
      </c>
      <c r="X24" s="384" t="s">
        <v>115</v>
      </c>
      <c r="Y24" s="384">
        <v>4.9000000000000004</v>
      </c>
      <c r="Z24" s="384" t="s">
        <v>115</v>
      </c>
      <c r="AA24" s="384" t="s">
        <v>115</v>
      </c>
      <c r="AB24" s="384" t="s">
        <v>694</v>
      </c>
      <c r="AC24" s="384" t="s">
        <v>115</v>
      </c>
      <c r="AD24" s="384" t="s">
        <v>115</v>
      </c>
      <c r="AE24" s="384">
        <v>5.75</v>
      </c>
      <c r="AF24" s="384" t="s">
        <v>115</v>
      </c>
    </row>
    <row r="25" spans="1:32" s="373" customFormat="1" ht="27.95" customHeight="1" thickBot="1" x14ac:dyDescent="0.3">
      <c r="A25" s="385" t="s">
        <v>496</v>
      </c>
      <c r="B25" s="386" t="s">
        <v>697</v>
      </c>
      <c r="C25" s="387">
        <v>7.25</v>
      </c>
      <c r="D25" s="387">
        <v>6.9</v>
      </c>
      <c r="E25" s="387" t="s">
        <v>697</v>
      </c>
      <c r="F25" s="387">
        <v>8</v>
      </c>
      <c r="G25" s="387">
        <v>5.5</v>
      </c>
      <c r="H25" s="387">
        <v>5.5</v>
      </c>
      <c r="I25" s="387" t="s">
        <v>786</v>
      </c>
      <c r="J25" s="387" t="s">
        <v>807</v>
      </c>
      <c r="K25" s="387">
        <v>5.5</v>
      </c>
      <c r="L25" s="387">
        <v>8</v>
      </c>
      <c r="M25" s="387" t="s">
        <v>115</v>
      </c>
      <c r="N25" s="387" t="s">
        <v>115</v>
      </c>
      <c r="O25" s="387" t="s">
        <v>115</v>
      </c>
      <c r="P25" s="387" t="s">
        <v>115</v>
      </c>
      <c r="Q25" s="387">
        <v>5.75</v>
      </c>
      <c r="R25" s="387" t="s">
        <v>115</v>
      </c>
      <c r="S25" s="387" t="s">
        <v>115</v>
      </c>
      <c r="T25" s="387" t="s">
        <v>115</v>
      </c>
      <c r="U25" s="387" t="s">
        <v>115</v>
      </c>
      <c r="V25" s="387" t="s">
        <v>115</v>
      </c>
      <c r="W25" s="387" t="s">
        <v>115</v>
      </c>
      <c r="X25" s="387">
        <v>5.75</v>
      </c>
      <c r="Y25" s="387" t="s">
        <v>115</v>
      </c>
      <c r="Z25" s="387" t="s">
        <v>115</v>
      </c>
      <c r="AA25" s="387" t="s">
        <v>115</v>
      </c>
      <c r="AB25" s="387" t="s">
        <v>115</v>
      </c>
      <c r="AC25" s="387" t="s">
        <v>885</v>
      </c>
      <c r="AD25" s="387" t="s">
        <v>115</v>
      </c>
      <c r="AE25" s="387" t="s">
        <v>115</v>
      </c>
      <c r="AF25" s="387" t="s">
        <v>115</v>
      </c>
    </row>
    <row r="26" spans="1:32" s="373" customFormat="1" ht="27.95" customHeight="1" thickTop="1" x14ac:dyDescent="0.25">
      <c r="A26" s="374" t="s">
        <v>866</v>
      </c>
      <c r="B26" s="371" t="s">
        <v>697</v>
      </c>
      <c r="C26" s="372" t="s">
        <v>697</v>
      </c>
      <c r="D26" s="372" t="s">
        <v>697</v>
      </c>
      <c r="E26" s="372" t="s">
        <v>697</v>
      </c>
      <c r="F26" s="372" t="s">
        <v>697</v>
      </c>
      <c r="G26" s="372" t="s">
        <v>697</v>
      </c>
      <c r="H26" s="372" t="s">
        <v>697</v>
      </c>
      <c r="I26" s="372" t="s">
        <v>115</v>
      </c>
      <c r="J26" s="372" t="s">
        <v>115</v>
      </c>
      <c r="K26" s="372" t="s">
        <v>115</v>
      </c>
      <c r="L26" s="372" t="s">
        <v>115</v>
      </c>
      <c r="M26" s="372" t="s">
        <v>115</v>
      </c>
      <c r="N26" s="372" t="s">
        <v>115</v>
      </c>
      <c r="O26" s="372" t="s">
        <v>115</v>
      </c>
      <c r="P26" s="372" t="s">
        <v>115</v>
      </c>
      <c r="Q26" s="372" t="s">
        <v>115</v>
      </c>
      <c r="R26" s="372" t="s">
        <v>115</v>
      </c>
      <c r="S26" s="372" t="s">
        <v>115</v>
      </c>
      <c r="T26" s="372" t="s">
        <v>115</v>
      </c>
      <c r="U26" s="372" t="s">
        <v>115</v>
      </c>
      <c r="V26" s="372" t="s">
        <v>115</v>
      </c>
      <c r="W26" s="372" t="s">
        <v>115</v>
      </c>
      <c r="X26" s="372" t="s">
        <v>115</v>
      </c>
      <c r="Y26" s="372">
        <v>6</v>
      </c>
      <c r="Z26" s="372" t="s">
        <v>115</v>
      </c>
      <c r="AA26" s="372" t="s">
        <v>115</v>
      </c>
      <c r="AB26" s="372" t="s">
        <v>115</v>
      </c>
      <c r="AC26" s="372">
        <v>4.75</v>
      </c>
      <c r="AD26" s="372" t="s">
        <v>115</v>
      </c>
      <c r="AE26" s="372" t="s">
        <v>115</v>
      </c>
      <c r="AF26" s="372" t="s">
        <v>115</v>
      </c>
    </row>
    <row r="27" spans="1:32" s="373" customFormat="1" ht="27.95" customHeight="1" x14ac:dyDescent="0.25">
      <c r="A27" s="374" t="s">
        <v>499</v>
      </c>
      <c r="B27" s="371" t="s">
        <v>697</v>
      </c>
      <c r="C27" s="372" t="s">
        <v>697</v>
      </c>
      <c r="D27" s="372" t="s">
        <v>697</v>
      </c>
      <c r="E27" s="372" t="s">
        <v>697</v>
      </c>
      <c r="F27" s="372" t="s">
        <v>697</v>
      </c>
      <c r="G27" s="372" t="s">
        <v>697</v>
      </c>
      <c r="H27" s="372" t="s">
        <v>697</v>
      </c>
      <c r="I27" s="372" t="s">
        <v>115</v>
      </c>
      <c r="J27" s="372" t="s">
        <v>115</v>
      </c>
      <c r="K27" s="372" t="s">
        <v>115</v>
      </c>
      <c r="L27" s="372" t="s">
        <v>115</v>
      </c>
      <c r="M27" s="372" t="s">
        <v>115</v>
      </c>
      <c r="N27" s="372">
        <v>7.25</v>
      </c>
      <c r="O27" s="372" t="s">
        <v>115</v>
      </c>
      <c r="P27" s="372" t="s">
        <v>115</v>
      </c>
      <c r="Q27" s="372" t="s">
        <v>115</v>
      </c>
      <c r="R27" s="372" t="s">
        <v>115</v>
      </c>
      <c r="S27" s="372" t="s">
        <v>115</v>
      </c>
      <c r="T27" s="372" t="s">
        <v>115</v>
      </c>
      <c r="U27" s="372" t="s">
        <v>115</v>
      </c>
      <c r="V27" s="372" t="s">
        <v>115</v>
      </c>
      <c r="W27" s="372" t="s">
        <v>115</v>
      </c>
      <c r="X27" s="372">
        <v>5.75</v>
      </c>
      <c r="Y27" s="372" t="s">
        <v>115</v>
      </c>
      <c r="Z27" s="372" t="s">
        <v>115</v>
      </c>
      <c r="AA27" s="372" t="s">
        <v>115</v>
      </c>
      <c r="AB27" s="372" t="s">
        <v>115</v>
      </c>
      <c r="AC27" s="372" t="s">
        <v>115</v>
      </c>
      <c r="AD27" s="372" t="s">
        <v>115</v>
      </c>
      <c r="AE27" s="372" t="s">
        <v>115</v>
      </c>
      <c r="AF27" s="372" t="s">
        <v>115</v>
      </c>
    </row>
    <row r="28" spans="1:32" s="373" customFormat="1" ht="27.95" customHeight="1" thickBot="1" x14ac:dyDescent="0.3">
      <c r="A28" s="385" t="s">
        <v>867</v>
      </c>
      <c r="B28" s="388" t="s">
        <v>697</v>
      </c>
      <c r="C28" s="389" t="s">
        <v>697</v>
      </c>
      <c r="D28" s="389" t="s">
        <v>697</v>
      </c>
      <c r="E28" s="387" t="s">
        <v>697</v>
      </c>
      <c r="F28" s="389" t="s">
        <v>697</v>
      </c>
      <c r="G28" s="389" t="s">
        <v>697</v>
      </c>
      <c r="H28" s="387">
        <v>7.2</v>
      </c>
      <c r="I28" s="387">
        <v>7.2</v>
      </c>
      <c r="J28" s="387" t="s">
        <v>115</v>
      </c>
      <c r="K28" s="387" t="s">
        <v>115</v>
      </c>
      <c r="L28" s="387" t="s">
        <v>115</v>
      </c>
      <c r="M28" s="387" t="s">
        <v>115</v>
      </c>
      <c r="N28" s="387" t="s">
        <v>115</v>
      </c>
      <c r="O28" s="387" t="s">
        <v>115</v>
      </c>
      <c r="P28" s="387" t="s">
        <v>115</v>
      </c>
      <c r="Q28" s="387" t="s">
        <v>115</v>
      </c>
      <c r="R28" s="387" t="s">
        <v>115</v>
      </c>
      <c r="S28" s="387" t="s">
        <v>115</v>
      </c>
      <c r="T28" s="387" t="s">
        <v>115</v>
      </c>
      <c r="U28" s="387" t="s">
        <v>115</v>
      </c>
      <c r="V28" s="387" t="s">
        <v>115</v>
      </c>
      <c r="W28" s="387" t="s">
        <v>115</v>
      </c>
      <c r="X28" s="387" t="s">
        <v>115</v>
      </c>
      <c r="Y28" s="387" t="s">
        <v>115</v>
      </c>
      <c r="Z28" s="387" t="s">
        <v>115</v>
      </c>
      <c r="AA28" s="387" t="s">
        <v>115</v>
      </c>
      <c r="AB28" s="387" t="s">
        <v>115</v>
      </c>
      <c r="AC28" s="387" t="s">
        <v>115</v>
      </c>
      <c r="AD28" s="387" t="s">
        <v>115</v>
      </c>
      <c r="AE28" s="387" t="s">
        <v>115</v>
      </c>
      <c r="AF28" s="387" t="s">
        <v>115</v>
      </c>
    </row>
    <row r="29" spans="1:32" ht="19.5" customHeight="1" thickTop="1" x14ac:dyDescent="0.25">
      <c r="A29" s="288" t="s">
        <v>914</v>
      </c>
      <c r="B29" s="287"/>
      <c r="C29" s="287"/>
      <c r="D29" s="287"/>
    </row>
    <row r="30" spans="1:32" ht="19.5" customHeight="1" x14ac:dyDescent="0.25">
      <c r="A30" s="103" t="s">
        <v>510</v>
      </c>
      <c r="B30" s="287"/>
      <c r="C30" s="287"/>
      <c r="D30" s="287"/>
    </row>
    <row r="31" spans="1:32" ht="19.5" customHeight="1" x14ac:dyDescent="0.25">
      <c r="A31" s="390" t="s">
        <v>134</v>
      </c>
      <c r="B31" s="287"/>
      <c r="C31" s="287"/>
      <c r="D31" s="287"/>
    </row>
    <row r="32" spans="1:32" ht="14.25" customHeight="1" x14ac:dyDescent="0.35">
      <c r="A32" s="391"/>
      <c r="B32" s="289"/>
      <c r="C32" s="289"/>
      <c r="D32" s="289"/>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XK40"/>
  <sheetViews>
    <sheetView showGridLines="0" zoomScale="70" zoomScaleNormal="70" zoomScaleSheetLayoutView="85" workbookViewId="0">
      <pane xSplit="1" ySplit="3" topLeftCell="B4" activePane="bottomRight" state="frozen"/>
      <selection activeCell="A25" sqref="A25"/>
      <selection pane="topRight" activeCell="A25" sqref="A25"/>
      <selection pane="bottomLeft" activeCell="A25" sqref="A25"/>
      <selection pane="bottomRight" sqref="A1:G1"/>
    </sheetView>
  </sheetViews>
  <sheetFormatPr defaultColWidth="74.28515625" defaultRowHeight="14.25" x14ac:dyDescent="0.25"/>
  <cols>
    <col min="1" max="1" width="86.42578125" style="104" customWidth="1"/>
    <col min="2" max="2" width="13.5703125" style="104" customWidth="1"/>
    <col min="3" max="3" width="12.85546875" style="104" customWidth="1"/>
    <col min="4" max="4" width="12.5703125" style="104" customWidth="1"/>
    <col min="5" max="5" width="9.28515625" style="104" customWidth="1"/>
    <col min="6" max="6" width="2.7109375" style="104" customWidth="1"/>
    <col min="7" max="7" width="5.5703125" style="104" bestFit="1" customWidth="1"/>
    <col min="8" max="8" width="5" style="104" customWidth="1"/>
    <col min="9" max="11" width="25.7109375" style="1158" customWidth="1"/>
    <col min="12" max="16384" width="74.28515625" style="104"/>
  </cols>
  <sheetData>
    <row r="1" spans="1:11" ht="19.149999999999999" customHeight="1" x14ac:dyDescent="0.25">
      <c r="A1" s="3702" t="s">
        <v>3278</v>
      </c>
      <c r="B1" s="3702"/>
      <c r="C1" s="3702"/>
      <c r="D1" s="3702"/>
      <c r="E1" s="3702"/>
      <c r="F1" s="3702"/>
      <c r="G1" s="3702"/>
    </row>
    <row r="2" spans="1:11" ht="20.45" customHeight="1" thickBot="1" x14ac:dyDescent="0.4">
      <c r="A2" s="290"/>
      <c r="B2" s="290"/>
      <c r="C2" s="290"/>
      <c r="D2" s="1159" t="s">
        <v>198</v>
      </c>
    </row>
    <row r="3" spans="1:11" ht="30" customHeight="1" thickTop="1" thickBot="1" x14ac:dyDescent="0.35">
      <c r="A3" s="201"/>
      <c r="B3" s="91" t="s">
        <v>272</v>
      </c>
      <c r="C3" s="91" t="s">
        <v>273</v>
      </c>
      <c r="D3" s="91" t="s">
        <v>274</v>
      </c>
    </row>
    <row r="4" spans="1:11" ht="30" customHeight="1" thickTop="1" x14ac:dyDescent="0.35">
      <c r="A4" s="183" t="s">
        <v>275</v>
      </c>
      <c r="B4" s="1160">
        <v>118861.65373847653</v>
      </c>
      <c r="C4" s="1160">
        <v>57233.387394274607</v>
      </c>
      <c r="D4" s="1160">
        <v>176095.04113275107</v>
      </c>
      <c r="G4" s="1161"/>
    </row>
    <row r="5" spans="1:11" ht="30" customHeight="1" x14ac:dyDescent="0.35">
      <c r="A5" s="187" t="s">
        <v>505</v>
      </c>
      <c r="B5" s="1162">
        <v>11026.542005117975</v>
      </c>
      <c r="C5" s="1162">
        <v>1483.6803470800003</v>
      </c>
      <c r="D5" s="1162">
        <v>12510.222352197976</v>
      </c>
      <c r="G5" s="1161"/>
    </row>
    <row r="6" spans="1:11" s="106" customFormat="1" ht="30" customHeight="1" x14ac:dyDescent="0.35">
      <c r="A6" s="187" t="s">
        <v>282</v>
      </c>
      <c r="B6" s="1162">
        <v>1.86551811</v>
      </c>
      <c r="C6" s="1162">
        <v>6.4000000000000006E-6</v>
      </c>
      <c r="D6" s="1162">
        <v>1.86552451</v>
      </c>
      <c r="G6" s="1161"/>
      <c r="I6" s="1163"/>
      <c r="J6" s="1163"/>
      <c r="K6" s="1163"/>
    </row>
    <row r="7" spans="1:11" s="106" customFormat="1" ht="30" customHeight="1" x14ac:dyDescent="0.35">
      <c r="A7" s="187" t="s">
        <v>283</v>
      </c>
      <c r="B7" s="1162">
        <v>14482.772724028746</v>
      </c>
      <c r="C7" s="1162">
        <v>6153.7964511302025</v>
      </c>
      <c r="D7" s="1162">
        <v>20636.569175158955</v>
      </c>
      <c r="G7" s="1161"/>
      <c r="I7" s="1163"/>
      <c r="J7" s="1163"/>
      <c r="K7" s="1163"/>
    </row>
    <row r="8" spans="1:11" s="106" customFormat="1" ht="30" customHeight="1" x14ac:dyDescent="0.35">
      <c r="A8" s="187" t="s">
        <v>306</v>
      </c>
      <c r="B8" s="1162">
        <v>635.47290894999992</v>
      </c>
      <c r="C8" s="1162">
        <v>3179.9752609899997</v>
      </c>
      <c r="D8" s="1162">
        <v>3815.4481699399994</v>
      </c>
      <c r="G8" s="1161"/>
      <c r="I8" s="1163"/>
      <c r="J8" s="1163"/>
      <c r="K8" s="1163"/>
    </row>
    <row r="9" spans="1:11" s="106" customFormat="1" ht="30" customHeight="1" x14ac:dyDescent="0.35">
      <c r="A9" s="187" t="s">
        <v>307</v>
      </c>
      <c r="B9" s="1162">
        <v>110.60543363000001</v>
      </c>
      <c r="C9" s="1162">
        <v>0.13693886999999999</v>
      </c>
      <c r="D9" s="1162">
        <v>110.74237250000002</v>
      </c>
      <c r="G9" s="1161"/>
      <c r="I9" s="1163"/>
      <c r="J9" s="1163"/>
      <c r="K9" s="1163"/>
    </row>
    <row r="10" spans="1:11" ht="30" customHeight="1" x14ac:dyDescent="0.35">
      <c r="A10" s="187" t="s">
        <v>308</v>
      </c>
      <c r="B10" s="1162">
        <v>14259.183848723436</v>
      </c>
      <c r="C10" s="1162">
        <v>2990.3604831516</v>
      </c>
      <c r="D10" s="1162">
        <v>17249.544331875037</v>
      </c>
      <c r="G10" s="1161"/>
    </row>
    <row r="11" spans="1:11" ht="30" customHeight="1" x14ac:dyDescent="0.35">
      <c r="A11" s="187" t="s">
        <v>318</v>
      </c>
      <c r="B11" s="1162">
        <v>21291.31347394496</v>
      </c>
      <c r="C11" s="1162">
        <v>2206.8768240410195</v>
      </c>
      <c r="D11" s="1162">
        <v>23498.190297985977</v>
      </c>
      <c r="G11" s="1161"/>
    </row>
    <row r="12" spans="1:11" ht="30" customHeight="1" x14ac:dyDescent="0.35">
      <c r="A12" s="187" t="s">
        <v>322</v>
      </c>
      <c r="B12" s="1162">
        <v>4842.8864166586054</v>
      </c>
      <c r="C12" s="1162">
        <v>1403.6903994682555</v>
      </c>
      <c r="D12" s="1162">
        <v>6246.5768161268616</v>
      </c>
      <c r="G12" s="1161"/>
    </row>
    <row r="13" spans="1:11" ht="30" customHeight="1" x14ac:dyDescent="0.35">
      <c r="A13" s="187" t="s">
        <v>328</v>
      </c>
      <c r="B13" s="1162">
        <v>22486.706042157559</v>
      </c>
      <c r="C13" s="1162">
        <v>34033.436453626753</v>
      </c>
      <c r="D13" s="1162">
        <v>56520.142495784312</v>
      </c>
      <c r="G13" s="1161"/>
    </row>
    <row r="14" spans="1:11" ht="30" customHeight="1" x14ac:dyDescent="0.35">
      <c r="A14" s="187" t="s">
        <v>339</v>
      </c>
      <c r="B14" s="1162">
        <v>1913.670074571942</v>
      </c>
      <c r="C14" s="1162">
        <v>334.29020703999998</v>
      </c>
      <c r="D14" s="1162">
        <v>2247.9602816119418</v>
      </c>
      <c r="G14" s="1161"/>
    </row>
    <row r="15" spans="1:11" ht="30" customHeight="1" x14ac:dyDescent="0.35">
      <c r="A15" s="187" t="s">
        <v>346</v>
      </c>
      <c r="B15" s="1162">
        <v>18810.791322563324</v>
      </c>
      <c r="C15" s="1162">
        <v>4261.2784773704188</v>
      </c>
      <c r="D15" s="1162">
        <v>23072.069799933743</v>
      </c>
      <c r="G15" s="1161"/>
    </row>
    <row r="16" spans="1:11" ht="30" customHeight="1" x14ac:dyDescent="0.35">
      <c r="A16" s="187" t="s">
        <v>347</v>
      </c>
      <c r="B16" s="1162">
        <v>1961.8738061376889</v>
      </c>
      <c r="C16" s="1162">
        <v>282.12618653999994</v>
      </c>
      <c r="D16" s="1162">
        <v>2243.9999926776891</v>
      </c>
      <c r="G16" s="1161"/>
    </row>
    <row r="17" spans="1:1987" ht="30" customHeight="1" x14ac:dyDescent="0.35">
      <c r="A17" s="187" t="s">
        <v>354</v>
      </c>
      <c r="B17" s="1162">
        <v>2875.0529561559588</v>
      </c>
      <c r="C17" s="1162">
        <v>151.89507410633922</v>
      </c>
      <c r="D17" s="1162">
        <v>3026.9480302622978</v>
      </c>
      <c r="G17" s="1161"/>
    </row>
    <row r="18" spans="1:1987" ht="30" customHeight="1" x14ac:dyDescent="0.35">
      <c r="A18" s="187" t="s">
        <v>361</v>
      </c>
      <c r="B18" s="1162">
        <v>837.65128184999992</v>
      </c>
      <c r="C18" s="1162">
        <v>286.78798592999999</v>
      </c>
      <c r="D18" s="1162">
        <v>1124.4392677799999</v>
      </c>
      <c r="G18" s="1161"/>
    </row>
    <row r="19" spans="1:1987" ht="30" customHeight="1" x14ac:dyDescent="0.35">
      <c r="A19" s="187" t="s">
        <v>367</v>
      </c>
      <c r="B19" s="1162">
        <v>1229.3066809400002</v>
      </c>
      <c r="C19" s="1162">
        <v>440.73608388999997</v>
      </c>
      <c r="D19" s="1162">
        <v>1670.0427648299997</v>
      </c>
      <c r="G19" s="1161"/>
    </row>
    <row r="20" spans="1:1987" ht="30" customHeight="1" x14ac:dyDescent="0.35">
      <c r="A20" s="187" t="s">
        <v>370</v>
      </c>
      <c r="B20" s="1162">
        <v>1468.6199434799998</v>
      </c>
      <c r="C20" s="1162">
        <v>13.415293270000999</v>
      </c>
      <c r="D20" s="1162">
        <v>1482.0352367500009</v>
      </c>
      <c r="G20" s="1161"/>
    </row>
    <row r="21" spans="1:1987" ht="30" customHeight="1" thickBot="1" x14ac:dyDescent="0.4">
      <c r="A21" s="187" t="s">
        <v>375</v>
      </c>
      <c r="B21" s="1162">
        <v>627.33930145630836</v>
      </c>
      <c r="C21" s="1162">
        <v>10.904921369999538</v>
      </c>
      <c r="D21" s="1162">
        <v>638.24422282630781</v>
      </c>
      <c r="G21" s="1161"/>
    </row>
    <row r="22" spans="1:1987" ht="30" customHeight="1" x14ac:dyDescent="0.35">
      <c r="A22" s="205" t="s">
        <v>379</v>
      </c>
      <c r="B22" s="1164">
        <v>162612.87228470101</v>
      </c>
      <c r="C22" s="1164">
        <v>4449.006207547447</v>
      </c>
      <c r="D22" s="1165">
        <v>167061.87849224848</v>
      </c>
      <c r="F22" s="1166"/>
      <c r="G22" s="1161"/>
      <c r="H22" s="1166"/>
      <c r="I22" s="1167"/>
    </row>
    <row r="23" spans="1:1987" ht="30" customHeight="1" x14ac:dyDescent="0.35">
      <c r="A23" s="191" t="s">
        <v>380</v>
      </c>
      <c r="B23" s="1168">
        <v>94788.602243774672</v>
      </c>
      <c r="C23" s="1168">
        <v>1533.2693403839198</v>
      </c>
      <c r="D23" s="1169">
        <v>96321.871584158609</v>
      </c>
      <c r="F23" s="1166"/>
      <c r="G23" s="1161"/>
      <c r="H23" s="1166"/>
      <c r="I23" s="1167"/>
    </row>
    <row r="24" spans="1:1987" s="1172" customFormat="1" ht="30" customHeight="1" x14ac:dyDescent="0.35">
      <c r="A24" s="183" t="s">
        <v>381</v>
      </c>
      <c r="B24" s="1170">
        <v>29233.506227075188</v>
      </c>
      <c r="C24" s="1170">
        <v>5410.6426143656645</v>
      </c>
      <c r="D24" s="1171">
        <v>34644.148841440845</v>
      </c>
      <c r="E24" s="104"/>
      <c r="F24" s="1166"/>
      <c r="G24" s="1161"/>
      <c r="H24" s="1166"/>
      <c r="I24" s="1167"/>
      <c r="J24" s="1158"/>
      <c r="K24" s="1158"/>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4"/>
      <c r="OK24" s="104"/>
      <c r="OL24" s="104"/>
      <c r="OM24" s="104"/>
      <c r="ON24" s="104"/>
      <c r="OO24" s="104"/>
      <c r="OP24" s="104"/>
      <c r="OQ24" s="104"/>
      <c r="OR24" s="104"/>
      <c r="OS24" s="104"/>
      <c r="OT24" s="104"/>
      <c r="OU24" s="104"/>
      <c r="OV24" s="104"/>
      <c r="OW24" s="104"/>
      <c r="OX24" s="104"/>
      <c r="OY24" s="104"/>
      <c r="OZ24" s="104"/>
      <c r="PA24" s="104"/>
      <c r="PB24" s="104"/>
      <c r="PC24" s="104"/>
      <c r="PD24" s="104"/>
      <c r="PE24" s="104"/>
      <c r="PF24" s="104"/>
      <c r="PG24" s="104"/>
      <c r="PH24" s="104"/>
      <c r="PI24" s="104"/>
      <c r="PJ24" s="104"/>
      <c r="PK24" s="104"/>
      <c r="PL24" s="104"/>
      <c r="PM24" s="104"/>
      <c r="PN24" s="104"/>
      <c r="PO24" s="104"/>
      <c r="PP24" s="104"/>
      <c r="PQ24" s="104"/>
      <c r="PR24" s="104"/>
      <c r="PS24" s="104"/>
      <c r="PT24" s="104"/>
      <c r="PU24" s="104"/>
      <c r="PV24" s="104"/>
      <c r="PW24" s="104"/>
      <c r="PX24" s="104"/>
      <c r="PY24" s="104"/>
      <c r="PZ24" s="104"/>
      <c r="QA24" s="104"/>
      <c r="QB24" s="104"/>
      <c r="QC24" s="104"/>
      <c r="QD24" s="104"/>
      <c r="QE24" s="104"/>
      <c r="QF24" s="104"/>
      <c r="QG24" s="104"/>
      <c r="QH24" s="104"/>
      <c r="QI24" s="104"/>
      <c r="QJ24" s="104"/>
      <c r="QK24" s="104"/>
      <c r="QL24" s="104"/>
      <c r="QM24" s="104"/>
      <c r="QN24" s="104"/>
      <c r="QO24" s="104"/>
      <c r="QP24" s="104"/>
      <c r="QQ24" s="104"/>
      <c r="QR24" s="104"/>
      <c r="QS24" s="104"/>
      <c r="QT24" s="104"/>
      <c r="QU24" s="104"/>
      <c r="QV24" s="104"/>
      <c r="QW24" s="104"/>
      <c r="QX24" s="104"/>
      <c r="QY24" s="104"/>
      <c r="QZ24" s="104"/>
      <c r="RA24" s="104"/>
      <c r="RB24" s="104"/>
      <c r="RC24" s="104"/>
      <c r="RD24" s="104"/>
      <c r="RE24" s="104"/>
      <c r="RF24" s="104"/>
      <c r="RG24" s="104"/>
      <c r="RH24" s="104"/>
      <c r="RI24" s="104"/>
      <c r="RJ24" s="104"/>
      <c r="RK24" s="104"/>
      <c r="RL24" s="104"/>
      <c r="RM24" s="104"/>
      <c r="RN24" s="104"/>
      <c r="RO24" s="104"/>
      <c r="RP24" s="104"/>
      <c r="RQ24" s="104"/>
      <c r="RR24" s="104"/>
      <c r="RS24" s="104"/>
      <c r="RT24" s="104"/>
      <c r="RU24" s="104"/>
      <c r="RV24" s="104"/>
      <c r="RW24" s="104"/>
      <c r="RX24" s="104"/>
      <c r="RY24" s="104"/>
      <c r="RZ24" s="104"/>
      <c r="SA24" s="104"/>
      <c r="SB24" s="104"/>
      <c r="SC24" s="104"/>
      <c r="SD24" s="104"/>
      <c r="SE24" s="104"/>
      <c r="SF24" s="104"/>
      <c r="SG24" s="104"/>
      <c r="SH24" s="104"/>
      <c r="SI24" s="104"/>
      <c r="SJ24" s="104"/>
      <c r="SK24" s="104"/>
      <c r="SL24" s="104"/>
      <c r="SM24" s="104"/>
      <c r="SN24" s="104"/>
      <c r="SO24" s="104"/>
      <c r="SP24" s="104"/>
      <c r="SQ24" s="104"/>
      <c r="SR24" s="104"/>
      <c r="SS24" s="104"/>
      <c r="ST24" s="104"/>
      <c r="SU24" s="104"/>
      <c r="SV24" s="104"/>
      <c r="SW24" s="104"/>
      <c r="SX24" s="104"/>
      <c r="SY24" s="104"/>
      <c r="SZ24" s="104"/>
      <c r="TA24" s="104"/>
      <c r="TB24" s="104"/>
      <c r="TC24" s="104"/>
      <c r="TD24" s="104"/>
      <c r="TE24" s="104"/>
      <c r="TF24" s="104"/>
      <c r="TG24" s="104"/>
      <c r="TH24" s="104"/>
      <c r="TI24" s="104"/>
      <c r="TJ24" s="104"/>
      <c r="TK24" s="104"/>
      <c r="TL24" s="104"/>
      <c r="TM24" s="104"/>
      <c r="TN24" s="104"/>
      <c r="TO24" s="104"/>
      <c r="TP24" s="104"/>
      <c r="TQ24" s="104"/>
      <c r="TR24" s="104"/>
      <c r="TS24" s="104"/>
      <c r="TT24" s="104"/>
      <c r="TU24" s="104"/>
      <c r="TV24" s="104"/>
      <c r="TW24" s="104"/>
      <c r="TX24" s="104"/>
      <c r="TY24" s="104"/>
      <c r="TZ24" s="104"/>
      <c r="UA24" s="104"/>
      <c r="UB24" s="104"/>
      <c r="UC24" s="104"/>
      <c r="UD24" s="104"/>
      <c r="UE24" s="104"/>
      <c r="UF24" s="104"/>
      <c r="UG24" s="104"/>
      <c r="UH24" s="104"/>
      <c r="UI24" s="104"/>
      <c r="UJ24" s="104"/>
      <c r="UK24" s="104"/>
      <c r="UL24" s="104"/>
      <c r="UM24" s="104"/>
      <c r="UN24" s="104"/>
      <c r="UO24" s="104"/>
      <c r="UP24" s="104"/>
      <c r="UQ24" s="104"/>
      <c r="UR24" s="104"/>
      <c r="US24" s="104"/>
      <c r="UT24" s="104"/>
      <c r="UU24" s="104"/>
      <c r="UV24" s="104"/>
      <c r="UW24" s="104"/>
      <c r="UX24" s="104"/>
      <c r="UY24" s="104"/>
      <c r="UZ24" s="104"/>
      <c r="VA24" s="104"/>
      <c r="VB24" s="104"/>
      <c r="VC24" s="104"/>
      <c r="VD24" s="104"/>
      <c r="VE24" s="104"/>
      <c r="VF24" s="104"/>
      <c r="VG24" s="104"/>
      <c r="VH24" s="104"/>
      <c r="VI24" s="104"/>
      <c r="VJ24" s="104"/>
      <c r="VK24" s="104"/>
      <c r="VL24" s="104"/>
      <c r="VM24" s="104"/>
      <c r="VN24" s="104"/>
      <c r="VO24" s="104"/>
      <c r="VP24" s="104"/>
      <c r="VQ24" s="104"/>
      <c r="VR24" s="104"/>
      <c r="VS24" s="104"/>
      <c r="VT24" s="104"/>
      <c r="VU24" s="104"/>
      <c r="VV24" s="104"/>
      <c r="VW24" s="104"/>
      <c r="VX24" s="104"/>
      <c r="VY24" s="104"/>
      <c r="VZ24" s="104"/>
      <c r="WA24" s="104"/>
      <c r="WB24" s="104"/>
      <c r="WC24" s="104"/>
      <c r="WD24" s="104"/>
      <c r="WE24" s="104"/>
      <c r="WF24" s="104"/>
      <c r="WG24" s="104"/>
      <c r="WH24" s="104"/>
      <c r="WI24" s="104"/>
      <c r="WJ24" s="104"/>
      <c r="WK24" s="104"/>
      <c r="WL24" s="104"/>
      <c r="WM24" s="104"/>
      <c r="WN24" s="104"/>
      <c r="WO24" s="104"/>
      <c r="WP24" s="104"/>
      <c r="WQ24" s="104"/>
      <c r="WR24" s="104"/>
      <c r="WS24" s="104"/>
      <c r="WT24" s="104"/>
      <c r="WU24" s="104"/>
      <c r="WV24" s="104"/>
      <c r="WW24" s="104"/>
      <c r="WX24" s="104"/>
      <c r="WY24" s="104"/>
      <c r="WZ24" s="104"/>
      <c r="XA24" s="104"/>
      <c r="XB24" s="104"/>
      <c r="XC24" s="104"/>
      <c r="XD24" s="104"/>
      <c r="XE24" s="104"/>
      <c r="XF24" s="104"/>
      <c r="XG24" s="104"/>
      <c r="XH24" s="104"/>
      <c r="XI24" s="104"/>
      <c r="XJ24" s="104"/>
      <c r="XK24" s="104"/>
      <c r="XL24" s="104"/>
      <c r="XM24" s="104"/>
      <c r="XN24" s="104"/>
      <c r="XO24" s="104"/>
      <c r="XP24" s="104"/>
      <c r="XQ24" s="104"/>
      <c r="XR24" s="104"/>
      <c r="XS24" s="104"/>
      <c r="XT24" s="104"/>
      <c r="XU24" s="104"/>
      <c r="XV24" s="104"/>
      <c r="XW24" s="104"/>
      <c r="XX24" s="104"/>
      <c r="XY24" s="104"/>
      <c r="XZ24" s="104"/>
      <c r="YA24" s="104"/>
      <c r="YB24" s="104"/>
      <c r="YC24" s="104"/>
      <c r="YD24" s="104"/>
      <c r="YE24" s="104"/>
      <c r="YF24" s="104"/>
      <c r="YG24" s="104"/>
      <c r="YH24" s="104"/>
      <c r="YI24" s="104"/>
      <c r="YJ24" s="104"/>
      <c r="YK24" s="104"/>
      <c r="YL24" s="104"/>
      <c r="YM24" s="104"/>
      <c r="YN24" s="104"/>
      <c r="YO24" s="104"/>
      <c r="YP24" s="104"/>
      <c r="YQ24" s="104"/>
      <c r="YR24" s="104"/>
      <c r="YS24" s="104"/>
      <c r="YT24" s="104"/>
      <c r="YU24" s="104"/>
      <c r="YV24" s="104"/>
      <c r="YW24" s="104"/>
      <c r="YX24" s="104"/>
      <c r="YY24" s="104"/>
      <c r="YZ24" s="104"/>
      <c r="ZA24" s="104"/>
      <c r="ZB24" s="104"/>
      <c r="ZC24" s="104"/>
      <c r="ZD24" s="104"/>
      <c r="ZE24" s="104"/>
      <c r="ZF24" s="104"/>
      <c r="ZG24" s="104"/>
      <c r="ZH24" s="104"/>
      <c r="ZI24" s="104"/>
      <c r="ZJ24" s="104"/>
      <c r="ZK24" s="104"/>
      <c r="ZL24" s="104"/>
      <c r="ZM24" s="104"/>
      <c r="ZN24" s="104"/>
      <c r="ZO24" s="104"/>
      <c r="ZP24" s="104"/>
      <c r="ZQ24" s="104"/>
      <c r="ZR24" s="104"/>
      <c r="ZS24" s="104"/>
      <c r="ZT24" s="104"/>
      <c r="ZU24" s="104"/>
      <c r="ZV24" s="104"/>
      <c r="ZW24" s="104"/>
      <c r="ZX24" s="104"/>
      <c r="ZY24" s="104"/>
      <c r="ZZ24" s="104"/>
      <c r="AAA24" s="104"/>
      <c r="AAB24" s="104"/>
      <c r="AAC24" s="104"/>
      <c r="AAD24" s="104"/>
      <c r="AAE24" s="104"/>
      <c r="AAF24" s="104"/>
      <c r="AAG24" s="104"/>
      <c r="AAH24" s="104"/>
      <c r="AAI24" s="104"/>
      <c r="AAJ24" s="104"/>
      <c r="AAK24" s="104"/>
      <c r="AAL24" s="104"/>
      <c r="AAM24" s="104"/>
      <c r="AAN24" s="104"/>
      <c r="AAO24" s="104"/>
      <c r="AAP24" s="104"/>
      <c r="AAQ24" s="104"/>
      <c r="AAR24" s="104"/>
      <c r="AAS24" s="104"/>
      <c r="AAT24" s="104"/>
      <c r="AAU24" s="104"/>
      <c r="AAV24" s="104"/>
      <c r="AAW24" s="104"/>
      <c r="AAX24" s="104"/>
      <c r="AAY24" s="104"/>
      <c r="AAZ24" s="104"/>
      <c r="ABA24" s="104"/>
      <c r="ABB24" s="104"/>
      <c r="ABC24" s="104"/>
      <c r="ABD24" s="104"/>
      <c r="ABE24" s="104"/>
      <c r="ABF24" s="104"/>
      <c r="ABG24" s="104"/>
      <c r="ABH24" s="104"/>
      <c r="ABI24" s="104"/>
      <c r="ABJ24" s="104"/>
      <c r="ABK24" s="104"/>
      <c r="ABL24" s="104"/>
      <c r="ABM24" s="104"/>
      <c r="ABN24" s="104"/>
      <c r="ABO24" s="104"/>
      <c r="ABP24" s="104"/>
      <c r="ABQ24" s="104"/>
      <c r="ABR24" s="104"/>
      <c r="ABS24" s="104"/>
      <c r="ABT24" s="104"/>
      <c r="ABU24" s="104"/>
      <c r="ABV24" s="104"/>
      <c r="ABW24" s="104"/>
      <c r="ABX24" s="104"/>
      <c r="ABY24" s="104"/>
      <c r="ABZ24" s="104"/>
      <c r="ACA24" s="104"/>
      <c r="ACB24" s="104"/>
      <c r="ACC24" s="104"/>
      <c r="ACD24" s="104"/>
      <c r="ACE24" s="104"/>
      <c r="ACF24" s="104"/>
      <c r="ACG24" s="104"/>
      <c r="ACH24" s="104"/>
      <c r="ACI24" s="104"/>
      <c r="ACJ24" s="104"/>
      <c r="ACK24" s="104"/>
      <c r="ACL24" s="104"/>
      <c r="ACM24" s="104"/>
      <c r="ACN24" s="104"/>
      <c r="ACO24" s="104"/>
      <c r="ACP24" s="104"/>
      <c r="ACQ24" s="104"/>
      <c r="ACR24" s="104"/>
      <c r="ACS24" s="104"/>
      <c r="ACT24" s="104"/>
      <c r="ACU24" s="104"/>
      <c r="ACV24" s="104"/>
      <c r="ACW24" s="104"/>
      <c r="ACX24" s="104"/>
      <c r="ACY24" s="104"/>
      <c r="ACZ24" s="104"/>
      <c r="ADA24" s="104"/>
      <c r="ADB24" s="104"/>
      <c r="ADC24" s="104"/>
      <c r="ADD24" s="104"/>
      <c r="ADE24" s="104"/>
      <c r="ADF24" s="104"/>
      <c r="ADG24" s="104"/>
      <c r="ADH24" s="104"/>
      <c r="ADI24" s="104"/>
      <c r="ADJ24" s="104"/>
      <c r="ADK24" s="104"/>
      <c r="ADL24" s="104"/>
      <c r="ADM24" s="104"/>
      <c r="ADN24" s="104"/>
      <c r="ADO24" s="104"/>
      <c r="ADP24" s="104"/>
      <c r="ADQ24" s="104"/>
      <c r="ADR24" s="104"/>
      <c r="ADS24" s="104"/>
      <c r="ADT24" s="104"/>
      <c r="ADU24" s="104"/>
      <c r="ADV24" s="104"/>
      <c r="ADW24" s="104"/>
      <c r="ADX24" s="104"/>
      <c r="ADY24" s="104"/>
      <c r="ADZ24" s="104"/>
      <c r="AEA24" s="104"/>
      <c r="AEB24" s="104"/>
      <c r="AEC24" s="104"/>
      <c r="AED24" s="104"/>
      <c r="AEE24" s="104"/>
      <c r="AEF24" s="104"/>
      <c r="AEG24" s="104"/>
      <c r="AEH24" s="104"/>
      <c r="AEI24" s="104"/>
      <c r="AEJ24" s="104"/>
      <c r="AEK24" s="104"/>
      <c r="AEL24" s="104"/>
      <c r="AEM24" s="104"/>
      <c r="AEN24" s="104"/>
      <c r="AEO24" s="104"/>
      <c r="AEP24" s="104"/>
      <c r="AEQ24" s="104"/>
      <c r="AER24" s="104"/>
      <c r="AES24" s="104"/>
      <c r="AET24" s="104"/>
      <c r="AEU24" s="104"/>
      <c r="AEV24" s="104"/>
      <c r="AEW24" s="104"/>
      <c r="AEX24" s="104"/>
      <c r="AEY24" s="104"/>
      <c r="AEZ24" s="104"/>
      <c r="AFA24" s="104"/>
      <c r="AFB24" s="104"/>
      <c r="AFC24" s="104"/>
      <c r="AFD24" s="104"/>
      <c r="AFE24" s="104"/>
      <c r="AFF24" s="104"/>
      <c r="AFG24" s="104"/>
      <c r="AFH24" s="104"/>
      <c r="AFI24" s="104"/>
      <c r="AFJ24" s="104"/>
      <c r="AFK24" s="104"/>
      <c r="AFL24" s="104"/>
      <c r="AFM24" s="104"/>
      <c r="AFN24" s="104"/>
      <c r="AFO24" s="104"/>
      <c r="AFP24" s="104"/>
      <c r="AFQ24" s="104"/>
      <c r="AFR24" s="104"/>
      <c r="AFS24" s="104"/>
      <c r="AFT24" s="104"/>
      <c r="AFU24" s="104"/>
      <c r="AFV24" s="104"/>
      <c r="AFW24" s="104"/>
      <c r="AFX24" s="104"/>
      <c r="AFY24" s="104"/>
      <c r="AFZ24" s="104"/>
      <c r="AGA24" s="104"/>
      <c r="AGB24" s="104"/>
      <c r="AGC24" s="104"/>
      <c r="AGD24" s="104"/>
      <c r="AGE24" s="104"/>
      <c r="AGF24" s="104"/>
      <c r="AGG24" s="104"/>
      <c r="AGH24" s="104"/>
      <c r="AGI24" s="104"/>
      <c r="AGJ24" s="104"/>
      <c r="AGK24" s="104"/>
      <c r="AGL24" s="104"/>
      <c r="AGM24" s="104"/>
      <c r="AGN24" s="104"/>
      <c r="AGO24" s="104"/>
      <c r="AGP24" s="104"/>
      <c r="AGQ24" s="104"/>
      <c r="AGR24" s="104"/>
      <c r="AGS24" s="104"/>
      <c r="AGT24" s="104"/>
      <c r="AGU24" s="104"/>
      <c r="AGV24" s="104"/>
      <c r="AGW24" s="104"/>
      <c r="AGX24" s="104"/>
      <c r="AGY24" s="104"/>
      <c r="AGZ24" s="104"/>
      <c r="AHA24" s="104"/>
      <c r="AHB24" s="104"/>
      <c r="AHC24" s="104"/>
      <c r="AHD24" s="104"/>
      <c r="AHE24" s="104"/>
      <c r="AHF24" s="104"/>
      <c r="AHG24" s="104"/>
      <c r="AHH24" s="104"/>
      <c r="AHI24" s="104"/>
      <c r="AHJ24" s="104"/>
      <c r="AHK24" s="104"/>
      <c r="AHL24" s="104"/>
      <c r="AHM24" s="104"/>
      <c r="AHN24" s="104"/>
      <c r="AHO24" s="104"/>
      <c r="AHP24" s="104"/>
      <c r="AHQ24" s="104"/>
      <c r="AHR24" s="104"/>
      <c r="AHS24" s="104"/>
      <c r="AHT24" s="104"/>
      <c r="AHU24" s="104"/>
      <c r="AHV24" s="104"/>
      <c r="AHW24" s="104"/>
      <c r="AHX24" s="104"/>
      <c r="AHY24" s="104"/>
      <c r="AHZ24" s="104"/>
      <c r="AIA24" s="104"/>
      <c r="AIB24" s="104"/>
      <c r="AIC24" s="104"/>
      <c r="AID24" s="104"/>
      <c r="AIE24" s="104"/>
      <c r="AIF24" s="104"/>
      <c r="AIG24" s="104"/>
      <c r="AIH24" s="104"/>
      <c r="AII24" s="104"/>
      <c r="AIJ24" s="104"/>
      <c r="AIK24" s="104"/>
      <c r="AIL24" s="104"/>
      <c r="AIM24" s="104"/>
      <c r="AIN24" s="104"/>
      <c r="AIO24" s="104"/>
      <c r="AIP24" s="104"/>
      <c r="AIQ24" s="104"/>
      <c r="AIR24" s="104"/>
      <c r="AIS24" s="104"/>
      <c r="AIT24" s="104"/>
      <c r="AIU24" s="104"/>
      <c r="AIV24" s="104"/>
      <c r="AIW24" s="104"/>
      <c r="AIX24" s="104"/>
      <c r="AIY24" s="104"/>
      <c r="AIZ24" s="104"/>
      <c r="AJA24" s="104"/>
      <c r="AJB24" s="104"/>
      <c r="AJC24" s="104"/>
      <c r="AJD24" s="104"/>
      <c r="AJE24" s="104"/>
      <c r="AJF24" s="104"/>
      <c r="AJG24" s="104"/>
      <c r="AJH24" s="104"/>
      <c r="AJI24" s="104"/>
      <c r="AJJ24" s="104"/>
      <c r="AJK24" s="104"/>
      <c r="AJL24" s="104"/>
      <c r="AJM24" s="104"/>
      <c r="AJN24" s="104"/>
      <c r="AJO24" s="104"/>
      <c r="AJP24" s="104"/>
      <c r="AJQ24" s="104"/>
      <c r="AJR24" s="104"/>
      <c r="AJS24" s="104"/>
      <c r="AJT24" s="104"/>
      <c r="AJU24" s="104"/>
      <c r="AJV24" s="104"/>
      <c r="AJW24" s="104"/>
      <c r="AJX24" s="104"/>
      <c r="AJY24" s="104"/>
      <c r="AJZ24" s="104"/>
      <c r="AKA24" s="104"/>
      <c r="AKB24" s="104"/>
      <c r="AKC24" s="104"/>
      <c r="AKD24" s="104"/>
      <c r="AKE24" s="104"/>
      <c r="AKF24" s="104"/>
      <c r="AKG24" s="104"/>
      <c r="AKH24" s="104"/>
      <c r="AKI24" s="104"/>
      <c r="AKJ24" s="104"/>
      <c r="AKK24" s="104"/>
      <c r="AKL24" s="104"/>
      <c r="AKM24" s="104"/>
      <c r="AKN24" s="104"/>
      <c r="AKO24" s="104"/>
      <c r="AKP24" s="104"/>
      <c r="AKQ24" s="104"/>
      <c r="AKR24" s="104"/>
      <c r="AKS24" s="104"/>
      <c r="AKT24" s="104"/>
      <c r="AKU24" s="104"/>
      <c r="AKV24" s="104"/>
      <c r="AKW24" s="104"/>
      <c r="AKX24" s="104"/>
      <c r="AKY24" s="104"/>
      <c r="AKZ24" s="104"/>
      <c r="ALA24" s="104"/>
      <c r="ALB24" s="104"/>
      <c r="ALC24" s="104"/>
      <c r="ALD24" s="104"/>
      <c r="ALE24" s="104"/>
      <c r="ALF24" s="104"/>
      <c r="ALG24" s="104"/>
      <c r="ALH24" s="104"/>
      <c r="ALI24" s="104"/>
      <c r="ALJ24" s="104"/>
      <c r="ALK24" s="104"/>
      <c r="ALL24" s="104"/>
      <c r="ALM24" s="104"/>
      <c r="ALN24" s="104"/>
      <c r="ALO24" s="104"/>
      <c r="ALP24" s="104"/>
      <c r="ALQ24" s="104"/>
      <c r="ALR24" s="104"/>
      <c r="ALS24" s="104"/>
      <c r="ALT24" s="104"/>
      <c r="ALU24" s="104"/>
      <c r="ALV24" s="104"/>
      <c r="ALW24" s="104"/>
      <c r="ALX24" s="104"/>
      <c r="ALY24" s="104"/>
      <c r="ALZ24" s="104"/>
      <c r="AMA24" s="104"/>
      <c r="AMB24" s="104"/>
      <c r="AMC24" s="104"/>
      <c r="AMD24" s="104"/>
      <c r="AME24" s="104"/>
      <c r="AMF24" s="104"/>
      <c r="AMG24" s="104"/>
      <c r="AMH24" s="104"/>
      <c r="AMI24" s="104"/>
      <c r="AMJ24" s="104"/>
      <c r="AMK24" s="104"/>
      <c r="AML24" s="104"/>
      <c r="AMM24" s="104"/>
      <c r="AMN24" s="104"/>
      <c r="AMO24" s="104"/>
      <c r="AMP24" s="104"/>
      <c r="AMQ24" s="104"/>
      <c r="AMR24" s="104"/>
      <c r="AMS24" s="104"/>
      <c r="AMT24" s="104"/>
      <c r="AMU24" s="104"/>
      <c r="AMV24" s="104"/>
      <c r="AMW24" s="104"/>
      <c r="AMX24" s="104"/>
      <c r="AMY24" s="104"/>
      <c r="AMZ24" s="104"/>
      <c r="ANA24" s="104"/>
      <c r="ANB24" s="104"/>
      <c r="ANC24" s="104"/>
      <c r="AND24" s="104"/>
      <c r="ANE24" s="104"/>
      <c r="ANF24" s="104"/>
      <c r="ANG24" s="104"/>
      <c r="ANH24" s="104"/>
      <c r="ANI24" s="104"/>
      <c r="ANJ24" s="104"/>
      <c r="ANK24" s="104"/>
      <c r="ANL24" s="104"/>
      <c r="ANM24" s="104"/>
      <c r="ANN24" s="104"/>
      <c r="ANO24" s="104"/>
      <c r="ANP24" s="104"/>
      <c r="ANQ24" s="104"/>
      <c r="ANR24" s="104"/>
      <c r="ANS24" s="104"/>
      <c r="ANT24" s="104"/>
      <c r="ANU24" s="104"/>
      <c r="ANV24" s="104"/>
      <c r="ANW24" s="104"/>
      <c r="ANX24" s="104"/>
      <c r="ANY24" s="104"/>
      <c r="ANZ24" s="104"/>
      <c r="AOA24" s="104"/>
      <c r="AOB24" s="104"/>
      <c r="AOC24" s="104"/>
      <c r="AOD24" s="104"/>
      <c r="AOE24" s="104"/>
      <c r="AOF24" s="104"/>
      <c r="AOG24" s="104"/>
      <c r="AOH24" s="104"/>
      <c r="AOI24" s="104"/>
      <c r="AOJ24" s="104"/>
      <c r="AOK24" s="104"/>
      <c r="AOL24" s="104"/>
      <c r="AOM24" s="104"/>
      <c r="AON24" s="104"/>
      <c r="AOO24" s="104"/>
      <c r="AOP24" s="104"/>
      <c r="AOQ24" s="104"/>
      <c r="AOR24" s="104"/>
      <c r="AOS24" s="104"/>
      <c r="AOT24" s="104"/>
      <c r="AOU24" s="104"/>
      <c r="AOV24" s="104"/>
      <c r="AOW24" s="104"/>
      <c r="AOX24" s="104"/>
      <c r="AOY24" s="104"/>
      <c r="AOZ24" s="104"/>
      <c r="APA24" s="104"/>
      <c r="APB24" s="104"/>
      <c r="APC24" s="104"/>
      <c r="APD24" s="104"/>
      <c r="APE24" s="104"/>
      <c r="APF24" s="104"/>
      <c r="APG24" s="104"/>
      <c r="APH24" s="104"/>
      <c r="API24" s="104"/>
      <c r="APJ24" s="104"/>
      <c r="APK24" s="104"/>
      <c r="APL24" s="104"/>
      <c r="APM24" s="104"/>
      <c r="APN24" s="104"/>
      <c r="APO24" s="104"/>
      <c r="APP24" s="104"/>
      <c r="APQ24" s="104"/>
      <c r="APR24" s="104"/>
      <c r="APS24" s="104"/>
      <c r="APT24" s="104"/>
      <c r="APU24" s="104"/>
      <c r="APV24" s="104"/>
      <c r="APW24" s="104"/>
      <c r="APX24" s="104"/>
      <c r="APY24" s="104"/>
      <c r="APZ24" s="104"/>
      <c r="AQA24" s="104"/>
      <c r="AQB24" s="104"/>
      <c r="AQC24" s="104"/>
      <c r="AQD24" s="104"/>
      <c r="AQE24" s="104"/>
      <c r="AQF24" s="104"/>
      <c r="AQG24" s="104"/>
      <c r="AQH24" s="104"/>
      <c r="AQI24" s="104"/>
      <c r="AQJ24" s="104"/>
      <c r="AQK24" s="104"/>
      <c r="AQL24" s="104"/>
      <c r="AQM24" s="104"/>
      <c r="AQN24" s="104"/>
      <c r="AQO24" s="104"/>
      <c r="AQP24" s="104"/>
      <c r="AQQ24" s="104"/>
      <c r="AQR24" s="104"/>
      <c r="AQS24" s="104"/>
      <c r="AQT24" s="104"/>
      <c r="AQU24" s="104"/>
      <c r="AQV24" s="104"/>
      <c r="AQW24" s="104"/>
      <c r="AQX24" s="104"/>
      <c r="AQY24" s="104"/>
      <c r="AQZ24" s="104"/>
      <c r="ARA24" s="104"/>
      <c r="ARB24" s="104"/>
      <c r="ARC24" s="104"/>
      <c r="ARD24" s="104"/>
      <c r="ARE24" s="104"/>
      <c r="ARF24" s="104"/>
      <c r="ARG24" s="104"/>
      <c r="ARH24" s="104"/>
      <c r="ARI24" s="104"/>
      <c r="ARJ24" s="104"/>
      <c r="ARK24" s="104"/>
      <c r="ARL24" s="104"/>
      <c r="ARM24" s="104"/>
      <c r="ARN24" s="104"/>
      <c r="ARO24" s="104"/>
      <c r="ARP24" s="104"/>
      <c r="ARQ24" s="104"/>
      <c r="ARR24" s="104"/>
      <c r="ARS24" s="104"/>
      <c r="ART24" s="104"/>
      <c r="ARU24" s="104"/>
      <c r="ARV24" s="104"/>
      <c r="ARW24" s="104"/>
      <c r="ARX24" s="104"/>
      <c r="ARY24" s="104"/>
      <c r="ARZ24" s="104"/>
      <c r="ASA24" s="104"/>
      <c r="ASB24" s="104"/>
      <c r="ASC24" s="104"/>
      <c r="ASD24" s="104"/>
      <c r="ASE24" s="104"/>
      <c r="ASF24" s="104"/>
      <c r="ASG24" s="104"/>
      <c r="ASH24" s="104"/>
      <c r="ASI24" s="104"/>
      <c r="ASJ24" s="104"/>
      <c r="ASK24" s="104"/>
      <c r="ASL24" s="104"/>
      <c r="ASM24" s="104"/>
      <c r="ASN24" s="104"/>
      <c r="ASO24" s="104"/>
      <c r="ASP24" s="104"/>
      <c r="ASQ24" s="104"/>
      <c r="ASR24" s="104"/>
      <c r="ASS24" s="104"/>
      <c r="AST24" s="104"/>
      <c r="ASU24" s="104"/>
      <c r="ASV24" s="104"/>
      <c r="ASW24" s="104"/>
      <c r="ASX24" s="104"/>
      <c r="ASY24" s="104"/>
      <c r="ASZ24" s="104"/>
      <c r="ATA24" s="104"/>
      <c r="ATB24" s="104"/>
      <c r="ATC24" s="104"/>
      <c r="ATD24" s="104"/>
      <c r="ATE24" s="104"/>
      <c r="ATF24" s="104"/>
      <c r="ATG24" s="104"/>
      <c r="ATH24" s="104"/>
      <c r="ATI24" s="104"/>
      <c r="ATJ24" s="104"/>
      <c r="ATK24" s="104"/>
      <c r="ATL24" s="104"/>
      <c r="ATM24" s="104"/>
      <c r="ATN24" s="104"/>
      <c r="ATO24" s="104"/>
      <c r="ATP24" s="104"/>
      <c r="ATQ24" s="104"/>
      <c r="ATR24" s="104"/>
      <c r="ATS24" s="104"/>
      <c r="ATT24" s="104"/>
      <c r="ATU24" s="104"/>
      <c r="ATV24" s="104"/>
      <c r="ATW24" s="104"/>
      <c r="ATX24" s="104"/>
      <c r="ATY24" s="104"/>
      <c r="ATZ24" s="104"/>
      <c r="AUA24" s="104"/>
      <c r="AUB24" s="104"/>
      <c r="AUC24" s="104"/>
      <c r="AUD24" s="104"/>
      <c r="AUE24" s="104"/>
      <c r="AUF24" s="104"/>
      <c r="AUG24" s="104"/>
      <c r="AUH24" s="104"/>
      <c r="AUI24" s="104"/>
      <c r="AUJ24" s="104"/>
      <c r="AUK24" s="104"/>
      <c r="AUL24" s="104"/>
      <c r="AUM24" s="104"/>
      <c r="AUN24" s="104"/>
      <c r="AUO24" s="104"/>
      <c r="AUP24" s="104"/>
      <c r="AUQ24" s="104"/>
      <c r="AUR24" s="104"/>
      <c r="AUS24" s="104"/>
      <c r="AUT24" s="104"/>
      <c r="AUU24" s="104"/>
      <c r="AUV24" s="104"/>
      <c r="AUW24" s="104"/>
      <c r="AUX24" s="104"/>
      <c r="AUY24" s="104"/>
      <c r="AUZ24" s="104"/>
      <c r="AVA24" s="104"/>
      <c r="AVB24" s="104"/>
      <c r="AVC24" s="104"/>
      <c r="AVD24" s="104"/>
      <c r="AVE24" s="104"/>
      <c r="AVF24" s="104"/>
      <c r="AVG24" s="104"/>
      <c r="AVH24" s="104"/>
      <c r="AVI24" s="104"/>
      <c r="AVJ24" s="104"/>
      <c r="AVK24" s="104"/>
      <c r="AVL24" s="104"/>
      <c r="AVM24" s="104"/>
      <c r="AVN24" s="104"/>
      <c r="AVO24" s="104"/>
      <c r="AVP24" s="104"/>
      <c r="AVQ24" s="104"/>
      <c r="AVR24" s="104"/>
      <c r="AVS24" s="104"/>
      <c r="AVT24" s="104"/>
      <c r="AVU24" s="104"/>
      <c r="AVV24" s="104"/>
      <c r="AVW24" s="104"/>
      <c r="AVX24" s="104"/>
      <c r="AVY24" s="104"/>
      <c r="AVZ24" s="104"/>
      <c r="AWA24" s="104"/>
      <c r="AWB24" s="104"/>
      <c r="AWC24" s="104"/>
      <c r="AWD24" s="104"/>
      <c r="AWE24" s="104"/>
      <c r="AWF24" s="104"/>
      <c r="AWG24" s="104"/>
      <c r="AWH24" s="104"/>
      <c r="AWI24" s="104"/>
      <c r="AWJ24" s="104"/>
      <c r="AWK24" s="104"/>
      <c r="AWL24" s="104"/>
      <c r="AWM24" s="104"/>
      <c r="AWN24" s="104"/>
      <c r="AWO24" s="104"/>
      <c r="AWP24" s="104"/>
      <c r="AWQ24" s="104"/>
      <c r="AWR24" s="104"/>
      <c r="AWS24" s="104"/>
      <c r="AWT24" s="104"/>
      <c r="AWU24" s="104"/>
      <c r="AWV24" s="104"/>
      <c r="AWW24" s="104"/>
      <c r="AWX24" s="104"/>
      <c r="AWY24" s="104"/>
      <c r="AWZ24" s="104"/>
      <c r="AXA24" s="104"/>
      <c r="AXB24" s="104"/>
      <c r="AXC24" s="104"/>
      <c r="AXD24" s="104"/>
      <c r="AXE24" s="104"/>
      <c r="AXF24" s="104"/>
      <c r="AXG24" s="104"/>
      <c r="AXH24" s="104"/>
      <c r="AXI24" s="104"/>
      <c r="AXJ24" s="104"/>
      <c r="AXK24" s="104"/>
      <c r="AXL24" s="104"/>
      <c r="AXM24" s="104"/>
      <c r="AXN24" s="104"/>
      <c r="AXO24" s="104"/>
      <c r="AXP24" s="104"/>
      <c r="AXQ24" s="104"/>
      <c r="AXR24" s="104"/>
      <c r="AXS24" s="104"/>
      <c r="AXT24" s="104"/>
      <c r="AXU24" s="104"/>
      <c r="AXV24" s="104"/>
      <c r="AXW24" s="104"/>
      <c r="AXX24" s="104"/>
      <c r="AXY24" s="104"/>
      <c r="AXZ24" s="104"/>
      <c r="AYA24" s="104"/>
      <c r="AYB24" s="104"/>
      <c r="AYC24" s="104"/>
      <c r="AYD24" s="104"/>
      <c r="AYE24" s="104"/>
      <c r="AYF24" s="104"/>
      <c r="AYG24" s="104"/>
      <c r="AYH24" s="104"/>
      <c r="AYI24" s="104"/>
      <c r="AYJ24" s="104"/>
      <c r="AYK24" s="104"/>
      <c r="AYL24" s="104"/>
      <c r="AYM24" s="104"/>
      <c r="AYN24" s="104"/>
      <c r="AYO24" s="104"/>
      <c r="AYP24" s="104"/>
      <c r="AYQ24" s="104"/>
      <c r="AYR24" s="104"/>
      <c r="AYS24" s="104"/>
      <c r="AYT24" s="104"/>
      <c r="AYU24" s="104"/>
      <c r="AYV24" s="104"/>
      <c r="AYW24" s="104"/>
      <c r="AYX24" s="104"/>
      <c r="AYY24" s="104"/>
      <c r="AYZ24" s="104"/>
      <c r="AZA24" s="104"/>
      <c r="AZB24" s="104"/>
      <c r="AZC24" s="104"/>
      <c r="AZD24" s="104"/>
      <c r="AZE24" s="104"/>
      <c r="AZF24" s="104"/>
      <c r="AZG24" s="104"/>
      <c r="AZH24" s="104"/>
      <c r="AZI24" s="104"/>
      <c r="AZJ24" s="104"/>
      <c r="AZK24" s="104"/>
      <c r="AZL24" s="104"/>
      <c r="AZM24" s="104"/>
      <c r="AZN24" s="104"/>
      <c r="AZO24" s="104"/>
      <c r="AZP24" s="104"/>
      <c r="AZQ24" s="104"/>
      <c r="AZR24" s="104"/>
      <c r="AZS24" s="104"/>
      <c r="AZT24" s="104"/>
      <c r="AZU24" s="104"/>
      <c r="AZV24" s="104"/>
      <c r="AZW24" s="104"/>
      <c r="AZX24" s="104"/>
      <c r="AZY24" s="104"/>
      <c r="AZZ24" s="104"/>
      <c r="BAA24" s="104"/>
      <c r="BAB24" s="104"/>
      <c r="BAC24" s="104"/>
      <c r="BAD24" s="104"/>
      <c r="BAE24" s="104"/>
      <c r="BAF24" s="104"/>
      <c r="BAG24" s="104"/>
      <c r="BAH24" s="104"/>
      <c r="BAI24" s="104"/>
      <c r="BAJ24" s="104"/>
      <c r="BAK24" s="104"/>
      <c r="BAL24" s="104"/>
      <c r="BAM24" s="104"/>
      <c r="BAN24" s="104"/>
      <c r="BAO24" s="104"/>
      <c r="BAP24" s="104"/>
      <c r="BAQ24" s="104"/>
      <c r="BAR24" s="104"/>
      <c r="BAS24" s="104"/>
      <c r="BAT24" s="104"/>
      <c r="BAU24" s="104"/>
      <c r="BAV24" s="104"/>
      <c r="BAW24" s="104"/>
      <c r="BAX24" s="104"/>
      <c r="BAY24" s="104"/>
      <c r="BAZ24" s="104"/>
      <c r="BBA24" s="104"/>
      <c r="BBB24" s="104"/>
      <c r="BBC24" s="104"/>
      <c r="BBD24" s="104"/>
      <c r="BBE24" s="104"/>
      <c r="BBF24" s="104"/>
      <c r="BBG24" s="104"/>
      <c r="BBH24" s="104"/>
      <c r="BBI24" s="104"/>
      <c r="BBJ24" s="104"/>
      <c r="BBK24" s="104"/>
      <c r="BBL24" s="104"/>
      <c r="BBM24" s="104"/>
      <c r="BBN24" s="104"/>
      <c r="BBO24" s="104"/>
      <c r="BBP24" s="104"/>
      <c r="BBQ24" s="104"/>
      <c r="BBR24" s="104"/>
      <c r="BBS24" s="104"/>
      <c r="BBT24" s="104"/>
      <c r="BBU24" s="104"/>
      <c r="BBV24" s="104"/>
      <c r="BBW24" s="104"/>
      <c r="BBX24" s="104"/>
      <c r="BBY24" s="104"/>
      <c r="BBZ24" s="104"/>
      <c r="BCA24" s="104"/>
      <c r="BCB24" s="104"/>
      <c r="BCC24" s="104"/>
      <c r="BCD24" s="104"/>
      <c r="BCE24" s="104"/>
      <c r="BCF24" s="104"/>
      <c r="BCG24" s="104"/>
      <c r="BCH24" s="104"/>
      <c r="BCI24" s="104"/>
      <c r="BCJ24" s="104"/>
      <c r="BCK24" s="104"/>
      <c r="BCL24" s="104"/>
      <c r="BCM24" s="104"/>
      <c r="BCN24" s="104"/>
      <c r="BCO24" s="104"/>
      <c r="BCP24" s="104"/>
      <c r="BCQ24" s="104"/>
      <c r="BCR24" s="104"/>
      <c r="BCS24" s="104"/>
      <c r="BCT24" s="104"/>
      <c r="BCU24" s="104"/>
      <c r="BCV24" s="104"/>
      <c r="BCW24" s="104"/>
      <c r="BCX24" s="104"/>
      <c r="BCY24" s="104"/>
      <c r="BCZ24" s="104"/>
      <c r="BDA24" s="104"/>
      <c r="BDB24" s="104"/>
      <c r="BDC24" s="104"/>
      <c r="BDD24" s="104"/>
      <c r="BDE24" s="104"/>
      <c r="BDF24" s="104"/>
      <c r="BDG24" s="104"/>
      <c r="BDH24" s="104"/>
      <c r="BDI24" s="104"/>
      <c r="BDJ24" s="104"/>
      <c r="BDK24" s="104"/>
      <c r="BDL24" s="104"/>
      <c r="BDM24" s="104"/>
      <c r="BDN24" s="104"/>
      <c r="BDO24" s="104"/>
      <c r="BDP24" s="104"/>
      <c r="BDQ24" s="104"/>
      <c r="BDR24" s="104"/>
      <c r="BDS24" s="104"/>
      <c r="BDT24" s="104"/>
      <c r="BDU24" s="104"/>
      <c r="BDV24" s="104"/>
      <c r="BDW24" s="104"/>
      <c r="BDX24" s="104"/>
      <c r="BDY24" s="104"/>
      <c r="BDZ24" s="104"/>
      <c r="BEA24" s="104"/>
      <c r="BEB24" s="104"/>
      <c r="BEC24" s="104"/>
      <c r="BED24" s="104"/>
      <c r="BEE24" s="104"/>
      <c r="BEF24" s="104"/>
      <c r="BEG24" s="104"/>
      <c r="BEH24" s="104"/>
      <c r="BEI24" s="104"/>
      <c r="BEJ24" s="104"/>
      <c r="BEK24" s="104"/>
      <c r="BEL24" s="104"/>
      <c r="BEM24" s="104"/>
      <c r="BEN24" s="104"/>
      <c r="BEO24" s="104"/>
      <c r="BEP24" s="104"/>
      <c r="BEQ24" s="104"/>
      <c r="BER24" s="104"/>
      <c r="BES24" s="104"/>
      <c r="BET24" s="104"/>
      <c r="BEU24" s="104"/>
      <c r="BEV24" s="104"/>
      <c r="BEW24" s="104"/>
      <c r="BEX24" s="104"/>
      <c r="BEY24" s="104"/>
      <c r="BEZ24" s="104"/>
      <c r="BFA24" s="104"/>
      <c r="BFB24" s="104"/>
      <c r="BFC24" s="104"/>
      <c r="BFD24" s="104"/>
      <c r="BFE24" s="104"/>
      <c r="BFF24" s="104"/>
      <c r="BFG24" s="104"/>
      <c r="BFH24" s="104"/>
      <c r="BFI24" s="104"/>
      <c r="BFJ24" s="104"/>
      <c r="BFK24" s="104"/>
      <c r="BFL24" s="104"/>
      <c r="BFM24" s="104"/>
      <c r="BFN24" s="104"/>
      <c r="BFO24" s="104"/>
      <c r="BFP24" s="104"/>
      <c r="BFQ24" s="104"/>
      <c r="BFR24" s="104"/>
      <c r="BFS24" s="104"/>
      <c r="BFT24" s="104"/>
      <c r="BFU24" s="104"/>
      <c r="BFV24" s="104"/>
      <c r="BFW24" s="104"/>
      <c r="BFX24" s="104"/>
      <c r="BFY24" s="104"/>
      <c r="BFZ24" s="104"/>
      <c r="BGA24" s="104"/>
      <c r="BGB24" s="104"/>
      <c r="BGC24" s="104"/>
      <c r="BGD24" s="104"/>
      <c r="BGE24" s="104"/>
      <c r="BGF24" s="104"/>
      <c r="BGG24" s="104"/>
      <c r="BGH24" s="104"/>
      <c r="BGI24" s="104"/>
      <c r="BGJ24" s="104"/>
      <c r="BGK24" s="104"/>
      <c r="BGL24" s="104"/>
      <c r="BGM24" s="104"/>
      <c r="BGN24" s="104"/>
      <c r="BGO24" s="104"/>
      <c r="BGP24" s="104"/>
      <c r="BGQ24" s="104"/>
      <c r="BGR24" s="104"/>
      <c r="BGS24" s="104"/>
      <c r="BGT24" s="104"/>
      <c r="BGU24" s="104"/>
      <c r="BGV24" s="104"/>
      <c r="BGW24" s="104"/>
      <c r="BGX24" s="104"/>
      <c r="BGY24" s="104"/>
      <c r="BGZ24" s="104"/>
      <c r="BHA24" s="104"/>
      <c r="BHB24" s="104"/>
      <c r="BHC24" s="104"/>
      <c r="BHD24" s="104"/>
      <c r="BHE24" s="104"/>
      <c r="BHF24" s="104"/>
      <c r="BHG24" s="104"/>
      <c r="BHH24" s="104"/>
      <c r="BHI24" s="104"/>
      <c r="BHJ24" s="104"/>
      <c r="BHK24" s="104"/>
      <c r="BHL24" s="104"/>
      <c r="BHM24" s="104"/>
      <c r="BHN24" s="104"/>
      <c r="BHO24" s="104"/>
      <c r="BHP24" s="104"/>
      <c r="BHQ24" s="104"/>
      <c r="BHR24" s="104"/>
      <c r="BHS24" s="104"/>
      <c r="BHT24" s="104"/>
      <c r="BHU24" s="104"/>
      <c r="BHV24" s="104"/>
      <c r="BHW24" s="104"/>
      <c r="BHX24" s="104"/>
      <c r="BHY24" s="104"/>
      <c r="BHZ24" s="104"/>
      <c r="BIA24" s="104"/>
      <c r="BIB24" s="104"/>
      <c r="BIC24" s="104"/>
      <c r="BID24" s="104"/>
      <c r="BIE24" s="104"/>
      <c r="BIF24" s="104"/>
      <c r="BIG24" s="104"/>
      <c r="BIH24" s="104"/>
      <c r="BII24" s="104"/>
      <c r="BIJ24" s="104"/>
      <c r="BIK24" s="104"/>
      <c r="BIL24" s="104"/>
      <c r="BIM24" s="104"/>
      <c r="BIN24" s="104"/>
      <c r="BIO24" s="104"/>
      <c r="BIP24" s="104"/>
      <c r="BIQ24" s="104"/>
      <c r="BIR24" s="104"/>
      <c r="BIS24" s="104"/>
      <c r="BIT24" s="104"/>
      <c r="BIU24" s="104"/>
      <c r="BIV24" s="104"/>
      <c r="BIW24" s="104"/>
      <c r="BIX24" s="104"/>
      <c r="BIY24" s="104"/>
      <c r="BIZ24" s="104"/>
      <c r="BJA24" s="104"/>
      <c r="BJB24" s="104"/>
      <c r="BJC24" s="104"/>
      <c r="BJD24" s="104"/>
      <c r="BJE24" s="104"/>
      <c r="BJF24" s="104"/>
      <c r="BJG24" s="104"/>
      <c r="BJH24" s="104"/>
      <c r="BJI24" s="104"/>
      <c r="BJJ24" s="104"/>
      <c r="BJK24" s="104"/>
      <c r="BJL24" s="104"/>
      <c r="BJM24" s="104"/>
      <c r="BJN24" s="104"/>
      <c r="BJO24" s="104"/>
      <c r="BJP24" s="104"/>
      <c r="BJQ24" s="104"/>
      <c r="BJR24" s="104"/>
      <c r="BJS24" s="104"/>
      <c r="BJT24" s="104"/>
      <c r="BJU24" s="104"/>
      <c r="BJV24" s="104"/>
      <c r="BJW24" s="104"/>
      <c r="BJX24" s="104"/>
      <c r="BJY24" s="104"/>
      <c r="BJZ24" s="104"/>
      <c r="BKA24" s="104"/>
      <c r="BKB24" s="104"/>
      <c r="BKC24" s="104"/>
      <c r="BKD24" s="104"/>
      <c r="BKE24" s="104"/>
      <c r="BKF24" s="104"/>
      <c r="BKG24" s="104"/>
      <c r="BKH24" s="104"/>
      <c r="BKI24" s="104"/>
      <c r="BKJ24" s="104"/>
      <c r="BKK24" s="104"/>
      <c r="BKL24" s="104"/>
      <c r="BKM24" s="104"/>
      <c r="BKN24" s="104"/>
      <c r="BKO24" s="104"/>
      <c r="BKP24" s="104"/>
      <c r="BKQ24" s="104"/>
      <c r="BKR24" s="104"/>
      <c r="BKS24" s="104"/>
      <c r="BKT24" s="104"/>
      <c r="BKU24" s="104"/>
      <c r="BKV24" s="104"/>
      <c r="BKW24" s="104"/>
      <c r="BKX24" s="104"/>
      <c r="BKY24" s="104"/>
      <c r="BKZ24" s="104"/>
      <c r="BLA24" s="104"/>
      <c r="BLB24" s="104"/>
      <c r="BLC24" s="104"/>
      <c r="BLD24" s="104"/>
      <c r="BLE24" s="104"/>
      <c r="BLF24" s="104"/>
      <c r="BLG24" s="104"/>
      <c r="BLH24" s="104"/>
      <c r="BLI24" s="104"/>
      <c r="BLJ24" s="104"/>
      <c r="BLK24" s="104"/>
      <c r="BLL24" s="104"/>
      <c r="BLM24" s="104"/>
      <c r="BLN24" s="104"/>
      <c r="BLO24" s="104"/>
      <c r="BLP24" s="104"/>
      <c r="BLQ24" s="104"/>
      <c r="BLR24" s="104"/>
      <c r="BLS24" s="104"/>
      <c r="BLT24" s="104"/>
      <c r="BLU24" s="104"/>
      <c r="BLV24" s="104"/>
      <c r="BLW24" s="104"/>
      <c r="BLX24" s="104"/>
      <c r="BLY24" s="104"/>
      <c r="BLZ24" s="104"/>
      <c r="BMA24" s="104"/>
      <c r="BMB24" s="104"/>
      <c r="BMC24" s="104"/>
      <c r="BMD24" s="104"/>
      <c r="BME24" s="104"/>
      <c r="BMF24" s="104"/>
      <c r="BMG24" s="104"/>
      <c r="BMH24" s="104"/>
      <c r="BMI24" s="104"/>
      <c r="BMJ24" s="104"/>
      <c r="BMK24" s="104"/>
      <c r="BML24" s="104"/>
      <c r="BMM24" s="104"/>
      <c r="BMN24" s="104"/>
      <c r="BMO24" s="104"/>
      <c r="BMP24" s="104"/>
      <c r="BMQ24" s="104"/>
      <c r="BMR24" s="104"/>
      <c r="BMS24" s="104"/>
      <c r="BMT24" s="104"/>
      <c r="BMU24" s="104"/>
      <c r="BMV24" s="104"/>
      <c r="BMW24" s="104"/>
      <c r="BMX24" s="104"/>
      <c r="BMY24" s="104"/>
      <c r="BMZ24" s="104"/>
      <c r="BNA24" s="104"/>
      <c r="BNB24" s="104"/>
      <c r="BNC24" s="104"/>
      <c r="BND24" s="104"/>
      <c r="BNE24" s="104"/>
      <c r="BNF24" s="104"/>
      <c r="BNG24" s="104"/>
      <c r="BNH24" s="104"/>
      <c r="BNI24" s="104"/>
      <c r="BNJ24" s="104"/>
      <c r="BNK24" s="104"/>
      <c r="BNL24" s="104"/>
      <c r="BNM24" s="104"/>
      <c r="BNN24" s="104"/>
      <c r="BNO24" s="104"/>
      <c r="BNP24" s="104"/>
      <c r="BNQ24" s="104"/>
      <c r="BNR24" s="104"/>
      <c r="BNS24" s="104"/>
      <c r="BNT24" s="104"/>
      <c r="BNU24" s="104"/>
      <c r="BNV24" s="104"/>
      <c r="BNW24" s="104"/>
      <c r="BNX24" s="104"/>
      <c r="BNY24" s="104"/>
      <c r="BNZ24" s="104"/>
      <c r="BOA24" s="104"/>
      <c r="BOB24" s="104"/>
      <c r="BOC24" s="104"/>
      <c r="BOD24" s="104"/>
      <c r="BOE24" s="104"/>
      <c r="BOF24" s="104"/>
      <c r="BOG24" s="104"/>
      <c r="BOH24" s="104"/>
      <c r="BOI24" s="104"/>
      <c r="BOJ24" s="104"/>
      <c r="BOK24" s="104"/>
      <c r="BOL24" s="104"/>
      <c r="BOM24" s="104"/>
      <c r="BON24" s="104"/>
      <c r="BOO24" s="104"/>
      <c r="BOP24" s="104"/>
      <c r="BOQ24" s="104"/>
      <c r="BOR24" s="104"/>
      <c r="BOS24" s="104"/>
      <c r="BOT24" s="104"/>
      <c r="BOU24" s="104"/>
      <c r="BOV24" s="104"/>
      <c r="BOW24" s="104"/>
      <c r="BOX24" s="104"/>
      <c r="BOY24" s="104"/>
      <c r="BOZ24" s="104"/>
      <c r="BPA24" s="104"/>
      <c r="BPB24" s="104"/>
      <c r="BPC24" s="104"/>
      <c r="BPD24" s="104"/>
      <c r="BPE24" s="104"/>
      <c r="BPF24" s="104"/>
      <c r="BPG24" s="104"/>
      <c r="BPH24" s="104"/>
      <c r="BPI24" s="104"/>
      <c r="BPJ24" s="104"/>
      <c r="BPK24" s="104"/>
      <c r="BPL24" s="104"/>
      <c r="BPM24" s="104"/>
      <c r="BPN24" s="104"/>
      <c r="BPO24" s="104"/>
      <c r="BPP24" s="104"/>
      <c r="BPQ24" s="104"/>
      <c r="BPR24" s="104"/>
      <c r="BPS24" s="104"/>
      <c r="BPT24" s="104"/>
      <c r="BPU24" s="104"/>
      <c r="BPV24" s="104"/>
      <c r="BPW24" s="104"/>
      <c r="BPX24" s="104"/>
      <c r="BPY24" s="104"/>
      <c r="BPZ24" s="104"/>
      <c r="BQA24" s="104"/>
      <c r="BQB24" s="104"/>
      <c r="BQC24" s="104"/>
      <c r="BQD24" s="104"/>
      <c r="BQE24" s="104"/>
      <c r="BQF24" s="104"/>
      <c r="BQG24" s="104"/>
      <c r="BQH24" s="104"/>
      <c r="BQI24" s="104"/>
      <c r="BQJ24" s="104"/>
      <c r="BQK24" s="104"/>
      <c r="BQL24" s="104"/>
      <c r="BQM24" s="104"/>
      <c r="BQN24" s="104"/>
      <c r="BQO24" s="104"/>
      <c r="BQP24" s="104"/>
      <c r="BQQ24" s="104"/>
      <c r="BQR24" s="104"/>
      <c r="BQS24" s="104"/>
      <c r="BQT24" s="104"/>
      <c r="BQU24" s="104"/>
      <c r="BQV24" s="104"/>
      <c r="BQW24" s="104"/>
      <c r="BQX24" s="104"/>
      <c r="BQY24" s="104"/>
      <c r="BQZ24" s="104"/>
      <c r="BRA24" s="104"/>
      <c r="BRB24" s="104"/>
      <c r="BRC24" s="104"/>
      <c r="BRD24" s="104"/>
      <c r="BRE24" s="104"/>
      <c r="BRF24" s="104"/>
      <c r="BRG24" s="104"/>
      <c r="BRH24" s="104"/>
      <c r="BRI24" s="104"/>
      <c r="BRJ24" s="104"/>
      <c r="BRK24" s="104"/>
      <c r="BRL24" s="104"/>
      <c r="BRM24" s="104"/>
      <c r="BRN24" s="104"/>
      <c r="BRO24" s="104"/>
      <c r="BRP24" s="104"/>
      <c r="BRQ24" s="104"/>
      <c r="BRR24" s="104"/>
      <c r="BRS24" s="104"/>
      <c r="BRT24" s="104"/>
      <c r="BRU24" s="104"/>
      <c r="BRV24" s="104"/>
      <c r="BRW24" s="104"/>
      <c r="BRX24" s="104"/>
      <c r="BRY24" s="104"/>
      <c r="BRZ24" s="104"/>
      <c r="BSA24" s="104"/>
      <c r="BSB24" s="104"/>
      <c r="BSC24" s="104"/>
      <c r="BSD24" s="104"/>
      <c r="BSE24" s="104"/>
      <c r="BSF24" s="104"/>
      <c r="BSG24" s="104"/>
      <c r="BSH24" s="104"/>
      <c r="BSI24" s="104"/>
      <c r="BSJ24" s="104"/>
      <c r="BSK24" s="104"/>
      <c r="BSL24" s="104"/>
      <c r="BSM24" s="104"/>
      <c r="BSN24" s="104"/>
      <c r="BSO24" s="104"/>
      <c r="BSP24" s="104"/>
      <c r="BSQ24" s="104"/>
      <c r="BSR24" s="104"/>
      <c r="BSS24" s="104"/>
      <c r="BST24" s="104"/>
      <c r="BSU24" s="104"/>
      <c r="BSV24" s="104"/>
      <c r="BSW24" s="104"/>
      <c r="BSX24" s="104"/>
      <c r="BSY24" s="104"/>
      <c r="BSZ24" s="104"/>
      <c r="BTA24" s="104"/>
      <c r="BTB24" s="104"/>
      <c r="BTC24" s="104"/>
      <c r="BTD24" s="104"/>
      <c r="BTE24" s="104"/>
      <c r="BTF24" s="104"/>
      <c r="BTG24" s="104"/>
      <c r="BTH24" s="104"/>
      <c r="BTI24" s="104"/>
      <c r="BTJ24" s="104"/>
      <c r="BTK24" s="104"/>
      <c r="BTL24" s="104"/>
      <c r="BTM24" s="104"/>
      <c r="BTN24" s="104"/>
      <c r="BTO24" s="104"/>
      <c r="BTP24" s="104"/>
      <c r="BTQ24" s="104"/>
      <c r="BTR24" s="104"/>
      <c r="BTS24" s="104"/>
      <c r="BTT24" s="104"/>
      <c r="BTU24" s="104"/>
      <c r="BTV24" s="104"/>
      <c r="BTW24" s="104"/>
      <c r="BTX24" s="104"/>
      <c r="BTY24" s="104"/>
      <c r="BTZ24" s="104"/>
      <c r="BUA24" s="104"/>
      <c r="BUB24" s="104"/>
      <c r="BUC24" s="104"/>
      <c r="BUD24" s="104"/>
      <c r="BUE24" s="104"/>
      <c r="BUF24" s="104"/>
      <c r="BUG24" s="104"/>
      <c r="BUH24" s="104"/>
      <c r="BUI24" s="104"/>
      <c r="BUJ24" s="104"/>
      <c r="BUK24" s="104"/>
      <c r="BUL24" s="104"/>
      <c r="BUM24" s="104"/>
      <c r="BUN24" s="104"/>
      <c r="BUO24" s="104"/>
      <c r="BUP24" s="104"/>
      <c r="BUQ24" s="104"/>
      <c r="BUR24" s="104"/>
      <c r="BUS24" s="104"/>
      <c r="BUT24" s="104"/>
      <c r="BUU24" s="104"/>
      <c r="BUV24" s="104"/>
      <c r="BUW24" s="104"/>
      <c r="BUX24" s="104"/>
      <c r="BUY24" s="104"/>
      <c r="BUZ24" s="104"/>
      <c r="BVA24" s="104"/>
      <c r="BVB24" s="104"/>
      <c r="BVC24" s="104"/>
      <c r="BVD24" s="104"/>
      <c r="BVE24" s="104"/>
      <c r="BVF24" s="104"/>
      <c r="BVG24" s="104"/>
      <c r="BVH24" s="104"/>
      <c r="BVI24" s="104"/>
      <c r="BVJ24" s="104"/>
      <c r="BVK24" s="104"/>
      <c r="BVL24" s="104"/>
      <c r="BVM24" s="104"/>
      <c r="BVN24" s="104"/>
      <c r="BVO24" s="104"/>
      <c r="BVP24" s="104"/>
      <c r="BVQ24" s="104"/>
      <c r="BVR24" s="104"/>
      <c r="BVS24" s="104"/>
      <c r="BVT24" s="104"/>
      <c r="BVU24" s="104"/>
      <c r="BVV24" s="104"/>
      <c r="BVW24" s="104"/>
      <c r="BVX24" s="104"/>
      <c r="BVY24" s="104"/>
      <c r="BVZ24" s="104"/>
      <c r="BWA24" s="104"/>
      <c r="BWB24" s="104"/>
      <c r="BWC24" s="104"/>
      <c r="BWD24" s="104"/>
      <c r="BWE24" s="104"/>
      <c r="BWF24" s="104"/>
      <c r="BWG24" s="104"/>
      <c r="BWH24" s="104"/>
      <c r="BWI24" s="104"/>
      <c r="BWJ24" s="104"/>
      <c r="BWK24" s="104"/>
      <c r="BWL24" s="104"/>
      <c r="BWM24" s="104"/>
      <c r="BWN24" s="104"/>
      <c r="BWO24" s="104"/>
      <c r="BWP24" s="104"/>
      <c r="BWQ24" s="104"/>
      <c r="BWR24" s="104"/>
      <c r="BWS24" s="104"/>
      <c r="BWT24" s="104"/>
      <c r="BWU24" s="104"/>
      <c r="BWV24" s="104"/>
      <c r="BWW24" s="104"/>
      <c r="BWX24" s="104"/>
      <c r="BWY24" s="104"/>
      <c r="BWZ24" s="104"/>
      <c r="BXA24" s="104"/>
      <c r="BXB24" s="104"/>
      <c r="BXC24" s="104"/>
      <c r="BXD24" s="104"/>
      <c r="BXE24" s="104"/>
      <c r="BXF24" s="104"/>
      <c r="BXG24" s="104"/>
      <c r="BXH24" s="104"/>
      <c r="BXI24" s="104"/>
      <c r="BXJ24" s="104"/>
      <c r="BXK24" s="104"/>
    </row>
    <row r="25" spans="1:1987" s="1173" customFormat="1" ht="30" customHeight="1" thickBot="1" x14ac:dyDescent="0.4">
      <c r="A25" s="183" t="s">
        <v>509</v>
      </c>
      <c r="B25" s="1170">
        <v>1635.3329728800002</v>
      </c>
      <c r="C25" s="1170">
        <v>1333.02654207</v>
      </c>
      <c r="D25" s="1171">
        <v>2968.3595149499997</v>
      </c>
      <c r="E25" s="104"/>
      <c r="F25" s="1166"/>
      <c r="G25" s="1161"/>
      <c r="H25" s="1166"/>
      <c r="I25" s="1167"/>
      <c r="J25" s="1158"/>
      <c r="K25" s="1158"/>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row>
    <row r="26" spans="1:1987" ht="30" customHeight="1" x14ac:dyDescent="0.35">
      <c r="A26" s="213" t="s">
        <v>383</v>
      </c>
      <c r="B26" s="1174">
        <v>982.45400010000003</v>
      </c>
      <c r="C26" s="1174">
        <v>34463.218472439963</v>
      </c>
      <c r="D26" s="1175">
        <v>35445.672472539962</v>
      </c>
      <c r="F26" s="1166"/>
      <c r="G26" s="1161"/>
      <c r="H26" s="1166"/>
      <c r="I26" s="1167"/>
    </row>
    <row r="27" spans="1:1987" ht="30" customHeight="1" x14ac:dyDescent="0.35">
      <c r="A27" s="187" t="s">
        <v>384</v>
      </c>
      <c r="B27" s="1170">
        <v>447.37412617298014</v>
      </c>
      <c r="C27" s="1170">
        <v>23802.947076824421</v>
      </c>
      <c r="D27" s="1171">
        <v>24250.321202997398</v>
      </c>
      <c r="F27" s="1166"/>
      <c r="G27" s="1161"/>
      <c r="H27" s="1166"/>
      <c r="I27" s="1167"/>
    </row>
    <row r="28" spans="1:1987" ht="30" customHeight="1" thickBot="1" x14ac:dyDescent="0.4">
      <c r="A28" s="216" t="s">
        <v>385</v>
      </c>
      <c r="B28" s="1176">
        <v>0.77342633999999999</v>
      </c>
      <c r="C28" s="1176">
        <v>4663.9475516778639</v>
      </c>
      <c r="D28" s="1177">
        <v>4664.7209780178646</v>
      </c>
      <c r="F28" s="1166"/>
      <c r="G28" s="1161"/>
      <c r="H28" s="1166"/>
      <c r="I28" s="1167"/>
    </row>
    <row r="29" spans="1:1987" ht="30" customHeight="1" thickTop="1" thickBot="1" x14ac:dyDescent="0.4">
      <c r="A29" s="219" t="s">
        <v>386</v>
      </c>
      <c r="B29" s="1178">
        <v>313773.96677574568</v>
      </c>
      <c r="C29" s="1178">
        <v>131356.17585919995</v>
      </c>
      <c r="D29" s="1179">
        <v>445130.14263494563</v>
      </c>
      <c r="G29" s="1161"/>
    </row>
    <row r="30" spans="1:1987" ht="30" customHeight="1" thickTop="1" thickBot="1" x14ac:dyDescent="0.4">
      <c r="A30" s="219" t="s">
        <v>387</v>
      </c>
      <c r="B30" s="1178">
        <v>312343.36522313271</v>
      </c>
      <c r="C30" s="1178">
        <v>68426.0627582577</v>
      </c>
      <c r="D30" s="1179">
        <v>380769.42798139038</v>
      </c>
      <c r="G30" s="1161"/>
    </row>
    <row r="31" spans="1:1987" s="102" customFormat="1" ht="15" thickTop="1" x14ac:dyDescent="0.25">
      <c r="A31" s="1154" t="s">
        <v>172</v>
      </c>
      <c r="B31" s="278"/>
      <c r="C31" s="278"/>
      <c r="D31" s="278"/>
      <c r="F31" s="1180"/>
      <c r="G31" s="1180"/>
      <c r="H31" s="1180"/>
      <c r="I31" s="1181"/>
      <c r="J31" s="1181"/>
      <c r="K31" s="1181"/>
    </row>
    <row r="32" spans="1:1987" x14ac:dyDescent="0.25">
      <c r="A32" s="52" t="s">
        <v>3279</v>
      </c>
      <c r="B32" s="1182"/>
      <c r="C32" s="1182"/>
      <c r="D32" s="1182"/>
      <c r="F32" s="1183"/>
      <c r="G32" s="1183"/>
      <c r="H32" s="1183"/>
    </row>
    <row r="33" spans="1:8" ht="15.75" x14ac:dyDescent="0.25">
      <c r="A33" s="52" t="s">
        <v>3280</v>
      </c>
      <c r="B33" s="1184"/>
      <c r="C33" s="1184"/>
      <c r="D33" s="1184"/>
      <c r="F33" s="1183"/>
      <c r="G33" s="1183"/>
      <c r="H33" s="1183"/>
    </row>
    <row r="34" spans="1:8" ht="15.75" x14ac:dyDescent="0.25">
      <c r="A34" s="331" t="s">
        <v>508</v>
      </c>
      <c r="B34" s="349"/>
      <c r="C34" s="349"/>
      <c r="D34" s="349"/>
      <c r="F34" s="1183"/>
      <c r="G34" s="1183"/>
      <c r="H34" s="1183"/>
    </row>
    <row r="35" spans="1:8" ht="15.75" x14ac:dyDescent="0.25">
      <c r="A35" s="328" t="s">
        <v>391</v>
      </c>
      <c r="B35" s="349"/>
      <c r="C35" s="349"/>
      <c r="D35" s="349"/>
      <c r="F35" s="1183"/>
      <c r="G35" s="1183"/>
      <c r="H35" s="1183"/>
    </row>
    <row r="36" spans="1:8" x14ac:dyDescent="0.25">
      <c r="A36" s="390" t="s">
        <v>134</v>
      </c>
      <c r="F36" s="1183"/>
      <c r="G36" s="1183"/>
      <c r="H36" s="1183"/>
    </row>
    <row r="37" spans="1:8" x14ac:dyDescent="0.25">
      <c r="F37" s="1183"/>
      <c r="G37" s="1183"/>
      <c r="H37" s="1183"/>
    </row>
    <row r="38" spans="1:8" x14ac:dyDescent="0.25">
      <c r="F38" s="1185"/>
      <c r="G38" s="1185"/>
      <c r="H38" s="1185"/>
    </row>
    <row r="39" spans="1:8" x14ac:dyDescent="0.25">
      <c r="D39" s="223"/>
      <c r="F39" s="1186"/>
      <c r="G39" s="1186"/>
      <c r="H39" s="1186"/>
    </row>
    <row r="40" spans="1:8" x14ac:dyDescent="0.25">
      <c r="D40" s="223"/>
    </row>
  </sheetData>
  <mergeCells count="1">
    <mergeCell ref="A1:G1"/>
  </mergeCells>
  <printOptions horizontalCentered="1"/>
  <pageMargins left="0.74803149606299213" right="0.74803149606299213" top="0.74803149606299213" bottom="0.74803149606299213" header="0.31496062992125984" footer="0"/>
  <pageSetup paperSize="9" scale="62"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XT38"/>
  <sheetViews>
    <sheetView showGridLines="0" zoomScale="70" zoomScaleNormal="70" zoomScaleSheetLayoutView="85" workbookViewId="0">
      <pane xSplit="1" ySplit="3" topLeftCell="B4" activePane="bottomRight" state="frozen"/>
      <selection activeCell="I35" sqref="I35"/>
      <selection pane="topRight" activeCell="I35" sqref="I35"/>
      <selection pane="bottomLeft" activeCell="I35" sqref="I35"/>
      <selection pane="bottomRight" sqref="A1:AE1"/>
    </sheetView>
  </sheetViews>
  <sheetFormatPr defaultColWidth="74.28515625" defaultRowHeight="20.25" x14ac:dyDescent="0.35"/>
  <cols>
    <col min="1" max="1" width="78.7109375" style="290" customWidth="1"/>
    <col min="2" max="2" width="21.7109375" style="290" hidden="1" customWidth="1"/>
    <col min="3" max="7" width="10.7109375" style="290" hidden="1" customWidth="1"/>
    <col min="8" max="19" width="11.5703125" style="290" hidden="1" customWidth="1"/>
    <col min="20" max="32" width="12.42578125" style="290" customWidth="1"/>
    <col min="33" max="16384" width="74.28515625" style="104"/>
  </cols>
  <sheetData>
    <row r="1" spans="1:32" ht="19.149999999999999" customHeight="1" x14ac:dyDescent="0.3">
      <c r="A1" s="3703" t="s">
        <v>3281</v>
      </c>
      <c r="B1" s="3703"/>
      <c r="C1" s="3703"/>
      <c r="D1" s="3703"/>
      <c r="E1" s="3703"/>
      <c r="F1" s="3703"/>
      <c r="G1" s="3703"/>
      <c r="H1" s="3703"/>
      <c r="I1" s="3703"/>
      <c r="J1" s="3703"/>
      <c r="K1" s="3703"/>
      <c r="L1" s="3703"/>
      <c r="M1" s="3703"/>
      <c r="N1" s="3703"/>
      <c r="O1" s="3703"/>
      <c r="P1" s="3703"/>
      <c r="Q1" s="3703"/>
      <c r="R1" s="3703"/>
      <c r="S1" s="3703"/>
      <c r="T1" s="3703"/>
      <c r="U1" s="3703"/>
      <c r="V1" s="3703"/>
      <c r="W1" s="3703"/>
      <c r="X1" s="3703"/>
      <c r="Y1" s="3703"/>
      <c r="Z1" s="3703"/>
      <c r="AA1" s="3703"/>
      <c r="AB1" s="3703"/>
      <c r="AC1" s="3703"/>
      <c r="AD1" s="3703"/>
      <c r="AE1" s="3703"/>
      <c r="AF1" s="104"/>
    </row>
    <row r="2" spans="1:32" ht="19.5" customHeight="1" thickBot="1" x14ac:dyDescent="0.4">
      <c r="A2" s="1187"/>
      <c r="F2" s="1188"/>
      <c r="G2" s="1188"/>
      <c r="H2" s="1188"/>
      <c r="I2" s="1189"/>
      <c r="J2" s="1189"/>
      <c r="K2" s="1189"/>
      <c r="L2" s="1189"/>
      <c r="M2" s="1189"/>
      <c r="N2" s="1189"/>
      <c r="O2" s="1190"/>
      <c r="P2" s="1190"/>
      <c r="Q2" s="1190"/>
      <c r="R2" s="1190"/>
      <c r="S2" s="1190"/>
      <c r="T2" s="1190"/>
      <c r="U2" s="1190"/>
      <c r="V2" s="1190"/>
      <c r="W2" s="1190"/>
      <c r="X2" s="1190"/>
      <c r="Y2" s="1190"/>
      <c r="Z2" s="1190"/>
      <c r="AA2" s="1190"/>
      <c r="AB2" s="1190"/>
      <c r="AC2" s="1190"/>
      <c r="AD2" s="1190"/>
      <c r="AE2" s="1190"/>
      <c r="AF2" s="1190" t="s">
        <v>198</v>
      </c>
    </row>
    <row r="3" spans="1:32" s="1193" customFormat="1" ht="30" customHeight="1" thickTop="1" thickBot="1" x14ac:dyDescent="0.35">
      <c r="A3" s="1191"/>
      <c r="B3" s="1192">
        <v>43435</v>
      </c>
      <c r="C3" s="1192">
        <v>43466</v>
      </c>
      <c r="D3" s="1192">
        <v>43497</v>
      </c>
      <c r="E3" s="1192">
        <v>43525</v>
      </c>
      <c r="F3" s="1192">
        <v>43556</v>
      </c>
      <c r="G3" s="1192">
        <v>43586</v>
      </c>
      <c r="H3" s="1192">
        <v>43617</v>
      </c>
      <c r="I3" s="1192">
        <v>43647</v>
      </c>
      <c r="J3" s="1192">
        <v>43678</v>
      </c>
      <c r="K3" s="1192">
        <v>43709</v>
      </c>
      <c r="L3" s="1192">
        <v>43739</v>
      </c>
      <c r="M3" s="1192">
        <v>43770</v>
      </c>
      <c r="N3" s="1192">
        <v>43800</v>
      </c>
      <c r="O3" s="1192">
        <v>43831</v>
      </c>
      <c r="P3" s="1192" t="s">
        <v>501</v>
      </c>
      <c r="Q3" s="1192" t="s">
        <v>502</v>
      </c>
      <c r="R3" s="1192" t="s">
        <v>412</v>
      </c>
      <c r="S3" s="1192" t="s">
        <v>503</v>
      </c>
      <c r="T3" s="1192">
        <v>43983</v>
      </c>
      <c r="U3" s="1192">
        <v>44013</v>
      </c>
      <c r="V3" s="1192">
        <v>44044</v>
      </c>
      <c r="W3" s="1192">
        <v>44075</v>
      </c>
      <c r="X3" s="1192">
        <v>44105</v>
      </c>
      <c r="Y3" s="1192">
        <v>44136</v>
      </c>
      <c r="Z3" s="1192">
        <v>44166</v>
      </c>
      <c r="AA3" s="1192">
        <v>44197</v>
      </c>
      <c r="AB3" s="1192">
        <v>44228</v>
      </c>
      <c r="AC3" s="1192">
        <v>44256</v>
      </c>
      <c r="AD3" s="1192">
        <v>44287</v>
      </c>
      <c r="AE3" s="1192">
        <v>44317</v>
      </c>
      <c r="AF3" s="1192">
        <v>44348</v>
      </c>
    </row>
    <row r="4" spans="1:32" ht="21" customHeight="1" thickTop="1" x14ac:dyDescent="0.5">
      <c r="A4" s="183" t="s">
        <v>338</v>
      </c>
      <c r="B4" s="1194">
        <v>158512.93310505582</v>
      </c>
      <c r="C4" s="184">
        <v>156176.79907123878</v>
      </c>
      <c r="D4" s="184">
        <v>155559.312910254</v>
      </c>
      <c r="E4" s="184">
        <v>157176.41799536388</v>
      </c>
      <c r="F4" s="184">
        <v>155777.31136773273</v>
      </c>
      <c r="G4" s="184">
        <v>156106.32268643624</v>
      </c>
      <c r="H4" s="184">
        <v>157047.73795297285</v>
      </c>
      <c r="I4" s="184">
        <v>156235.82846183961</v>
      </c>
      <c r="J4" s="184">
        <v>155665.62861001887</v>
      </c>
      <c r="K4" s="184">
        <v>155894.77198606762</v>
      </c>
      <c r="L4" s="184">
        <v>157710.24959835861</v>
      </c>
      <c r="M4" s="184">
        <v>160075.11680521537</v>
      </c>
      <c r="N4" s="184">
        <v>158829.19991170664</v>
      </c>
      <c r="O4" s="184">
        <v>158109.92677278758</v>
      </c>
      <c r="P4" s="184">
        <v>155027.02874682622</v>
      </c>
      <c r="Q4" s="184">
        <v>157070.60830749874</v>
      </c>
      <c r="R4" s="184">
        <v>158086.55734955327</v>
      </c>
      <c r="S4" s="184">
        <v>159423.89086724311</v>
      </c>
      <c r="T4" s="184">
        <v>162560.29688116137</v>
      </c>
      <c r="U4" s="184">
        <v>163940.37218923523</v>
      </c>
      <c r="V4" s="184">
        <v>165212.32898886659</v>
      </c>
      <c r="W4" s="184">
        <v>166323.64675499118</v>
      </c>
      <c r="X4" s="184">
        <v>167249.09921072589</v>
      </c>
      <c r="Y4" s="184">
        <v>172271.11478658416</v>
      </c>
      <c r="Z4" s="184">
        <v>173239.41630281007</v>
      </c>
      <c r="AA4" s="184">
        <v>174511.11845219147</v>
      </c>
      <c r="AB4" s="184">
        <v>177629.54095807864</v>
      </c>
      <c r="AC4" s="184">
        <v>175261.56960601482</v>
      </c>
      <c r="AD4" s="184">
        <v>175985.01713520562</v>
      </c>
      <c r="AE4" s="184">
        <v>176630.80346289391</v>
      </c>
      <c r="AF4" s="184">
        <v>176095.04113275107</v>
      </c>
    </row>
    <row r="5" spans="1:32" ht="21" customHeight="1" x14ac:dyDescent="0.5">
      <c r="A5" s="187" t="s">
        <v>276</v>
      </c>
      <c r="B5" s="1195">
        <v>13047.279731130708</v>
      </c>
      <c r="C5" s="188">
        <v>13028.920190513672</v>
      </c>
      <c r="D5" s="188">
        <v>13338.828392184547</v>
      </c>
      <c r="E5" s="188">
        <v>13956.499425182839</v>
      </c>
      <c r="F5" s="188">
        <v>13175.933777549408</v>
      </c>
      <c r="G5" s="188">
        <v>12504.634318057073</v>
      </c>
      <c r="H5" s="188">
        <v>14147.519214386912</v>
      </c>
      <c r="I5" s="188">
        <v>13790.894689327008</v>
      </c>
      <c r="J5" s="188">
        <v>11264.416213562248</v>
      </c>
      <c r="K5" s="188">
        <v>11474.904579235619</v>
      </c>
      <c r="L5" s="188">
        <v>11717.444321068455</v>
      </c>
      <c r="M5" s="188">
        <v>12486.49423869058</v>
      </c>
      <c r="N5" s="188">
        <v>13172.099934014248</v>
      </c>
      <c r="O5" s="188">
        <v>12845.577172030646</v>
      </c>
      <c r="P5" s="188">
        <v>12171.83072583594</v>
      </c>
      <c r="Q5" s="188">
        <v>11986.028141263392</v>
      </c>
      <c r="R5" s="188">
        <v>12684.021258498115</v>
      </c>
      <c r="S5" s="188">
        <v>12101.209585709285</v>
      </c>
      <c r="T5" s="188">
        <v>12161.374791376244</v>
      </c>
      <c r="U5" s="188">
        <v>12151.495247312354</v>
      </c>
      <c r="V5" s="188">
        <v>12551.822126785599</v>
      </c>
      <c r="W5" s="188">
        <v>13139.993910879541</v>
      </c>
      <c r="X5" s="188">
        <v>13846.5103259567</v>
      </c>
      <c r="Y5" s="188">
        <v>14082.199728696101</v>
      </c>
      <c r="Z5" s="188">
        <v>14612.724429194117</v>
      </c>
      <c r="AA5" s="188">
        <v>14482.280906990763</v>
      </c>
      <c r="AB5" s="188">
        <v>14370.380578511233</v>
      </c>
      <c r="AC5" s="188">
        <v>14183.329417887086</v>
      </c>
      <c r="AD5" s="188">
        <v>12692.128440030836</v>
      </c>
      <c r="AE5" s="188">
        <v>12717.669565106342</v>
      </c>
      <c r="AF5" s="188">
        <v>12510.222352197976</v>
      </c>
    </row>
    <row r="6" spans="1:32" s="106" customFormat="1" ht="21" customHeight="1" x14ac:dyDescent="0.5">
      <c r="A6" s="187" t="s">
        <v>282</v>
      </c>
      <c r="B6" s="1195">
        <v>70.808454440000006</v>
      </c>
      <c r="C6" s="188">
        <v>69.926823560000003</v>
      </c>
      <c r="D6" s="188">
        <v>68.461309540000002</v>
      </c>
      <c r="E6" s="188">
        <v>68.91741442</v>
      </c>
      <c r="F6" s="188">
        <v>68.01520902</v>
      </c>
      <c r="G6" s="188">
        <v>67.115435640000001</v>
      </c>
      <c r="H6" s="188">
        <v>87.216233729999999</v>
      </c>
      <c r="I6" s="188">
        <v>44.030005299999999</v>
      </c>
      <c r="J6" s="188">
        <v>44.829708489999994</v>
      </c>
      <c r="K6" s="188">
        <v>44.057800919999991</v>
      </c>
      <c r="L6" s="188">
        <v>44.204257439999999</v>
      </c>
      <c r="M6" s="188">
        <v>43.420813669999994</v>
      </c>
      <c r="N6" s="188">
        <v>43.79300117999999</v>
      </c>
      <c r="O6" s="188">
        <v>42.818415430000002</v>
      </c>
      <c r="P6" s="188">
        <v>42.53259414</v>
      </c>
      <c r="Q6" s="188">
        <v>48.742098580000004</v>
      </c>
      <c r="R6" s="188">
        <v>41.880742009999999</v>
      </c>
      <c r="S6" s="188">
        <v>41.950179869999999</v>
      </c>
      <c r="T6" s="188">
        <v>42.063946999999999</v>
      </c>
      <c r="U6" s="188">
        <v>42.064691390000007</v>
      </c>
      <c r="V6" s="188">
        <v>42.195459270000001</v>
      </c>
      <c r="W6" s="188">
        <v>2.1504089999999998</v>
      </c>
      <c r="X6" s="188">
        <v>2.1650823099999998</v>
      </c>
      <c r="Y6" s="188">
        <v>2.2737708599999999</v>
      </c>
      <c r="Z6" s="188">
        <v>2.2504919900000004</v>
      </c>
      <c r="AA6" s="188">
        <v>2.2670240000000002</v>
      </c>
      <c r="AB6" s="188">
        <v>2.2869962000000004</v>
      </c>
      <c r="AC6" s="188">
        <v>2.30494332</v>
      </c>
      <c r="AD6" s="188">
        <v>0.81232177000000005</v>
      </c>
      <c r="AE6" s="188">
        <v>1.3217221499999998</v>
      </c>
      <c r="AF6" s="188">
        <v>1.86552451</v>
      </c>
    </row>
    <row r="7" spans="1:32" s="106" customFormat="1" ht="21" customHeight="1" x14ac:dyDescent="0.5">
      <c r="A7" s="187" t="s">
        <v>283</v>
      </c>
      <c r="B7" s="1195">
        <v>23981.179039734518</v>
      </c>
      <c r="C7" s="188">
        <v>23999.711968565542</v>
      </c>
      <c r="D7" s="188">
        <v>23234.766982419998</v>
      </c>
      <c r="E7" s="188">
        <v>23998.443679835873</v>
      </c>
      <c r="F7" s="188">
        <v>23656.957258728187</v>
      </c>
      <c r="G7" s="188">
        <v>24119.601870569884</v>
      </c>
      <c r="H7" s="188">
        <v>22525.299079888478</v>
      </c>
      <c r="I7" s="188">
        <v>22642.784235894014</v>
      </c>
      <c r="J7" s="188">
        <v>21954.250832137957</v>
      </c>
      <c r="K7" s="188">
        <v>21495.855381336893</v>
      </c>
      <c r="L7" s="188">
        <v>21482.530849012772</v>
      </c>
      <c r="M7" s="188">
        <v>21585.882983112366</v>
      </c>
      <c r="N7" s="188">
        <v>21885.937184484981</v>
      </c>
      <c r="O7" s="188">
        <v>22098.505558605117</v>
      </c>
      <c r="P7" s="188">
        <v>21584.619325079337</v>
      </c>
      <c r="Q7" s="188">
        <v>21736.202814859342</v>
      </c>
      <c r="R7" s="188">
        <v>22012.323638679365</v>
      </c>
      <c r="S7" s="188">
        <v>22999.245957246225</v>
      </c>
      <c r="T7" s="188">
        <v>23162.726524735568</v>
      </c>
      <c r="U7" s="188">
        <v>22594.147387625617</v>
      </c>
      <c r="V7" s="188">
        <v>22270.012782734033</v>
      </c>
      <c r="W7" s="188">
        <v>21240.7382201648</v>
      </c>
      <c r="X7" s="188">
        <v>21370.426175727262</v>
      </c>
      <c r="Y7" s="188">
        <v>21445.367282544248</v>
      </c>
      <c r="Z7" s="188">
        <v>21326.911107629861</v>
      </c>
      <c r="AA7" s="188">
        <v>22187.646496585847</v>
      </c>
      <c r="AB7" s="188">
        <v>21418.493662607907</v>
      </c>
      <c r="AC7" s="188">
        <v>20646.994413098248</v>
      </c>
      <c r="AD7" s="188">
        <v>20734.429404388622</v>
      </c>
      <c r="AE7" s="188">
        <v>20596.008722094131</v>
      </c>
      <c r="AF7" s="188">
        <v>20636.569175158955</v>
      </c>
    </row>
    <row r="8" spans="1:32" s="106" customFormat="1" ht="21" customHeight="1" x14ac:dyDescent="0.5">
      <c r="A8" s="187" t="s">
        <v>306</v>
      </c>
      <c r="B8" s="1195">
        <v>4412.3720852048655</v>
      </c>
      <c r="C8" s="188">
        <v>4441.3158730599989</v>
      </c>
      <c r="D8" s="188">
        <v>4116.7991356000002</v>
      </c>
      <c r="E8" s="188">
        <v>4189.2393139254018</v>
      </c>
      <c r="F8" s="188">
        <v>4263.0469148194288</v>
      </c>
      <c r="G8" s="188">
        <v>4335.0999730688081</v>
      </c>
      <c r="H8" s="188">
        <v>4742.9754124999672</v>
      </c>
      <c r="I8" s="188">
        <v>4533.9441483499986</v>
      </c>
      <c r="J8" s="188">
        <v>4560.0265176800003</v>
      </c>
      <c r="K8" s="188">
        <v>4546.4298366699995</v>
      </c>
      <c r="L8" s="188">
        <v>4602.9665903600007</v>
      </c>
      <c r="M8" s="188">
        <v>4691.5038830453896</v>
      </c>
      <c r="N8" s="188">
        <v>4290.47817149</v>
      </c>
      <c r="O8" s="188">
        <v>4256.0865811900003</v>
      </c>
      <c r="P8" s="188">
        <v>4134.5035669399995</v>
      </c>
      <c r="Q8" s="188">
        <v>4245.4066414700001</v>
      </c>
      <c r="R8" s="188">
        <v>4231.4683437900003</v>
      </c>
      <c r="S8" s="188">
        <v>4294.0903105299994</v>
      </c>
      <c r="T8" s="188">
        <v>4291.3451237399995</v>
      </c>
      <c r="U8" s="188">
        <v>3436.8730822299999</v>
      </c>
      <c r="V8" s="188">
        <v>3544.2517874499999</v>
      </c>
      <c r="W8" s="188">
        <v>3483.6579102999995</v>
      </c>
      <c r="X8" s="188">
        <v>3510.1041370100002</v>
      </c>
      <c r="Y8" s="188">
        <v>3503.4701529399999</v>
      </c>
      <c r="Z8" s="188">
        <v>3346.7853945400007</v>
      </c>
      <c r="AA8" s="188">
        <v>3498.5202429299998</v>
      </c>
      <c r="AB8" s="188">
        <v>3528.2013638900003</v>
      </c>
      <c r="AC8" s="188">
        <v>3417.8375146000003</v>
      </c>
      <c r="AD8" s="188">
        <v>3859.26199576</v>
      </c>
      <c r="AE8" s="188">
        <v>3906.4620248699998</v>
      </c>
      <c r="AF8" s="188">
        <v>3815.4481699399994</v>
      </c>
    </row>
    <row r="9" spans="1:32" s="106" customFormat="1" ht="21" customHeight="1" x14ac:dyDescent="0.5">
      <c r="A9" s="187" t="s">
        <v>307</v>
      </c>
      <c r="B9" s="1195">
        <v>163.86700480000002</v>
      </c>
      <c r="C9" s="188">
        <v>162.10704654</v>
      </c>
      <c r="D9" s="188">
        <v>169.89965837</v>
      </c>
      <c r="E9" s="188">
        <v>160.14100066</v>
      </c>
      <c r="F9" s="188">
        <v>169.89227180999998</v>
      </c>
      <c r="G9" s="188">
        <v>167.28082714000001</v>
      </c>
      <c r="H9" s="188">
        <v>165.60684165999999</v>
      </c>
      <c r="I9" s="188">
        <v>163.08224885999999</v>
      </c>
      <c r="J9" s="188">
        <v>157.31331079999998</v>
      </c>
      <c r="K9" s="188">
        <v>156.98074539999999</v>
      </c>
      <c r="L9" s="188">
        <v>160.83398560000001</v>
      </c>
      <c r="M9" s="188">
        <v>153.04045567</v>
      </c>
      <c r="N9" s="188">
        <v>178.50163032</v>
      </c>
      <c r="O9" s="188">
        <v>169.30126107000001</v>
      </c>
      <c r="P9" s="188">
        <v>155.56229945000001</v>
      </c>
      <c r="Q9" s="188">
        <v>156.36168997000001</v>
      </c>
      <c r="R9" s="188">
        <v>145.32306366</v>
      </c>
      <c r="S9" s="188">
        <v>144.88703622</v>
      </c>
      <c r="T9" s="188">
        <v>137.93518655</v>
      </c>
      <c r="U9" s="188">
        <v>144.42753895000001</v>
      </c>
      <c r="V9" s="188">
        <v>144.07684077000002</v>
      </c>
      <c r="W9" s="188">
        <v>131.80990048000001</v>
      </c>
      <c r="X9" s="188">
        <v>133.71977916</v>
      </c>
      <c r="Y9" s="188">
        <v>136.63254471000002</v>
      </c>
      <c r="Z9" s="188">
        <v>140.81951545000001</v>
      </c>
      <c r="AA9" s="188">
        <v>143.46674062000002</v>
      </c>
      <c r="AB9" s="188">
        <v>135.0943795</v>
      </c>
      <c r="AC9" s="188">
        <v>134.63193837</v>
      </c>
      <c r="AD9" s="188">
        <v>115.89166911999999</v>
      </c>
      <c r="AE9" s="188">
        <v>117.26920045999998</v>
      </c>
      <c r="AF9" s="188">
        <v>110.74237250000002</v>
      </c>
    </row>
    <row r="10" spans="1:32" ht="21" customHeight="1" x14ac:dyDescent="0.5">
      <c r="A10" s="187" t="s">
        <v>308</v>
      </c>
      <c r="B10" s="1195">
        <v>20160.381574957319</v>
      </c>
      <c r="C10" s="188">
        <v>19710.980177258956</v>
      </c>
      <c r="D10" s="188">
        <v>19555.553487326873</v>
      </c>
      <c r="E10" s="188">
        <v>19829.107341328967</v>
      </c>
      <c r="F10" s="188">
        <v>19405.830580150825</v>
      </c>
      <c r="G10" s="188">
        <v>19549.930824703155</v>
      </c>
      <c r="H10" s="188">
        <v>18530.252900189818</v>
      </c>
      <c r="I10" s="188">
        <v>18600.977000758634</v>
      </c>
      <c r="J10" s="188">
        <v>18863.69621479441</v>
      </c>
      <c r="K10" s="188">
        <v>18902.199191428786</v>
      </c>
      <c r="L10" s="188">
        <v>19497.038842197759</v>
      </c>
      <c r="M10" s="188">
        <v>19636.133284621937</v>
      </c>
      <c r="N10" s="188">
        <v>19919.52115390863</v>
      </c>
      <c r="O10" s="188">
        <v>19822.761949744294</v>
      </c>
      <c r="P10" s="188">
        <v>19592.694517441021</v>
      </c>
      <c r="Q10" s="188">
        <v>19155.616632189493</v>
      </c>
      <c r="R10" s="188">
        <v>19369.580815703634</v>
      </c>
      <c r="S10" s="188">
        <v>19319.270492094925</v>
      </c>
      <c r="T10" s="188">
        <v>19798.496291407562</v>
      </c>
      <c r="U10" s="188">
        <v>19838.825496268899</v>
      </c>
      <c r="V10" s="188">
        <v>19915.59955949257</v>
      </c>
      <c r="W10" s="188">
        <v>20148.123561256318</v>
      </c>
      <c r="X10" s="188">
        <v>19748.943854913268</v>
      </c>
      <c r="Y10" s="188">
        <v>20209.653852472369</v>
      </c>
      <c r="Z10" s="188">
        <v>20068.589095498242</v>
      </c>
      <c r="AA10" s="188">
        <v>20258.576287284857</v>
      </c>
      <c r="AB10" s="188">
        <v>20740.379299445787</v>
      </c>
      <c r="AC10" s="188">
        <v>20788.518788180856</v>
      </c>
      <c r="AD10" s="188">
        <v>16812.451549526497</v>
      </c>
      <c r="AE10" s="188">
        <v>16818.379975067288</v>
      </c>
      <c r="AF10" s="188">
        <v>17249.544331875037</v>
      </c>
    </row>
    <row r="11" spans="1:32" ht="21" customHeight="1" x14ac:dyDescent="0.5">
      <c r="A11" s="187" t="s">
        <v>318</v>
      </c>
      <c r="B11" s="1195">
        <v>24696.943584104411</v>
      </c>
      <c r="C11" s="188">
        <v>24482.663036116712</v>
      </c>
      <c r="D11" s="188">
        <v>25202.084896078071</v>
      </c>
      <c r="E11" s="188">
        <v>25092.835939981163</v>
      </c>
      <c r="F11" s="188">
        <v>24530.886053230377</v>
      </c>
      <c r="G11" s="188">
        <v>24926.865502970086</v>
      </c>
      <c r="H11" s="188">
        <v>25728.193414111905</v>
      </c>
      <c r="I11" s="188">
        <v>25071.826491368221</v>
      </c>
      <c r="J11" s="188">
        <v>25616.925527024934</v>
      </c>
      <c r="K11" s="188">
        <v>26561.361469714338</v>
      </c>
      <c r="L11" s="188">
        <v>26602.45237020226</v>
      </c>
      <c r="M11" s="188">
        <v>27038.598485840859</v>
      </c>
      <c r="N11" s="188">
        <v>24256.976176717992</v>
      </c>
      <c r="O11" s="188">
        <v>24694.848161147322</v>
      </c>
      <c r="P11" s="188">
        <v>24147.678586824113</v>
      </c>
      <c r="Q11" s="188">
        <v>24111.024907990173</v>
      </c>
      <c r="R11" s="188">
        <v>23423.441832968216</v>
      </c>
      <c r="S11" s="188">
        <v>23764.674324854881</v>
      </c>
      <c r="T11" s="188">
        <v>24192.170942217046</v>
      </c>
      <c r="U11" s="188">
        <v>24128.365592832888</v>
      </c>
      <c r="V11" s="188">
        <v>23596.459194431762</v>
      </c>
      <c r="W11" s="188">
        <v>24431.768504288397</v>
      </c>
      <c r="X11" s="188">
        <v>23839.355005042496</v>
      </c>
      <c r="Y11" s="188">
        <v>24371.844420055597</v>
      </c>
      <c r="Z11" s="188">
        <v>23718.217639280083</v>
      </c>
      <c r="AA11" s="188">
        <v>24201.205175347804</v>
      </c>
      <c r="AB11" s="188">
        <v>23774.297309213631</v>
      </c>
      <c r="AC11" s="188">
        <v>24029.09207699513</v>
      </c>
      <c r="AD11" s="188">
        <v>24239.932360575494</v>
      </c>
      <c r="AE11" s="188">
        <v>23785.326990273184</v>
      </c>
      <c r="AF11" s="188">
        <v>23498.190297985977</v>
      </c>
    </row>
    <row r="12" spans="1:32" ht="21" customHeight="1" x14ac:dyDescent="0.5">
      <c r="A12" s="187" t="s">
        <v>322</v>
      </c>
      <c r="B12" s="1195">
        <v>3666.4427433965648</v>
      </c>
      <c r="C12" s="188">
        <v>3676.901831600781</v>
      </c>
      <c r="D12" s="188">
        <v>3648.3280808459285</v>
      </c>
      <c r="E12" s="188">
        <v>3768.1505510332645</v>
      </c>
      <c r="F12" s="188">
        <v>3774.2724302064835</v>
      </c>
      <c r="G12" s="188">
        <v>3725.6487341874395</v>
      </c>
      <c r="H12" s="188">
        <v>3753.8561423111018</v>
      </c>
      <c r="I12" s="188">
        <v>3786.4175798419701</v>
      </c>
      <c r="J12" s="188">
        <v>3695.6811222136262</v>
      </c>
      <c r="K12" s="188">
        <v>3909.5876638281488</v>
      </c>
      <c r="L12" s="188">
        <v>3990.2381741011081</v>
      </c>
      <c r="M12" s="188">
        <v>4130.4766639854124</v>
      </c>
      <c r="N12" s="188">
        <v>3850.7591331895574</v>
      </c>
      <c r="O12" s="188">
        <v>3786.1801009899277</v>
      </c>
      <c r="P12" s="188">
        <v>3703.7094429521485</v>
      </c>
      <c r="Q12" s="188">
        <v>4071.4741167698603</v>
      </c>
      <c r="R12" s="188">
        <v>4046.062154211158</v>
      </c>
      <c r="S12" s="188">
        <v>4053.6602924487124</v>
      </c>
      <c r="T12" s="188">
        <v>4670.8504502242849</v>
      </c>
      <c r="U12" s="188">
        <v>4668.7991359649504</v>
      </c>
      <c r="V12" s="188">
        <v>4822.3742884810335</v>
      </c>
      <c r="W12" s="188">
        <v>5009.5711994347103</v>
      </c>
      <c r="X12" s="188">
        <v>5048.2620714017439</v>
      </c>
      <c r="Y12" s="188">
        <v>4971.3235806414532</v>
      </c>
      <c r="Z12" s="188">
        <v>4989.3818303649441</v>
      </c>
      <c r="AA12" s="188">
        <v>5050.8464218871568</v>
      </c>
      <c r="AB12" s="188">
        <v>5061.3071111099025</v>
      </c>
      <c r="AC12" s="188">
        <v>6204.7360015554823</v>
      </c>
      <c r="AD12" s="188">
        <v>6374.6342448600089</v>
      </c>
      <c r="AE12" s="188">
        <v>6463.583834660616</v>
      </c>
      <c r="AF12" s="188">
        <v>6246.5768161268616</v>
      </c>
    </row>
    <row r="13" spans="1:32" ht="21" customHeight="1" x14ac:dyDescent="0.5">
      <c r="A13" s="187" t="s">
        <v>328</v>
      </c>
      <c r="B13" s="1195">
        <v>38793.068745323028</v>
      </c>
      <c r="C13" s="188">
        <v>37823.616962911838</v>
      </c>
      <c r="D13" s="188">
        <v>37740.876971017547</v>
      </c>
      <c r="E13" s="188">
        <v>37614.786291354067</v>
      </c>
      <c r="F13" s="188">
        <v>37632.484003006401</v>
      </c>
      <c r="G13" s="188">
        <v>38185.517088296649</v>
      </c>
      <c r="H13" s="188">
        <v>37909.204121887706</v>
      </c>
      <c r="I13" s="188">
        <v>38128.653694148212</v>
      </c>
      <c r="J13" s="188">
        <v>38783.180253459017</v>
      </c>
      <c r="K13" s="188">
        <v>38264.199586790033</v>
      </c>
      <c r="L13" s="188">
        <v>39002.284588300172</v>
      </c>
      <c r="M13" s="188">
        <v>39119.653938196549</v>
      </c>
      <c r="N13" s="188">
        <v>39558.412981099034</v>
      </c>
      <c r="O13" s="188">
        <v>38962.103636535467</v>
      </c>
      <c r="P13" s="188">
        <v>38206.891099927219</v>
      </c>
      <c r="Q13" s="188">
        <v>39365.87904787228</v>
      </c>
      <c r="R13" s="188">
        <v>40053.72744267113</v>
      </c>
      <c r="S13" s="188">
        <v>41008.129499379698</v>
      </c>
      <c r="T13" s="188">
        <v>41989.609506348548</v>
      </c>
      <c r="U13" s="188">
        <v>44290.760990755218</v>
      </c>
      <c r="V13" s="188">
        <v>45431.405250047457</v>
      </c>
      <c r="W13" s="188">
        <v>46216.641469166396</v>
      </c>
      <c r="X13" s="188">
        <v>46769.589970631627</v>
      </c>
      <c r="Y13" s="188">
        <v>50286.200646568934</v>
      </c>
      <c r="Z13" s="188">
        <v>51363.007846405933</v>
      </c>
      <c r="AA13" s="188">
        <v>51468.205443348714</v>
      </c>
      <c r="AB13" s="188">
        <v>52380.71782859767</v>
      </c>
      <c r="AC13" s="188">
        <v>52355.457472521586</v>
      </c>
      <c r="AD13" s="188">
        <v>55624.074385616892</v>
      </c>
      <c r="AE13" s="188">
        <v>57178.699792004838</v>
      </c>
      <c r="AF13" s="188">
        <v>56520.142495784312</v>
      </c>
    </row>
    <row r="14" spans="1:32" ht="21" customHeight="1" x14ac:dyDescent="0.5">
      <c r="A14" s="187" t="s">
        <v>339</v>
      </c>
      <c r="B14" s="1195">
        <v>3140.4264033495288</v>
      </c>
      <c r="C14" s="188">
        <v>3080.5680656875534</v>
      </c>
      <c r="D14" s="188">
        <v>2999.227229262814</v>
      </c>
      <c r="E14" s="188">
        <v>3005.0305717166102</v>
      </c>
      <c r="F14" s="188">
        <v>3684.9943208361005</v>
      </c>
      <c r="G14" s="188">
        <v>3602.88678693572</v>
      </c>
      <c r="H14" s="188">
        <v>3114.7079290203565</v>
      </c>
      <c r="I14" s="188">
        <v>3285.3254744111568</v>
      </c>
      <c r="J14" s="188">
        <v>2974.1895169305262</v>
      </c>
      <c r="K14" s="188">
        <v>3116.2749786114782</v>
      </c>
      <c r="L14" s="188">
        <v>3117.2836090052378</v>
      </c>
      <c r="M14" s="188">
        <v>3351.1480743317361</v>
      </c>
      <c r="N14" s="188">
        <v>3563.9067462752496</v>
      </c>
      <c r="O14" s="188">
        <v>3363.5030307959196</v>
      </c>
      <c r="P14" s="188">
        <v>3217.0380462755438</v>
      </c>
      <c r="Q14" s="188">
        <v>3799.6146829818858</v>
      </c>
      <c r="R14" s="188">
        <v>3345.0256315119213</v>
      </c>
      <c r="S14" s="188">
        <v>2823.7935341970051</v>
      </c>
      <c r="T14" s="188">
        <v>2779.2811727938433</v>
      </c>
      <c r="U14" s="188">
        <v>2802.8596124799456</v>
      </c>
      <c r="V14" s="188">
        <v>3006.6108335885488</v>
      </c>
      <c r="W14" s="188">
        <v>2428.1677571144655</v>
      </c>
      <c r="X14" s="188">
        <v>2491.4769490418034</v>
      </c>
      <c r="Y14" s="188">
        <v>2522.6092305210218</v>
      </c>
      <c r="Z14" s="188">
        <v>2505.9451144462919</v>
      </c>
      <c r="AA14" s="188">
        <v>2431.3427330706659</v>
      </c>
      <c r="AB14" s="188">
        <v>2438.8398179158921</v>
      </c>
      <c r="AC14" s="188">
        <v>2461.9642554068696</v>
      </c>
      <c r="AD14" s="188">
        <v>2421.9424988419605</v>
      </c>
      <c r="AE14" s="188">
        <v>2311.1927217399748</v>
      </c>
      <c r="AF14" s="188">
        <v>2247.9602816119418</v>
      </c>
    </row>
    <row r="15" spans="1:32" ht="21" customHeight="1" x14ac:dyDescent="0.5">
      <c r="A15" s="187" t="s">
        <v>346</v>
      </c>
      <c r="B15" s="1195">
        <v>13127.383936099144</v>
      </c>
      <c r="C15" s="188">
        <v>12991.804279606024</v>
      </c>
      <c r="D15" s="188">
        <v>13569.035340952969</v>
      </c>
      <c r="E15" s="188">
        <v>13785.990548182579</v>
      </c>
      <c r="F15" s="188">
        <v>13468.385201582174</v>
      </c>
      <c r="G15" s="188">
        <v>13091.580289108475</v>
      </c>
      <c r="H15" s="188">
        <v>14621.999283390509</v>
      </c>
      <c r="I15" s="188">
        <v>14513.344936868307</v>
      </c>
      <c r="J15" s="188">
        <v>15720.222509688003</v>
      </c>
      <c r="K15" s="188">
        <v>15905.338415821247</v>
      </c>
      <c r="L15" s="188">
        <v>16005.751516372969</v>
      </c>
      <c r="M15" s="188">
        <v>16258.659735259378</v>
      </c>
      <c r="N15" s="188">
        <v>16348.570251926461</v>
      </c>
      <c r="O15" s="188">
        <v>16385.194551454471</v>
      </c>
      <c r="P15" s="188">
        <v>16490.225167801473</v>
      </c>
      <c r="Q15" s="188">
        <v>16685.05557113497</v>
      </c>
      <c r="R15" s="188">
        <v>16892.655545196056</v>
      </c>
      <c r="S15" s="188">
        <v>17013.007153586168</v>
      </c>
      <c r="T15" s="188">
        <v>17015.341669725811</v>
      </c>
      <c r="U15" s="188">
        <v>17586.50762556056</v>
      </c>
      <c r="V15" s="188">
        <v>17697.378261714981</v>
      </c>
      <c r="W15" s="188">
        <v>17899.450809767837</v>
      </c>
      <c r="X15" s="188">
        <v>18151.558179249358</v>
      </c>
      <c r="Y15" s="188">
        <v>18290.127968940131</v>
      </c>
      <c r="Z15" s="188">
        <v>18589.356929104495</v>
      </c>
      <c r="AA15" s="188">
        <v>18495.313654405767</v>
      </c>
      <c r="AB15" s="188">
        <v>19136.577002980335</v>
      </c>
      <c r="AC15" s="188">
        <v>18946.303219627967</v>
      </c>
      <c r="AD15" s="188">
        <v>22818.886856346544</v>
      </c>
      <c r="AE15" s="188">
        <v>22835.172744657619</v>
      </c>
      <c r="AF15" s="188">
        <v>23072.069799933743</v>
      </c>
    </row>
    <row r="16" spans="1:32" ht="21" customHeight="1" x14ac:dyDescent="0.5">
      <c r="A16" s="187" t="s">
        <v>347</v>
      </c>
      <c r="B16" s="1195">
        <v>3865.8759467982077</v>
      </c>
      <c r="C16" s="188">
        <v>3504.3392265755829</v>
      </c>
      <c r="D16" s="188">
        <v>2943.6248510359837</v>
      </c>
      <c r="E16" s="188">
        <v>2772.2140663298223</v>
      </c>
      <c r="F16" s="188">
        <v>2438.4379458740232</v>
      </c>
      <c r="G16" s="188">
        <v>2533.0044296582782</v>
      </c>
      <c r="H16" s="188">
        <v>2407.3024045014672</v>
      </c>
      <c r="I16" s="188">
        <v>2303.7432689323841</v>
      </c>
      <c r="J16" s="188">
        <v>2615.5975871605769</v>
      </c>
      <c r="K16" s="188">
        <v>2104.5066612818482</v>
      </c>
      <c r="L16" s="188">
        <v>2158.1225679349582</v>
      </c>
      <c r="M16" s="188">
        <v>2233.8221990971033</v>
      </c>
      <c r="N16" s="188">
        <v>2363.7071344280025</v>
      </c>
      <c r="O16" s="188">
        <v>2352.2697033803402</v>
      </c>
      <c r="P16" s="188">
        <v>2377.3666820810331</v>
      </c>
      <c r="Q16" s="188">
        <v>2388.3464684831679</v>
      </c>
      <c r="R16" s="188">
        <v>2465.0043601050211</v>
      </c>
      <c r="S16" s="188">
        <v>2520.5914768099892</v>
      </c>
      <c r="T16" s="188">
        <v>2824.8907066800007</v>
      </c>
      <c r="U16" s="188">
        <v>2823.8395812900017</v>
      </c>
      <c r="V16" s="188">
        <v>2714.93204393</v>
      </c>
      <c r="W16" s="188">
        <v>2687.2154452607206</v>
      </c>
      <c r="X16" s="188">
        <v>2833.6108237934754</v>
      </c>
      <c r="Y16" s="188">
        <v>2853.879750546485</v>
      </c>
      <c r="Z16" s="188">
        <v>2888.4273919256243</v>
      </c>
      <c r="AA16" s="188">
        <v>2745.2225502404381</v>
      </c>
      <c r="AB16" s="188">
        <v>2689.9362635698321</v>
      </c>
      <c r="AC16" s="188">
        <v>2813.8707821065632</v>
      </c>
      <c r="AD16" s="188">
        <v>2238.9642793976955</v>
      </c>
      <c r="AE16" s="188">
        <v>2190.0060049900012</v>
      </c>
      <c r="AF16" s="188">
        <v>2243.9999926776891</v>
      </c>
    </row>
    <row r="17" spans="1:1996" ht="21" customHeight="1" x14ac:dyDescent="0.5">
      <c r="A17" s="187" t="s">
        <v>354</v>
      </c>
      <c r="B17" s="1195">
        <v>5345.1406620680373</v>
      </c>
      <c r="C17" s="188">
        <v>5180.6438260015766</v>
      </c>
      <c r="D17" s="188">
        <v>4962.1039881697616</v>
      </c>
      <c r="E17" s="188">
        <v>5346.3164689704254</v>
      </c>
      <c r="F17" s="188">
        <v>5276.8847124039112</v>
      </c>
      <c r="G17" s="188">
        <v>5332.0341754106757</v>
      </c>
      <c r="H17" s="188">
        <v>5371.7180124566876</v>
      </c>
      <c r="I17" s="188">
        <v>5385.177360450276</v>
      </c>
      <c r="J17" s="188">
        <v>5433.4735978667541</v>
      </c>
      <c r="K17" s="188">
        <v>5494.8014554804704</v>
      </c>
      <c r="L17" s="188">
        <v>5389.2861368256699</v>
      </c>
      <c r="M17" s="188">
        <v>5319.5233582753817</v>
      </c>
      <c r="N17" s="188">
        <v>5344.0352610851278</v>
      </c>
      <c r="O17" s="188">
        <v>5329.0747884957927</v>
      </c>
      <c r="P17" s="188">
        <v>5263.3414191992179</v>
      </c>
      <c r="Q17" s="188">
        <v>5243.4404164957086</v>
      </c>
      <c r="R17" s="188">
        <v>5265.9161645164168</v>
      </c>
      <c r="S17" s="188">
        <v>5263.5804795031008</v>
      </c>
      <c r="T17" s="188">
        <v>5467.9589854213082</v>
      </c>
      <c r="U17" s="188">
        <v>5419.3000601852218</v>
      </c>
      <c r="V17" s="188">
        <v>5508.1904584803324</v>
      </c>
      <c r="W17" s="188">
        <v>5490.1066920074445</v>
      </c>
      <c r="X17" s="188">
        <v>5421.2528602152188</v>
      </c>
      <c r="Y17" s="188">
        <v>5491.8141137923121</v>
      </c>
      <c r="Z17" s="188">
        <v>5543.5530512928481</v>
      </c>
      <c r="AA17" s="188">
        <v>5415.2438377560984</v>
      </c>
      <c r="AB17" s="188">
        <v>7694.3460582819571</v>
      </c>
      <c r="AC17" s="188">
        <v>4967.485097781373</v>
      </c>
      <c r="AD17" s="188">
        <v>3226.2821066600955</v>
      </c>
      <c r="AE17" s="188">
        <v>2911.1625429782798</v>
      </c>
      <c r="AF17" s="188">
        <v>3026.9480302622978</v>
      </c>
    </row>
    <row r="18" spans="1:1996" ht="21" customHeight="1" x14ac:dyDescent="0.5">
      <c r="A18" s="187" t="s">
        <v>361</v>
      </c>
      <c r="B18" s="1195">
        <v>1290.4854359800001</v>
      </c>
      <c r="C18" s="188">
        <v>1268.90802143</v>
      </c>
      <c r="D18" s="188">
        <v>1263.1597730299998</v>
      </c>
      <c r="E18" s="188">
        <v>1261.4834246599999</v>
      </c>
      <c r="F18" s="188">
        <v>1227.9088496200002</v>
      </c>
      <c r="G18" s="188">
        <v>1233.62915985</v>
      </c>
      <c r="H18" s="188">
        <v>1244.4846437200001</v>
      </c>
      <c r="I18" s="188">
        <v>1250.1892033499998</v>
      </c>
      <c r="J18" s="188">
        <v>1238.6102782799999</v>
      </c>
      <c r="K18" s="188">
        <v>1226.4598321600001</v>
      </c>
      <c r="L18" s="188">
        <v>1235.8163833399999</v>
      </c>
      <c r="M18" s="188">
        <v>1225.43537932</v>
      </c>
      <c r="N18" s="188">
        <v>1238.1215378000002</v>
      </c>
      <c r="O18" s="188">
        <v>1214.0844152</v>
      </c>
      <c r="P18" s="188">
        <v>1207.6553920700001</v>
      </c>
      <c r="Q18" s="188">
        <v>1225.2884594</v>
      </c>
      <c r="R18" s="188">
        <v>1218.09267097</v>
      </c>
      <c r="S18" s="188">
        <v>1215.3630386300001</v>
      </c>
      <c r="T18" s="188">
        <v>1153.5039513500003</v>
      </c>
      <c r="U18" s="188">
        <v>1150.9544978600002</v>
      </c>
      <c r="V18" s="188">
        <v>1152.64671062</v>
      </c>
      <c r="W18" s="188">
        <v>1160.0547185699997</v>
      </c>
      <c r="X18" s="188">
        <v>1152.00898549</v>
      </c>
      <c r="Y18" s="188">
        <v>1148.8036828499999</v>
      </c>
      <c r="Z18" s="188">
        <v>1156.2279051200001</v>
      </c>
      <c r="AA18" s="188">
        <v>1135.6650252300001</v>
      </c>
      <c r="AB18" s="188">
        <v>1166.2516216600002</v>
      </c>
      <c r="AC18" s="188">
        <v>1171.5612767400003</v>
      </c>
      <c r="AD18" s="188">
        <v>1156.61427344</v>
      </c>
      <c r="AE18" s="188">
        <v>1158.9001004000002</v>
      </c>
      <c r="AF18" s="188">
        <v>1124.4392677799999</v>
      </c>
    </row>
    <row r="19" spans="1:1996" ht="21" customHeight="1" x14ac:dyDescent="0.5">
      <c r="A19" s="187" t="s">
        <v>367</v>
      </c>
      <c r="B19" s="1195">
        <v>373.97860450999997</v>
      </c>
      <c r="C19" s="188">
        <v>359.70128411999997</v>
      </c>
      <c r="D19" s="188">
        <v>316.94078281999998</v>
      </c>
      <c r="E19" s="188">
        <v>368.61629934000001</v>
      </c>
      <c r="F19" s="188">
        <v>789.77661182000008</v>
      </c>
      <c r="G19" s="188">
        <v>787.37800371000026</v>
      </c>
      <c r="H19" s="188">
        <v>783.55623718999993</v>
      </c>
      <c r="I19" s="188">
        <v>801.79535832999989</v>
      </c>
      <c r="J19" s="188">
        <v>816.19401872000003</v>
      </c>
      <c r="K19" s="188">
        <v>796.0742843800009</v>
      </c>
      <c r="L19" s="188">
        <v>817.97393993999992</v>
      </c>
      <c r="M19" s="188">
        <v>872.26185308999993</v>
      </c>
      <c r="N19" s="188">
        <v>881.59514966000006</v>
      </c>
      <c r="O19" s="188">
        <v>875.88413889000014</v>
      </c>
      <c r="P19" s="188">
        <v>890.833420859998</v>
      </c>
      <c r="Q19" s="188">
        <v>922.92961756999796</v>
      </c>
      <c r="R19" s="188">
        <v>933.13512762999994</v>
      </c>
      <c r="S19" s="188">
        <v>944.93592824999996</v>
      </c>
      <c r="T19" s="188">
        <v>956.89162275000001</v>
      </c>
      <c r="U19" s="188">
        <v>978.12339259999999</v>
      </c>
      <c r="V19" s="188">
        <v>989.02396522000004</v>
      </c>
      <c r="W19" s="188">
        <v>1000.3794795800001</v>
      </c>
      <c r="X19" s="188">
        <v>1078.4554498800001</v>
      </c>
      <c r="Y19" s="188">
        <v>1129.4161058700001</v>
      </c>
      <c r="Z19" s="188">
        <v>1184.39284701</v>
      </c>
      <c r="AA19" s="188">
        <v>1181.5824153500002</v>
      </c>
      <c r="AB19" s="188">
        <v>1284.5709680800001</v>
      </c>
      <c r="AC19" s="188">
        <v>1296.64715318</v>
      </c>
      <c r="AD19" s="188">
        <v>1325.17413865</v>
      </c>
      <c r="AE19" s="188">
        <v>1355.8399782199999</v>
      </c>
      <c r="AF19" s="188">
        <v>1670.0427648299997</v>
      </c>
    </row>
    <row r="20" spans="1:1996" ht="21" customHeight="1" x14ac:dyDescent="0.5">
      <c r="A20" s="187" t="s">
        <v>370</v>
      </c>
      <c r="B20" s="1195">
        <v>879.57088748000001</v>
      </c>
      <c r="C20" s="188">
        <v>915.14975474999994</v>
      </c>
      <c r="D20" s="188">
        <v>945.43853512999999</v>
      </c>
      <c r="E20" s="188">
        <v>974.23092121000013</v>
      </c>
      <c r="F20" s="188">
        <v>966.25942373999987</v>
      </c>
      <c r="G20" s="188">
        <v>956.59406142999796</v>
      </c>
      <c r="H20" s="188">
        <v>964.06911796999998</v>
      </c>
      <c r="I20" s="188">
        <v>912.28557806999788</v>
      </c>
      <c r="J20" s="188">
        <v>888.45207379999806</v>
      </c>
      <c r="K20" s="188">
        <v>912.33488927999792</v>
      </c>
      <c r="L20" s="188">
        <v>906.71039102999998</v>
      </c>
      <c r="M20" s="188">
        <v>930.69173732999684</v>
      </c>
      <c r="N20" s="188">
        <v>958.90235326000015</v>
      </c>
      <c r="O20" s="188">
        <v>954.80682260000003</v>
      </c>
      <c r="P20" s="188">
        <v>946.54649426000208</v>
      </c>
      <c r="Q20" s="188">
        <v>978.81668958999808</v>
      </c>
      <c r="R20" s="188">
        <v>996.05655341000011</v>
      </c>
      <c r="S20" s="188">
        <v>975.57507658999998</v>
      </c>
      <c r="T20" s="188">
        <v>1008.1683998399999</v>
      </c>
      <c r="U20" s="188">
        <v>978.66748622</v>
      </c>
      <c r="V20" s="188">
        <v>966.99163051000005</v>
      </c>
      <c r="W20" s="188">
        <v>969.29953696999996</v>
      </c>
      <c r="X20" s="188">
        <v>973.09276731999989</v>
      </c>
      <c r="Y20" s="188">
        <v>976.45242851000012</v>
      </c>
      <c r="Z20" s="188">
        <v>955.16793258999996</v>
      </c>
      <c r="AA20" s="188">
        <v>949.37728156000003</v>
      </c>
      <c r="AB20" s="188">
        <v>936.18406829999992</v>
      </c>
      <c r="AC20" s="188">
        <v>949.83730279999907</v>
      </c>
      <c r="AD20" s="188">
        <v>1275.07187355</v>
      </c>
      <c r="AE20" s="188">
        <v>1468.9700011999998</v>
      </c>
      <c r="AF20" s="188">
        <v>1482.0352367500009</v>
      </c>
    </row>
    <row r="21" spans="1:1996" ht="21" customHeight="1" thickBot="1" x14ac:dyDescent="0.55000000000000004">
      <c r="A21" s="187" t="s">
        <v>375</v>
      </c>
      <c r="B21" s="1195">
        <v>1497.7282656795041</v>
      </c>
      <c r="C21" s="188">
        <v>1479.5407029405219</v>
      </c>
      <c r="D21" s="188">
        <v>1484.1834964694997</v>
      </c>
      <c r="E21" s="188">
        <v>984.41473723286572</v>
      </c>
      <c r="F21" s="188">
        <v>1247.345803335425</v>
      </c>
      <c r="G21" s="188">
        <v>987.5212056999718</v>
      </c>
      <c r="H21" s="188">
        <v>949.77696405792221</v>
      </c>
      <c r="I21" s="188">
        <v>1021.3571875794481</v>
      </c>
      <c r="J21" s="188">
        <v>1038.5693274107809</v>
      </c>
      <c r="K21" s="188">
        <v>983.4052137287357</v>
      </c>
      <c r="L21" s="188">
        <v>979.31107562728982</v>
      </c>
      <c r="M21" s="188">
        <v>998.36972167865326</v>
      </c>
      <c r="N21" s="188">
        <v>973.88211086737692</v>
      </c>
      <c r="O21" s="188">
        <v>956.92648522832428</v>
      </c>
      <c r="P21" s="188">
        <v>893.99996568920778</v>
      </c>
      <c r="Q21" s="188">
        <v>950.38031087845684</v>
      </c>
      <c r="R21" s="188">
        <v>962.84200402226156</v>
      </c>
      <c r="S21" s="188">
        <v>939.92650132313781</v>
      </c>
      <c r="T21" s="188">
        <v>907.68760900117525</v>
      </c>
      <c r="U21" s="188">
        <v>904.36076970958129</v>
      </c>
      <c r="V21" s="188">
        <v>858.35779534028177</v>
      </c>
      <c r="W21" s="188">
        <v>884.51723075054815</v>
      </c>
      <c r="X21" s="188">
        <v>878.56679358291217</v>
      </c>
      <c r="Y21" s="188">
        <v>849.04552606548964</v>
      </c>
      <c r="Z21" s="188">
        <v>847.6577809676279</v>
      </c>
      <c r="AA21" s="188">
        <v>864.35621558337061</v>
      </c>
      <c r="AB21" s="188">
        <v>871.67662821450472</v>
      </c>
      <c r="AC21" s="188">
        <v>890.9979518436528</v>
      </c>
      <c r="AD21" s="188">
        <v>1068.4647366710021</v>
      </c>
      <c r="AE21" s="188">
        <v>814.83754202160685</v>
      </c>
      <c r="AF21" s="188">
        <v>638.24422282630781</v>
      </c>
    </row>
    <row r="22" spans="1:1996" ht="21" customHeight="1" x14ac:dyDescent="0.5">
      <c r="A22" s="205" t="s">
        <v>379</v>
      </c>
      <c r="B22" s="1196">
        <v>155926.23077301361</v>
      </c>
      <c r="C22" s="1197">
        <v>156636.58273598348</v>
      </c>
      <c r="D22" s="1197">
        <v>157603.00354903727</v>
      </c>
      <c r="E22" s="1197">
        <v>159496.19590854755</v>
      </c>
      <c r="F22" s="1197">
        <v>160427.68006909723</v>
      </c>
      <c r="G22" s="1197">
        <v>162106.60159715137</v>
      </c>
      <c r="H22" s="1197">
        <v>163898.31191347758</v>
      </c>
      <c r="I22" s="1197">
        <v>164229.45426326233</v>
      </c>
      <c r="J22" s="1197">
        <v>165085.10395869246</v>
      </c>
      <c r="K22" s="1197">
        <v>166351.86093698503</v>
      </c>
      <c r="L22" s="1197">
        <v>167291.11639220736</v>
      </c>
      <c r="M22" s="1197">
        <v>169250.35390390956</v>
      </c>
      <c r="N22" s="1197">
        <v>170013.30210634481</v>
      </c>
      <c r="O22" s="1197">
        <v>170685.74272394396</v>
      </c>
      <c r="P22" s="1197">
        <v>159971.56098375464</v>
      </c>
      <c r="Q22" s="1197">
        <v>159590.58010702085</v>
      </c>
      <c r="R22" s="1197">
        <v>158499.76407066605</v>
      </c>
      <c r="S22" s="1197">
        <v>158247.89324540785</v>
      </c>
      <c r="T22" s="1197">
        <v>158477.34727749473</v>
      </c>
      <c r="U22" s="1197">
        <v>159624.45316287575</v>
      </c>
      <c r="V22" s="1197">
        <v>160786.18870321382</v>
      </c>
      <c r="W22" s="1197">
        <v>162209.60294395886</v>
      </c>
      <c r="X22" s="1197">
        <v>162032.08645991253</v>
      </c>
      <c r="Y22" s="1197">
        <v>162958.914359129</v>
      </c>
      <c r="Z22" s="1197">
        <v>163137.6599820886</v>
      </c>
      <c r="AA22" s="1197">
        <v>164671.92403318326</v>
      </c>
      <c r="AB22" s="1197">
        <v>165762.82386047195</v>
      </c>
      <c r="AC22" s="1197">
        <v>164950.93768855697</v>
      </c>
      <c r="AD22" s="1197">
        <v>164984.69680166343</v>
      </c>
      <c r="AE22" s="1197">
        <v>166128.47265568361</v>
      </c>
      <c r="AF22" s="1197">
        <v>167061.87849224848</v>
      </c>
    </row>
    <row r="23" spans="1:1996" ht="21" customHeight="1" x14ac:dyDescent="0.5">
      <c r="A23" s="191" t="s">
        <v>380</v>
      </c>
      <c r="B23" s="1198">
        <v>81353.444502371422</v>
      </c>
      <c r="C23" s="1199">
        <v>81839.095374689859</v>
      </c>
      <c r="D23" s="1199">
        <v>82230.357263354279</v>
      </c>
      <c r="E23" s="1199">
        <v>82773.403085560451</v>
      </c>
      <c r="F23" s="1199">
        <v>83248.70797232342</v>
      </c>
      <c r="G23" s="1199">
        <v>84360.869048396416</v>
      </c>
      <c r="H23" s="1199">
        <v>85005.841883330126</v>
      </c>
      <c r="I23" s="1199">
        <v>85536.040035802143</v>
      </c>
      <c r="J23" s="1199">
        <v>86162.201824887277</v>
      </c>
      <c r="K23" s="1199">
        <v>86650.096239927778</v>
      </c>
      <c r="L23" s="1199">
        <v>87428.348025395186</v>
      </c>
      <c r="M23" s="1199">
        <v>87997.245102219706</v>
      </c>
      <c r="N23" s="1199">
        <v>88614.486347600017</v>
      </c>
      <c r="O23" s="1199">
        <v>89095.195738280832</v>
      </c>
      <c r="P23" s="1199">
        <v>89912.923234457077</v>
      </c>
      <c r="Q23" s="1199">
        <v>89750.102045114501</v>
      </c>
      <c r="R23" s="1199">
        <v>89461.481202430936</v>
      </c>
      <c r="S23" s="1199">
        <v>89496.541329294254</v>
      </c>
      <c r="T23" s="1199">
        <v>89966.251823455852</v>
      </c>
      <c r="U23" s="1199">
        <v>90687.676456187575</v>
      </c>
      <c r="V23" s="1199">
        <v>91099.77611157803</v>
      </c>
      <c r="W23" s="1199">
        <v>91892.224940893808</v>
      </c>
      <c r="X23" s="1199">
        <v>91511.442607481469</v>
      </c>
      <c r="Y23" s="1199">
        <v>92302.019511485705</v>
      </c>
      <c r="Z23" s="1199">
        <v>92757.78673268696</v>
      </c>
      <c r="AA23" s="1199">
        <v>93733.218411824768</v>
      </c>
      <c r="AB23" s="1199">
        <v>94385.811180941819</v>
      </c>
      <c r="AC23" s="1199">
        <v>94444.995747950306</v>
      </c>
      <c r="AD23" s="1199">
        <v>94582.435599842967</v>
      </c>
      <c r="AE23" s="1199">
        <v>95049.353539568998</v>
      </c>
      <c r="AF23" s="1199">
        <v>96321.871584158609</v>
      </c>
    </row>
    <row r="24" spans="1:1996" s="1172" customFormat="1" ht="21" customHeight="1" x14ac:dyDescent="0.5">
      <c r="A24" s="183" t="s">
        <v>381</v>
      </c>
      <c r="B24" s="1200">
        <v>41365.355770956041</v>
      </c>
      <c r="C24" s="1201">
        <v>40904.939745296615</v>
      </c>
      <c r="D24" s="1201">
        <v>41326.826696817261</v>
      </c>
      <c r="E24" s="1201">
        <v>40917.507108406047</v>
      </c>
      <c r="F24" s="1201">
        <v>42610.216258972061</v>
      </c>
      <c r="G24" s="1201">
        <v>42245.036519451569</v>
      </c>
      <c r="H24" s="1201">
        <v>43321.024567736764</v>
      </c>
      <c r="I24" s="1201">
        <v>43008.505400459631</v>
      </c>
      <c r="J24" s="1201">
        <v>44842.156244265323</v>
      </c>
      <c r="K24" s="1201">
        <v>46696.187258812126</v>
      </c>
      <c r="L24" s="1201">
        <v>42831.169382382883</v>
      </c>
      <c r="M24" s="1201">
        <v>42863.944311513675</v>
      </c>
      <c r="N24" s="1201">
        <v>42195.731110257126</v>
      </c>
      <c r="O24" s="1201">
        <v>41632.07287342877</v>
      </c>
      <c r="P24" s="1201">
        <v>43822.573807393004</v>
      </c>
      <c r="Q24" s="1201">
        <v>44801.234057506525</v>
      </c>
      <c r="R24" s="1201">
        <v>45477.397320085343</v>
      </c>
      <c r="S24" s="1201">
        <v>44497.769065875676</v>
      </c>
      <c r="T24" s="1201">
        <v>43704.173869058024</v>
      </c>
      <c r="U24" s="1201">
        <v>43475.531388304909</v>
      </c>
      <c r="V24" s="1201">
        <v>41145.609497462559</v>
      </c>
      <c r="W24" s="1201">
        <v>32818.865977685717</v>
      </c>
      <c r="X24" s="1201">
        <v>32782.557985649102</v>
      </c>
      <c r="Y24" s="1201">
        <v>33017.792060707325</v>
      </c>
      <c r="Z24" s="1201">
        <v>32798.044350799726</v>
      </c>
      <c r="AA24" s="1201">
        <v>33598.696863685676</v>
      </c>
      <c r="AB24" s="1201">
        <v>32804.198374087107</v>
      </c>
      <c r="AC24" s="1201">
        <v>32113.661717443872</v>
      </c>
      <c r="AD24" s="1201">
        <v>33523.019941592778</v>
      </c>
      <c r="AE24" s="1201">
        <v>36812.37982186069</v>
      </c>
      <c r="AF24" s="1201">
        <v>34644.148841440845</v>
      </c>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c r="IC24" s="104"/>
      <c r="ID24" s="104"/>
      <c r="IE24" s="104"/>
      <c r="IF24" s="104"/>
      <c r="IG24" s="104"/>
      <c r="IH24" s="104"/>
      <c r="II24" s="104"/>
      <c r="IJ24" s="104"/>
      <c r="IK24" s="104"/>
      <c r="IL24" s="104"/>
      <c r="IM24" s="104"/>
      <c r="IN24" s="104"/>
      <c r="IO24" s="104"/>
      <c r="IP24" s="104"/>
      <c r="IQ24" s="104"/>
      <c r="IR24" s="104"/>
      <c r="IS24" s="104"/>
      <c r="IT24" s="104"/>
      <c r="IU24" s="104"/>
      <c r="IV24" s="104"/>
      <c r="IW24" s="104"/>
      <c r="IX24" s="104"/>
      <c r="IY24" s="104"/>
      <c r="IZ24" s="104"/>
      <c r="JA24" s="104"/>
      <c r="JB24" s="104"/>
      <c r="JC24" s="104"/>
      <c r="JD24" s="104"/>
      <c r="JE24" s="104"/>
      <c r="JF24" s="104"/>
      <c r="JG24" s="104"/>
      <c r="JH24" s="104"/>
      <c r="JI24" s="104"/>
      <c r="JJ24" s="104"/>
      <c r="JK24" s="104"/>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LM24" s="104"/>
      <c r="LN24" s="104"/>
      <c r="LO24" s="104"/>
      <c r="LP24" s="104"/>
      <c r="LQ24" s="104"/>
      <c r="LR24" s="104"/>
      <c r="LS24" s="104"/>
      <c r="LT24" s="104"/>
      <c r="LU24" s="104"/>
      <c r="LV24" s="104"/>
      <c r="LW24" s="104"/>
      <c r="LX24" s="104"/>
      <c r="LY24" s="104"/>
      <c r="LZ24" s="104"/>
      <c r="MA24" s="104"/>
      <c r="MB24" s="104"/>
      <c r="MC24" s="104"/>
      <c r="MD24" s="104"/>
      <c r="ME24" s="104"/>
      <c r="MF24" s="104"/>
      <c r="MG24" s="104"/>
      <c r="MH24" s="104"/>
      <c r="MI24" s="104"/>
      <c r="MJ24" s="104"/>
      <c r="MK24" s="104"/>
      <c r="ML24" s="104"/>
      <c r="MM24" s="104"/>
      <c r="MN24" s="104"/>
      <c r="MO24" s="104"/>
      <c r="MP24" s="104"/>
      <c r="MQ24" s="104"/>
      <c r="MR24" s="104"/>
      <c r="MS24" s="104"/>
      <c r="MT24" s="104"/>
      <c r="MU24" s="104"/>
      <c r="MV24" s="104"/>
      <c r="MW24" s="104"/>
      <c r="MX24" s="104"/>
      <c r="MY24" s="104"/>
      <c r="MZ24" s="104"/>
      <c r="NA24" s="104"/>
      <c r="NB24" s="104"/>
      <c r="NC24" s="104"/>
      <c r="ND24" s="104"/>
      <c r="NE24" s="104"/>
      <c r="NF24" s="104"/>
      <c r="NG24" s="104"/>
      <c r="NH24" s="104"/>
      <c r="NI24" s="104"/>
      <c r="NJ24" s="104"/>
      <c r="NK24" s="104"/>
      <c r="NL24" s="104"/>
      <c r="NM24" s="104"/>
      <c r="NN24" s="104"/>
      <c r="NO24" s="104"/>
      <c r="NP24" s="104"/>
      <c r="NQ24" s="104"/>
      <c r="NR24" s="104"/>
      <c r="NS24" s="104"/>
      <c r="NT24" s="104"/>
      <c r="NU24" s="104"/>
      <c r="NV24" s="104"/>
      <c r="NW24" s="104"/>
      <c r="NX24" s="104"/>
      <c r="NY24" s="104"/>
      <c r="NZ24" s="104"/>
      <c r="OA24" s="104"/>
      <c r="OB24" s="104"/>
      <c r="OC24" s="104"/>
      <c r="OD24" s="104"/>
      <c r="OE24" s="104"/>
      <c r="OF24" s="104"/>
      <c r="OG24" s="104"/>
      <c r="OH24" s="104"/>
      <c r="OI24" s="104"/>
      <c r="OJ24" s="104"/>
      <c r="OK24" s="104"/>
      <c r="OL24" s="104"/>
      <c r="OM24" s="104"/>
      <c r="ON24" s="104"/>
      <c r="OO24" s="104"/>
      <c r="OP24" s="104"/>
      <c r="OQ24" s="104"/>
      <c r="OR24" s="104"/>
      <c r="OS24" s="104"/>
      <c r="OT24" s="104"/>
      <c r="OU24" s="104"/>
      <c r="OV24" s="104"/>
      <c r="OW24" s="104"/>
      <c r="OX24" s="104"/>
      <c r="OY24" s="104"/>
      <c r="OZ24" s="104"/>
      <c r="PA24" s="104"/>
      <c r="PB24" s="104"/>
      <c r="PC24" s="104"/>
      <c r="PD24" s="104"/>
      <c r="PE24" s="104"/>
      <c r="PF24" s="104"/>
      <c r="PG24" s="104"/>
      <c r="PH24" s="104"/>
      <c r="PI24" s="104"/>
      <c r="PJ24" s="104"/>
      <c r="PK24" s="104"/>
      <c r="PL24" s="104"/>
      <c r="PM24" s="104"/>
      <c r="PN24" s="104"/>
      <c r="PO24" s="104"/>
      <c r="PP24" s="104"/>
      <c r="PQ24" s="104"/>
      <c r="PR24" s="104"/>
      <c r="PS24" s="104"/>
      <c r="PT24" s="104"/>
      <c r="PU24" s="104"/>
      <c r="PV24" s="104"/>
      <c r="PW24" s="104"/>
      <c r="PX24" s="104"/>
      <c r="PY24" s="104"/>
      <c r="PZ24" s="104"/>
      <c r="QA24" s="104"/>
      <c r="QB24" s="104"/>
      <c r="QC24" s="104"/>
      <c r="QD24" s="104"/>
      <c r="QE24" s="104"/>
      <c r="QF24" s="104"/>
      <c r="QG24" s="104"/>
      <c r="QH24" s="104"/>
      <c r="QI24" s="104"/>
      <c r="QJ24" s="104"/>
      <c r="QK24" s="104"/>
      <c r="QL24" s="104"/>
      <c r="QM24" s="104"/>
      <c r="QN24" s="104"/>
      <c r="QO24" s="104"/>
      <c r="QP24" s="104"/>
      <c r="QQ24" s="104"/>
      <c r="QR24" s="104"/>
      <c r="QS24" s="104"/>
      <c r="QT24" s="104"/>
      <c r="QU24" s="104"/>
      <c r="QV24" s="104"/>
      <c r="QW24" s="104"/>
      <c r="QX24" s="104"/>
      <c r="QY24" s="104"/>
      <c r="QZ24" s="104"/>
      <c r="RA24" s="104"/>
      <c r="RB24" s="104"/>
      <c r="RC24" s="104"/>
      <c r="RD24" s="104"/>
      <c r="RE24" s="104"/>
      <c r="RF24" s="104"/>
      <c r="RG24" s="104"/>
      <c r="RH24" s="104"/>
      <c r="RI24" s="104"/>
      <c r="RJ24" s="104"/>
      <c r="RK24" s="104"/>
      <c r="RL24" s="104"/>
      <c r="RM24" s="104"/>
      <c r="RN24" s="104"/>
      <c r="RO24" s="104"/>
      <c r="RP24" s="104"/>
      <c r="RQ24" s="104"/>
      <c r="RR24" s="104"/>
      <c r="RS24" s="104"/>
      <c r="RT24" s="104"/>
      <c r="RU24" s="104"/>
      <c r="RV24" s="104"/>
      <c r="RW24" s="104"/>
      <c r="RX24" s="104"/>
      <c r="RY24" s="104"/>
      <c r="RZ24" s="104"/>
      <c r="SA24" s="104"/>
      <c r="SB24" s="104"/>
      <c r="SC24" s="104"/>
      <c r="SD24" s="104"/>
      <c r="SE24" s="104"/>
      <c r="SF24" s="104"/>
      <c r="SG24" s="104"/>
      <c r="SH24" s="104"/>
      <c r="SI24" s="104"/>
      <c r="SJ24" s="104"/>
      <c r="SK24" s="104"/>
      <c r="SL24" s="104"/>
      <c r="SM24" s="104"/>
      <c r="SN24" s="104"/>
      <c r="SO24" s="104"/>
      <c r="SP24" s="104"/>
      <c r="SQ24" s="104"/>
      <c r="SR24" s="104"/>
      <c r="SS24" s="104"/>
      <c r="ST24" s="104"/>
      <c r="SU24" s="104"/>
      <c r="SV24" s="104"/>
      <c r="SW24" s="104"/>
      <c r="SX24" s="104"/>
      <c r="SY24" s="104"/>
      <c r="SZ24" s="104"/>
      <c r="TA24" s="104"/>
      <c r="TB24" s="104"/>
      <c r="TC24" s="104"/>
      <c r="TD24" s="104"/>
      <c r="TE24" s="104"/>
      <c r="TF24" s="104"/>
      <c r="TG24" s="104"/>
      <c r="TH24" s="104"/>
      <c r="TI24" s="104"/>
      <c r="TJ24" s="104"/>
      <c r="TK24" s="104"/>
      <c r="TL24" s="104"/>
      <c r="TM24" s="104"/>
      <c r="TN24" s="104"/>
      <c r="TO24" s="104"/>
      <c r="TP24" s="104"/>
      <c r="TQ24" s="104"/>
      <c r="TR24" s="104"/>
      <c r="TS24" s="104"/>
      <c r="TT24" s="104"/>
      <c r="TU24" s="104"/>
      <c r="TV24" s="104"/>
      <c r="TW24" s="104"/>
      <c r="TX24" s="104"/>
      <c r="TY24" s="104"/>
      <c r="TZ24" s="104"/>
      <c r="UA24" s="104"/>
      <c r="UB24" s="104"/>
      <c r="UC24" s="104"/>
      <c r="UD24" s="104"/>
      <c r="UE24" s="104"/>
      <c r="UF24" s="104"/>
      <c r="UG24" s="104"/>
      <c r="UH24" s="104"/>
      <c r="UI24" s="104"/>
      <c r="UJ24" s="104"/>
      <c r="UK24" s="104"/>
      <c r="UL24" s="104"/>
      <c r="UM24" s="104"/>
      <c r="UN24" s="104"/>
      <c r="UO24" s="104"/>
      <c r="UP24" s="104"/>
      <c r="UQ24" s="104"/>
      <c r="UR24" s="104"/>
      <c r="US24" s="104"/>
      <c r="UT24" s="104"/>
      <c r="UU24" s="104"/>
      <c r="UV24" s="104"/>
      <c r="UW24" s="104"/>
      <c r="UX24" s="104"/>
      <c r="UY24" s="104"/>
      <c r="UZ24" s="104"/>
      <c r="VA24" s="104"/>
      <c r="VB24" s="104"/>
      <c r="VC24" s="104"/>
      <c r="VD24" s="104"/>
      <c r="VE24" s="104"/>
      <c r="VF24" s="104"/>
      <c r="VG24" s="104"/>
      <c r="VH24" s="104"/>
      <c r="VI24" s="104"/>
      <c r="VJ24" s="104"/>
      <c r="VK24" s="104"/>
      <c r="VL24" s="104"/>
      <c r="VM24" s="104"/>
      <c r="VN24" s="104"/>
      <c r="VO24" s="104"/>
      <c r="VP24" s="104"/>
      <c r="VQ24" s="104"/>
      <c r="VR24" s="104"/>
      <c r="VS24" s="104"/>
      <c r="VT24" s="104"/>
      <c r="VU24" s="104"/>
      <c r="VV24" s="104"/>
      <c r="VW24" s="104"/>
      <c r="VX24" s="104"/>
      <c r="VY24" s="104"/>
      <c r="VZ24" s="104"/>
      <c r="WA24" s="104"/>
      <c r="WB24" s="104"/>
      <c r="WC24" s="104"/>
      <c r="WD24" s="104"/>
      <c r="WE24" s="104"/>
      <c r="WF24" s="104"/>
      <c r="WG24" s="104"/>
      <c r="WH24" s="104"/>
      <c r="WI24" s="104"/>
      <c r="WJ24" s="104"/>
      <c r="WK24" s="104"/>
      <c r="WL24" s="104"/>
      <c r="WM24" s="104"/>
      <c r="WN24" s="104"/>
      <c r="WO24" s="104"/>
      <c r="WP24" s="104"/>
      <c r="WQ24" s="104"/>
      <c r="WR24" s="104"/>
      <c r="WS24" s="104"/>
      <c r="WT24" s="104"/>
      <c r="WU24" s="104"/>
      <c r="WV24" s="104"/>
      <c r="WW24" s="104"/>
      <c r="WX24" s="104"/>
      <c r="WY24" s="104"/>
      <c r="WZ24" s="104"/>
      <c r="XA24" s="104"/>
      <c r="XB24" s="104"/>
      <c r="XC24" s="104"/>
      <c r="XD24" s="104"/>
      <c r="XE24" s="104"/>
      <c r="XF24" s="104"/>
      <c r="XG24" s="104"/>
      <c r="XH24" s="104"/>
      <c r="XI24" s="104"/>
      <c r="XJ24" s="104"/>
      <c r="XK24" s="104"/>
      <c r="XL24" s="104"/>
      <c r="XM24" s="104"/>
      <c r="XN24" s="104"/>
      <c r="XO24" s="104"/>
      <c r="XP24" s="104"/>
      <c r="XQ24" s="104"/>
      <c r="XR24" s="104"/>
      <c r="XS24" s="104"/>
      <c r="XT24" s="104"/>
      <c r="XU24" s="104"/>
      <c r="XV24" s="104"/>
      <c r="XW24" s="104"/>
      <c r="XX24" s="104"/>
      <c r="XY24" s="104"/>
      <c r="XZ24" s="104"/>
      <c r="YA24" s="104"/>
      <c r="YB24" s="104"/>
      <c r="YC24" s="104"/>
      <c r="YD24" s="104"/>
      <c r="YE24" s="104"/>
      <c r="YF24" s="104"/>
      <c r="YG24" s="104"/>
      <c r="YH24" s="104"/>
      <c r="YI24" s="104"/>
      <c r="YJ24" s="104"/>
      <c r="YK24" s="104"/>
      <c r="YL24" s="104"/>
      <c r="YM24" s="104"/>
      <c r="YN24" s="104"/>
      <c r="YO24" s="104"/>
      <c r="YP24" s="104"/>
      <c r="YQ24" s="104"/>
      <c r="YR24" s="104"/>
      <c r="YS24" s="104"/>
      <c r="YT24" s="104"/>
      <c r="YU24" s="104"/>
      <c r="YV24" s="104"/>
      <c r="YW24" s="104"/>
      <c r="YX24" s="104"/>
      <c r="YY24" s="104"/>
      <c r="YZ24" s="104"/>
      <c r="ZA24" s="104"/>
      <c r="ZB24" s="104"/>
      <c r="ZC24" s="104"/>
      <c r="ZD24" s="104"/>
      <c r="ZE24" s="104"/>
      <c r="ZF24" s="104"/>
      <c r="ZG24" s="104"/>
      <c r="ZH24" s="104"/>
      <c r="ZI24" s="104"/>
      <c r="ZJ24" s="104"/>
      <c r="ZK24" s="104"/>
      <c r="ZL24" s="104"/>
      <c r="ZM24" s="104"/>
      <c r="ZN24" s="104"/>
      <c r="ZO24" s="104"/>
      <c r="ZP24" s="104"/>
      <c r="ZQ24" s="104"/>
      <c r="ZR24" s="104"/>
      <c r="ZS24" s="104"/>
      <c r="ZT24" s="104"/>
      <c r="ZU24" s="104"/>
      <c r="ZV24" s="104"/>
      <c r="ZW24" s="104"/>
      <c r="ZX24" s="104"/>
      <c r="ZY24" s="104"/>
      <c r="ZZ24" s="104"/>
      <c r="AAA24" s="104"/>
      <c r="AAB24" s="104"/>
      <c r="AAC24" s="104"/>
      <c r="AAD24" s="104"/>
      <c r="AAE24" s="104"/>
      <c r="AAF24" s="104"/>
      <c r="AAG24" s="104"/>
      <c r="AAH24" s="104"/>
      <c r="AAI24" s="104"/>
      <c r="AAJ24" s="104"/>
      <c r="AAK24" s="104"/>
      <c r="AAL24" s="104"/>
      <c r="AAM24" s="104"/>
      <c r="AAN24" s="104"/>
      <c r="AAO24" s="104"/>
      <c r="AAP24" s="104"/>
      <c r="AAQ24" s="104"/>
      <c r="AAR24" s="104"/>
      <c r="AAS24" s="104"/>
      <c r="AAT24" s="104"/>
      <c r="AAU24" s="104"/>
      <c r="AAV24" s="104"/>
      <c r="AAW24" s="104"/>
      <c r="AAX24" s="104"/>
      <c r="AAY24" s="104"/>
      <c r="AAZ24" s="104"/>
      <c r="ABA24" s="104"/>
      <c r="ABB24" s="104"/>
      <c r="ABC24" s="104"/>
      <c r="ABD24" s="104"/>
      <c r="ABE24" s="104"/>
      <c r="ABF24" s="104"/>
      <c r="ABG24" s="104"/>
      <c r="ABH24" s="104"/>
      <c r="ABI24" s="104"/>
      <c r="ABJ24" s="104"/>
      <c r="ABK24" s="104"/>
      <c r="ABL24" s="104"/>
      <c r="ABM24" s="104"/>
      <c r="ABN24" s="104"/>
      <c r="ABO24" s="104"/>
      <c r="ABP24" s="104"/>
      <c r="ABQ24" s="104"/>
      <c r="ABR24" s="104"/>
      <c r="ABS24" s="104"/>
      <c r="ABT24" s="104"/>
      <c r="ABU24" s="104"/>
      <c r="ABV24" s="104"/>
      <c r="ABW24" s="104"/>
      <c r="ABX24" s="104"/>
      <c r="ABY24" s="104"/>
      <c r="ABZ24" s="104"/>
      <c r="ACA24" s="104"/>
      <c r="ACB24" s="104"/>
      <c r="ACC24" s="104"/>
      <c r="ACD24" s="104"/>
      <c r="ACE24" s="104"/>
      <c r="ACF24" s="104"/>
      <c r="ACG24" s="104"/>
      <c r="ACH24" s="104"/>
      <c r="ACI24" s="104"/>
      <c r="ACJ24" s="104"/>
      <c r="ACK24" s="104"/>
      <c r="ACL24" s="104"/>
      <c r="ACM24" s="104"/>
      <c r="ACN24" s="104"/>
      <c r="ACO24" s="104"/>
      <c r="ACP24" s="104"/>
      <c r="ACQ24" s="104"/>
      <c r="ACR24" s="104"/>
      <c r="ACS24" s="104"/>
      <c r="ACT24" s="104"/>
      <c r="ACU24" s="104"/>
      <c r="ACV24" s="104"/>
      <c r="ACW24" s="104"/>
      <c r="ACX24" s="104"/>
      <c r="ACY24" s="104"/>
      <c r="ACZ24" s="104"/>
      <c r="ADA24" s="104"/>
      <c r="ADB24" s="104"/>
      <c r="ADC24" s="104"/>
      <c r="ADD24" s="104"/>
      <c r="ADE24" s="104"/>
      <c r="ADF24" s="104"/>
      <c r="ADG24" s="104"/>
      <c r="ADH24" s="104"/>
      <c r="ADI24" s="104"/>
      <c r="ADJ24" s="104"/>
      <c r="ADK24" s="104"/>
      <c r="ADL24" s="104"/>
      <c r="ADM24" s="104"/>
      <c r="ADN24" s="104"/>
      <c r="ADO24" s="104"/>
      <c r="ADP24" s="104"/>
      <c r="ADQ24" s="104"/>
      <c r="ADR24" s="104"/>
      <c r="ADS24" s="104"/>
      <c r="ADT24" s="104"/>
      <c r="ADU24" s="104"/>
      <c r="ADV24" s="104"/>
      <c r="ADW24" s="104"/>
      <c r="ADX24" s="104"/>
      <c r="ADY24" s="104"/>
      <c r="ADZ24" s="104"/>
      <c r="AEA24" s="104"/>
      <c r="AEB24" s="104"/>
      <c r="AEC24" s="104"/>
      <c r="AED24" s="104"/>
      <c r="AEE24" s="104"/>
      <c r="AEF24" s="104"/>
      <c r="AEG24" s="104"/>
      <c r="AEH24" s="104"/>
      <c r="AEI24" s="104"/>
      <c r="AEJ24" s="104"/>
      <c r="AEK24" s="104"/>
      <c r="AEL24" s="104"/>
      <c r="AEM24" s="104"/>
      <c r="AEN24" s="104"/>
      <c r="AEO24" s="104"/>
      <c r="AEP24" s="104"/>
      <c r="AEQ24" s="104"/>
      <c r="AER24" s="104"/>
      <c r="AES24" s="104"/>
      <c r="AET24" s="104"/>
      <c r="AEU24" s="104"/>
      <c r="AEV24" s="104"/>
      <c r="AEW24" s="104"/>
      <c r="AEX24" s="104"/>
      <c r="AEY24" s="104"/>
      <c r="AEZ24" s="104"/>
      <c r="AFA24" s="104"/>
      <c r="AFB24" s="104"/>
      <c r="AFC24" s="104"/>
      <c r="AFD24" s="104"/>
      <c r="AFE24" s="104"/>
      <c r="AFF24" s="104"/>
      <c r="AFG24" s="104"/>
      <c r="AFH24" s="104"/>
      <c r="AFI24" s="104"/>
      <c r="AFJ24" s="104"/>
      <c r="AFK24" s="104"/>
      <c r="AFL24" s="104"/>
      <c r="AFM24" s="104"/>
      <c r="AFN24" s="104"/>
      <c r="AFO24" s="104"/>
      <c r="AFP24" s="104"/>
      <c r="AFQ24" s="104"/>
      <c r="AFR24" s="104"/>
      <c r="AFS24" s="104"/>
      <c r="AFT24" s="104"/>
      <c r="AFU24" s="104"/>
      <c r="AFV24" s="104"/>
      <c r="AFW24" s="104"/>
      <c r="AFX24" s="104"/>
      <c r="AFY24" s="104"/>
      <c r="AFZ24" s="104"/>
      <c r="AGA24" s="104"/>
      <c r="AGB24" s="104"/>
      <c r="AGC24" s="104"/>
      <c r="AGD24" s="104"/>
      <c r="AGE24" s="104"/>
      <c r="AGF24" s="104"/>
      <c r="AGG24" s="104"/>
      <c r="AGH24" s="104"/>
      <c r="AGI24" s="104"/>
      <c r="AGJ24" s="104"/>
      <c r="AGK24" s="104"/>
      <c r="AGL24" s="104"/>
      <c r="AGM24" s="104"/>
      <c r="AGN24" s="104"/>
      <c r="AGO24" s="104"/>
      <c r="AGP24" s="104"/>
      <c r="AGQ24" s="104"/>
      <c r="AGR24" s="104"/>
      <c r="AGS24" s="104"/>
      <c r="AGT24" s="104"/>
      <c r="AGU24" s="104"/>
      <c r="AGV24" s="104"/>
      <c r="AGW24" s="104"/>
      <c r="AGX24" s="104"/>
      <c r="AGY24" s="104"/>
      <c r="AGZ24" s="104"/>
      <c r="AHA24" s="104"/>
      <c r="AHB24" s="104"/>
      <c r="AHC24" s="104"/>
      <c r="AHD24" s="104"/>
      <c r="AHE24" s="104"/>
      <c r="AHF24" s="104"/>
      <c r="AHG24" s="104"/>
      <c r="AHH24" s="104"/>
      <c r="AHI24" s="104"/>
      <c r="AHJ24" s="104"/>
      <c r="AHK24" s="104"/>
      <c r="AHL24" s="104"/>
      <c r="AHM24" s="104"/>
      <c r="AHN24" s="104"/>
      <c r="AHO24" s="104"/>
      <c r="AHP24" s="104"/>
      <c r="AHQ24" s="104"/>
      <c r="AHR24" s="104"/>
      <c r="AHS24" s="104"/>
      <c r="AHT24" s="104"/>
      <c r="AHU24" s="104"/>
      <c r="AHV24" s="104"/>
      <c r="AHW24" s="104"/>
      <c r="AHX24" s="104"/>
      <c r="AHY24" s="104"/>
      <c r="AHZ24" s="104"/>
      <c r="AIA24" s="104"/>
      <c r="AIB24" s="104"/>
      <c r="AIC24" s="104"/>
      <c r="AID24" s="104"/>
      <c r="AIE24" s="104"/>
      <c r="AIF24" s="104"/>
      <c r="AIG24" s="104"/>
      <c r="AIH24" s="104"/>
      <c r="AII24" s="104"/>
      <c r="AIJ24" s="104"/>
      <c r="AIK24" s="104"/>
      <c r="AIL24" s="104"/>
      <c r="AIM24" s="104"/>
      <c r="AIN24" s="104"/>
      <c r="AIO24" s="104"/>
      <c r="AIP24" s="104"/>
      <c r="AIQ24" s="104"/>
      <c r="AIR24" s="104"/>
      <c r="AIS24" s="104"/>
      <c r="AIT24" s="104"/>
      <c r="AIU24" s="104"/>
      <c r="AIV24" s="104"/>
      <c r="AIW24" s="104"/>
      <c r="AIX24" s="104"/>
      <c r="AIY24" s="104"/>
      <c r="AIZ24" s="104"/>
      <c r="AJA24" s="104"/>
      <c r="AJB24" s="104"/>
      <c r="AJC24" s="104"/>
      <c r="AJD24" s="104"/>
      <c r="AJE24" s="104"/>
      <c r="AJF24" s="104"/>
      <c r="AJG24" s="104"/>
      <c r="AJH24" s="104"/>
      <c r="AJI24" s="104"/>
      <c r="AJJ24" s="104"/>
      <c r="AJK24" s="104"/>
      <c r="AJL24" s="104"/>
      <c r="AJM24" s="104"/>
      <c r="AJN24" s="104"/>
      <c r="AJO24" s="104"/>
      <c r="AJP24" s="104"/>
      <c r="AJQ24" s="104"/>
      <c r="AJR24" s="104"/>
      <c r="AJS24" s="104"/>
      <c r="AJT24" s="104"/>
      <c r="AJU24" s="104"/>
      <c r="AJV24" s="104"/>
      <c r="AJW24" s="104"/>
      <c r="AJX24" s="104"/>
      <c r="AJY24" s="104"/>
      <c r="AJZ24" s="104"/>
      <c r="AKA24" s="104"/>
      <c r="AKB24" s="104"/>
      <c r="AKC24" s="104"/>
      <c r="AKD24" s="104"/>
      <c r="AKE24" s="104"/>
      <c r="AKF24" s="104"/>
      <c r="AKG24" s="104"/>
      <c r="AKH24" s="104"/>
      <c r="AKI24" s="104"/>
      <c r="AKJ24" s="104"/>
      <c r="AKK24" s="104"/>
      <c r="AKL24" s="104"/>
      <c r="AKM24" s="104"/>
      <c r="AKN24" s="104"/>
      <c r="AKO24" s="104"/>
      <c r="AKP24" s="104"/>
      <c r="AKQ24" s="104"/>
      <c r="AKR24" s="104"/>
      <c r="AKS24" s="104"/>
      <c r="AKT24" s="104"/>
      <c r="AKU24" s="104"/>
      <c r="AKV24" s="104"/>
      <c r="AKW24" s="104"/>
      <c r="AKX24" s="104"/>
      <c r="AKY24" s="104"/>
      <c r="AKZ24" s="104"/>
      <c r="ALA24" s="104"/>
      <c r="ALB24" s="104"/>
      <c r="ALC24" s="104"/>
      <c r="ALD24" s="104"/>
      <c r="ALE24" s="104"/>
      <c r="ALF24" s="104"/>
      <c r="ALG24" s="104"/>
      <c r="ALH24" s="104"/>
      <c r="ALI24" s="104"/>
      <c r="ALJ24" s="104"/>
      <c r="ALK24" s="104"/>
      <c r="ALL24" s="104"/>
      <c r="ALM24" s="104"/>
      <c r="ALN24" s="104"/>
      <c r="ALO24" s="104"/>
      <c r="ALP24" s="104"/>
      <c r="ALQ24" s="104"/>
      <c r="ALR24" s="104"/>
      <c r="ALS24" s="104"/>
      <c r="ALT24" s="104"/>
      <c r="ALU24" s="104"/>
      <c r="ALV24" s="104"/>
      <c r="ALW24" s="104"/>
      <c r="ALX24" s="104"/>
      <c r="ALY24" s="104"/>
      <c r="ALZ24" s="104"/>
      <c r="AMA24" s="104"/>
      <c r="AMB24" s="104"/>
      <c r="AMC24" s="104"/>
      <c r="AMD24" s="104"/>
      <c r="AME24" s="104"/>
      <c r="AMF24" s="104"/>
      <c r="AMG24" s="104"/>
      <c r="AMH24" s="104"/>
      <c r="AMI24" s="104"/>
      <c r="AMJ24" s="104"/>
      <c r="AMK24" s="104"/>
      <c r="AML24" s="104"/>
      <c r="AMM24" s="104"/>
      <c r="AMN24" s="104"/>
      <c r="AMO24" s="104"/>
      <c r="AMP24" s="104"/>
      <c r="AMQ24" s="104"/>
      <c r="AMR24" s="104"/>
      <c r="AMS24" s="104"/>
      <c r="AMT24" s="104"/>
      <c r="AMU24" s="104"/>
      <c r="AMV24" s="104"/>
      <c r="AMW24" s="104"/>
      <c r="AMX24" s="104"/>
      <c r="AMY24" s="104"/>
      <c r="AMZ24" s="104"/>
      <c r="ANA24" s="104"/>
      <c r="ANB24" s="104"/>
      <c r="ANC24" s="104"/>
      <c r="AND24" s="104"/>
      <c r="ANE24" s="104"/>
      <c r="ANF24" s="104"/>
      <c r="ANG24" s="104"/>
      <c r="ANH24" s="104"/>
      <c r="ANI24" s="104"/>
      <c r="ANJ24" s="104"/>
      <c r="ANK24" s="104"/>
      <c r="ANL24" s="104"/>
      <c r="ANM24" s="104"/>
      <c r="ANN24" s="104"/>
      <c r="ANO24" s="104"/>
      <c r="ANP24" s="104"/>
      <c r="ANQ24" s="104"/>
      <c r="ANR24" s="104"/>
      <c r="ANS24" s="104"/>
      <c r="ANT24" s="104"/>
      <c r="ANU24" s="104"/>
      <c r="ANV24" s="104"/>
      <c r="ANW24" s="104"/>
      <c r="ANX24" s="104"/>
      <c r="ANY24" s="104"/>
      <c r="ANZ24" s="104"/>
      <c r="AOA24" s="104"/>
      <c r="AOB24" s="104"/>
      <c r="AOC24" s="104"/>
      <c r="AOD24" s="104"/>
      <c r="AOE24" s="104"/>
      <c r="AOF24" s="104"/>
      <c r="AOG24" s="104"/>
      <c r="AOH24" s="104"/>
      <c r="AOI24" s="104"/>
      <c r="AOJ24" s="104"/>
      <c r="AOK24" s="104"/>
      <c r="AOL24" s="104"/>
      <c r="AOM24" s="104"/>
      <c r="AON24" s="104"/>
      <c r="AOO24" s="104"/>
      <c r="AOP24" s="104"/>
      <c r="AOQ24" s="104"/>
      <c r="AOR24" s="104"/>
      <c r="AOS24" s="104"/>
      <c r="AOT24" s="104"/>
      <c r="AOU24" s="104"/>
      <c r="AOV24" s="104"/>
      <c r="AOW24" s="104"/>
      <c r="AOX24" s="104"/>
      <c r="AOY24" s="104"/>
      <c r="AOZ24" s="104"/>
      <c r="APA24" s="104"/>
      <c r="APB24" s="104"/>
      <c r="APC24" s="104"/>
      <c r="APD24" s="104"/>
      <c r="APE24" s="104"/>
      <c r="APF24" s="104"/>
      <c r="APG24" s="104"/>
      <c r="APH24" s="104"/>
      <c r="API24" s="104"/>
      <c r="APJ24" s="104"/>
      <c r="APK24" s="104"/>
      <c r="APL24" s="104"/>
      <c r="APM24" s="104"/>
      <c r="APN24" s="104"/>
      <c r="APO24" s="104"/>
      <c r="APP24" s="104"/>
      <c r="APQ24" s="104"/>
      <c r="APR24" s="104"/>
      <c r="APS24" s="104"/>
      <c r="APT24" s="104"/>
      <c r="APU24" s="104"/>
      <c r="APV24" s="104"/>
      <c r="APW24" s="104"/>
      <c r="APX24" s="104"/>
      <c r="APY24" s="104"/>
      <c r="APZ24" s="104"/>
      <c r="AQA24" s="104"/>
      <c r="AQB24" s="104"/>
      <c r="AQC24" s="104"/>
      <c r="AQD24" s="104"/>
      <c r="AQE24" s="104"/>
      <c r="AQF24" s="104"/>
      <c r="AQG24" s="104"/>
      <c r="AQH24" s="104"/>
      <c r="AQI24" s="104"/>
      <c r="AQJ24" s="104"/>
      <c r="AQK24" s="104"/>
      <c r="AQL24" s="104"/>
      <c r="AQM24" s="104"/>
      <c r="AQN24" s="104"/>
      <c r="AQO24" s="104"/>
      <c r="AQP24" s="104"/>
      <c r="AQQ24" s="104"/>
      <c r="AQR24" s="104"/>
      <c r="AQS24" s="104"/>
      <c r="AQT24" s="104"/>
      <c r="AQU24" s="104"/>
      <c r="AQV24" s="104"/>
      <c r="AQW24" s="104"/>
      <c r="AQX24" s="104"/>
      <c r="AQY24" s="104"/>
      <c r="AQZ24" s="104"/>
      <c r="ARA24" s="104"/>
      <c r="ARB24" s="104"/>
      <c r="ARC24" s="104"/>
      <c r="ARD24" s="104"/>
      <c r="ARE24" s="104"/>
      <c r="ARF24" s="104"/>
      <c r="ARG24" s="104"/>
      <c r="ARH24" s="104"/>
      <c r="ARI24" s="104"/>
      <c r="ARJ24" s="104"/>
      <c r="ARK24" s="104"/>
      <c r="ARL24" s="104"/>
      <c r="ARM24" s="104"/>
      <c r="ARN24" s="104"/>
      <c r="ARO24" s="104"/>
      <c r="ARP24" s="104"/>
      <c r="ARQ24" s="104"/>
      <c r="ARR24" s="104"/>
      <c r="ARS24" s="104"/>
      <c r="ART24" s="104"/>
      <c r="ARU24" s="104"/>
      <c r="ARV24" s="104"/>
      <c r="ARW24" s="104"/>
      <c r="ARX24" s="104"/>
      <c r="ARY24" s="104"/>
      <c r="ARZ24" s="104"/>
      <c r="ASA24" s="104"/>
      <c r="ASB24" s="104"/>
      <c r="ASC24" s="104"/>
      <c r="ASD24" s="104"/>
      <c r="ASE24" s="104"/>
      <c r="ASF24" s="104"/>
      <c r="ASG24" s="104"/>
      <c r="ASH24" s="104"/>
      <c r="ASI24" s="104"/>
      <c r="ASJ24" s="104"/>
      <c r="ASK24" s="104"/>
      <c r="ASL24" s="104"/>
      <c r="ASM24" s="104"/>
      <c r="ASN24" s="104"/>
      <c r="ASO24" s="104"/>
      <c r="ASP24" s="104"/>
      <c r="ASQ24" s="104"/>
      <c r="ASR24" s="104"/>
      <c r="ASS24" s="104"/>
      <c r="AST24" s="104"/>
      <c r="ASU24" s="104"/>
      <c r="ASV24" s="104"/>
      <c r="ASW24" s="104"/>
      <c r="ASX24" s="104"/>
      <c r="ASY24" s="104"/>
      <c r="ASZ24" s="104"/>
      <c r="ATA24" s="104"/>
      <c r="ATB24" s="104"/>
      <c r="ATC24" s="104"/>
      <c r="ATD24" s="104"/>
      <c r="ATE24" s="104"/>
      <c r="ATF24" s="104"/>
      <c r="ATG24" s="104"/>
      <c r="ATH24" s="104"/>
      <c r="ATI24" s="104"/>
      <c r="ATJ24" s="104"/>
      <c r="ATK24" s="104"/>
      <c r="ATL24" s="104"/>
      <c r="ATM24" s="104"/>
      <c r="ATN24" s="104"/>
      <c r="ATO24" s="104"/>
      <c r="ATP24" s="104"/>
      <c r="ATQ24" s="104"/>
      <c r="ATR24" s="104"/>
      <c r="ATS24" s="104"/>
      <c r="ATT24" s="104"/>
      <c r="ATU24" s="104"/>
      <c r="ATV24" s="104"/>
      <c r="ATW24" s="104"/>
      <c r="ATX24" s="104"/>
      <c r="ATY24" s="104"/>
      <c r="ATZ24" s="104"/>
      <c r="AUA24" s="104"/>
      <c r="AUB24" s="104"/>
      <c r="AUC24" s="104"/>
      <c r="AUD24" s="104"/>
      <c r="AUE24" s="104"/>
      <c r="AUF24" s="104"/>
      <c r="AUG24" s="104"/>
      <c r="AUH24" s="104"/>
      <c r="AUI24" s="104"/>
      <c r="AUJ24" s="104"/>
      <c r="AUK24" s="104"/>
      <c r="AUL24" s="104"/>
      <c r="AUM24" s="104"/>
      <c r="AUN24" s="104"/>
      <c r="AUO24" s="104"/>
      <c r="AUP24" s="104"/>
      <c r="AUQ24" s="104"/>
      <c r="AUR24" s="104"/>
      <c r="AUS24" s="104"/>
      <c r="AUT24" s="104"/>
      <c r="AUU24" s="104"/>
      <c r="AUV24" s="104"/>
      <c r="AUW24" s="104"/>
      <c r="AUX24" s="104"/>
      <c r="AUY24" s="104"/>
      <c r="AUZ24" s="104"/>
      <c r="AVA24" s="104"/>
      <c r="AVB24" s="104"/>
      <c r="AVC24" s="104"/>
      <c r="AVD24" s="104"/>
      <c r="AVE24" s="104"/>
      <c r="AVF24" s="104"/>
      <c r="AVG24" s="104"/>
      <c r="AVH24" s="104"/>
      <c r="AVI24" s="104"/>
      <c r="AVJ24" s="104"/>
      <c r="AVK24" s="104"/>
      <c r="AVL24" s="104"/>
      <c r="AVM24" s="104"/>
      <c r="AVN24" s="104"/>
      <c r="AVO24" s="104"/>
      <c r="AVP24" s="104"/>
      <c r="AVQ24" s="104"/>
      <c r="AVR24" s="104"/>
      <c r="AVS24" s="104"/>
      <c r="AVT24" s="104"/>
      <c r="AVU24" s="104"/>
      <c r="AVV24" s="104"/>
      <c r="AVW24" s="104"/>
      <c r="AVX24" s="104"/>
      <c r="AVY24" s="104"/>
      <c r="AVZ24" s="104"/>
      <c r="AWA24" s="104"/>
      <c r="AWB24" s="104"/>
      <c r="AWC24" s="104"/>
      <c r="AWD24" s="104"/>
      <c r="AWE24" s="104"/>
      <c r="AWF24" s="104"/>
      <c r="AWG24" s="104"/>
      <c r="AWH24" s="104"/>
      <c r="AWI24" s="104"/>
      <c r="AWJ24" s="104"/>
      <c r="AWK24" s="104"/>
      <c r="AWL24" s="104"/>
      <c r="AWM24" s="104"/>
      <c r="AWN24" s="104"/>
      <c r="AWO24" s="104"/>
      <c r="AWP24" s="104"/>
      <c r="AWQ24" s="104"/>
      <c r="AWR24" s="104"/>
      <c r="AWS24" s="104"/>
      <c r="AWT24" s="104"/>
      <c r="AWU24" s="104"/>
      <c r="AWV24" s="104"/>
      <c r="AWW24" s="104"/>
      <c r="AWX24" s="104"/>
      <c r="AWY24" s="104"/>
      <c r="AWZ24" s="104"/>
      <c r="AXA24" s="104"/>
      <c r="AXB24" s="104"/>
      <c r="AXC24" s="104"/>
      <c r="AXD24" s="104"/>
      <c r="AXE24" s="104"/>
      <c r="AXF24" s="104"/>
      <c r="AXG24" s="104"/>
      <c r="AXH24" s="104"/>
      <c r="AXI24" s="104"/>
      <c r="AXJ24" s="104"/>
      <c r="AXK24" s="104"/>
      <c r="AXL24" s="104"/>
      <c r="AXM24" s="104"/>
      <c r="AXN24" s="104"/>
      <c r="AXO24" s="104"/>
      <c r="AXP24" s="104"/>
      <c r="AXQ24" s="104"/>
      <c r="AXR24" s="104"/>
      <c r="AXS24" s="104"/>
      <c r="AXT24" s="104"/>
      <c r="AXU24" s="104"/>
      <c r="AXV24" s="104"/>
      <c r="AXW24" s="104"/>
      <c r="AXX24" s="104"/>
      <c r="AXY24" s="104"/>
      <c r="AXZ24" s="104"/>
      <c r="AYA24" s="104"/>
      <c r="AYB24" s="104"/>
      <c r="AYC24" s="104"/>
      <c r="AYD24" s="104"/>
      <c r="AYE24" s="104"/>
      <c r="AYF24" s="104"/>
      <c r="AYG24" s="104"/>
      <c r="AYH24" s="104"/>
      <c r="AYI24" s="104"/>
      <c r="AYJ24" s="104"/>
      <c r="AYK24" s="104"/>
      <c r="AYL24" s="104"/>
      <c r="AYM24" s="104"/>
      <c r="AYN24" s="104"/>
      <c r="AYO24" s="104"/>
      <c r="AYP24" s="104"/>
      <c r="AYQ24" s="104"/>
      <c r="AYR24" s="104"/>
      <c r="AYS24" s="104"/>
      <c r="AYT24" s="104"/>
      <c r="AYU24" s="104"/>
      <c r="AYV24" s="104"/>
      <c r="AYW24" s="104"/>
      <c r="AYX24" s="104"/>
      <c r="AYY24" s="104"/>
      <c r="AYZ24" s="104"/>
      <c r="AZA24" s="104"/>
      <c r="AZB24" s="104"/>
      <c r="AZC24" s="104"/>
      <c r="AZD24" s="104"/>
      <c r="AZE24" s="104"/>
      <c r="AZF24" s="104"/>
      <c r="AZG24" s="104"/>
      <c r="AZH24" s="104"/>
      <c r="AZI24" s="104"/>
      <c r="AZJ24" s="104"/>
      <c r="AZK24" s="104"/>
      <c r="AZL24" s="104"/>
      <c r="AZM24" s="104"/>
      <c r="AZN24" s="104"/>
      <c r="AZO24" s="104"/>
      <c r="AZP24" s="104"/>
      <c r="AZQ24" s="104"/>
      <c r="AZR24" s="104"/>
      <c r="AZS24" s="104"/>
      <c r="AZT24" s="104"/>
      <c r="AZU24" s="104"/>
      <c r="AZV24" s="104"/>
      <c r="AZW24" s="104"/>
      <c r="AZX24" s="104"/>
      <c r="AZY24" s="104"/>
      <c r="AZZ24" s="104"/>
      <c r="BAA24" s="104"/>
      <c r="BAB24" s="104"/>
      <c r="BAC24" s="104"/>
      <c r="BAD24" s="104"/>
      <c r="BAE24" s="104"/>
      <c r="BAF24" s="104"/>
      <c r="BAG24" s="104"/>
      <c r="BAH24" s="104"/>
      <c r="BAI24" s="104"/>
      <c r="BAJ24" s="104"/>
      <c r="BAK24" s="104"/>
      <c r="BAL24" s="104"/>
      <c r="BAM24" s="104"/>
      <c r="BAN24" s="104"/>
      <c r="BAO24" s="104"/>
      <c r="BAP24" s="104"/>
      <c r="BAQ24" s="104"/>
      <c r="BAR24" s="104"/>
      <c r="BAS24" s="104"/>
      <c r="BAT24" s="104"/>
      <c r="BAU24" s="104"/>
      <c r="BAV24" s="104"/>
      <c r="BAW24" s="104"/>
      <c r="BAX24" s="104"/>
      <c r="BAY24" s="104"/>
      <c r="BAZ24" s="104"/>
      <c r="BBA24" s="104"/>
      <c r="BBB24" s="104"/>
      <c r="BBC24" s="104"/>
      <c r="BBD24" s="104"/>
      <c r="BBE24" s="104"/>
      <c r="BBF24" s="104"/>
      <c r="BBG24" s="104"/>
      <c r="BBH24" s="104"/>
      <c r="BBI24" s="104"/>
      <c r="BBJ24" s="104"/>
      <c r="BBK24" s="104"/>
      <c r="BBL24" s="104"/>
      <c r="BBM24" s="104"/>
      <c r="BBN24" s="104"/>
      <c r="BBO24" s="104"/>
      <c r="BBP24" s="104"/>
      <c r="BBQ24" s="104"/>
      <c r="BBR24" s="104"/>
      <c r="BBS24" s="104"/>
      <c r="BBT24" s="104"/>
      <c r="BBU24" s="104"/>
      <c r="BBV24" s="104"/>
      <c r="BBW24" s="104"/>
      <c r="BBX24" s="104"/>
      <c r="BBY24" s="104"/>
      <c r="BBZ24" s="104"/>
      <c r="BCA24" s="104"/>
      <c r="BCB24" s="104"/>
      <c r="BCC24" s="104"/>
      <c r="BCD24" s="104"/>
      <c r="BCE24" s="104"/>
      <c r="BCF24" s="104"/>
      <c r="BCG24" s="104"/>
      <c r="BCH24" s="104"/>
      <c r="BCI24" s="104"/>
      <c r="BCJ24" s="104"/>
      <c r="BCK24" s="104"/>
      <c r="BCL24" s="104"/>
      <c r="BCM24" s="104"/>
      <c r="BCN24" s="104"/>
      <c r="BCO24" s="104"/>
      <c r="BCP24" s="104"/>
      <c r="BCQ24" s="104"/>
      <c r="BCR24" s="104"/>
      <c r="BCS24" s="104"/>
      <c r="BCT24" s="104"/>
      <c r="BCU24" s="104"/>
      <c r="BCV24" s="104"/>
      <c r="BCW24" s="104"/>
      <c r="BCX24" s="104"/>
      <c r="BCY24" s="104"/>
      <c r="BCZ24" s="104"/>
      <c r="BDA24" s="104"/>
      <c r="BDB24" s="104"/>
      <c r="BDC24" s="104"/>
      <c r="BDD24" s="104"/>
      <c r="BDE24" s="104"/>
      <c r="BDF24" s="104"/>
      <c r="BDG24" s="104"/>
      <c r="BDH24" s="104"/>
      <c r="BDI24" s="104"/>
      <c r="BDJ24" s="104"/>
      <c r="BDK24" s="104"/>
      <c r="BDL24" s="104"/>
      <c r="BDM24" s="104"/>
      <c r="BDN24" s="104"/>
      <c r="BDO24" s="104"/>
      <c r="BDP24" s="104"/>
      <c r="BDQ24" s="104"/>
      <c r="BDR24" s="104"/>
      <c r="BDS24" s="104"/>
      <c r="BDT24" s="104"/>
      <c r="BDU24" s="104"/>
      <c r="BDV24" s="104"/>
      <c r="BDW24" s="104"/>
      <c r="BDX24" s="104"/>
      <c r="BDY24" s="104"/>
      <c r="BDZ24" s="104"/>
      <c r="BEA24" s="104"/>
      <c r="BEB24" s="104"/>
      <c r="BEC24" s="104"/>
      <c r="BED24" s="104"/>
      <c r="BEE24" s="104"/>
      <c r="BEF24" s="104"/>
      <c r="BEG24" s="104"/>
      <c r="BEH24" s="104"/>
      <c r="BEI24" s="104"/>
      <c r="BEJ24" s="104"/>
      <c r="BEK24" s="104"/>
      <c r="BEL24" s="104"/>
      <c r="BEM24" s="104"/>
      <c r="BEN24" s="104"/>
      <c r="BEO24" s="104"/>
      <c r="BEP24" s="104"/>
      <c r="BEQ24" s="104"/>
      <c r="BER24" s="104"/>
      <c r="BES24" s="104"/>
      <c r="BET24" s="104"/>
      <c r="BEU24" s="104"/>
      <c r="BEV24" s="104"/>
      <c r="BEW24" s="104"/>
      <c r="BEX24" s="104"/>
      <c r="BEY24" s="104"/>
      <c r="BEZ24" s="104"/>
      <c r="BFA24" s="104"/>
      <c r="BFB24" s="104"/>
      <c r="BFC24" s="104"/>
      <c r="BFD24" s="104"/>
      <c r="BFE24" s="104"/>
      <c r="BFF24" s="104"/>
      <c r="BFG24" s="104"/>
      <c r="BFH24" s="104"/>
      <c r="BFI24" s="104"/>
      <c r="BFJ24" s="104"/>
      <c r="BFK24" s="104"/>
      <c r="BFL24" s="104"/>
      <c r="BFM24" s="104"/>
      <c r="BFN24" s="104"/>
      <c r="BFO24" s="104"/>
      <c r="BFP24" s="104"/>
      <c r="BFQ24" s="104"/>
      <c r="BFR24" s="104"/>
      <c r="BFS24" s="104"/>
      <c r="BFT24" s="104"/>
      <c r="BFU24" s="104"/>
      <c r="BFV24" s="104"/>
      <c r="BFW24" s="104"/>
      <c r="BFX24" s="104"/>
      <c r="BFY24" s="104"/>
      <c r="BFZ24" s="104"/>
      <c r="BGA24" s="104"/>
      <c r="BGB24" s="104"/>
      <c r="BGC24" s="104"/>
      <c r="BGD24" s="104"/>
      <c r="BGE24" s="104"/>
      <c r="BGF24" s="104"/>
      <c r="BGG24" s="104"/>
      <c r="BGH24" s="104"/>
      <c r="BGI24" s="104"/>
      <c r="BGJ24" s="104"/>
      <c r="BGK24" s="104"/>
      <c r="BGL24" s="104"/>
      <c r="BGM24" s="104"/>
      <c r="BGN24" s="104"/>
      <c r="BGO24" s="104"/>
      <c r="BGP24" s="104"/>
      <c r="BGQ24" s="104"/>
      <c r="BGR24" s="104"/>
      <c r="BGS24" s="104"/>
      <c r="BGT24" s="104"/>
      <c r="BGU24" s="104"/>
      <c r="BGV24" s="104"/>
      <c r="BGW24" s="104"/>
      <c r="BGX24" s="104"/>
      <c r="BGY24" s="104"/>
      <c r="BGZ24" s="104"/>
      <c r="BHA24" s="104"/>
      <c r="BHB24" s="104"/>
      <c r="BHC24" s="104"/>
      <c r="BHD24" s="104"/>
      <c r="BHE24" s="104"/>
      <c r="BHF24" s="104"/>
      <c r="BHG24" s="104"/>
      <c r="BHH24" s="104"/>
      <c r="BHI24" s="104"/>
      <c r="BHJ24" s="104"/>
      <c r="BHK24" s="104"/>
      <c r="BHL24" s="104"/>
      <c r="BHM24" s="104"/>
      <c r="BHN24" s="104"/>
      <c r="BHO24" s="104"/>
      <c r="BHP24" s="104"/>
      <c r="BHQ24" s="104"/>
      <c r="BHR24" s="104"/>
      <c r="BHS24" s="104"/>
      <c r="BHT24" s="104"/>
      <c r="BHU24" s="104"/>
      <c r="BHV24" s="104"/>
      <c r="BHW24" s="104"/>
      <c r="BHX24" s="104"/>
      <c r="BHY24" s="104"/>
      <c r="BHZ24" s="104"/>
      <c r="BIA24" s="104"/>
      <c r="BIB24" s="104"/>
      <c r="BIC24" s="104"/>
      <c r="BID24" s="104"/>
      <c r="BIE24" s="104"/>
      <c r="BIF24" s="104"/>
      <c r="BIG24" s="104"/>
      <c r="BIH24" s="104"/>
      <c r="BII24" s="104"/>
      <c r="BIJ24" s="104"/>
      <c r="BIK24" s="104"/>
      <c r="BIL24" s="104"/>
      <c r="BIM24" s="104"/>
      <c r="BIN24" s="104"/>
      <c r="BIO24" s="104"/>
      <c r="BIP24" s="104"/>
      <c r="BIQ24" s="104"/>
      <c r="BIR24" s="104"/>
      <c r="BIS24" s="104"/>
      <c r="BIT24" s="104"/>
      <c r="BIU24" s="104"/>
      <c r="BIV24" s="104"/>
      <c r="BIW24" s="104"/>
      <c r="BIX24" s="104"/>
      <c r="BIY24" s="104"/>
      <c r="BIZ24" s="104"/>
      <c r="BJA24" s="104"/>
      <c r="BJB24" s="104"/>
      <c r="BJC24" s="104"/>
      <c r="BJD24" s="104"/>
      <c r="BJE24" s="104"/>
      <c r="BJF24" s="104"/>
      <c r="BJG24" s="104"/>
      <c r="BJH24" s="104"/>
      <c r="BJI24" s="104"/>
      <c r="BJJ24" s="104"/>
      <c r="BJK24" s="104"/>
      <c r="BJL24" s="104"/>
      <c r="BJM24" s="104"/>
      <c r="BJN24" s="104"/>
      <c r="BJO24" s="104"/>
      <c r="BJP24" s="104"/>
      <c r="BJQ24" s="104"/>
      <c r="BJR24" s="104"/>
      <c r="BJS24" s="104"/>
      <c r="BJT24" s="104"/>
      <c r="BJU24" s="104"/>
      <c r="BJV24" s="104"/>
      <c r="BJW24" s="104"/>
      <c r="BJX24" s="104"/>
      <c r="BJY24" s="104"/>
      <c r="BJZ24" s="104"/>
      <c r="BKA24" s="104"/>
      <c r="BKB24" s="104"/>
      <c r="BKC24" s="104"/>
      <c r="BKD24" s="104"/>
      <c r="BKE24" s="104"/>
      <c r="BKF24" s="104"/>
      <c r="BKG24" s="104"/>
      <c r="BKH24" s="104"/>
      <c r="BKI24" s="104"/>
      <c r="BKJ24" s="104"/>
      <c r="BKK24" s="104"/>
      <c r="BKL24" s="104"/>
      <c r="BKM24" s="104"/>
      <c r="BKN24" s="104"/>
      <c r="BKO24" s="104"/>
      <c r="BKP24" s="104"/>
      <c r="BKQ24" s="104"/>
      <c r="BKR24" s="104"/>
      <c r="BKS24" s="104"/>
      <c r="BKT24" s="104"/>
      <c r="BKU24" s="104"/>
      <c r="BKV24" s="104"/>
      <c r="BKW24" s="104"/>
      <c r="BKX24" s="104"/>
      <c r="BKY24" s="104"/>
      <c r="BKZ24" s="104"/>
      <c r="BLA24" s="104"/>
      <c r="BLB24" s="104"/>
      <c r="BLC24" s="104"/>
      <c r="BLD24" s="104"/>
      <c r="BLE24" s="104"/>
      <c r="BLF24" s="104"/>
      <c r="BLG24" s="104"/>
      <c r="BLH24" s="104"/>
      <c r="BLI24" s="104"/>
      <c r="BLJ24" s="104"/>
      <c r="BLK24" s="104"/>
      <c r="BLL24" s="104"/>
      <c r="BLM24" s="104"/>
      <c r="BLN24" s="104"/>
      <c r="BLO24" s="104"/>
      <c r="BLP24" s="104"/>
      <c r="BLQ24" s="104"/>
      <c r="BLR24" s="104"/>
      <c r="BLS24" s="104"/>
      <c r="BLT24" s="104"/>
      <c r="BLU24" s="104"/>
      <c r="BLV24" s="104"/>
      <c r="BLW24" s="104"/>
      <c r="BLX24" s="104"/>
      <c r="BLY24" s="104"/>
      <c r="BLZ24" s="104"/>
      <c r="BMA24" s="104"/>
      <c r="BMB24" s="104"/>
      <c r="BMC24" s="104"/>
      <c r="BMD24" s="104"/>
      <c r="BME24" s="104"/>
      <c r="BMF24" s="104"/>
      <c r="BMG24" s="104"/>
      <c r="BMH24" s="104"/>
      <c r="BMI24" s="104"/>
      <c r="BMJ24" s="104"/>
      <c r="BMK24" s="104"/>
      <c r="BML24" s="104"/>
      <c r="BMM24" s="104"/>
      <c r="BMN24" s="104"/>
      <c r="BMO24" s="104"/>
      <c r="BMP24" s="104"/>
      <c r="BMQ24" s="104"/>
      <c r="BMR24" s="104"/>
      <c r="BMS24" s="104"/>
      <c r="BMT24" s="104"/>
      <c r="BMU24" s="104"/>
      <c r="BMV24" s="104"/>
      <c r="BMW24" s="104"/>
      <c r="BMX24" s="104"/>
      <c r="BMY24" s="104"/>
      <c r="BMZ24" s="104"/>
      <c r="BNA24" s="104"/>
      <c r="BNB24" s="104"/>
      <c r="BNC24" s="104"/>
      <c r="BND24" s="104"/>
      <c r="BNE24" s="104"/>
      <c r="BNF24" s="104"/>
      <c r="BNG24" s="104"/>
      <c r="BNH24" s="104"/>
      <c r="BNI24" s="104"/>
      <c r="BNJ24" s="104"/>
      <c r="BNK24" s="104"/>
      <c r="BNL24" s="104"/>
      <c r="BNM24" s="104"/>
      <c r="BNN24" s="104"/>
      <c r="BNO24" s="104"/>
      <c r="BNP24" s="104"/>
      <c r="BNQ24" s="104"/>
      <c r="BNR24" s="104"/>
      <c r="BNS24" s="104"/>
      <c r="BNT24" s="104"/>
      <c r="BNU24" s="104"/>
      <c r="BNV24" s="104"/>
      <c r="BNW24" s="104"/>
      <c r="BNX24" s="104"/>
      <c r="BNY24" s="104"/>
      <c r="BNZ24" s="104"/>
      <c r="BOA24" s="104"/>
      <c r="BOB24" s="104"/>
      <c r="BOC24" s="104"/>
      <c r="BOD24" s="104"/>
      <c r="BOE24" s="104"/>
      <c r="BOF24" s="104"/>
      <c r="BOG24" s="104"/>
      <c r="BOH24" s="104"/>
      <c r="BOI24" s="104"/>
      <c r="BOJ24" s="104"/>
      <c r="BOK24" s="104"/>
      <c r="BOL24" s="104"/>
      <c r="BOM24" s="104"/>
      <c r="BON24" s="104"/>
      <c r="BOO24" s="104"/>
      <c r="BOP24" s="104"/>
      <c r="BOQ24" s="104"/>
      <c r="BOR24" s="104"/>
      <c r="BOS24" s="104"/>
      <c r="BOT24" s="104"/>
      <c r="BOU24" s="104"/>
      <c r="BOV24" s="104"/>
      <c r="BOW24" s="104"/>
      <c r="BOX24" s="104"/>
      <c r="BOY24" s="104"/>
      <c r="BOZ24" s="104"/>
      <c r="BPA24" s="104"/>
      <c r="BPB24" s="104"/>
      <c r="BPC24" s="104"/>
      <c r="BPD24" s="104"/>
      <c r="BPE24" s="104"/>
      <c r="BPF24" s="104"/>
      <c r="BPG24" s="104"/>
      <c r="BPH24" s="104"/>
      <c r="BPI24" s="104"/>
      <c r="BPJ24" s="104"/>
      <c r="BPK24" s="104"/>
      <c r="BPL24" s="104"/>
      <c r="BPM24" s="104"/>
      <c r="BPN24" s="104"/>
      <c r="BPO24" s="104"/>
      <c r="BPP24" s="104"/>
      <c r="BPQ24" s="104"/>
      <c r="BPR24" s="104"/>
      <c r="BPS24" s="104"/>
      <c r="BPT24" s="104"/>
      <c r="BPU24" s="104"/>
      <c r="BPV24" s="104"/>
      <c r="BPW24" s="104"/>
      <c r="BPX24" s="104"/>
      <c r="BPY24" s="104"/>
      <c r="BPZ24" s="104"/>
      <c r="BQA24" s="104"/>
      <c r="BQB24" s="104"/>
      <c r="BQC24" s="104"/>
      <c r="BQD24" s="104"/>
      <c r="BQE24" s="104"/>
      <c r="BQF24" s="104"/>
      <c r="BQG24" s="104"/>
      <c r="BQH24" s="104"/>
      <c r="BQI24" s="104"/>
      <c r="BQJ24" s="104"/>
      <c r="BQK24" s="104"/>
      <c r="BQL24" s="104"/>
      <c r="BQM24" s="104"/>
      <c r="BQN24" s="104"/>
      <c r="BQO24" s="104"/>
      <c r="BQP24" s="104"/>
      <c r="BQQ24" s="104"/>
      <c r="BQR24" s="104"/>
      <c r="BQS24" s="104"/>
      <c r="BQT24" s="104"/>
      <c r="BQU24" s="104"/>
      <c r="BQV24" s="104"/>
      <c r="BQW24" s="104"/>
      <c r="BQX24" s="104"/>
      <c r="BQY24" s="104"/>
      <c r="BQZ24" s="104"/>
      <c r="BRA24" s="104"/>
      <c r="BRB24" s="104"/>
      <c r="BRC24" s="104"/>
      <c r="BRD24" s="104"/>
      <c r="BRE24" s="104"/>
      <c r="BRF24" s="104"/>
      <c r="BRG24" s="104"/>
      <c r="BRH24" s="104"/>
      <c r="BRI24" s="104"/>
      <c r="BRJ24" s="104"/>
      <c r="BRK24" s="104"/>
      <c r="BRL24" s="104"/>
      <c r="BRM24" s="104"/>
      <c r="BRN24" s="104"/>
      <c r="BRO24" s="104"/>
      <c r="BRP24" s="104"/>
      <c r="BRQ24" s="104"/>
      <c r="BRR24" s="104"/>
      <c r="BRS24" s="104"/>
      <c r="BRT24" s="104"/>
      <c r="BRU24" s="104"/>
      <c r="BRV24" s="104"/>
      <c r="BRW24" s="104"/>
      <c r="BRX24" s="104"/>
      <c r="BRY24" s="104"/>
      <c r="BRZ24" s="104"/>
      <c r="BSA24" s="104"/>
      <c r="BSB24" s="104"/>
      <c r="BSC24" s="104"/>
      <c r="BSD24" s="104"/>
      <c r="BSE24" s="104"/>
      <c r="BSF24" s="104"/>
      <c r="BSG24" s="104"/>
      <c r="BSH24" s="104"/>
      <c r="BSI24" s="104"/>
      <c r="BSJ24" s="104"/>
      <c r="BSK24" s="104"/>
      <c r="BSL24" s="104"/>
      <c r="BSM24" s="104"/>
      <c r="BSN24" s="104"/>
      <c r="BSO24" s="104"/>
      <c r="BSP24" s="104"/>
      <c r="BSQ24" s="104"/>
      <c r="BSR24" s="104"/>
      <c r="BSS24" s="104"/>
      <c r="BST24" s="104"/>
      <c r="BSU24" s="104"/>
      <c r="BSV24" s="104"/>
      <c r="BSW24" s="104"/>
      <c r="BSX24" s="104"/>
      <c r="BSY24" s="104"/>
      <c r="BSZ24" s="104"/>
      <c r="BTA24" s="104"/>
      <c r="BTB24" s="104"/>
      <c r="BTC24" s="104"/>
      <c r="BTD24" s="104"/>
      <c r="BTE24" s="104"/>
      <c r="BTF24" s="104"/>
      <c r="BTG24" s="104"/>
      <c r="BTH24" s="104"/>
      <c r="BTI24" s="104"/>
      <c r="BTJ24" s="104"/>
      <c r="BTK24" s="104"/>
      <c r="BTL24" s="104"/>
      <c r="BTM24" s="104"/>
      <c r="BTN24" s="104"/>
      <c r="BTO24" s="104"/>
      <c r="BTP24" s="104"/>
      <c r="BTQ24" s="104"/>
      <c r="BTR24" s="104"/>
      <c r="BTS24" s="104"/>
      <c r="BTT24" s="104"/>
      <c r="BTU24" s="104"/>
      <c r="BTV24" s="104"/>
      <c r="BTW24" s="104"/>
      <c r="BTX24" s="104"/>
      <c r="BTY24" s="104"/>
      <c r="BTZ24" s="104"/>
      <c r="BUA24" s="104"/>
      <c r="BUB24" s="104"/>
      <c r="BUC24" s="104"/>
      <c r="BUD24" s="104"/>
      <c r="BUE24" s="104"/>
      <c r="BUF24" s="104"/>
      <c r="BUG24" s="104"/>
      <c r="BUH24" s="104"/>
      <c r="BUI24" s="104"/>
      <c r="BUJ24" s="104"/>
      <c r="BUK24" s="104"/>
      <c r="BUL24" s="104"/>
      <c r="BUM24" s="104"/>
      <c r="BUN24" s="104"/>
      <c r="BUO24" s="104"/>
      <c r="BUP24" s="104"/>
      <c r="BUQ24" s="104"/>
      <c r="BUR24" s="104"/>
      <c r="BUS24" s="104"/>
      <c r="BUT24" s="104"/>
      <c r="BUU24" s="104"/>
      <c r="BUV24" s="104"/>
      <c r="BUW24" s="104"/>
      <c r="BUX24" s="104"/>
      <c r="BUY24" s="104"/>
      <c r="BUZ24" s="104"/>
      <c r="BVA24" s="104"/>
      <c r="BVB24" s="104"/>
      <c r="BVC24" s="104"/>
      <c r="BVD24" s="104"/>
      <c r="BVE24" s="104"/>
      <c r="BVF24" s="104"/>
      <c r="BVG24" s="104"/>
      <c r="BVH24" s="104"/>
      <c r="BVI24" s="104"/>
      <c r="BVJ24" s="104"/>
      <c r="BVK24" s="104"/>
      <c r="BVL24" s="104"/>
      <c r="BVM24" s="104"/>
      <c r="BVN24" s="104"/>
      <c r="BVO24" s="104"/>
      <c r="BVP24" s="104"/>
      <c r="BVQ24" s="104"/>
      <c r="BVR24" s="104"/>
      <c r="BVS24" s="104"/>
      <c r="BVT24" s="104"/>
      <c r="BVU24" s="104"/>
      <c r="BVV24" s="104"/>
      <c r="BVW24" s="104"/>
      <c r="BVX24" s="104"/>
      <c r="BVY24" s="104"/>
      <c r="BVZ24" s="104"/>
      <c r="BWA24" s="104"/>
      <c r="BWB24" s="104"/>
      <c r="BWC24" s="104"/>
      <c r="BWD24" s="104"/>
      <c r="BWE24" s="104"/>
      <c r="BWF24" s="104"/>
      <c r="BWG24" s="104"/>
      <c r="BWH24" s="104"/>
      <c r="BWI24" s="104"/>
      <c r="BWJ24" s="104"/>
      <c r="BWK24" s="104"/>
      <c r="BWL24" s="104"/>
      <c r="BWM24" s="104"/>
      <c r="BWN24" s="104"/>
      <c r="BWO24" s="104"/>
      <c r="BWP24" s="104"/>
      <c r="BWQ24" s="104"/>
      <c r="BWR24" s="104"/>
      <c r="BWS24" s="104"/>
      <c r="BWT24" s="104"/>
      <c r="BWU24" s="104"/>
      <c r="BWV24" s="104"/>
      <c r="BWW24" s="104"/>
      <c r="BWX24" s="104"/>
      <c r="BWY24" s="104"/>
      <c r="BWZ24" s="104"/>
      <c r="BXA24" s="104"/>
      <c r="BXB24" s="104"/>
      <c r="BXC24" s="104"/>
      <c r="BXD24" s="104"/>
      <c r="BXE24" s="104"/>
      <c r="BXF24" s="104"/>
      <c r="BXG24" s="104"/>
      <c r="BXH24" s="104"/>
      <c r="BXI24" s="104"/>
      <c r="BXJ24" s="104"/>
      <c r="BXK24" s="104"/>
      <c r="BXL24" s="104"/>
      <c r="BXM24" s="104"/>
      <c r="BXN24" s="104"/>
      <c r="BXO24" s="104"/>
      <c r="BXP24" s="104"/>
      <c r="BXQ24" s="104"/>
      <c r="BXR24" s="104"/>
      <c r="BXS24" s="104"/>
      <c r="BXT24" s="104"/>
    </row>
    <row r="25" spans="1:1996" s="1173" customFormat="1" ht="21" customHeight="1" thickBot="1" x14ac:dyDescent="0.55000000000000004">
      <c r="A25" s="183" t="s">
        <v>414</v>
      </c>
      <c r="B25" s="1200">
        <v>5018.5416079218612</v>
      </c>
      <c r="C25" s="1201">
        <v>4371.4768533360802</v>
      </c>
      <c r="D25" s="1201">
        <v>4429.8542711576301</v>
      </c>
      <c r="E25" s="1201">
        <v>4465.2386151798364</v>
      </c>
      <c r="F25" s="1201">
        <v>4488.0833599360758</v>
      </c>
      <c r="G25" s="1201">
        <v>4737.4984330740008</v>
      </c>
      <c r="H25" s="1201">
        <v>4269.8615880276893</v>
      </c>
      <c r="I25" s="1201">
        <v>4450.7949846178881</v>
      </c>
      <c r="J25" s="1201">
        <v>4725.8183188609537</v>
      </c>
      <c r="K25" s="1201">
        <v>4503.1429324490018</v>
      </c>
      <c r="L25" s="1201">
        <v>4748.471381315645</v>
      </c>
      <c r="M25" s="1201">
        <v>4221.6671043020597</v>
      </c>
      <c r="N25" s="1201">
        <v>3021.0114484920173</v>
      </c>
      <c r="O25" s="1201">
        <v>2886.8842099199996</v>
      </c>
      <c r="P25" s="1201">
        <v>3236.8111765799999</v>
      </c>
      <c r="Q25" s="1201">
        <v>3341.4843172599999</v>
      </c>
      <c r="R25" s="1201">
        <v>3646.2824010499999</v>
      </c>
      <c r="S25" s="1201">
        <v>2639.4629274499998</v>
      </c>
      <c r="T25" s="1201">
        <v>2505.6514496399996</v>
      </c>
      <c r="U25" s="1201">
        <v>3084.4440691099999</v>
      </c>
      <c r="V25" s="1201">
        <v>2764.9529319000003</v>
      </c>
      <c r="W25" s="1201">
        <v>2481.4023879800002</v>
      </c>
      <c r="X25" s="1201">
        <v>2470.0378223300004</v>
      </c>
      <c r="Y25" s="1201">
        <v>2624.8461178700004</v>
      </c>
      <c r="Z25" s="1201">
        <v>2587.1946217599998</v>
      </c>
      <c r="AA25" s="1201">
        <v>2972.6673074200007</v>
      </c>
      <c r="AB25" s="1201">
        <v>2658.9261905299995</v>
      </c>
      <c r="AC25" s="1201">
        <v>2920.2991184399998</v>
      </c>
      <c r="AD25" s="1201">
        <v>3878.3389604000004</v>
      </c>
      <c r="AE25" s="1201">
        <v>2980.3911409100001</v>
      </c>
      <c r="AF25" s="1201">
        <v>2968.3595149499997</v>
      </c>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c r="HV25" s="104"/>
      <c r="HW25" s="104"/>
      <c r="HX25" s="104"/>
      <c r="HY25" s="104"/>
      <c r="HZ25" s="104"/>
      <c r="IA25" s="104"/>
      <c r="IB25" s="104"/>
      <c r="IC25" s="104"/>
      <c r="ID25" s="104"/>
      <c r="IE25" s="104"/>
      <c r="IF25" s="104"/>
      <c r="IG25" s="104"/>
      <c r="IH25" s="104"/>
      <c r="II25" s="104"/>
      <c r="IJ25" s="104"/>
      <c r="IK25" s="104"/>
      <c r="IL25" s="104"/>
      <c r="IM25" s="104"/>
      <c r="IN25" s="104"/>
      <c r="IO25" s="104"/>
      <c r="IP25" s="104"/>
      <c r="IQ25" s="104"/>
      <c r="IR25" s="104"/>
      <c r="IS25" s="104"/>
      <c r="IT25" s="104"/>
      <c r="IU25" s="104"/>
      <c r="IV25" s="104"/>
      <c r="IW25" s="104"/>
      <c r="IX25" s="104"/>
      <c r="IY25" s="104"/>
      <c r="IZ25" s="104"/>
      <c r="JA25" s="104"/>
      <c r="JB25" s="104"/>
      <c r="JC25" s="104"/>
      <c r="JD25" s="104"/>
      <c r="JE25" s="104"/>
      <c r="JF25" s="104"/>
      <c r="JG25" s="104"/>
      <c r="JH25" s="104"/>
      <c r="JI25" s="104"/>
      <c r="JJ25" s="104"/>
      <c r="JK25" s="104"/>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LM25" s="104"/>
      <c r="LN25" s="104"/>
      <c r="LO25" s="104"/>
      <c r="LP25" s="104"/>
      <c r="LQ25" s="104"/>
      <c r="LR25" s="104"/>
      <c r="LS25" s="104"/>
      <c r="LT25" s="104"/>
      <c r="LU25" s="104"/>
      <c r="LV25" s="104"/>
      <c r="LW25" s="104"/>
      <c r="LX25" s="104"/>
      <c r="LY25" s="104"/>
      <c r="LZ25" s="104"/>
      <c r="MA25" s="104"/>
      <c r="MB25" s="104"/>
      <c r="MC25" s="104"/>
      <c r="MD25" s="104"/>
      <c r="ME25" s="104"/>
      <c r="MF25" s="104"/>
      <c r="MG25" s="104"/>
      <c r="MH25" s="104"/>
      <c r="MI25" s="104"/>
      <c r="MJ25" s="104"/>
      <c r="MK25" s="104"/>
      <c r="ML25" s="104"/>
      <c r="MM25" s="104"/>
      <c r="MN25" s="104"/>
      <c r="MO25" s="104"/>
      <c r="MP25" s="104"/>
      <c r="MQ25" s="104"/>
      <c r="MR25" s="104"/>
      <c r="MS25" s="104"/>
      <c r="MT25" s="104"/>
      <c r="MU25" s="104"/>
      <c r="MV25" s="104"/>
      <c r="MW25" s="104"/>
      <c r="MX25" s="104"/>
      <c r="MY25" s="104"/>
      <c r="MZ25" s="104"/>
      <c r="NA25" s="104"/>
      <c r="NB25" s="104"/>
      <c r="NC25" s="104"/>
      <c r="ND25" s="104"/>
      <c r="NE25" s="104"/>
      <c r="NF25" s="104"/>
      <c r="NG25" s="104"/>
      <c r="NH25" s="104"/>
      <c r="NI25" s="104"/>
      <c r="NJ25" s="104"/>
      <c r="NK25" s="104"/>
      <c r="NL25" s="104"/>
      <c r="NM25" s="104"/>
      <c r="NN25" s="104"/>
      <c r="NO25" s="104"/>
      <c r="NP25" s="104"/>
      <c r="NQ25" s="104"/>
      <c r="NR25" s="104"/>
      <c r="NS25" s="104"/>
      <c r="NT25" s="104"/>
      <c r="NU25" s="104"/>
      <c r="NV25" s="104"/>
      <c r="NW25" s="104"/>
      <c r="NX25" s="104"/>
      <c r="NY25" s="104"/>
      <c r="NZ25" s="104"/>
      <c r="OA25" s="104"/>
      <c r="OB25" s="104"/>
      <c r="OC25" s="104"/>
      <c r="OD25" s="104"/>
      <c r="OE25" s="104"/>
      <c r="OF25" s="104"/>
      <c r="OG25" s="104"/>
      <c r="OH25" s="104"/>
      <c r="OI25" s="104"/>
      <c r="OJ25" s="104"/>
      <c r="OK25" s="104"/>
      <c r="OL25" s="104"/>
      <c r="OM25" s="104"/>
      <c r="ON25" s="104"/>
      <c r="OO25" s="104"/>
      <c r="OP25" s="104"/>
      <c r="OQ25" s="104"/>
      <c r="OR25" s="104"/>
      <c r="OS25" s="104"/>
      <c r="OT25" s="104"/>
      <c r="OU25" s="104"/>
      <c r="OV25" s="104"/>
      <c r="OW25" s="104"/>
      <c r="OX25" s="104"/>
      <c r="OY25" s="104"/>
      <c r="OZ25" s="104"/>
      <c r="PA25" s="104"/>
      <c r="PB25" s="104"/>
      <c r="PC25" s="104"/>
      <c r="PD25" s="104"/>
      <c r="PE25" s="104"/>
      <c r="PF25" s="104"/>
      <c r="PG25" s="104"/>
      <c r="PH25" s="104"/>
      <c r="PI25" s="104"/>
      <c r="PJ25" s="104"/>
      <c r="PK25" s="104"/>
      <c r="PL25" s="104"/>
      <c r="PM25" s="104"/>
      <c r="PN25" s="104"/>
      <c r="PO25" s="104"/>
      <c r="PP25" s="104"/>
      <c r="PQ25" s="104"/>
      <c r="PR25" s="104"/>
      <c r="PS25" s="104"/>
      <c r="PT25" s="104"/>
      <c r="PU25" s="104"/>
      <c r="PV25" s="104"/>
      <c r="PW25" s="104"/>
      <c r="PX25" s="104"/>
      <c r="PY25" s="104"/>
      <c r="PZ25" s="104"/>
      <c r="QA25" s="104"/>
      <c r="QB25" s="104"/>
      <c r="QC25" s="104"/>
      <c r="QD25" s="104"/>
      <c r="QE25" s="104"/>
      <c r="QF25" s="104"/>
      <c r="QG25" s="104"/>
      <c r="QH25" s="104"/>
      <c r="QI25" s="104"/>
      <c r="QJ25" s="104"/>
      <c r="QK25" s="104"/>
      <c r="QL25" s="104"/>
      <c r="QM25" s="104"/>
      <c r="QN25" s="104"/>
      <c r="QO25" s="104"/>
      <c r="QP25" s="104"/>
      <c r="QQ25" s="104"/>
      <c r="QR25" s="104"/>
      <c r="QS25" s="104"/>
      <c r="QT25" s="104"/>
      <c r="QU25" s="104"/>
      <c r="QV25" s="104"/>
      <c r="QW25" s="104"/>
      <c r="QX25" s="104"/>
      <c r="QY25" s="104"/>
      <c r="QZ25" s="104"/>
      <c r="RA25" s="104"/>
      <c r="RB25" s="104"/>
      <c r="RC25" s="104"/>
      <c r="RD25" s="104"/>
      <c r="RE25" s="104"/>
      <c r="RF25" s="104"/>
      <c r="RG25" s="104"/>
      <c r="RH25" s="104"/>
      <c r="RI25" s="104"/>
      <c r="RJ25" s="104"/>
      <c r="RK25" s="104"/>
      <c r="RL25" s="104"/>
      <c r="RM25" s="104"/>
      <c r="RN25" s="104"/>
      <c r="RO25" s="104"/>
      <c r="RP25" s="104"/>
      <c r="RQ25" s="104"/>
      <c r="RR25" s="104"/>
      <c r="RS25" s="104"/>
      <c r="RT25" s="104"/>
      <c r="RU25" s="104"/>
      <c r="RV25" s="104"/>
      <c r="RW25" s="104"/>
      <c r="RX25" s="104"/>
      <c r="RY25" s="104"/>
      <c r="RZ25" s="104"/>
      <c r="SA25" s="104"/>
      <c r="SB25" s="104"/>
      <c r="SC25" s="104"/>
      <c r="SD25" s="104"/>
      <c r="SE25" s="104"/>
      <c r="SF25" s="104"/>
      <c r="SG25" s="104"/>
      <c r="SH25" s="104"/>
      <c r="SI25" s="104"/>
      <c r="SJ25" s="104"/>
      <c r="SK25" s="104"/>
      <c r="SL25" s="104"/>
      <c r="SM25" s="104"/>
      <c r="SN25" s="104"/>
      <c r="SO25" s="104"/>
      <c r="SP25" s="104"/>
      <c r="SQ25" s="104"/>
      <c r="SR25" s="104"/>
      <c r="SS25" s="104"/>
      <c r="ST25" s="104"/>
      <c r="SU25" s="104"/>
      <c r="SV25" s="104"/>
      <c r="SW25" s="104"/>
      <c r="SX25" s="104"/>
      <c r="SY25" s="104"/>
      <c r="SZ25" s="104"/>
      <c r="TA25" s="104"/>
      <c r="TB25" s="104"/>
      <c r="TC25" s="104"/>
      <c r="TD25" s="104"/>
      <c r="TE25" s="104"/>
      <c r="TF25" s="104"/>
      <c r="TG25" s="104"/>
      <c r="TH25" s="104"/>
      <c r="TI25" s="104"/>
      <c r="TJ25" s="104"/>
      <c r="TK25" s="104"/>
      <c r="TL25" s="104"/>
      <c r="TM25" s="104"/>
      <c r="TN25" s="104"/>
      <c r="TO25" s="104"/>
      <c r="TP25" s="104"/>
      <c r="TQ25" s="104"/>
      <c r="TR25" s="104"/>
      <c r="TS25" s="104"/>
      <c r="TT25" s="104"/>
      <c r="TU25" s="104"/>
      <c r="TV25" s="104"/>
      <c r="TW25" s="104"/>
      <c r="TX25" s="104"/>
      <c r="TY25" s="104"/>
      <c r="TZ25" s="104"/>
      <c r="UA25" s="104"/>
      <c r="UB25" s="104"/>
      <c r="UC25" s="104"/>
      <c r="UD25" s="104"/>
      <c r="UE25" s="104"/>
      <c r="UF25" s="104"/>
      <c r="UG25" s="104"/>
      <c r="UH25" s="104"/>
      <c r="UI25" s="104"/>
      <c r="UJ25" s="104"/>
      <c r="UK25" s="104"/>
      <c r="UL25" s="104"/>
      <c r="UM25" s="104"/>
      <c r="UN25" s="104"/>
      <c r="UO25" s="104"/>
      <c r="UP25" s="104"/>
      <c r="UQ25" s="104"/>
      <c r="UR25" s="104"/>
      <c r="US25" s="104"/>
      <c r="UT25" s="104"/>
      <c r="UU25" s="104"/>
      <c r="UV25" s="104"/>
      <c r="UW25" s="104"/>
      <c r="UX25" s="104"/>
      <c r="UY25" s="104"/>
      <c r="UZ25" s="104"/>
      <c r="VA25" s="104"/>
      <c r="VB25" s="104"/>
      <c r="VC25" s="104"/>
      <c r="VD25" s="104"/>
      <c r="VE25" s="104"/>
      <c r="VF25" s="104"/>
      <c r="VG25" s="104"/>
      <c r="VH25" s="104"/>
      <c r="VI25" s="104"/>
      <c r="VJ25" s="104"/>
      <c r="VK25" s="104"/>
      <c r="VL25" s="104"/>
      <c r="VM25" s="104"/>
      <c r="VN25" s="104"/>
      <c r="VO25" s="104"/>
      <c r="VP25" s="104"/>
      <c r="VQ25" s="104"/>
      <c r="VR25" s="104"/>
      <c r="VS25" s="104"/>
      <c r="VT25" s="104"/>
      <c r="VU25" s="104"/>
      <c r="VV25" s="104"/>
      <c r="VW25" s="104"/>
      <c r="VX25" s="104"/>
      <c r="VY25" s="104"/>
      <c r="VZ25" s="104"/>
      <c r="WA25" s="104"/>
      <c r="WB25" s="104"/>
      <c r="WC25" s="104"/>
      <c r="WD25" s="104"/>
      <c r="WE25" s="104"/>
      <c r="WF25" s="104"/>
      <c r="WG25" s="104"/>
      <c r="WH25" s="104"/>
      <c r="WI25" s="104"/>
      <c r="WJ25" s="104"/>
      <c r="WK25" s="104"/>
      <c r="WL25" s="104"/>
      <c r="WM25" s="104"/>
      <c r="WN25" s="104"/>
      <c r="WO25" s="104"/>
      <c r="WP25" s="104"/>
      <c r="WQ25" s="104"/>
      <c r="WR25" s="104"/>
      <c r="WS25" s="104"/>
      <c r="WT25" s="104"/>
      <c r="WU25" s="104"/>
      <c r="WV25" s="104"/>
      <c r="WW25" s="104"/>
      <c r="WX25" s="104"/>
      <c r="WY25" s="104"/>
      <c r="WZ25" s="104"/>
      <c r="XA25" s="104"/>
      <c r="XB25" s="104"/>
      <c r="XC25" s="104"/>
      <c r="XD25" s="104"/>
      <c r="XE25" s="104"/>
      <c r="XF25" s="104"/>
      <c r="XG25" s="104"/>
      <c r="XH25" s="104"/>
      <c r="XI25" s="104"/>
      <c r="XJ25" s="104"/>
      <c r="XK25" s="104"/>
      <c r="XL25" s="104"/>
      <c r="XM25" s="104"/>
      <c r="XN25" s="104"/>
      <c r="XO25" s="104"/>
      <c r="XP25" s="104"/>
      <c r="XQ25" s="104"/>
      <c r="XR25" s="104"/>
      <c r="XS25" s="104"/>
      <c r="XT25" s="104"/>
      <c r="XU25" s="104"/>
      <c r="XV25" s="104"/>
      <c r="XW25" s="104"/>
      <c r="XX25" s="104"/>
      <c r="XY25" s="104"/>
      <c r="XZ25" s="104"/>
      <c r="YA25" s="104"/>
      <c r="YB25" s="104"/>
      <c r="YC25" s="104"/>
      <c r="YD25" s="104"/>
      <c r="YE25" s="104"/>
      <c r="YF25" s="104"/>
      <c r="YG25" s="104"/>
      <c r="YH25" s="104"/>
      <c r="YI25" s="104"/>
      <c r="YJ25" s="104"/>
      <c r="YK25" s="104"/>
      <c r="YL25" s="104"/>
      <c r="YM25" s="104"/>
      <c r="YN25" s="104"/>
      <c r="YO25" s="104"/>
      <c r="YP25" s="104"/>
      <c r="YQ25" s="104"/>
      <c r="YR25" s="104"/>
      <c r="YS25" s="104"/>
      <c r="YT25" s="104"/>
      <c r="YU25" s="104"/>
      <c r="YV25" s="104"/>
      <c r="YW25" s="104"/>
      <c r="YX25" s="104"/>
      <c r="YY25" s="104"/>
      <c r="YZ25" s="104"/>
      <c r="ZA25" s="104"/>
      <c r="ZB25" s="104"/>
      <c r="ZC25" s="104"/>
      <c r="ZD25" s="104"/>
      <c r="ZE25" s="104"/>
      <c r="ZF25" s="104"/>
      <c r="ZG25" s="104"/>
      <c r="ZH25" s="104"/>
      <c r="ZI25" s="104"/>
      <c r="ZJ25" s="104"/>
      <c r="ZK25" s="104"/>
      <c r="ZL25" s="104"/>
      <c r="ZM25" s="104"/>
      <c r="ZN25" s="104"/>
      <c r="ZO25" s="104"/>
      <c r="ZP25" s="104"/>
      <c r="ZQ25" s="104"/>
      <c r="ZR25" s="104"/>
      <c r="ZS25" s="104"/>
      <c r="ZT25" s="104"/>
      <c r="ZU25" s="104"/>
      <c r="ZV25" s="104"/>
      <c r="ZW25" s="104"/>
      <c r="ZX25" s="104"/>
      <c r="ZY25" s="104"/>
      <c r="ZZ25" s="104"/>
      <c r="AAA25" s="104"/>
      <c r="AAB25" s="104"/>
      <c r="AAC25" s="104"/>
      <c r="AAD25" s="104"/>
      <c r="AAE25" s="104"/>
      <c r="AAF25" s="104"/>
      <c r="AAG25" s="104"/>
      <c r="AAH25" s="104"/>
      <c r="AAI25" s="104"/>
      <c r="AAJ25" s="104"/>
      <c r="AAK25" s="104"/>
      <c r="AAL25" s="104"/>
      <c r="AAM25" s="104"/>
      <c r="AAN25" s="104"/>
      <c r="AAO25" s="104"/>
      <c r="AAP25" s="104"/>
      <c r="AAQ25" s="104"/>
      <c r="AAR25" s="104"/>
      <c r="AAS25" s="104"/>
      <c r="AAT25" s="104"/>
      <c r="AAU25" s="104"/>
      <c r="AAV25" s="104"/>
      <c r="AAW25" s="104"/>
      <c r="AAX25" s="104"/>
      <c r="AAY25" s="104"/>
      <c r="AAZ25" s="104"/>
      <c r="ABA25" s="104"/>
      <c r="ABB25" s="104"/>
      <c r="ABC25" s="104"/>
      <c r="ABD25" s="104"/>
      <c r="ABE25" s="104"/>
      <c r="ABF25" s="104"/>
      <c r="ABG25" s="104"/>
      <c r="ABH25" s="104"/>
      <c r="ABI25" s="104"/>
      <c r="ABJ25" s="104"/>
      <c r="ABK25" s="104"/>
      <c r="ABL25" s="104"/>
      <c r="ABM25" s="104"/>
      <c r="ABN25" s="104"/>
      <c r="ABO25" s="104"/>
      <c r="ABP25" s="104"/>
      <c r="ABQ25" s="104"/>
      <c r="ABR25" s="104"/>
      <c r="ABS25" s="104"/>
      <c r="ABT25" s="104"/>
      <c r="ABU25" s="104"/>
      <c r="ABV25" s="104"/>
      <c r="ABW25" s="104"/>
      <c r="ABX25" s="104"/>
      <c r="ABY25" s="104"/>
      <c r="ABZ25" s="104"/>
      <c r="ACA25" s="104"/>
      <c r="ACB25" s="104"/>
      <c r="ACC25" s="104"/>
      <c r="ACD25" s="104"/>
      <c r="ACE25" s="104"/>
      <c r="ACF25" s="104"/>
      <c r="ACG25" s="104"/>
      <c r="ACH25" s="104"/>
      <c r="ACI25" s="104"/>
      <c r="ACJ25" s="104"/>
      <c r="ACK25" s="104"/>
      <c r="ACL25" s="104"/>
      <c r="ACM25" s="104"/>
      <c r="ACN25" s="104"/>
      <c r="ACO25" s="104"/>
      <c r="ACP25" s="104"/>
      <c r="ACQ25" s="104"/>
      <c r="ACR25" s="104"/>
      <c r="ACS25" s="104"/>
      <c r="ACT25" s="104"/>
      <c r="ACU25" s="104"/>
      <c r="ACV25" s="104"/>
      <c r="ACW25" s="104"/>
      <c r="ACX25" s="104"/>
      <c r="ACY25" s="104"/>
      <c r="ACZ25" s="104"/>
      <c r="ADA25" s="104"/>
      <c r="ADB25" s="104"/>
      <c r="ADC25" s="104"/>
      <c r="ADD25" s="104"/>
      <c r="ADE25" s="104"/>
      <c r="ADF25" s="104"/>
      <c r="ADG25" s="104"/>
      <c r="ADH25" s="104"/>
      <c r="ADI25" s="104"/>
      <c r="ADJ25" s="104"/>
      <c r="ADK25" s="104"/>
      <c r="ADL25" s="104"/>
      <c r="ADM25" s="104"/>
      <c r="ADN25" s="104"/>
      <c r="ADO25" s="104"/>
      <c r="ADP25" s="104"/>
      <c r="ADQ25" s="104"/>
      <c r="ADR25" s="104"/>
      <c r="ADS25" s="104"/>
      <c r="ADT25" s="104"/>
      <c r="ADU25" s="104"/>
      <c r="ADV25" s="104"/>
      <c r="ADW25" s="104"/>
      <c r="ADX25" s="104"/>
      <c r="ADY25" s="104"/>
      <c r="ADZ25" s="104"/>
      <c r="AEA25" s="104"/>
      <c r="AEB25" s="104"/>
      <c r="AEC25" s="104"/>
      <c r="AED25" s="104"/>
      <c r="AEE25" s="104"/>
      <c r="AEF25" s="104"/>
      <c r="AEG25" s="104"/>
      <c r="AEH25" s="104"/>
      <c r="AEI25" s="104"/>
      <c r="AEJ25" s="104"/>
      <c r="AEK25" s="104"/>
      <c r="AEL25" s="104"/>
      <c r="AEM25" s="104"/>
      <c r="AEN25" s="104"/>
      <c r="AEO25" s="104"/>
      <c r="AEP25" s="104"/>
      <c r="AEQ25" s="104"/>
      <c r="AER25" s="104"/>
      <c r="AES25" s="104"/>
      <c r="AET25" s="104"/>
      <c r="AEU25" s="104"/>
      <c r="AEV25" s="104"/>
      <c r="AEW25" s="104"/>
      <c r="AEX25" s="104"/>
      <c r="AEY25" s="104"/>
      <c r="AEZ25" s="104"/>
      <c r="AFA25" s="104"/>
      <c r="AFB25" s="104"/>
      <c r="AFC25" s="104"/>
      <c r="AFD25" s="104"/>
      <c r="AFE25" s="104"/>
      <c r="AFF25" s="104"/>
      <c r="AFG25" s="104"/>
      <c r="AFH25" s="104"/>
      <c r="AFI25" s="104"/>
      <c r="AFJ25" s="104"/>
      <c r="AFK25" s="104"/>
      <c r="AFL25" s="104"/>
      <c r="AFM25" s="104"/>
      <c r="AFN25" s="104"/>
      <c r="AFO25" s="104"/>
      <c r="AFP25" s="104"/>
      <c r="AFQ25" s="104"/>
      <c r="AFR25" s="104"/>
      <c r="AFS25" s="104"/>
      <c r="AFT25" s="104"/>
      <c r="AFU25" s="104"/>
      <c r="AFV25" s="104"/>
      <c r="AFW25" s="104"/>
      <c r="AFX25" s="104"/>
      <c r="AFY25" s="104"/>
      <c r="AFZ25" s="104"/>
      <c r="AGA25" s="104"/>
      <c r="AGB25" s="104"/>
      <c r="AGC25" s="104"/>
      <c r="AGD25" s="104"/>
      <c r="AGE25" s="104"/>
      <c r="AGF25" s="104"/>
      <c r="AGG25" s="104"/>
      <c r="AGH25" s="104"/>
      <c r="AGI25" s="104"/>
      <c r="AGJ25" s="104"/>
      <c r="AGK25" s="104"/>
      <c r="AGL25" s="104"/>
      <c r="AGM25" s="104"/>
      <c r="AGN25" s="104"/>
      <c r="AGO25" s="104"/>
      <c r="AGP25" s="104"/>
      <c r="AGQ25" s="104"/>
      <c r="AGR25" s="104"/>
      <c r="AGS25" s="104"/>
      <c r="AGT25" s="104"/>
      <c r="AGU25" s="104"/>
      <c r="AGV25" s="104"/>
      <c r="AGW25" s="104"/>
      <c r="AGX25" s="104"/>
      <c r="AGY25" s="104"/>
      <c r="AGZ25" s="104"/>
      <c r="AHA25" s="104"/>
      <c r="AHB25" s="104"/>
      <c r="AHC25" s="104"/>
      <c r="AHD25" s="104"/>
      <c r="AHE25" s="104"/>
      <c r="AHF25" s="104"/>
      <c r="AHG25" s="104"/>
      <c r="AHH25" s="104"/>
      <c r="AHI25" s="104"/>
      <c r="AHJ25" s="104"/>
      <c r="AHK25" s="104"/>
      <c r="AHL25" s="104"/>
      <c r="AHM25" s="104"/>
      <c r="AHN25" s="104"/>
      <c r="AHO25" s="104"/>
      <c r="AHP25" s="104"/>
      <c r="AHQ25" s="104"/>
      <c r="AHR25" s="104"/>
      <c r="AHS25" s="104"/>
      <c r="AHT25" s="104"/>
      <c r="AHU25" s="104"/>
      <c r="AHV25" s="104"/>
      <c r="AHW25" s="104"/>
      <c r="AHX25" s="104"/>
      <c r="AHY25" s="104"/>
      <c r="AHZ25" s="104"/>
      <c r="AIA25" s="104"/>
      <c r="AIB25" s="104"/>
      <c r="AIC25" s="104"/>
      <c r="AID25" s="104"/>
      <c r="AIE25" s="104"/>
      <c r="AIF25" s="104"/>
      <c r="AIG25" s="104"/>
      <c r="AIH25" s="104"/>
      <c r="AII25" s="104"/>
      <c r="AIJ25" s="104"/>
      <c r="AIK25" s="104"/>
      <c r="AIL25" s="104"/>
      <c r="AIM25" s="104"/>
      <c r="AIN25" s="104"/>
      <c r="AIO25" s="104"/>
      <c r="AIP25" s="104"/>
      <c r="AIQ25" s="104"/>
      <c r="AIR25" s="104"/>
      <c r="AIS25" s="104"/>
      <c r="AIT25" s="104"/>
      <c r="AIU25" s="104"/>
      <c r="AIV25" s="104"/>
      <c r="AIW25" s="104"/>
      <c r="AIX25" s="104"/>
      <c r="AIY25" s="104"/>
      <c r="AIZ25" s="104"/>
      <c r="AJA25" s="104"/>
      <c r="AJB25" s="104"/>
      <c r="AJC25" s="104"/>
      <c r="AJD25" s="104"/>
      <c r="AJE25" s="104"/>
      <c r="AJF25" s="104"/>
      <c r="AJG25" s="104"/>
      <c r="AJH25" s="104"/>
      <c r="AJI25" s="104"/>
      <c r="AJJ25" s="104"/>
      <c r="AJK25" s="104"/>
      <c r="AJL25" s="104"/>
      <c r="AJM25" s="104"/>
      <c r="AJN25" s="104"/>
      <c r="AJO25" s="104"/>
      <c r="AJP25" s="104"/>
      <c r="AJQ25" s="104"/>
      <c r="AJR25" s="104"/>
      <c r="AJS25" s="104"/>
      <c r="AJT25" s="104"/>
      <c r="AJU25" s="104"/>
      <c r="AJV25" s="104"/>
      <c r="AJW25" s="104"/>
      <c r="AJX25" s="104"/>
      <c r="AJY25" s="104"/>
      <c r="AJZ25" s="104"/>
      <c r="AKA25" s="104"/>
      <c r="AKB25" s="104"/>
      <c r="AKC25" s="104"/>
      <c r="AKD25" s="104"/>
      <c r="AKE25" s="104"/>
      <c r="AKF25" s="104"/>
      <c r="AKG25" s="104"/>
      <c r="AKH25" s="104"/>
      <c r="AKI25" s="104"/>
      <c r="AKJ25" s="104"/>
      <c r="AKK25" s="104"/>
      <c r="AKL25" s="104"/>
      <c r="AKM25" s="104"/>
      <c r="AKN25" s="104"/>
      <c r="AKO25" s="104"/>
      <c r="AKP25" s="104"/>
      <c r="AKQ25" s="104"/>
      <c r="AKR25" s="104"/>
      <c r="AKS25" s="104"/>
      <c r="AKT25" s="104"/>
      <c r="AKU25" s="104"/>
      <c r="AKV25" s="104"/>
      <c r="AKW25" s="104"/>
      <c r="AKX25" s="104"/>
      <c r="AKY25" s="104"/>
      <c r="AKZ25" s="104"/>
      <c r="ALA25" s="104"/>
      <c r="ALB25" s="104"/>
      <c r="ALC25" s="104"/>
      <c r="ALD25" s="104"/>
      <c r="ALE25" s="104"/>
      <c r="ALF25" s="104"/>
      <c r="ALG25" s="104"/>
      <c r="ALH25" s="104"/>
      <c r="ALI25" s="104"/>
      <c r="ALJ25" s="104"/>
      <c r="ALK25" s="104"/>
      <c r="ALL25" s="104"/>
      <c r="ALM25" s="104"/>
      <c r="ALN25" s="104"/>
      <c r="ALO25" s="104"/>
      <c r="ALP25" s="104"/>
      <c r="ALQ25" s="104"/>
      <c r="ALR25" s="104"/>
      <c r="ALS25" s="104"/>
      <c r="ALT25" s="104"/>
      <c r="ALU25" s="104"/>
      <c r="ALV25" s="104"/>
      <c r="ALW25" s="104"/>
      <c r="ALX25" s="104"/>
      <c r="ALY25" s="104"/>
      <c r="ALZ25" s="104"/>
      <c r="AMA25" s="104"/>
      <c r="AMB25" s="104"/>
      <c r="AMC25" s="104"/>
      <c r="AMD25" s="104"/>
      <c r="AME25" s="104"/>
      <c r="AMF25" s="104"/>
      <c r="AMG25" s="104"/>
      <c r="AMH25" s="104"/>
      <c r="AMI25" s="104"/>
      <c r="AMJ25" s="104"/>
      <c r="AMK25" s="104"/>
      <c r="AML25" s="104"/>
      <c r="AMM25" s="104"/>
      <c r="AMN25" s="104"/>
      <c r="AMO25" s="104"/>
      <c r="AMP25" s="104"/>
      <c r="AMQ25" s="104"/>
      <c r="AMR25" s="104"/>
      <c r="AMS25" s="104"/>
      <c r="AMT25" s="104"/>
      <c r="AMU25" s="104"/>
      <c r="AMV25" s="104"/>
      <c r="AMW25" s="104"/>
      <c r="AMX25" s="104"/>
      <c r="AMY25" s="104"/>
      <c r="AMZ25" s="104"/>
      <c r="ANA25" s="104"/>
      <c r="ANB25" s="104"/>
      <c r="ANC25" s="104"/>
      <c r="AND25" s="104"/>
      <c r="ANE25" s="104"/>
      <c r="ANF25" s="104"/>
      <c r="ANG25" s="104"/>
      <c r="ANH25" s="104"/>
      <c r="ANI25" s="104"/>
      <c r="ANJ25" s="104"/>
      <c r="ANK25" s="104"/>
      <c r="ANL25" s="104"/>
      <c r="ANM25" s="104"/>
      <c r="ANN25" s="104"/>
      <c r="ANO25" s="104"/>
      <c r="ANP25" s="104"/>
      <c r="ANQ25" s="104"/>
      <c r="ANR25" s="104"/>
      <c r="ANS25" s="104"/>
      <c r="ANT25" s="104"/>
      <c r="ANU25" s="104"/>
      <c r="ANV25" s="104"/>
      <c r="ANW25" s="104"/>
      <c r="ANX25" s="104"/>
      <c r="ANY25" s="104"/>
      <c r="ANZ25" s="104"/>
      <c r="AOA25" s="104"/>
      <c r="AOB25" s="104"/>
      <c r="AOC25" s="104"/>
      <c r="AOD25" s="104"/>
      <c r="AOE25" s="104"/>
      <c r="AOF25" s="104"/>
      <c r="AOG25" s="104"/>
      <c r="AOH25" s="104"/>
      <c r="AOI25" s="104"/>
      <c r="AOJ25" s="104"/>
      <c r="AOK25" s="104"/>
      <c r="AOL25" s="104"/>
      <c r="AOM25" s="104"/>
      <c r="AON25" s="104"/>
      <c r="AOO25" s="104"/>
      <c r="AOP25" s="104"/>
      <c r="AOQ25" s="104"/>
      <c r="AOR25" s="104"/>
      <c r="AOS25" s="104"/>
      <c r="AOT25" s="104"/>
      <c r="AOU25" s="104"/>
      <c r="AOV25" s="104"/>
      <c r="AOW25" s="104"/>
      <c r="AOX25" s="104"/>
      <c r="AOY25" s="104"/>
      <c r="AOZ25" s="104"/>
      <c r="APA25" s="104"/>
      <c r="APB25" s="104"/>
      <c r="APC25" s="104"/>
      <c r="APD25" s="104"/>
      <c r="APE25" s="104"/>
      <c r="APF25" s="104"/>
      <c r="APG25" s="104"/>
      <c r="APH25" s="104"/>
      <c r="API25" s="104"/>
      <c r="APJ25" s="104"/>
      <c r="APK25" s="104"/>
      <c r="APL25" s="104"/>
      <c r="APM25" s="104"/>
      <c r="APN25" s="104"/>
      <c r="APO25" s="104"/>
      <c r="APP25" s="104"/>
      <c r="APQ25" s="104"/>
      <c r="APR25" s="104"/>
      <c r="APS25" s="104"/>
      <c r="APT25" s="104"/>
      <c r="APU25" s="104"/>
      <c r="APV25" s="104"/>
      <c r="APW25" s="104"/>
      <c r="APX25" s="104"/>
      <c r="APY25" s="104"/>
      <c r="APZ25" s="104"/>
      <c r="AQA25" s="104"/>
      <c r="AQB25" s="104"/>
      <c r="AQC25" s="104"/>
      <c r="AQD25" s="104"/>
      <c r="AQE25" s="104"/>
      <c r="AQF25" s="104"/>
      <c r="AQG25" s="104"/>
      <c r="AQH25" s="104"/>
      <c r="AQI25" s="104"/>
      <c r="AQJ25" s="104"/>
      <c r="AQK25" s="104"/>
      <c r="AQL25" s="104"/>
      <c r="AQM25" s="104"/>
      <c r="AQN25" s="104"/>
      <c r="AQO25" s="104"/>
      <c r="AQP25" s="104"/>
      <c r="AQQ25" s="104"/>
      <c r="AQR25" s="104"/>
      <c r="AQS25" s="104"/>
      <c r="AQT25" s="104"/>
      <c r="AQU25" s="104"/>
      <c r="AQV25" s="104"/>
      <c r="AQW25" s="104"/>
      <c r="AQX25" s="104"/>
      <c r="AQY25" s="104"/>
      <c r="AQZ25" s="104"/>
      <c r="ARA25" s="104"/>
      <c r="ARB25" s="104"/>
      <c r="ARC25" s="104"/>
      <c r="ARD25" s="104"/>
      <c r="ARE25" s="104"/>
      <c r="ARF25" s="104"/>
      <c r="ARG25" s="104"/>
      <c r="ARH25" s="104"/>
      <c r="ARI25" s="104"/>
      <c r="ARJ25" s="104"/>
      <c r="ARK25" s="104"/>
      <c r="ARL25" s="104"/>
      <c r="ARM25" s="104"/>
      <c r="ARN25" s="104"/>
      <c r="ARO25" s="104"/>
      <c r="ARP25" s="104"/>
      <c r="ARQ25" s="104"/>
      <c r="ARR25" s="104"/>
      <c r="ARS25" s="104"/>
      <c r="ART25" s="104"/>
      <c r="ARU25" s="104"/>
      <c r="ARV25" s="104"/>
      <c r="ARW25" s="104"/>
      <c r="ARX25" s="104"/>
      <c r="ARY25" s="104"/>
      <c r="ARZ25" s="104"/>
      <c r="ASA25" s="104"/>
      <c r="ASB25" s="104"/>
      <c r="ASC25" s="104"/>
      <c r="ASD25" s="104"/>
      <c r="ASE25" s="104"/>
      <c r="ASF25" s="104"/>
      <c r="ASG25" s="104"/>
      <c r="ASH25" s="104"/>
      <c r="ASI25" s="104"/>
      <c r="ASJ25" s="104"/>
      <c r="ASK25" s="104"/>
      <c r="ASL25" s="104"/>
      <c r="ASM25" s="104"/>
      <c r="ASN25" s="104"/>
      <c r="ASO25" s="104"/>
      <c r="ASP25" s="104"/>
      <c r="ASQ25" s="104"/>
      <c r="ASR25" s="104"/>
      <c r="ASS25" s="104"/>
      <c r="AST25" s="104"/>
      <c r="ASU25" s="104"/>
      <c r="ASV25" s="104"/>
      <c r="ASW25" s="104"/>
      <c r="ASX25" s="104"/>
      <c r="ASY25" s="104"/>
      <c r="ASZ25" s="104"/>
      <c r="ATA25" s="104"/>
      <c r="ATB25" s="104"/>
      <c r="ATC25" s="104"/>
      <c r="ATD25" s="104"/>
      <c r="ATE25" s="104"/>
      <c r="ATF25" s="104"/>
      <c r="ATG25" s="104"/>
      <c r="ATH25" s="104"/>
      <c r="ATI25" s="104"/>
      <c r="ATJ25" s="104"/>
      <c r="ATK25" s="104"/>
      <c r="ATL25" s="104"/>
      <c r="ATM25" s="104"/>
      <c r="ATN25" s="104"/>
      <c r="ATO25" s="104"/>
      <c r="ATP25" s="104"/>
      <c r="ATQ25" s="104"/>
      <c r="ATR25" s="104"/>
      <c r="ATS25" s="104"/>
      <c r="ATT25" s="104"/>
      <c r="ATU25" s="104"/>
      <c r="ATV25" s="104"/>
      <c r="ATW25" s="104"/>
      <c r="ATX25" s="104"/>
      <c r="ATY25" s="104"/>
      <c r="ATZ25" s="104"/>
      <c r="AUA25" s="104"/>
      <c r="AUB25" s="104"/>
      <c r="AUC25" s="104"/>
      <c r="AUD25" s="104"/>
      <c r="AUE25" s="104"/>
      <c r="AUF25" s="104"/>
      <c r="AUG25" s="104"/>
      <c r="AUH25" s="104"/>
      <c r="AUI25" s="104"/>
      <c r="AUJ25" s="104"/>
      <c r="AUK25" s="104"/>
      <c r="AUL25" s="104"/>
      <c r="AUM25" s="104"/>
      <c r="AUN25" s="104"/>
      <c r="AUO25" s="104"/>
      <c r="AUP25" s="104"/>
      <c r="AUQ25" s="104"/>
      <c r="AUR25" s="104"/>
      <c r="AUS25" s="104"/>
      <c r="AUT25" s="104"/>
      <c r="AUU25" s="104"/>
      <c r="AUV25" s="104"/>
      <c r="AUW25" s="104"/>
      <c r="AUX25" s="104"/>
      <c r="AUY25" s="104"/>
      <c r="AUZ25" s="104"/>
      <c r="AVA25" s="104"/>
      <c r="AVB25" s="104"/>
      <c r="AVC25" s="104"/>
      <c r="AVD25" s="104"/>
      <c r="AVE25" s="104"/>
      <c r="AVF25" s="104"/>
      <c r="AVG25" s="104"/>
      <c r="AVH25" s="104"/>
      <c r="AVI25" s="104"/>
      <c r="AVJ25" s="104"/>
      <c r="AVK25" s="104"/>
      <c r="AVL25" s="104"/>
      <c r="AVM25" s="104"/>
      <c r="AVN25" s="104"/>
      <c r="AVO25" s="104"/>
      <c r="AVP25" s="104"/>
      <c r="AVQ25" s="104"/>
      <c r="AVR25" s="104"/>
      <c r="AVS25" s="104"/>
      <c r="AVT25" s="104"/>
      <c r="AVU25" s="104"/>
      <c r="AVV25" s="104"/>
      <c r="AVW25" s="104"/>
      <c r="AVX25" s="104"/>
      <c r="AVY25" s="104"/>
      <c r="AVZ25" s="104"/>
      <c r="AWA25" s="104"/>
      <c r="AWB25" s="104"/>
      <c r="AWC25" s="104"/>
      <c r="AWD25" s="104"/>
      <c r="AWE25" s="104"/>
      <c r="AWF25" s="104"/>
      <c r="AWG25" s="104"/>
      <c r="AWH25" s="104"/>
      <c r="AWI25" s="104"/>
      <c r="AWJ25" s="104"/>
      <c r="AWK25" s="104"/>
      <c r="AWL25" s="104"/>
      <c r="AWM25" s="104"/>
      <c r="AWN25" s="104"/>
      <c r="AWO25" s="104"/>
      <c r="AWP25" s="104"/>
      <c r="AWQ25" s="104"/>
      <c r="AWR25" s="104"/>
      <c r="AWS25" s="104"/>
      <c r="AWT25" s="104"/>
      <c r="AWU25" s="104"/>
      <c r="AWV25" s="104"/>
      <c r="AWW25" s="104"/>
      <c r="AWX25" s="104"/>
      <c r="AWY25" s="104"/>
      <c r="AWZ25" s="104"/>
      <c r="AXA25" s="104"/>
      <c r="AXB25" s="104"/>
      <c r="AXC25" s="104"/>
      <c r="AXD25" s="104"/>
      <c r="AXE25" s="104"/>
      <c r="AXF25" s="104"/>
      <c r="AXG25" s="104"/>
      <c r="AXH25" s="104"/>
      <c r="AXI25" s="104"/>
      <c r="AXJ25" s="104"/>
      <c r="AXK25" s="104"/>
      <c r="AXL25" s="104"/>
      <c r="AXM25" s="104"/>
      <c r="AXN25" s="104"/>
      <c r="AXO25" s="104"/>
      <c r="AXP25" s="104"/>
      <c r="AXQ25" s="104"/>
      <c r="AXR25" s="104"/>
      <c r="AXS25" s="104"/>
      <c r="AXT25" s="104"/>
      <c r="AXU25" s="104"/>
      <c r="AXV25" s="104"/>
      <c r="AXW25" s="104"/>
      <c r="AXX25" s="104"/>
      <c r="AXY25" s="104"/>
      <c r="AXZ25" s="104"/>
      <c r="AYA25" s="104"/>
      <c r="AYB25" s="104"/>
      <c r="AYC25" s="104"/>
      <c r="AYD25" s="104"/>
      <c r="AYE25" s="104"/>
      <c r="AYF25" s="104"/>
      <c r="AYG25" s="104"/>
      <c r="AYH25" s="104"/>
      <c r="AYI25" s="104"/>
      <c r="AYJ25" s="104"/>
      <c r="AYK25" s="104"/>
      <c r="AYL25" s="104"/>
      <c r="AYM25" s="104"/>
      <c r="AYN25" s="104"/>
      <c r="AYO25" s="104"/>
      <c r="AYP25" s="104"/>
      <c r="AYQ25" s="104"/>
      <c r="AYR25" s="104"/>
      <c r="AYS25" s="104"/>
      <c r="AYT25" s="104"/>
      <c r="AYU25" s="104"/>
      <c r="AYV25" s="104"/>
      <c r="AYW25" s="104"/>
      <c r="AYX25" s="104"/>
      <c r="AYY25" s="104"/>
      <c r="AYZ25" s="104"/>
      <c r="AZA25" s="104"/>
      <c r="AZB25" s="104"/>
      <c r="AZC25" s="104"/>
      <c r="AZD25" s="104"/>
      <c r="AZE25" s="104"/>
      <c r="AZF25" s="104"/>
      <c r="AZG25" s="104"/>
      <c r="AZH25" s="104"/>
      <c r="AZI25" s="104"/>
      <c r="AZJ25" s="104"/>
      <c r="AZK25" s="104"/>
      <c r="AZL25" s="104"/>
      <c r="AZM25" s="104"/>
      <c r="AZN25" s="104"/>
      <c r="AZO25" s="104"/>
      <c r="AZP25" s="104"/>
      <c r="AZQ25" s="104"/>
      <c r="AZR25" s="104"/>
      <c r="AZS25" s="104"/>
      <c r="AZT25" s="104"/>
      <c r="AZU25" s="104"/>
      <c r="AZV25" s="104"/>
      <c r="AZW25" s="104"/>
      <c r="AZX25" s="104"/>
      <c r="AZY25" s="104"/>
      <c r="AZZ25" s="104"/>
      <c r="BAA25" s="104"/>
      <c r="BAB25" s="104"/>
      <c r="BAC25" s="104"/>
      <c r="BAD25" s="104"/>
      <c r="BAE25" s="104"/>
      <c r="BAF25" s="104"/>
      <c r="BAG25" s="104"/>
      <c r="BAH25" s="104"/>
      <c r="BAI25" s="104"/>
      <c r="BAJ25" s="104"/>
      <c r="BAK25" s="104"/>
      <c r="BAL25" s="104"/>
      <c r="BAM25" s="104"/>
      <c r="BAN25" s="104"/>
      <c r="BAO25" s="104"/>
      <c r="BAP25" s="104"/>
      <c r="BAQ25" s="104"/>
      <c r="BAR25" s="104"/>
      <c r="BAS25" s="104"/>
      <c r="BAT25" s="104"/>
      <c r="BAU25" s="104"/>
      <c r="BAV25" s="104"/>
      <c r="BAW25" s="104"/>
      <c r="BAX25" s="104"/>
      <c r="BAY25" s="104"/>
      <c r="BAZ25" s="104"/>
      <c r="BBA25" s="104"/>
      <c r="BBB25" s="104"/>
      <c r="BBC25" s="104"/>
      <c r="BBD25" s="104"/>
      <c r="BBE25" s="104"/>
      <c r="BBF25" s="104"/>
      <c r="BBG25" s="104"/>
      <c r="BBH25" s="104"/>
      <c r="BBI25" s="104"/>
      <c r="BBJ25" s="104"/>
      <c r="BBK25" s="104"/>
      <c r="BBL25" s="104"/>
      <c r="BBM25" s="104"/>
      <c r="BBN25" s="104"/>
      <c r="BBO25" s="104"/>
      <c r="BBP25" s="104"/>
      <c r="BBQ25" s="104"/>
      <c r="BBR25" s="104"/>
      <c r="BBS25" s="104"/>
      <c r="BBT25" s="104"/>
      <c r="BBU25" s="104"/>
      <c r="BBV25" s="104"/>
      <c r="BBW25" s="104"/>
      <c r="BBX25" s="104"/>
      <c r="BBY25" s="104"/>
      <c r="BBZ25" s="104"/>
      <c r="BCA25" s="104"/>
      <c r="BCB25" s="104"/>
      <c r="BCC25" s="104"/>
      <c r="BCD25" s="104"/>
      <c r="BCE25" s="104"/>
      <c r="BCF25" s="104"/>
      <c r="BCG25" s="104"/>
      <c r="BCH25" s="104"/>
      <c r="BCI25" s="104"/>
      <c r="BCJ25" s="104"/>
      <c r="BCK25" s="104"/>
      <c r="BCL25" s="104"/>
      <c r="BCM25" s="104"/>
      <c r="BCN25" s="104"/>
      <c r="BCO25" s="104"/>
      <c r="BCP25" s="104"/>
      <c r="BCQ25" s="104"/>
      <c r="BCR25" s="104"/>
      <c r="BCS25" s="104"/>
      <c r="BCT25" s="104"/>
      <c r="BCU25" s="104"/>
      <c r="BCV25" s="104"/>
      <c r="BCW25" s="104"/>
      <c r="BCX25" s="104"/>
      <c r="BCY25" s="104"/>
      <c r="BCZ25" s="104"/>
      <c r="BDA25" s="104"/>
      <c r="BDB25" s="104"/>
      <c r="BDC25" s="104"/>
      <c r="BDD25" s="104"/>
      <c r="BDE25" s="104"/>
      <c r="BDF25" s="104"/>
      <c r="BDG25" s="104"/>
      <c r="BDH25" s="104"/>
      <c r="BDI25" s="104"/>
      <c r="BDJ25" s="104"/>
      <c r="BDK25" s="104"/>
      <c r="BDL25" s="104"/>
      <c r="BDM25" s="104"/>
      <c r="BDN25" s="104"/>
      <c r="BDO25" s="104"/>
      <c r="BDP25" s="104"/>
      <c r="BDQ25" s="104"/>
      <c r="BDR25" s="104"/>
      <c r="BDS25" s="104"/>
      <c r="BDT25" s="104"/>
      <c r="BDU25" s="104"/>
      <c r="BDV25" s="104"/>
      <c r="BDW25" s="104"/>
      <c r="BDX25" s="104"/>
      <c r="BDY25" s="104"/>
      <c r="BDZ25" s="104"/>
      <c r="BEA25" s="104"/>
      <c r="BEB25" s="104"/>
      <c r="BEC25" s="104"/>
      <c r="BED25" s="104"/>
      <c r="BEE25" s="104"/>
      <c r="BEF25" s="104"/>
      <c r="BEG25" s="104"/>
      <c r="BEH25" s="104"/>
      <c r="BEI25" s="104"/>
      <c r="BEJ25" s="104"/>
      <c r="BEK25" s="104"/>
      <c r="BEL25" s="104"/>
      <c r="BEM25" s="104"/>
      <c r="BEN25" s="104"/>
      <c r="BEO25" s="104"/>
      <c r="BEP25" s="104"/>
      <c r="BEQ25" s="104"/>
      <c r="BER25" s="104"/>
      <c r="BES25" s="104"/>
      <c r="BET25" s="104"/>
      <c r="BEU25" s="104"/>
      <c r="BEV25" s="104"/>
      <c r="BEW25" s="104"/>
      <c r="BEX25" s="104"/>
      <c r="BEY25" s="104"/>
      <c r="BEZ25" s="104"/>
      <c r="BFA25" s="104"/>
      <c r="BFB25" s="104"/>
      <c r="BFC25" s="104"/>
      <c r="BFD25" s="104"/>
      <c r="BFE25" s="104"/>
      <c r="BFF25" s="104"/>
      <c r="BFG25" s="104"/>
      <c r="BFH25" s="104"/>
      <c r="BFI25" s="104"/>
      <c r="BFJ25" s="104"/>
      <c r="BFK25" s="104"/>
      <c r="BFL25" s="104"/>
      <c r="BFM25" s="104"/>
      <c r="BFN25" s="104"/>
      <c r="BFO25" s="104"/>
      <c r="BFP25" s="104"/>
      <c r="BFQ25" s="104"/>
      <c r="BFR25" s="104"/>
      <c r="BFS25" s="104"/>
      <c r="BFT25" s="104"/>
      <c r="BFU25" s="104"/>
      <c r="BFV25" s="104"/>
      <c r="BFW25" s="104"/>
      <c r="BFX25" s="104"/>
      <c r="BFY25" s="104"/>
      <c r="BFZ25" s="104"/>
      <c r="BGA25" s="104"/>
      <c r="BGB25" s="104"/>
      <c r="BGC25" s="104"/>
      <c r="BGD25" s="104"/>
      <c r="BGE25" s="104"/>
      <c r="BGF25" s="104"/>
      <c r="BGG25" s="104"/>
      <c r="BGH25" s="104"/>
      <c r="BGI25" s="104"/>
      <c r="BGJ25" s="104"/>
      <c r="BGK25" s="104"/>
      <c r="BGL25" s="104"/>
      <c r="BGM25" s="104"/>
      <c r="BGN25" s="104"/>
      <c r="BGO25" s="104"/>
      <c r="BGP25" s="104"/>
      <c r="BGQ25" s="104"/>
      <c r="BGR25" s="104"/>
      <c r="BGS25" s="104"/>
      <c r="BGT25" s="104"/>
      <c r="BGU25" s="104"/>
      <c r="BGV25" s="104"/>
      <c r="BGW25" s="104"/>
      <c r="BGX25" s="104"/>
      <c r="BGY25" s="104"/>
      <c r="BGZ25" s="104"/>
      <c r="BHA25" s="104"/>
      <c r="BHB25" s="104"/>
      <c r="BHC25" s="104"/>
      <c r="BHD25" s="104"/>
      <c r="BHE25" s="104"/>
      <c r="BHF25" s="104"/>
      <c r="BHG25" s="104"/>
      <c r="BHH25" s="104"/>
      <c r="BHI25" s="104"/>
      <c r="BHJ25" s="104"/>
      <c r="BHK25" s="104"/>
      <c r="BHL25" s="104"/>
      <c r="BHM25" s="104"/>
      <c r="BHN25" s="104"/>
      <c r="BHO25" s="104"/>
      <c r="BHP25" s="104"/>
      <c r="BHQ25" s="104"/>
      <c r="BHR25" s="104"/>
      <c r="BHS25" s="104"/>
      <c r="BHT25" s="104"/>
      <c r="BHU25" s="104"/>
      <c r="BHV25" s="104"/>
      <c r="BHW25" s="104"/>
      <c r="BHX25" s="104"/>
      <c r="BHY25" s="104"/>
      <c r="BHZ25" s="104"/>
      <c r="BIA25" s="104"/>
      <c r="BIB25" s="104"/>
      <c r="BIC25" s="104"/>
      <c r="BID25" s="104"/>
      <c r="BIE25" s="104"/>
      <c r="BIF25" s="104"/>
      <c r="BIG25" s="104"/>
      <c r="BIH25" s="104"/>
      <c r="BII25" s="104"/>
      <c r="BIJ25" s="104"/>
      <c r="BIK25" s="104"/>
      <c r="BIL25" s="104"/>
      <c r="BIM25" s="104"/>
      <c r="BIN25" s="104"/>
      <c r="BIO25" s="104"/>
      <c r="BIP25" s="104"/>
      <c r="BIQ25" s="104"/>
      <c r="BIR25" s="104"/>
      <c r="BIS25" s="104"/>
      <c r="BIT25" s="104"/>
      <c r="BIU25" s="104"/>
      <c r="BIV25" s="104"/>
      <c r="BIW25" s="104"/>
      <c r="BIX25" s="104"/>
      <c r="BIY25" s="104"/>
      <c r="BIZ25" s="104"/>
      <c r="BJA25" s="104"/>
      <c r="BJB25" s="104"/>
      <c r="BJC25" s="104"/>
      <c r="BJD25" s="104"/>
      <c r="BJE25" s="104"/>
      <c r="BJF25" s="104"/>
      <c r="BJG25" s="104"/>
      <c r="BJH25" s="104"/>
      <c r="BJI25" s="104"/>
      <c r="BJJ25" s="104"/>
      <c r="BJK25" s="104"/>
      <c r="BJL25" s="104"/>
      <c r="BJM25" s="104"/>
      <c r="BJN25" s="104"/>
      <c r="BJO25" s="104"/>
      <c r="BJP25" s="104"/>
      <c r="BJQ25" s="104"/>
      <c r="BJR25" s="104"/>
      <c r="BJS25" s="104"/>
      <c r="BJT25" s="104"/>
      <c r="BJU25" s="104"/>
      <c r="BJV25" s="104"/>
      <c r="BJW25" s="104"/>
      <c r="BJX25" s="104"/>
      <c r="BJY25" s="104"/>
      <c r="BJZ25" s="104"/>
      <c r="BKA25" s="104"/>
      <c r="BKB25" s="104"/>
      <c r="BKC25" s="104"/>
      <c r="BKD25" s="104"/>
      <c r="BKE25" s="104"/>
      <c r="BKF25" s="104"/>
      <c r="BKG25" s="104"/>
      <c r="BKH25" s="104"/>
      <c r="BKI25" s="104"/>
      <c r="BKJ25" s="104"/>
      <c r="BKK25" s="104"/>
      <c r="BKL25" s="104"/>
      <c r="BKM25" s="104"/>
      <c r="BKN25" s="104"/>
      <c r="BKO25" s="104"/>
      <c r="BKP25" s="104"/>
      <c r="BKQ25" s="104"/>
      <c r="BKR25" s="104"/>
      <c r="BKS25" s="104"/>
      <c r="BKT25" s="104"/>
      <c r="BKU25" s="104"/>
      <c r="BKV25" s="104"/>
      <c r="BKW25" s="104"/>
      <c r="BKX25" s="104"/>
      <c r="BKY25" s="104"/>
      <c r="BKZ25" s="104"/>
      <c r="BLA25" s="104"/>
      <c r="BLB25" s="104"/>
      <c r="BLC25" s="104"/>
      <c r="BLD25" s="104"/>
      <c r="BLE25" s="104"/>
      <c r="BLF25" s="104"/>
      <c r="BLG25" s="104"/>
      <c r="BLH25" s="104"/>
      <c r="BLI25" s="104"/>
      <c r="BLJ25" s="104"/>
      <c r="BLK25" s="104"/>
      <c r="BLL25" s="104"/>
      <c r="BLM25" s="104"/>
      <c r="BLN25" s="104"/>
      <c r="BLO25" s="104"/>
      <c r="BLP25" s="104"/>
      <c r="BLQ25" s="104"/>
      <c r="BLR25" s="104"/>
      <c r="BLS25" s="104"/>
      <c r="BLT25" s="104"/>
      <c r="BLU25" s="104"/>
      <c r="BLV25" s="104"/>
      <c r="BLW25" s="104"/>
      <c r="BLX25" s="104"/>
      <c r="BLY25" s="104"/>
      <c r="BLZ25" s="104"/>
      <c r="BMA25" s="104"/>
      <c r="BMB25" s="104"/>
      <c r="BMC25" s="104"/>
      <c r="BMD25" s="104"/>
      <c r="BME25" s="104"/>
      <c r="BMF25" s="104"/>
      <c r="BMG25" s="104"/>
      <c r="BMH25" s="104"/>
      <c r="BMI25" s="104"/>
      <c r="BMJ25" s="104"/>
      <c r="BMK25" s="104"/>
      <c r="BML25" s="104"/>
      <c r="BMM25" s="104"/>
      <c r="BMN25" s="104"/>
      <c r="BMO25" s="104"/>
      <c r="BMP25" s="104"/>
      <c r="BMQ25" s="104"/>
      <c r="BMR25" s="104"/>
      <c r="BMS25" s="104"/>
      <c r="BMT25" s="104"/>
      <c r="BMU25" s="104"/>
      <c r="BMV25" s="104"/>
      <c r="BMW25" s="104"/>
      <c r="BMX25" s="104"/>
      <c r="BMY25" s="104"/>
      <c r="BMZ25" s="104"/>
      <c r="BNA25" s="104"/>
      <c r="BNB25" s="104"/>
      <c r="BNC25" s="104"/>
      <c r="BND25" s="104"/>
      <c r="BNE25" s="104"/>
      <c r="BNF25" s="104"/>
      <c r="BNG25" s="104"/>
      <c r="BNH25" s="104"/>
      <c r="BNI25" s="104"/>
      <c r="BNJ25" s="104"/>
      <c r="BNK25" s="104"/>
      <c r="BNL25" s="104"/>
      <c r="BNM25" s="104"/>
      <c r="BNN25" s="104"/>
      <c r="BNO25" s="104"/>
      <c r="BNP25" s="104"/>
      <c r="BNQ25" s="104"/>
      <c r="BNR25" s="104"/>
      <c r="BNS25" s="104"/>
      <c r="BNT25" s="104"/>
      <c r="BNU25" s="104"/>
      <c r="BNV25" s="104"/>
      <c r="BNW25" s="104"/>
      <c r="BNX25" s="104"/>
      <c r="BNY25" s="104"/>
      <c r="BNZ25" s="104"/>
      <c r="BOA25" s="104"/>
      <c r="BOB25" s="104"/>
      <c r="BOC25" s="104"/>
      <c r="BOD25" s="104"/>
      <c r="BOE25" s="104"/>
      <c r="BOF25" s="104"/>
      <c r="BOG25" s="104"/>
      <c r="BOH25" s="104"/>
      <c r="BOI25" s="104"/>
      <c r="BOJ25" s="104"/>
      <c r="BOK25" s="104"/>
      <c r="BOL25" s="104"/>
      <c r="BOM25" s="104"/>
      <c r="BON25" s="104"/>
      <c r="BOO25" s="104"/>
      <c r="BOP25" s="104"/>
      <c r="BOQ25" s="104"/>
      <c r="BOR25" s="104"/>
      <c r="BOS25" s="104"/>
      <c r="BOT25" s="104"/>
      <c r="BOU25" s="104"/>
      <c r="BOV25" s="104"/>
      <c r="BOW25" s="104"/>
      <c r="BOX25" s="104"/>
      <c r="BOY25" s="104"/>
      <c r="BOZ25" s="104"/>
      <c r="BPA25" s="104"/>
      <c r="BPB25" s="104"/>
      <c r="BPC25" s="104"/>
      <c r="BPD25" s="104"/>
      <c r="BPE25" s="104"/>
      <c r="BPF25" s="104"/>
      <c r="BPG25" s="104"/>
      <c r="BPH25" s="104"/>
      <c r="BPI25" s="104"/>
      <c r="BPJ25" s="104"/>
      <c r="BPK25" s="104"/>
      <c r="BPL25" s="104"/>
      <c r="BPM25" s="104"/>
      <c r="BPN25" s="104"/>
      <c r="BPO25" s="104"/>
      <c r="BPP25" s="104"/>
      <c r="BPQ25" s="104"/>
      <c r="BPR25" s="104"/>
      <c r="BPS25" s="104"/>
      <c r="BPT25" s="104"/>
      <c r="BPU25" s="104"/>
      <c r="BPV25" s="104"/>
      <c r="BPW25" s="104"/>
      <c r="BPX25" s="104"/>
      <c r="BPY25" s="104"/>
      <c r="BPZ25" s="104"/>
      <c r="BQA25" s="104"/>
      <c r="BQB25" s="104"/>
      <c r="BQC25" s="104"/>
      <c r="BQD25" s="104"/>
      <c r="BQE25" s="104"/>
      <c r="BQF25" s="104"/>
      <c r="BQG25" s="104"/>
      <c r="BQH25" s="104"/>
      <c r="BQI25" s="104"/>
      <c r="BQJ25" s="104"/>
      <c r="BQK25" s="104"/>
      <c r="BQL25" s="104"/>
      <c r="BQM25" s="104"/>
      <c r="BQN25" s="104"/>
      <c r="BQO25" s="104"/>
      <c r="BQP25" s="104"/>
      <c r="BQQ25" s="104"/>
      <c r="BQR25" s="104"/>
      <c r="BQS25" s="104"/>
      <c r="BQT25" s="104"/>
      <c r="BQU25" s="104"/>
      <c r="BQV25" s="104"/>
      <c r="BQW25" s="104"/>
      <c r="BQX25" s="104"/>
      <c r="BQY25" s="104"/>
      <c r="BQZ25" s="104"/>
      <c r="BRA25" s="104"/>
      <c r="BRB25" s="104"/>
      <c r="BRC25" s="104"/>
      <c r="BRD25" s="104"/>
      <c r="BRE25" s="104"/>
      <c r="BRF25" s="104"/>
      <c r="BRG25" s="104"/>
      <c r="BRH25" s="104"/>
      <c r="BRI25" s="104"/>
      <c r="BRJ25" s="104"/>
      <c r="BRK25" s="104"/>
      <c r="BRL25" s="104"/>
      <c r="BRM25" s="104"/>
      <c r="BRN25" s="104"/>
      <c r="BRO25" s="104"/>
      <c r="BRP25" s="104"/>
      <c r="BRQ25" s="104"/>
      <c r="BRR25" s="104"/>
      <c r="BRS25" s="104"/>
      <c r="BRT25" s="104"/>
      <c r="BRU25" s="104"/>
      <c r="BRV25" s="104"/>
      <c r="BRW25" s="104"/>
      <c r="BRX25" s="104"/>
      <c r="BRY25" s="104"/>
      <c r="BRZ25" s="104"/>
      <c r="BSA25" s="104"/>
      <c r="BSB25" s="104"/>
      <c r="BSC25" s="104"/>
      <c r="BSD25" s="104"/>
      <c r="BSE25" s="104"/>
      <c r="BSF25" s="104"/>
      <c r="BSG25" s="104"/>
      <c r="BSH25" s="104"/>
      <c r="BSI25" s="104"/>
      <c r="BSJ25" s="104"/>
      <c r="BSK25" s="104"/>
      <c r="BSL25" s="104"/>
      <c r="BSM25" s="104"/>
      <c r="BSN25" s="104"/>
      <c r="BSO25" s="104"/>
      <c r="BSP25" s="104"/>
      <c r="BSQ25" s="104"/>
      <c r="BSR25" s="104"/>
      <c r="BSS25" s="104"/>
      <c r="BST25" s="104"/>
      <c r="BSU25" s="104"/>
      <c r="BSV25" s="104"/>
      <c r="BSW25" s="104"/>
      <c r="BSX25" s="104"/>
      <c r="BSY25" s="104"/>
      <c r="BSZ25" s="104"/>
      <c r="BTA25" s="104"/>
      <c r="BTB25" s="104"/>
      <c r="BTC25" s="104"/>
      <c r="BTD25" s="104"/>
      <c r="BTE25" s="104"/>
      <c r="BTF25" s="104"/>
      <c r="BTG25" s="104"/>
      <c r="BTH25" s="104"/>
      <c r="BTI25" s="104"/>
      <c r="BTJ25" s="104"/>
      <c r="BTK25" s="104"/>
      <c r="BTL25" s="104"/>
      <c r="BTM25" s="104"/>
      <c r="BTN25" s="104"/>
      <c r="BTO25" s="104"/>
      <c r="BTP25" s="104"/>
      <c r="BTQ25" s="104"/>
      <c r="BTR25" s="104"/>
      <c r="BTS25" s="104"/>
      <c r="BTT25" s="104"/>
      <c r="BTU25" s="104"/>
      <c r="BTV25" s="104"/>
      <c r="BTW25" s="104"/>
      <c r="BTX25" s="104"/>
      <c r="BTY25" s="104"/>
      <c r="BTZ25" s="104"/>
      <c r="BUA25" s="104"/>
      <c r="BUB25" s="104"/>
      <c r="BUC25" s="104"/>
      <c r="BUD25" s="104"/>
      <c r="BUE25" s="104"/>
      <c r="BUF25" s="104"/>
      <c r="BUG25" s="104"/>
      <c r="BUH25" s="104"/>
      <c r="BUI25" s="104"/>
      <c r="BUJ25" s="104"/>
      <c r="BUK25" s="104"/>
      <c r="BUL25" s="104"/>
      <c r="BUM25" s="104"/>
      <c r="BUN25" s="104"/>
      <c r="BUO25" s="104"/>
      <c r="BUP25" s="104"/>
      <c r="BUQ25" s="104"/>
      <c r="BUR25" s="104"/>
      <c r="BUS25" s="104"/>
      <c r="BUT25" s="104"/>
      <c r="BUU25" s="104"/>
      <c r="BUV25" s="104"/>
      <c r="BUW25" s="104"/>
      <c r="BUX25" s="104"/>
      <c r="BUY25" s="104"/>
      <c r="BUZ25" s="104"/>
      <c r="BVA25" s="104"/>
      <c r="BVB25" s="104"/>
      <c r="BVC25" s="104"/>
      <c r="BVD25" s="104"/>
      <c r="BVE25" s="104"/>
      <c r="BVF25" s="104"/>
      <c r="BVG25" s="104"/>
      <c r="BVH25" s="104"/>
      <c r="BVI25" s="104"/>
      <c r="BVJ25" s="104"/>
      <c r="BVK25" s="104"/>
      <c r="BVL25" s="104"/>
      <c r="BVM25" s="104"/>
      <c r="BVN25" s="104"/>
      <c r="BVO25" s="104"/>
      <c r="BVP25" s="104"/>
      <c r="BVQ25" s="104"/>
      <c r="BVR25" s="104"/>
      <c r="BVS25" s="104"/>
      <c r="BVT25" s="104"/>
      <c r="BVU25" s="104"/>
      <c r="BVV25" s="104"/>
      <c r="BVW25" s="104"/>
      <c r="BVX25" s="104"/>
      <c r="BVY25" s="104"/>
      <c r="BVZ25" s="104"/>
      <c r="BWA25" s="104"/>
      <c r="BWB25" s="104"/>
      <c r="BWC25" s="104"/>
      <c r="BWD25" s="104"/>
      <c r="BWE25" s="104"/>
      <c r="BWF25" s="104"/>
      <c r="BWG25" s="104"/>
      <c r="BWH25" s="104"/>
      <c r="BWI25" s="104"/>
      <c r="BWJ25" s="104"/>
      <c r="BWK25" s="104"/>
      <c r="BWL25" s="104"/>
      <c r="BWM25" s="104"/>
      <c r="BWN25" s="104"/>
      <c r="BWO25" s="104"/>
      <c r="BWP25" s="104"/>
      <c r="BWQ25" s="104"/>
      <c r="BWR25" s="104"/>
      <c r="BWS25" s="104"/>
      <c r="BWT25" s="104"/>
      <c r="BWU25" s="104"/>
      <c r="BWV25" s="104"/>
      <c r="BWW25" s="104"/>
      <c r="BWX25" s="104"/>
      <c r="BWY25" s="104"/>
      <c r="BWZ25" s="104"/>
      <c r="BXA25" s="104"/>
      <c r="BXB25" s="104"/>
      <c r="BXC25" s="104"/>
      <c r="BXD25" s="104"/>
      <c r="BXE25" s="104"/>
      <c r="BXF25" s="104"/>
      <c r="BXG25" s="104"/>
      <c r="BXH25" s="104"/>
      <c r="BXI25" s="104"/>
      <c r="BXJ25" s="104"/>
      <c r="BXK25" s="104"/>
      <c r="BXL25" s="104"/>
      <c r="BXM25" s="104"/>
      <c r="BXN25" s="104"/>
      <c r="BXO25" s="104"/>
      <c r="BXP25" s="104"/>
      <c r="BXQ25" s="104"/>
      <c r="BXR25" s="104"/>
      <c r="BXS25" s="104"/>
      <c r="BXT25" s="104"/>
    </row>
    <row r="26" spans="1:1996" ht="21" customHeight="1" x14ac:dyDescent="0.5">
      <c r="A26" s="213" t="s">
        <v>383</v>
      </c>
      <c r="B26" s="1202">
        <v>27889.991221227036</v>
      </c>
      <c r="C26" s="1203">
        <v>30472.731989970434</v>
      </c>
      <c r="D26" s="1203">
        <v>33218.211829675573</v>
      </c>
      <c r="E26" s="1203">
        <v>27428.934466969564</v>
      </c>
      <c r="F26" s="1203">
        <v>33326.828991197101</v>
      </c>
      <c r="G26" s="1203">
        <v>34234.920269912793</v>
      </c>
      <c r="H26" s="1203">
        <v>32807.455683093503</v>
      </c>
      <c r="I26" s="1203">
        <v>36097.590534893658</v>
      </c>
      <c r="J26" s="1203">
        <v>34202.041787444607</v>
      </c>
      <c r="K26" s="1203">
        <v>35629.409730986117</v>
      </c>
      <c r="L26" s="1203">
        <v>35829.799563187822</v>
      </c>
      <c r="M26" s="1203">
        <v>36537.207329154888</v>
      </c>
      <c r="N26" s="1203">
        <v>35826.762863601012</v>
      </c>
      <c r="O26" s="1203">
        <v>36245.891460484694</v>
      </c>
      <c r="P26" s="1203">
        <v>41406.0584448644</v>
      </c>
      <c r="Q26" s="1203">
        <v>38246.898544406336</v>
      </c>
      <c r="R26" s="1203">
        <v>37682.399611981942</v>
      </c>
      <c r="S26" s="1203">
        <v>37619.541592431648</v>
      </c>
      <c r="T26" s="1203">
        <v>36048.246446760328</v>
      </c>
      <c r="U26" s="1203">
        <v>36115.592216543802</v>
      </c>
      <c r="V26" s="1203">
        <v>32589.340099377187</v>
      </c>
      <c r="W26" s="1203">
        <v>32148.58919184086</v>
      </c>
      <c r="X26" s="1203">
        <v>32449.280157051915</v>
      </c>
      <c r="Y26" s="1203">
        <v>30828.962402117726</v>
      </c>
      <c r="Z26" s="1203">
        <v>30740.485378237219</v>
      </c>
      <c r="AA26" s="1203">
        <v>37394.721162565409</v>
      </c>
      <c r="AB26" s="1203">
        <v>28857.570108451044</v>
      </c>
      <c r="AC26" s="1203">
        <v>28558.563032481237</v>
      </c>
      <c r="AD26" s="1203">
        <v>32840.643412776168</v>
      </c>
      <c r="AE26" s="1203">
        <v>33251.50682238333</v>
      </c>
      <c r="AF26" s="1203">
        <v>35445.672472539962</v>
      </c>
    </row>
    <row r="27" spans="1:1996" ht="21" customHeight="1" x14ac:dyDescent="0.5">
      <c r="A27" s="187" t="s">
        <v>3282</v>
      </c>
      <c r="B27" s="1200">
        <v>25822.464382958598</v>
      </c>
      <c r="C27" s="1201">
        <v>24497.074800354119</v>
      </c>
      <c r="D27" s="1201">
        <v>25389.339255708241</v>
      </c>
      <c r="E27" s="1201">
        <v>27624.690030171449</v>
      </c>
      <c r="F27" s="1201">
        <v>26262.570966939977</v>
      </c>
      <c r="G27" s="1201">
        <v>25661.436773562436</v>
      </c>
      <c r="H27" s="1201">
        <v>25416.033621111725</v>
      </c>
      <c r="I27" s="1201">
        <v>25055.740865629581</v>
      </c>
      <c r="J27" s="1201">
        <v>28936.836933392286</v>
      </c>
      <c r="K27" s="1201">
        <v>29040.394491347808</v>
      </c>
      <c r="L27" s="1201">
        <v>30206.752635290501</v>
      </c>
      <c r="M27" s="1201">
        <v>26613.023146541807</v>
      </c>
      <c r="N27" s="1201">
        <v>30913.775075286903</v>
      </c>
      <c r="O27" s="1201">
        <v>31625.52033900157</v>
      </c>
      <c r="P27" s="1201">
        <v>31060.756932185017</v>
      </c>
      <c r="Q27" s="1201">
        <v>34031.846301889695</v>
      </c>
      <c r="R27" s="1201">
        <v>40404.298701752785</v>
      </c>
      <c r="S27" s="1201">
        <v>39683.892261024783</v>
      </c>
      <c r="T27" s="1201">
        <v>40632.205824751181</v>
      </c>
      <c r="U27" s="1201">
        <v>38729.454275623757</v>
      </c>
      <c r="V27" s="1201">
        <v>38676.413872999474</v>
      </c>
      <c r="W27" s="1201">
        <v>38251.096890463632</v>
      </c>
      <c r="X27" s="1201">
        <v>35662.056777422251</v>
      </c>
      <c r="Y27" s="1201">
        <v>32709.436849611411</v>
      </c>
      <c r="Z27" s="1201">
        <v>30516.407828522028</v>
      </c>
      <c r="AA27" s="1201">
        <v>29714.84873617566</v>
      </c>
      <c r="AB27" s="1201">
        <v>27022.746644771945</v>
      </c>
      <c r="AC27" s="1201">
        <v>24756.782947885546</v>
      </c>
      <c r="AD27" s="1201">
        <v>26292.109879343221</v>
      </c>
      <c r="AE27" s="1201">
        <v>26370.859207760874</v>
      </c>
      <c r="AF27" s="1201">
        <v>24250.321202997398</v>
      </c>
    </row>
    <row r="28" spans="1:1996" ht="21" customHeight="1" thickBot="1" x14ac:dyDescent="0.55000000000000004">
      <c r="A28" s="216" t="s">
        <v>385</v>
      </c>
      <c r="B28" s="1204">
        <v>8066.5293043786587</v>
      </c>
      <c r="C28" s="1205">
        <v>7844.9024899280539</v>
      </c>
      <c r="D28" s="1205">
        <v>8345.0833143569525</v>
      </c>
      <c r="E28" s="1205">
        <v>7043.3582612301689</v>
      </c>
      <c r="F28" s="1205">
        <v>6488.9626685234362</v>
      </c>
      <c r="G28" s="1205">
        <v>6494.1338326819014</v>
      </c>
      <c r="H28" s="1205">
        <v>6835.3512236725137</v>
      </c>
      <c r="I28" s="1205">
        <v>6802.8645135440938</v>
      </c>
      <c r="J28" s="1205">
        <v>6387.6472653385799</v>
      </c>
      <c r="K28" s="1205">
        <v>6243.5951531516102</v>
      </c>
      <c r="L28" s="1205">
        <v>6329.13518730122</v>
      </c>
      <c r="M28" s="1205">
        <v>6364.2378972829438</v>
      </c>
      <c r="N28" s="1205">
        <v>5913.7803432957935</v>
      </c>
      <c r="O28" s="1205">
        <v>5654.5769508903031</v>
      </c>
      <c r="P28" s="1205">
        <v>5599.3073454421065</v>
      </c>
      <c r="Q28" s="1205">
        <v>6304.1088660572659</v>
      </c>
      <c r="R28" s="1205">
        <v>6660.4156103527839</v>
      </c>
      <c r="S28" s="1205">
        <v>6624.3775596565938</v>
      </c>
      <c r="T28" s="1205">
        <v>6055.4880193848985</v>
      </c>
      <c r="U28" s="1205">
        <v>6060.1721583842427</v>
      </c>
      <c r="V28" s="1205">
        <v>6467.0554470453708</v>
      </c>
      <c r="W28" s="1205">
        <v>6249.6162166227723</v>
      </c>
      <c r="X28" s="1205">
        <v>6278.5050411009997</v>
      </c>
      <c r="Y28" s="1205">
        <v>6466.2432873145299</v>
      </c>
      <c r="Z28" s="1205">
        <v>6147.7984624187284</v>
      </c>
      <c r="AA28" s="1205">
        <v>5828.471901894125</v>
      </c>
      <c r="AB28" s="1205">
        <v>5612.3456548378481</v>
      </c>
      <c r="AC28" s="1205">
        <v>5079.7077159590426</v>
      </c>
      <c r="AD28" s="1205">
        <v>4665.2773555150879</v>
      </c>
      <c r="AE28" s="1205">
        <v>4701.0206256297743</v>
      </c>
      <c r="AF28" s="1205">
        <v>4664.7209780178646</v>
      </c>
    </row>
    <row r="29" spans="1:1996" ht="21" customHeight="1" thickTop="1" thickBot="1" x14ac:dyDescent="0.55000000000000004">
      <c r="A29" s="219" t="s">
        <v>386</v>
      </c>
      <c r="B29" s="1206">
        <v>422602.04616551159</v>
      </c>
      <c r="C29" s="1207">
        <v>420904.50768610759</v>
      </c>
      <c r="D29" s="1207">
        <v>425871.63182700693</v>
      </c>
      <c r="E29" s="1207">
        <v>424152.34238586848</v>
      </c>
      <c r="F29" s="1207">
        <v>429381.65368239867</v>
      </c>
      <c r="G29" s="1207">
        <v>431585.95011227031</v>
      </c>
      <c r="H29" s="1207">
        <v>433595.77655009262</v>
      </c>
      <c r="I29" s="1207">
        <v>435880.77902424673</v>
      </c>
      <c r="J29" s="1207">
        <v>439845.23311801307</v>
      </c>
      <c r="K29" s="1207">
        <v>444359.36248979933</v>
      </c>
      <c r="L29" s="1207">
        <v>444946.69414004404</v>
      </c>
      <c r="M29" s="1207">
        <v>445925.55049792019</v>
      </c>
      <c r="N29" s="1207">
        <v>446713.56285898428</v>
      </c>
      <c r="O29" s="1207">
        <v>446840.61533045681</v>
      </c>
      <c r="P29" s="1207">
        <v>440124.09743704548</v>
      </c>
      <c r="Q29" s="1207">
        <v>443386.76050163939</v>
      </c>
      <c r="R29" s="1207">
        <v>450457.11506544222</v>
      </c>
      <c r="S29" s="1207">
        <v>448736.82751908962</v>
      </c>
      <c r="T29" s="1207">
        <v>449983.40976825054</v>
      </c>
      <c r="U29" s="1207">
        <v>451030.01946007769</v>
      </c>
      <c r="V29" s="1207">
        <v>447641.88954086509</v>
      </c>
      <c r="W29" s="1207">
        <v>440482.820363543</v>
      </c>
      <c r="X29" s="1207">
        <v>438923.62345419277</v>
      </c>
      <c r="Y29" s="1207">
        <v>440877.30986333417</v>
      </c>
      <c r="Z29" s="1207">
        <v>439167.00692663639</v>
      </c>
      <c r="AA29" s="1207">
        <v>448692.44845711556</v>
      </c>
      <c r="AB29" s="1207">
        <v>440348.15179122851</v>
      </c>
      <c r="AC29" s="1207">
        <v>433641.52182678145</v>
      </c>
      <c r="AD29" s="1207">
        <v>442169.10348649637</v>
      </c>
      <c r="AE29" s="1207">
        <v>446875.43373712222</v>
      </c>
      <c r="AF29" s="1207">
        <v>445130.14263494563</v>
      </c>
    </row>
    <row r="30" spans="1:1996" ht="21" customHeight="1" thickTop="1" thickBot="1" x14ac:dyDescent="0.55000000000000004">
      <c r="A30" s="219" t="s">
        <v>387</v>
      </c>
      <c r="B30" s="1206">
        <v>360823.06125694729</v>
      </c>
      <c r="C30" s="1207">
        <v>358089.79840585496</v>
      </c>
      <c r="D30" s="1207">
        <v>358918.99742726621</v>
      </c>
      <c r="E30" s="1207">
        <v>362055.35962749727</v>
      </c>
      <c r="F30" s="1207">
        <v>363303.29105573817</v>
      </c>
      <c r="G30" s="1207">
        <v>365195.45923611312</v>
      </c>
      <c r="H30" s="1207">
        <v>368536.93602221488</v>
      </c>
      <c r="I30" s="1207">
        <v>367924.5831101794</v>
      </c>
      <c r="J30" s="1207">
        <v>370318.70713183761</v>
      </c>
      <c r="K30" s="1207">
        <v>373445.96311431378</v>
      </c>
      <c r="L30" s="1207">
        <v>372581.00675426453</v>
      </c>
      <c r="M30" s="1207">
        <v>376411.08212494059</v>
      </c>
      <c r="N30" s="1207">
        <v>374059.24457680061</v>
      </c>
      <c r="O30" s="1207">
        <v>373314.62658008031</v>
      </c>
      <c r="P30" s="1207">
        <v>362057.97471455391</v>
      </c>
      <c r="Q30" s="1207">
        <v>364803.90678928612</v>
      </c>
      <c r="R30" s="1207">
        <v>365710.00114135467</v>
      </c>
      <c r="S30" s="1207">
        <v>364809.01610597665</v>
      </c>
      <c r="T30" s="1207">
        <v>367247.46947735414</v>
      </c>
      <c r="U30" s="1207">
        <v>370124.80080952588</v>
      </c>
      <c r="V30" s="1207">
        <v>369909.08012144302</v>
      </c>
      <c r="W30" s="1207">
        <v>363833.51806461578</v>
      </c>
      <c r="X30" s="1207">
        <v>364533.78147861763</v>
      </c>
      <c r="Y30" s="1207">
        <v>370872.66732429049</v>
      </c>
      <c r="Z30" s="1207">
        <v>371762.31525745842</v>
      </c>
      <c r="AA30" s="1207">
        <v>375754.40665648039</v>
      </c>
      <c r="AB30" s="1207">
        <v>378855.4893831677</v>
      </c>
      <c r="AC30" s="1207">
        <v>375246.46813045564</v>
      </c>
      <c r="AD30" s="1207">
        <v>378371.07283886184</v>
      </c>
      <c r="AE30" s="1207">
        <v>382552.04708134825</v>
      </c>
      <c r="AF30" s="1207">
        <v>380769.42798139038</v>
      </c>
    </row>
    <row r="31" spans="1:1996" s="102" customFormat="1" ht="21" thickTop="1" x14ac:dyDescent="0.35">
      <c r="A31" s="1155" t="s">
        <v>172</v>
      </c>
      <c r="B31" s="1208"/>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row>
    <row r="32" spans="1:1996" x14ac:dyDescent="0.35">
      <c r="A32" s="52" t="s">
        <v>3279</v>
      </c>
      <c r="B32" s="1209"/>
      <c r="C32" s="1209"/>
      <c r="D32" s="1209"/>
      <c r="E32" s="1209"/>
      <c r="F32" s="1209"/>
      <c r="G32" s="1209"/>
      <c r="H32" s="1209"/>
      <c r="I32" s="1209"/>
      <c r="J32" s="1209"/>
      <c r="K32" s="1209"/>
      <c r="L32" s="1209"/>
      <c r="M32" s="1209"/>
      <c r="N32" s="1209"/>
      <c r="O32" s="1209"/>
      <c r="P32" s="1209"/>
      <c r="Q32" s="1209"/>
      <c r="R32" s="1209"/>
      <c r="S32" s="1209"/>
      <c r="T32" s="1209"/>
      <c r="U32" s="1209"/>
      <c r="V32" s="1209"/>
      <c r="W32" s="1209"/>
      <c r="X32" s="1209"/>
      <c r="Y32" s="1209"/>
      <c r="Z32" s="1209"/>
      <c r="AA32" s="1209"/>
      <c r="AB32" s="1209"/>
      <c r="AC32" s="1209"/>
      <c r="AD32" s="1209"/>
      <c r="AE32" s="1209"/>
      <c r="AF32" s="1209"/>
    </row>
    <row r="33" spans="1:32" x14ac:dyDescent="0.35">
      <c r="A33" s="103" t="s">
        <v>3283</v>
      </c>
      <c r="B33" s="1210"/>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1210"/>
      <c r="Z33" s="1210"/>
      <c r="AA33" s="1210"/>
      <c r="AB33" s="1210"/>
      <c r="AC33" s="1210"/>
      <c r="AD33" s="1210"/>
      <c r="AE33" s="1210"/>
      <c r="AF33" s="1210"/>
    </row>
    <row r="34" spans="1:32" x14ac:dyDescent="0.35">
      <c r="A34" s="390" t="s">
        <v>134</v>
      </c>
      <c r="B34" s="1209"/>
      <c r="C34" s="1209"/>
      <c r="D34" s="1209"/>
      <c r="E34" s="1209"/>
      <c r="F34" s="1209"/>
      <c r="G34" s="1209"/>
      <c r="H34" s="1209"/>
      <c r="I34" s="1209"/>
      <c r="J34" s="1209"/>
      <c r="K34" s="1209"/>
      <c r="L34" s="1209"/>
      <c r="M34" s="1209"/>
      <c r="N34" s="1209"/>
      <c r="O34" s="1209"/>
      <c r="P34" s="1209"/>
      <c r="Q34" s="1209"/>
      <c r="R34" s="1209"/>
      <c r="S34" s="1209"/>
      <c r="T34" s="1209"/>
      <c r="U34" s="1209"/>
      <c r="V34" s="1209"/>
      <c r="W34" s="1209"/>
      <c r="X34" s="1209"/>
      <c r="Y34" s="1209"/>
      <c r="Z34" s="1209"/>
      <c r="AA34" s="1209"/>
      <c r="AB34" s="1209"/>
      <c r="AC34" s="1209"/>
      <c r="AD34" s="1209"/>
      <c r="AE34" s="1209"/>
      <c r="AF34" s="1209"/>
    </row>
    <row r="35" spans="1:32" ht="16.7" customHeight="1" x14ac:dyDescent="0.35">
      <c r="A35" s="244"/>
    </row>
    <row r="37" spans="1:32" x14ac:dyDescent="0.35">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row>
    <row r="38" spans="1:32" x14ac:dyDescent="0.35">
      <c r="B38" s="351"/>
      <c r="C38" s="351"/>
      <c r="D38" s="351"/>
      <c r="E38" s="351"/>
      <c r="F38" s="351"/>
      <c r="G38" s="351"/>
      <c r="H38" s="351"/>
      <c r="K38" s="351"/>
      <c r="L38" s="351"/>
      <c r="M38" s="351"/>
      <c r="N38" s="351"/>
      <c r="O38" s="351"/>
      <c r="P38" s="351"/>
      <c r="Q38" s="351"/>
      <c r="R38" s="351"/>
      <c r="S38" s="351"/>
      <c r="T38" s="351"/>
      <c r="U38" s="351"/>
      <c r="V38" s="351"/>
      <c r="W38" s="351"/>
      <c r="X38" s="351"/>
      <c r="Y38" s="351"/>
      <c r="Z38" s="351"/>
      <c r="AA38" s="351"/>
      <c r="AB38" s="351"/>
      <c r="AC38" s="351"/>
      <c r="AD38" s="351"/>
      <c r="AE38" s="351"/>
      <c r="AF38" s="351"/>
    </row>
  </sheetData>
  <mergeCells count="1">
    <mergeCell ref="A1:AE1"/>
  </mergeCells>
  <pageMargins left="0.75" right="0.75" top="0.75" bottom="0.75" header="0.3" footer="0"/>
  <pageSetup paperSize="9" scale="54"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P120"/>
  <sheetViews>
    <sheetView showGridLines="0" zoomScale="90" zoomScaleNormal="90" zoomScaleSheetLayoutView="85" workbookViewId="0">
      <pane xSplit="5" ySplit="11" topLeftCell="F12" activePane="bottomRight" state="frozen"/>
      <selection activeCell="I35" sqref="I35"/>
      <selection pane="topRight" activeCell="I35" sqref="I35"/>
      <selection pane="bottomLeft" activeCell="I35" sqref="I35"/>
      <selection pane="bottomRight"/>
    </sheetView>
  </sheetViews>
  <sheetFormatPr defaultColWidth="9.140625" defaultRowHeight="14.25" x14ac:dyDescent="0.25"/>
  <cols>
    <col min="1" max="1" width="16.85546875" style="1228" customWidth="1"/>
    <col min="2" max="2" width="10" style="1228" customWidth="1"/>
    <col min="3" max="3" width="9.5703125" style="1228" customWidth="1"/>
    <col min="4" max="4" width="13.28515625" style="1228" customWidth="1"/>
    <col min="5" max="5" width="12.7109375" style="1228" customWidth="1"/>
    <col min="6" max="6" width="13.42578125" style="1228" customWidth="1"/>
    <col min="7" max="7" width="12.85546875" style="1228" customWidth="1"/>
    <col min="8" max="8" width="13.42578125" style="1228" customWidth="1"/>
    <col min="9" max="9" width="9.28515625" style="1228" customWidth="1"/>
    <col min="10" max="11" width="10" style="1228" customWidth="1"/>
    <col min="12" max="12" width="7.28515625" style="1228" customWidth="1"/>
    <col min="13" max="16384" width="9.140625" style="1228"/>
  </cols>
  <sheetData>
    <row r="1" spans="1:12" s="1213" customFormat="1" ht="22.5" customHeight="1" x14ac:dyDescent="0.3">
      <c r="A1" s="1211" t="s">
        <v>3284</v>
      </c>
      <c r="B1" s="1212"/>
      <c r="C1" s="1212"/>
      <c r="D1" s="1212"/>
      <c r="E1" s="1212"/>
      <c r="F1" s="1212"/>
      <c r="G1" s="1212"/>
      <c r="H1" s="1212"/>
      <c r="I1" s="1212"/>
      <c r="J1" s="1212"/>
      <c r="K1" s="1212"/>
      <c r="L1" s="1212"/>
    </row>
    <row r="2" spans="1:12" s="1214" customFormat="1" ht="7.5" customHeight="1" thickBot="1" x14ac:dyDescent="0.3">
      <c r="B2" s="1215"/>
      <c r="C2" s="1215"/>
      <c r="D2" s="1216"/>
      <c r="E2" s="1217"/>
      <c r="F2" s="1216"/>
      <c r="G2" s="1216"/>
      <c r="H2" s="1216"/>
      <c r="I2" s="1216"/>
      <c r="J2" s="1216"/>
      <c r="K2" s="1216"/>
      <c r="L2" s="1216"/>
    </row>
    <row r="3" spans="1:12" s="1214" customFormat="1" ht="34.5" customHeight="1" x14ac:dyDescent="0.25">
      <c r="A3" s="3714" t="s">
        <v>3285</v>
      </c>
      <c r="B3" s="3717" t="s">
        <v>3286</v>
      </c>
      <c r="C3" s="3718"/>
      <c r="D3" s="3721" t="s">
        <v>3287</v>
      </c>
      <c r="E3" s="3718"/>
      <c r="F3" s="3721" t="s">
        <v>3288</v>
      </c>
      <c r="G3" s="3718"/>
      <c r="H3" s="3721" t="s">
        <v>3289</v>
      </c>
      <c r="I3" s="3718"/>
      <c r="J3" s="3721" t="s">
        <v>3290</v>
      </c>
      <c r="K3" s="3718"/>
    </row>
    <row r="4" spans="1:12" s="1214" customFormat="1" ht="17.25" thickBot="1" x14ac:dyDescent="0.3">
      <c r="A4" s="3715"/>
      <c r="B4" s="3719"/>
      <c r="C4" s="3720"/>
      <c r="D4" s="3722"/>
      <c r="E4" s="3720"/>
      <c r="F4" s="3723" t="s">
        <v>3291</v>
      </c>
      <c r="G4" s="3724"/>
      <c r="H4" s="3722"/>
      <c r="I4" s="3720"/>
      <c r="J4" s="3722"/>
      <c r="K4" s="3720"/>
    </row>
    <row r="5" spans="1:12" s="1214" customFormat="1" ht="18.75" customHeight="1" thickBot="1" x14ac:dyDescent="0.3">
      <c r="A5" s="3715"/>
      <c r="B5" s="3725" t="s">
        <v>3292</v>
      </c>
      <c r="C5" s="3726"/>
      <c r="D5" s="3706" t="s">
        <v>3293</v>
      </c>
      <c r="E5" s="3707"/>
      <c r="F5" s="3727" t="s">
        <v>3294</v>
      </c>
      <c r="G5" s="3707"/>
      <c r="H5" s="3706" t="s">
        <v>3295</v>
      </c>
      <c r="I5" s="3707"/>
      <c r="J5" s="3706"/>
      <c r="K5" s="3707"/>
    </row>
    <row r="6" spans="1:12" s="1214" customFormat="1" ht="18.75" customHeight="1" thickBot="1" x14ac:dyDescent="0.3">
      <c r="A6" s="3715"/>
      <c r="B6" s="1218" t="s">
        <v>3296</v>
      </c>
      <c r="C6" s="1219" t="s">
        <v>3297</v>
      </c>
      <c r="D6" s="1220" t="s">
        <v>3296</v>
      </c>
      <c r="E6" s="1219" t="s">
        <v>3297</v>
      </c>
      <c r="F6" s="1220" t="s">
        <v>3296</v>
      </c>
      <c r="G6" s="1219" t="s">
        <v>3297</v>
      </c>
      <c r="H6" s="1220" t="s">
        <v>3296</v>
      </c>
      <c r="I6" s="1219" t="s">
        <v>3298</v>
      </c>
      <c r="J6" s="1220" t="s">
        <v>3296</v>
      </c>
      <c r="K6" s="1219" t="s">
        <v>3297</v>
      </c>
    </row>
    <row r="7" spans="1:12" s="1214" customFormat="1" ht="18.75" customHeight="1" thickBot="1" x14ac:dyDescent="0.35">
      <c r="A7" s="3716"/>
      <c r="B7" s="3708" t="s">
        <v>8</v>
      </c>
      <c r="C7" s="3709"/>
      <c r="D7" s="3709"/>
      <c r="E7" s="3709"/>
      <c r="F7" s="3709"/>
      <c r="G7" s="3709"/>
      <c r="H7" s="3709"/>
      <c r="I7" s="3710"/>
      <c r="J7" s="3711" t="s">
        <v>3299</v>
      </c>
      <c r="K7" s="3712"/>
    </row>
    <row r="8" spans="1:12" ht="15.75" hidden="1" customHeight="1" thickTop="1" thickBot="1" x14ac:dyDescent="0.3">
      <c r="A8" s="1221">
        <v>42992</v>
      </c>
      <c r="B8" s="1222">
        <v>361175.69677423354</v>
      </c>
      <c r="C8" s="1223">
        <v>88286.459009553524</v>
      </c>
      <c r="D8" s="1224">
        <v>40838.256150537141</v>
      </c>
      <c r="E8" s="1223">
        <v>7974.4071671473275</v>
      </c>
      <c r="F8" s="1224">
        <v>32506.689252031556</v>
      </c>
      <c r="G8" s="1223">
        <v>5296.603179006177</v>
      </c>
      <c r="H8" s="1224">
        <v>8331.5668985055854</v>
      </c>
      <c r="I8" s="1225">
        <v>2677.8039881411505</v>
      </c>
      <c r="J8" s="1226">
        <v>10.860238774177406</v>
      </c>
      <c r="K8" s="1227"/>
    </row>
    <row r="9" spans="1:12" ht="15.75" hidden="1" customHeight="1" x14ac:dyDescent="0.25">
      <c r="A9" s="1221">
        <v>43006</v>
      </c>
      <c r="B9" s="1229">
        <v>366721.28067960928</v>
      </c>
      <c r="C9" s="1230">
        <v>87823.449350442621</v>
      </c>
      <c r="D9" s="1231">
        <v>42864.53315141143</v>
      </c>
      <c r="E9" s="1230">
        <v>8575.0335684122801</v>
      </c>
      <c r="F9" s="1231">
        <v>33040.295497566556</v>
      </c>
      <c r="G9" s="1230">
        <v>5245.8201367587426</v>
      </c>
      <c r="H9" s="1231">
        <v>9824.2376538448734</v>
      </c>
      <c r="I9" s="1232">
        <v>3329.2134316535376</v>
      </c>
      <c r="J9" s="1233">
        <v>11.6885862396572</v>
      </c>
      <c r="K9" s="1234">
        <v>9.7639453151005871</v>
      </c>
    </row>
    <row r="10" spans="1:12" ht="15.75" hidden="1" customHeight="1" x14ac:dyDescent="0.25">
      <c r="A10" s="1221">
        <v>43020</v>
      </c>
      <c r="B10" s="1229">
        <v>368153.52089342714</v>
      </c>
      <c r="C10" s="1230">
        <v>88430.119801853085</v>
      </c>
      <c r="D10" s="1231">
        <v>40573.210905210013</v>
      </c>
      <c r="E10" s="1230">
        <v>9065.1625724645492</v>
      </c>
      <c r="F10" s="1231">
        <v>33176.874799229125</v>
      </c>
      <c r="G10" s="1230">
        <v>5277.1019088973944</v>
      </c>
      <c r="H10" s="1231">
        <v>7396.3361059808885</v>
      </c>
      <c r="I10" s="1232">
        <v>3788.0606635671547</v>
      </c>
      <c r="J10" s="1226">
        <v>11.02073146190421</v>
      </c>
      <c r="K10" s="1227">
        <v>10.251215980230512</v>
      </c>
    </row>
    <row r="11" spans="1:12" ht="15.75" hidden="1" customHeight="1" x14ac:dyDescent="0.25">
      <c r="A11" s="1221">
        <v>43034</v>
      </c>
      <c r="B11" s="1235">
        <v>366499.60203842353</v>
      </c>
      <c r="C11" s="1236">
        <v>88994.852652033514</v>
      </c>
      <c r="D11" s="1236">
        <v>39842.170658852134</v>
      </c>
      <c r="E11" s="1236">
        <v>8861.1292133211446</v>
      </c>
      <c r="F11" s="1236">
        <v>33025.948978694731</v>
      </c>
      <c r="G11" s="1236">
        <v>5312.3679622976115</v>
      </c>
      <c r="H11" s="1236">
        <v>6816.2216801574032</v>
      </c>
      <c r="I11" s="1236">
        <v>3548.7612510235331</v>
      </c>
      <c r="J11" s="1237">
        <v>10.87099970566274</v>
      </c>
      <c r="K11" s="1237">
        <v>9.9569008198348534</v>
      </c>
    </row>
    <row r="12" spans="1:12" ht="15.75" hidden="1" customHeight="1" x14ac:dyDescent="0.25">
      <c r="A12" s="1221">
        <v>43048</v>
      </c>
      <c r="B12" s="1235">
        <v>365392.24261965213</v>
      </c>
      <c r="C12" s="1236">
        <v>91823.283922713556</v>
      </c>
      <c r="D12" s="1236">
        <v>40123.950403650735</v>
      </c>
      <c r="E12" s="1236">
        <v>10729.603939666975</v>
      </c>
      <c r="F12" s="1236">
        <v>32926.321972470367</v>
      </c>
      <c r="G12" s="1236">
        <v>5482.0502775616969</v>
      </c>
      <c r="H12" s="1236">
        <v>7197.6284311803684</v>
      </c>
      <c r="I12" s="1236">
        <v>5247.5536621052779</v>
      </c>
      <c r="J12" s="1237">
        <v>10.981062464814553</v>
      </c>
      <c r="K12" s="1237">
        <v>11.685057951856678</v>
      </c>
    </row>
    <row r="13" spans="1:12" ht="15.75" hidden="1" customHeight="1" x14ac:dyDescent="0.25">
      <c r="A13" s="1221">
        <v>43062</v>
      </c>
      <c r="B13" s="1235">
        <v>368515.28300039214</v>
      </c>
      <c r="C13" s="1236">
        <v>91311.460366474566</v>
      </c>
      <c r="D13" s="1236">
        <v>41715.648082138592</v>
      </c>
      <c r="E13" s="1236">
        <v>13184.120952340229</v>
      </c>
      <c r="F13" s="1236">
        <v>33208.211432067146</v>
      </c>
      <c r="G13" s="1236">
        <v>5450.796980633907</v>
      </c>
      <c r="H13" s="1236">
        <v>8507.4366500714459</v>
      </c>
      <c r="I13" s="1236">
        <v>7733.3239717063216</v>
      </c>
      <c r="J13" s="1237">
        <v>11.319923489331703</v>
      </c>
      <c r="K13" s="1237">
        <v>14.438626761007145</v>
      </c>
    </row>
    <row r="14" spans="1:12" ht="15.75" hidden="1" customHeight="1" x14ac:dyDescent="0.25">
      <c r="A14" s="1221">
        <v>43076</v>
      </c>
      <c r="B14" s="1235">
        <v>367898.51831961353</v>
      </c>
      <c r="C14" s="1236">
        <v>91528.577010380468</v>
      </c>
      <c r="D14" s="1236">
        <v>42133.972753866423</v>
      </c>
      <c r="E14" s="1236">
        <v>15222.627779706396</v>
      </c>
      <c r="F14" s="1236">
        <v>33154.896981184182</v>
      </c>
      <c r="G14" s="1236">
        <v>5462.3610656768496</v>
      </c>
      <c r="H14" s="1236">
        <v>8979.0757726822412</v>
      </c>
      <c r="I14" s="1236">
        <v>9760.2667140295453</v>
      </c>
      <c r="J14" s="1237">
        <v>11.452607351156098</v>
      </c>
      <c r="K14" s="1237">
        <v>16.631557352825407</v>
      </c>
    </row>
    <row r="15" spans="1:12" ht="15.75" hidden="1" customHeight="1" x14ac:dyDescent="0.25">
      <c r="A15" s="1221">
        <v>43090</v>
      </c>
      <c r="B15" s="1235">
        <v>368923.65798190067</v>
      </c>
      <c r="C15" s="1236">
        <v>89603.379112250273</v>
      </c>
      <c r="D15" s="1236">
        <v>47596.278203546433</v>
      </c>
      <c r="E15" s="1236">
        <v>17091.410395667794</v>
      </c>
      <c r="F15" s="1236">
        <v>33246.865712184277</v>
      </c>
      <c r="G15" s="1236">
        <v>5347.0450841928732</v>
      </c>
      <c r="H15" s="1236">
        <v>14349.412491362156</v>
      </c>
      <c r="I15" s="1236">
        <v>11744.365311474921</v>
      </c>
      <c r="J15" s="1237">
        <v>12.901389535143743</v>
      </c>
      <c r="K15" s="1237">
        <v>19.074515453548464</v>
      </c>
    </row>
    <row r="16" spans="1:12" ht="15.75" hidden="1" customHeight="1" x14ac:dyDescent="0.25">
      <c r="A16" s="1221">
        <v>43104</v>
      </c>
      <c r="B16" s="1235">
        <v>374750.1169682336</v>
      </c>
      <c r="C16" s="1236">
        <v>88667.989477667652</v>
      </c>
      <c r="D16" s="1236">
        <v>42368.639704460715</v>
      </c>
      <c r="E16" s="1236">
        <v>18894.39994165333</v>
      </c>
      <c r="F16" s="1236">
        <v>33765.260986603498</v>
      </c>
      <c r="G16" s="1236">
        <v>5294.9123956850735</v>
      </c>
      <c r="H16" s="1236">
        <v>8603.3787178572165</v>
      </c>
      <c r="I16" s="1236">
        <v>13599.487545968255</v>
      </c>
      <c r="J16" s="1237">
        <v>11.305837619805779</v>
      </c>
      <c r="K16" s="1237">
        <v>21.309155708794055</v>
      </c>
    </row>
    <row r="17" spans="1:11" ht="15.75" hidden="1" customHeight="1" x14ac:dyDescent="0.25">
      <c r="A17" s="1221">
        <v>43118</v>
      </c>
      <c r="B17" s="1235">
        <v>378080.413921008</v>
      </c>
      <c r="C17" s="1236">
        <v>88772.861863336817</v>
      </c>
      <c r="D17" s="1236">
        <v>42872.336828682855</v>
      </c>
      <c r="E17" s="1236">
        <v>17898.0590058249</v>
      </c>
      <c r="F17" s="1236">
        <v>34061.797667196857</v>
      </c>
      <c r="G17" s="1236">
        <v>5303.3314355961083</v>
      </c>
      <c r="H17" s="1236">
        <v>8810.5391614859982</v>
      </c>
      <c r="I17" s="1236">
        <v>12594.727570228792</v>
      </c>
      <c r="J17" s="1237">
        <v>11.339475743813624</v>
      </c>
      <c r="K17" s="1237">
        <v>20.161633443088082</v>
      </c>
    </row>
    <row r="18" spans="1:11" ht="15.75" hidden="1" customHeight="1" x14ac:dyDescent="0.25">
      <c r="A18" s="1221">
        <v>43132</v>
      </c>
      <c r="B18" s="1235">
        <v>377868.33374124137</v>
      </c>
      <c r="C18" s="1236">
        <v>87165.367335338407</v>
      </c>
      <c r="D18" s="1236">
        <v>43811.698241464983</v>
      </c>
      <c r="E18" s="1236">
        <v>19077.167230392701</v>
      </c>
      <c r="F18" s="1236">
        <v>34040.716998714459</v>
      </c>
      <c r="G18" s="1236">
        <v>5208.2107321184812</v>
      </c>
      <c r="H18" s="1236">
        <v>9770.981242750524</v>
      </c>
      <c r="I18" s="1236">
        <v>13868.956498274219</v>
      </c>
      <c r="J18" s="1237">
        <v>11.594434973602889</v>
      </c>
      <c r="K18" s="1237">
        <v>21.886177748784032</v>
      </c>
    </row>
    <row r="19" spans="1:11" ht="15.75" hidden="1" customHeight="1" x14ac:dyDescent="0.25">
      <c r="A19" s="1221">
        <v>43146</v>
      </c>
      <c r="B19" s="1235">
        <v>377690.09701586573</v>
      </c>
      <c r="C19" s="1236">
        <v>86156.903383648823</v>
      </c>
      <c r="D19" s="1236">
        <v>42282.992490204284</v>
      </c>
      <c r="E19" s="1236">
        <v>18995.701364856057</v>
      </c>
      <c r="F19" s="1236">
        <v>34024.067169074777</v>
      </c>
      <c r="G19" s="1236">
        <v>5148.1085779210216</v>
      </c>
      <c r="H19" s="1236">
        <v>8258.9253211295072</v>
      </c>
      <c r="I19" s="1236">
        <v>13847.592786935034</v>
      </c>
      <c r="J19" s="1237">
        <v>11.195155187886245</v>
      </c>
      <c r="K19" s="1237">
        <v>22.047799559682332</v>
      </c>
    </row>
    <row r="20" spans="1:11" ht="15.75" hidden="1" customHeight="1" x14ac:dyDescent="0.25">
      <c r="A20" s="1221">
        <v>43160</v>
      </c>
      <c r="B20" s="1235">
        <v>375677.31823860138</v>
      </c>
      <c r="C20" s="1236">
        <v>85049.020841844147</v>
      </c>
      <c r="D20" s="1236">
        <v>40600.052544635706</v>
      </c>
      <c r="E20" s="1236">
        <v>16973.173954279744</v>
      </c>
      <c r="F20" s="1236">
        <v>33842.443557269653</v>
      </c>
      <c r="G20" s="1236">
        <v>5081.951306646969</v>
      </c>
      <c r="H20" s="1236">
        <v>6757.608987366053</v>
      </c>
      <c r="I20" s="1236">
        <v>11891.222647632774</v>
      </c>
      <c r="J20" s="1237">
        <v>10.807160979266166</v>
      </c>
      <c r="K20" s="1237">
        <v>19.956930469361662</v>
      </c>
    </row>
    <row r="21" spans="1:11" ht="15.75" hidden="1" customHeight="1" x14ac:dyDescent="0.25">
      <c r="A21" s="1221">
        <v>43174</v>
      </c>
      <c r="B21" s="1235">
        <v>376573.50971649645</v>
      </c>
      <c r="C21" s="1236">
        <v>85181.03374988625</v>
      </c>
      <c r="D21" s="1236">
        <v>42823.113843861429</v>
      </c>
      <c r="E21" s="1236">
        <v>21168.244242468729</v>
      </c>
      <c r="F21" s="1236">
        <v>33922.764503166996</v>
      </c>
      <c r="G21" s="1236">
        <v>5090.0962725382888</v>
      </c>
      <c r="H21" s="1236">
        <v>8900.3493406944326</v>
      </c>
      <c r="I21" s="1236">
        <v>16078.14796993044</v>
      </c>
      <c r="J21" s="1237">
        <v>11.371780738401069</v>
      </c>
      <c r="K21" s="1237">
        <v>24.850889112973455</v>
      </c>
    </row>
    <row r="22" spans="1:11" ht="15.75" hidden="1" customHeight="1" x14ac:dyDescent="0.25">
      <c r="A22" s="1221">
        <v>43188</v>
      </c>
      <c r="B22" s="1235">
        <v>378583.52052852785</v>
      </c>
      <c r="C22" s="1236">
        <v>86413.663919740837</v>
      </c>
      <c r="D22" s="1236">
        <v>42595.272157928557</v>
      </c>
      <c r="E22" s="1236">
        <v>20353.883067532362</v>
      </c>
      <c r="F22" s="1236">
        <v>34103.333071793248</v>
      </c>
      <c r="G22" s="1236">
        <v>5164.2756857006243</v>
      </c>
      <c r="H22" s="1236">
        <v>8491.9390861353095</v>
      </c>
      <c r="I22" s="1236">
        <v>15189.607381831738</v>
      </c>
      <c r="J22" s="1237">
        <v>11.251221949244574</v>
      </c>
      <c r="K22" s="1237">
        <v>23.554010030678267</v>
      </c>
    </row>
    <row r="23" spans="1:11" ht="15.75" hidden="1" customHeight="1" x14ac:dyDescent="0.25">
      <c r="A23" s="1221">
        <v>43202</v>
      </c>
      <c r="B23" s="1235">
        <v>377347.04610080703</v>
      </c>
      <c r="C23" s="1236">
        <v>90478.734485362249</v>
      </c>
      <c r="D23" s="1236">
        <v>39131.149764157853</v>
      </c>
      <c r="E23" s="1236">
        <v>19823.104455390032</v>
      </c>
      <c r="F23" s="1236">
        <v>33991.895497573802</v>
      </c>
      <c r="G23" s="1236">
        <v>5408.2831701209607</v>
      </c>
      <c r="H23" s="1236">
        <v>5139.2542665840519</v>
      </c>
      <c r="I23" s="1236">
        <v>14414.82128526907</v>
      </c>
      <c r="J23" s="1237">
        <v>10.370069189226964</v>
      </c>
      <c r="K23" s="1237">
        <v>21.909130988781722</v>
      </c>
    </row>
    <row r="24" spans="1:11" ht="15.75" hidden="1" customHeight="1" x14ac:dyDescent="0.25">
      <c r="A24" s="1221">
        <v>43216</v>
      </c>
      <c r="B24" s="1235">
        <v>373453.69189558004</v>
      </c>
      <c r="C24" s="1236">
        <v>91891.128292615322</v>
      </c>
      <c r="D24" s="1236">
        <v>40583.640503069277</v>
      </c>
      <c r="E24" s="1236">
        <v>16361.303275571398</v>
      </c>
      <c r="F24" s="1236">
        <v>33641.898612246638</v>
      </c>
      <c r="G24" s="1236">
        <v>5492.7568031272995</v>
      </c>
      <c r="H24" s="1236">
        <v>6941.7418908226391</v>
      </c>
      <c r="I24" s="1236">
        <v>10868.546472444097</v>
      </c>
      <c r="J24" s="1237">
        <v>10.867114553634327</v>
      </c>
      <c r="K24" s="1237">
        <v>17.80509563825461</v>
      </c>
    </row>
    <row r="25" spans="1:11" ht="15.75" hidden="1" customHeight="1" x14ac:dyDescent="0.25">
      <c r="A25" s="1221">
        <v>43230</v>
      </c>
      <c r="B25" s="1235">
        <v>374681.8052887306</v>
      </c>
      <c r="C25" s="1236">
        <v>90955.612484943165</v>
      </c>
      <c r="D25" s="1236">
        <v>41964.906426510708</v>
      </c>
      <c r="E25" s="1236">
        <v>20345.985123619659</v>
      </c>
      <c r="F25" s="1236">
        <v>33752.612807144433</v>
      </c>
      <c r="G25" s="1236">
        <v>5436.5031949908107</v>
      </c>
      <c r="H25" s="1236">
        <v>8212.2936193662754</v>
      </c>
      <c r="I25" s="1236">
        <v>14909.481928628848</v>
      </c>
      <c r="J25" s="1237">
        <v>11.200145252362192</v>
      </c>
      <c r="K25" s="1237">
        <v>22.369136513689845</v>
      </c>
    </row>
    <row r="26" spans="1:11" ht="14.25" hidden="1" customHeight="1" x14ac:dyDescent="0.25">
      <c r="A26" s="1221">
        <v>43244</v>
      </c>
      <c r="B26" s="1235">
        <v>375981.99733898998</v>
      </c>
      <c r="C26" s="1236">
        <v>90715.630133986691</v>
      </c>
      <c r="D26" s="1236">
        <v>43247.274830216433</v>
      </c>
      <c r="E26" s="1236">
        <v>23535.855182285803</v>
      </c>
      <c r="F26" s="1236">
        <v>33869.468978006553</v>
      </c>
      <c r="G26" s="1236">
        <v>5422.2116630409064</v>
      </c>
      <c r="H26" s="1236">
        <v>9377.80585220988</v>
      </c>
      <c r="I26" s="1236">
        <v>18113.643519244895</v>
      </c>
      <c r="J26" s="1237">
        <v>11.502485527578107</v>
      </c>
      <c r="K26" s="1237">
        <v>25.944652699345657</v>
      </c>
    </row>
    <row r="27" spans="1:11" ht="15.75" hidden="1" customHeight="1" x14ac:dyDescent="0.25">
      <c r="A27" s="1221">
        <v>43258</v>
      </c>
      <c r="B27" s="1235">
        <v>373610.8215225492</v>
      </c>
      <c r="C27" s="1236">
        <v>92893.461633318759</v>
      </c>
      <c r="D27" s="1236">
        <v>42497.146968708577</v>
      </c>
      <c r="E27" s="1236">
        <v>23198.228343044429</v>
      </c>
      <c r="F27" s="1236">
        <v>33655.619837011356</v>
      </c>
      <c r="G27" s="1236">
        <v>5553.1770980111751</v>
      </c>
      <c r="H27" s="1236">
        <v>8841.5271316972212</v>
      </c>
      <c r="I27" s="1236">
        <v>17645.051245033254</v>
      </c>
      <c r="J27" s="1237">
        <v>11.374709864003142</v>
      </c>
      <c r="K27" s="1237">
        <v>24.972939898198128</v>
      </c>
    </row>
    <row r="28" spans="1:11" ht="15.75" hidden="1" customHeight="1" x14ac:dyDescent="0.25">
      <c r="A28" s="1221">
        <v>43272</v>
      </c>
      <c r="B28" s="1235">
        <v>374375.3046686608</v>
      </c>
      <c r="C28" s="1236">
        <v>91460.587041084378</v>
      </c>
      <c r="D28" s="1236">
        <v>40826.88678127429</v>
      </c>
      <c r="E28" s="1236">
        <v>24121.148555744552</v>
      </c>
      <c r="F28" s="1236">
        <v>33723.97314780335</v>
      </c>
      <c r="G28" s="1236">
        <v>5467.5047373824718</v>
      </c>
      <c r="H28" s="1236">
        <v>7102.9136334709401</v>
      </c>
      <c r="I28" s="1236">
        <v>18653.643818362081</v>
      </c>
      <c r="J28" s="1237">
        <v>10.905336509150342</v>
      </c>
      <c r="K28" s="1237">
        <v>26.373271084417222</v>
      </c>
    </row>
    <row r="29" spans="1:11" ht="15.75" hidden="1" customHeight="1" x14ac:dyDescent="0.25">
      <c r="A29" s="1221">
        <v>43286</v>
      </c>
      <c r="B29" s="1235">
        <v>372436.00736440637</v>
      </c>
      <c r="C29" s="1236">
        <v>94293.427019792303</v>
      </c>
      <c r="D29" s="1236">
        <v>42801.688434131407</v>
      </c>
      <c r="E29" s="1236">
        <v>27165.030012468589</v>
      </c>
      <c r="F29" s="1236">
        <v>33549.498169779101</v>
      </c>
      <c r="G29" s="1236">
        <v>5637.433949865861</v>
      </c>
      <c r="H29" s="1236">
        <v>9252.1902643523063</v>
      </c>
      <c r="I29" s="1236">
        <v>21527.59606260273</v>
      </c>
      <c r="J29" s="1237">
        <v>11.492360455967544</v>
      </c>
      <c r="K29" s="1237">
        <v>28.809038838695106</v>
      </c>
    </row>
    <row r="30" spans="1:11" ht="15.75" hidden="1" customHeight="1" x14ac:dyDescent="0.25">
      <c r="A30" s="1221">
        <v>43300</v>
      </c>
      <c r="B30" s="1235">
        <v>374681.93962771294</v>
      </c>
      <c r="C30" s="1236">
        <v>96484.084220879566</v>
      </c>
      <c r="D30" s="1236">
        <v>44200.180436443567</v>
      </c>
      <c r="E30" s="1236">
        <v>25499.283878777904</v>
      </c>
      <c r="F30" s="1236">
        <v>33751.756635671649</v>
      </c>
      <c r="G30" s="1236">
        <v>5768.7903404677754</v>
      </c>
      <c r="H30" s="1236">
        <v>10448.423800771918</v>
      </c>
      <c r="I30" s="1236">
        <v>19730.493538310129</v>
      </c>
      <c r="J30" s="1237">
        <v>11.796720301053536</v>
      </c>
      <c r="K30" s="1237">
        <v>26.428487231534248</v>
      </c>
    </row>
    <row r="31" spans="1:11" ht="15.75" hidden="1" customHeight="1" x14ac:dyDescent="0.25">
      <c r="A31" s="1221">
        <v>43314</v>
      </c>
      <c r="B31" s="1235">
        <v>372799.53522131132</v>
      </c>
      <c r="C31" s="1236">
        <v>91950.727017632875</v>
      </c>
      <c r="D31" s="1236">
        <v>42904.753354117143</v>
      </c>
      <c r="E31" s="1236">
        <v>23262.249140762691</v>
      </c>
      <c r="F31" s="1236">
        <v>33582.147756872735</v>
      </c>
      <c r="G31" s="1236">
        <v>5496.917229754833</v>
      </c>
      <c r="H31" s="1236">
        <v>9322.6055972444083</v>
      </c>
      <c r="I31" s="1236">
        <v>17765.331911007859</v>
      </c>
      <c r="J31" s="1237">
        <v>11.508800119250918</v>
      </c>
      <c r="K31" s="1237">
        <v>25.298602735682362</v>
      </c>
    </row>
    <row r="32" spans="1:11" ht="15.75" hidden="1" customHeight="1" x14ac:dyDescent="0.25">
      <c r="A32" s="1221">
        <v>43328</v>
      </c>
      <c r="B32" s="1235">
        <v>373684.60342089005</v>
      </c>
      <c r="C32" s="1236">
        <v>90491.566608288442</v>
      </c>
      <c r="D32" s="1236">
        <v>42565.960142101438</v>
      </c>
      <c r="E32" s="1236">
        <v>21526.763043059185</v>
      </c>
      <c r="F32" s="1236">
        <v>33661.354001850763</v>
      </c>
      <c r="G32" s="1236">
        <v>5409.6675338501927</v>
      </c>
      <c r="H32" s="1236">
        <v>8904.6061402506748</v>
      </c>
      <c r="I32" s="1236">
        <v>16117.095509208993</v>
      </c>
      <c r="J32" s="1237">
        <v>11.390878765791259</v>
      </c>
      <c r="K32" s="1237">
        <v>23.788695289409954</v>
      </c>
    </row>
    <row r="33" spans="1:11" ht="15.75" hidden="1" customHeight="1" x14ac:dyDescent="0.25">
      <c r="A33" s="1221">
        <v>43342</v>
      </c>
      <c r="B33" s="1235">
        <v>372414.32041296718</v>
      </c>
      <c r="C33" s="1236">
        <v>93904.968117871351</v>
      </c>
      <c r="D33" s="1236">
        <v>48733.309912880723</v>
      </c>
      <c r="E33" s="1236">
        <v>28199.348267118352</v>
      </c>
      <c r="F33" s="1236">
        <v>33546.287791954623</v>
      </c>
      <c r="G33" s="1236">
        <v>5614.9654505472263</v>
      </c>
      <c r="H33" s="1236">
        <v>15187.0221209261</v>
      </c>
      <c r="I33" s="1236">
        <v>22584.382816571124</v>
      </c>
      <c r="J33" s="1237">
        <v>13.085777651847746</v>
      </c>
      <c r="K33" s="1237">
        <v>30.029665982871084</v>
      </c>
    </row>
    <row r="34" spans="1:11" ht="15.75" hidden="1" customHeight="1" x14ac:dyDescent="0.25">
      <c r="A34" s="1221">
        <v>43356</v>
      </c>
      <c r="B34" s="1235">
        <v>377162.33432383637</v>
      </c>
      <c r="C34" s="1236">
        <v>94001.551164631921</v>
      </c>
      <c r="D34" s="1236">
        <v>47713.964896860714</v>
      </c>
      <c r="E34" s="1236">
        <v>26427.242194674196</v>
      </c>
      <c r="F34" s="1236">
        <v>33973.56866227492</v>
      </c>
      <c r="G34" s="1236">
        <v>5620.7873544581616</v>
      </c>
      <c r="H34" s="1236">
        <v>13740.396234585794</v>
      </c>
      <c r="I34" s="1236">
        <v>20806.454840216036</v>
      </c>
      <c r="J34" s="1237">
        <v>12.650776749062356</v>
      </c>
      <c r="K34" s="1237">
        <v>28.11362351711643</v>
      </c>
    </row>
    <row r="35" spans="1:11" ht="15.75" hidden="1" customHeight="1" x14ac:dyDescent="0.25">
      <c r="A35" s="1221">
        <v>43370</v>
      </c>
      <c r="B35" s="1235">
        <v>376732.22356683575</v>
      </c>
      <c r="C35" s="1236">
        <v>95519.932849042525</v>
      </c>
      <c r="D35" s="1236">
        <v>44401.362601006425</v>
      </c>
      <c r="E35" s="1236">
        <v>23234.14353662527</v>
      </c>
      <c r="F35" s="1236">
        <v>33935.026541754414</v>
      </c>
      <c r="G35" s="1236">
        <v>5711.7783571164173</v>
      </c>
      <c r="H35" s="1236">
        <v>10466.336059252011</v>
      </c>
      <c r="I35" s="1236">
        <v>17522.365179508852</v>
      </c>
      <c r="J35" s="1237">
        <v>11.785921092871211</v>
      </c>
      <c r="K35" s="1237">
        <v>24.323869210988629</v>
      </c>
    </row>
    <row r="36" spans="1:11" ht="15.75" hidden="1" customHeight="1" x14ac:dyDescent="0.25">
      <c r="A36" s="1221">
        <v>43384</v>
      </c>
      <c r="B36" s="1235">
        <v>376971.892783007</v>
      </c>
      <c r="C36" s="1236">
        <v>95291.10912719203</v>
      </c>
      <c r="D36" s="1236">
        <v>42691.444430129297</v>
      </c>
      <c r="E36" s="1236">
        <v>21474.19945612572</v>
      </c>
      <c r="F36" s="1236">
        <v>33956.715826001426</v>
      </c>
      <c r="G36" s="1236">
        <v>5697.9695639443244</v>
      </c>
      <c r="H36" s="1236">
        <v>8734.7286041278712</v>
      </c>
      <c r="I36" s="1236">
        <v>15776.229892181396</v>
      </c>
      <c r="J36" s="1237">
        <v>11.324834887545157</v>
      </c>
      <c r="K36" s="1237">
        <v>22.535365211735055</v>
      </c>
    </row>
    <row r="37" spans="1:11" ht="15.75" hidden="1" customHeight="1" x14ac:dyDescent="0.25">
      <c r="A37" s="1221">
        <v>43398</v>
      </c>
      <c r="B37" s="1235">
        <v>375928.72619546991</v>
      </c>
      <c r="C37" s="1236">
        <v>95185.480781589547</v>
      </c>
      <c r="D37" s="1236">
        <v>41502.405969030726</v>
      </c>
      <c r="E37" s="1236">
        <v>20106.524373162207</v>
      </c>
      <c r="F37" s="1236">
        <v>33862.628623320874</v>
      </c>
      <c r="G37" s="1236">
        <v>5691.7666697429886</v>
      </c>
      <c r="H37" s="1236">
        <v>7639.7773457098519</v>
      </c>
      <c r="I37" s="1236">
        <v>14414.757703419218</v>
      </c>
      <c r="J37" s="1237">
        <v>11.039966641828512</v>
      </c>
      <c r="K37" s="1237">
        <v>21.123520318501289</v>
      </c>
    </row>
    <row r="38" spans="1:11" ht="15.75" hidden="1" customHeight="1" x14ac:dyDescent="0.25">
      <c r="A38" s="1221">
        <v>43412</v>
      </c>
      <c r="B38" s="1235">
        <v>375648.27708208858</v>
      </c>
      <c r="C38" s="1236">
        <v>93910.207282063959</v>
      </c>
      <c r="D38" s="1236">
        <v>44286.322998514988</v>
      </c>
      <c r="E38" s="1236">
        <v>17966.642269772587</v>
      </c>
      <c r="F38" s="1236">
        <v>33837.203100456172</v>
      </c>
      <c r="G38" s="1236">
        <v>5615.3736615450362</v>
      </c>
      <c r="H38" s="1236">
        <v>10449.119898058816</v>
      </c>
      <c r="I38" s="1236">
        <v>12351.26860822755</v>
      </c>
      <c r="J38" s="1237">
        <v>11.789305502082023</v>
      </c>
      <c r="K38" s="1237">
        <v>19.131724643955781</v>
      </c>
    </row>
    <row r="39" spans="1:11" ht="15.75" hidden="1" customHeight="1" x14ac:dyDescent="0.25">
      <c r="A39" s="1221">
        <v>43426</v>
      </c>
      <c r="B39" s="1235">
        <v>379438.74104569125</v>
      </c>
      <c r="C39" s="1236">
        <v>97591.214112587899</v>
      </c>
      <c r="D39" s="1236">
        <v>44460.024306392857</v>
      </c>
      <c r="E39" s="1236">
        <v>17951.153189295481</v>
      </c>
      <c r="F39" s="1236">
        <v>34178.060750781879</v>
      </c>
      <c r="G39" s="1236">
        <v>5836.423475642162</v>
      </c>
      <c r="H39" s="1236">
        <v>10281.963555610979</v>
      </c>
      <c r="I39" s="1236">
        <v>12114.72971365332</v>
      </c>
      <c r="J39" s="1237">
        <v>11.717312835232889</v>
      </c>
      <c r="K39" s="1237">
        <v>18.39423082551858</v>
      </c>
    </row>
    <row r="40" spans="1:11" ht="15.75" hidden="1" customHeight="1" x14ac:dyDescent="0.25">
      <c r="A40" s="1221">
        <v>43440</v>
      </c>
      <c r="B40" s="1235">
        <v>377944.46953957417</v>
      </c>
      <c r="C40" s="1236">
        <v>100465.63639875027</v>
      </c>
      <c r="D40" s="1236">
        <v>49803.819442450716</v>
      </c>
      <c r="E40" s="1236">
        <v>16546.719052853066</v>
      </c>
      <c r="F40" s="1236">
        <v>34043.451275799598</v>
      </c>
      <c r="G40" s="1236">
        <v>6008.9721724330757</v>
      </c>
      <c r="H40" s="1236">
        <v>15760.368166651118</v>
      </c>
      <c r="I40" s="1236">
        <v>10537.746880419991</v>
      </c>
      <c r="J40" s="1237">
        <v>13.177549469932332</v>
      </c>
      <c r="K40" s="1237">
        <v>16.470028604784606</v>
      </c>
    </row>
    <row r="41" spans="1:11" ht="15.75" hidden="1" customHeight="1" x14ac:dyDescent="0.25">
      <c r="A41" s="1221">
        <v>43454</v>
      </c>
      <c r="B41" s="1235">
        <v>383170.3589830593</v>
      </c>
      <c r="C41" s="1236">
        <v>96375.801290741103</v>
      </c>
      <c r="D41" s="1236">
        <v>48200.370268429993</v>
      </c>
      <c r="E41" s="1236">
        <v>15118.545572244589</v>
      </c>
      <c r="F41" s="1236">
        <v>34513.699170000596</v>
      </c>
      <c r="G41" s="1236">
        <v>5763.6368364276359</v>
      </c>
      <c r="H41" s="1236">
        <v>13686.671098429397</v>
      </c>
      <c r="I41" s="1236">
        <v>9354.9087358169527</v>
      </c>
      <c r="J41" s="1237">
        <v>12.579357755217444</v>
      </c>
      <c r="K41" s="1237">
        <v>15.687076392377595</v>
      </c>
    </row>
    <row r="42" spans="1:11" ht="15.75" hidden="1" customHeight="1" thickTop="1" x14ac:dyDescent="0.25">
      <c r="A42" s="1221">
        <v>43468</v>
      </c>
      <c r="B42" s="1235">
        <v>384381.66696552228</v>
      </c>
      <c r="C42" s="1236">
        <v>96186.25507104893</v>
      </c>
      <c r="D42" s="1236">
        <v>44975.481479952141</v>
      </c>
      <c r="E42" s="1236">
        <v>15744.491729098992</v>
      </c>
      <c r="F42" s="1236">
        <v>34622.676903489933</v>
      </c>
      <c r="G42" s="1236">
        <v>5752.2907198676348</v>
      </c>
      <c r="H42" s="1236">
        <v>10352.804576462207</v>
      </c>
      <c r="I42" s="1236">
        <v>9992.2010092313576</v>
      </c>
      <c r="J42" s="1237">
        <v>11.700735322526787</v>
      </c>
      <c r="K42" s="1237">
        <v>16.368754264805474</v>
      </c>
    </row>
    <row r="43" spans="1:11" ht="15.75" hidden="1" customHeight="1" x14ac:dyDescent="0.25">
      <c r="A43" s="1221">
        <v>43482</v>
      </c>
      <c r="B43" s="1235">
        <v>389007.01137208636</v>
      </c>
      <c r="C43" s="1236">
        <v>94745.51404809505</v>
      </c>
      <c r="D43" s="1236">
        <v>46293.999754888566</v>
      </c>
      <c r="E43" s="1236">
        <v>15114.524511186642</v>
      </c>
      <c r="F43" s="1236">
        <v>35038.996032232659</v>
      </c>
      <c r="G43" s="1236">
        <v>5665.8208370557804</v>
      </c>
      <c r="H43" s="1236">
        <v>11255.003722655907</v>
      </c>
      <c r="I43" s="1236">
        <v>9448.7036741308621</v>
      </c>
      <c r="J43" s="1237">
        <v>11.900556648478558</v>
      </c>
      <c r="K43" s="1237">
        <v>15.952760046786125</v>
      </c>
    </row>
    <row r="44" spans="1:11" ht="15.75" hidden="1" customHeight="1" x14ac:dyDescent="0.25">
      <c r="A44" s="1221">
        <v>43496</v>
      </c>
      <c r="B44" s="1235">
        <v>387739.96191248135</v>
      </c>
      <c r="C44" s="1236">
        <v>98244.056687742952</v>
      </c>
      <c r="D44" s="1236">
        <v>47441.156161505707</v>
      </c>
      <c r="E44" s="1236">
        <v>16679.897256735469</v>
      </c>
      <c r="F44" s="1236">
        <v>34924.551834914055</v>
      </c>
      <c r="G44" s="1236">
        <v>5876.006559404088</v>
      </c>
      <c r="H44" s="1236">
        <v>12516.604326591652</v>
      </c>
      <c r="I44" s="1236">
        <v>10803.890697331381</v>
      </c>
      <c r="J44" s="1237">
        <v>12.235302218401177</v>
      </c>
      <c r="K44" s="1237">
        <v>16.978021693210955</v>
      </c>
    </row>
    <row r="45" spans="1:11" ht="15.75" hidden="1" customHeight="1" x14ac:dyDescent="0.25">
      <c r="A45" s="1221">
        <v>43510</v>
      </c>
      <c r="B45" s="1235">
        <v>388595.74818804284</v>
      </c>
      <c r="C45" s="1236">
        <v>97743.351931241705</v>
      </c>
      <c r="D45" s="1236">
        <v>44715.379378050013</v>
      </c>
      <c r="E45" s="1236">
        <v>19484.807857570777</v>
      </c>
      <c r="F45" s="1236">
        <v>34996.396874194725</v>
      </c>
      <c r="G45" s="1236">
        <v>5849.4147576939276</v>
      </c>
      <c r="H45" s="1236">
        <v>9718.9825038552881</v>
      </c>
      <c r="I45" s="1236">
        <v>13635.393099876848</v>
      </c>
      <c r="J45" s="1237">
        <v>11.506914212661968</v>
      </c>
      <c r="K45" s="1237">
        <v>19.934663046216702</v>
      </c>
    </row>
    <row r="46" spans="1:11" ht="15.75" hidden="1" customHeight="1" x14ac:dyDescent="0.25">
      <c r="A46" s="1221">
        <v>43524</v>
      </c>
      <c r="B46" s="1235">
        <v>387275.00925403339</v>
      </c>
      <c r="C46" s="1236">
        <v>100813.20657763991</v>
      </c>
      <c r="D46" s="1236">
        <v>46729.993317989298</v>
      </c>
      <c r="E46" s="1236">
        <v>18267.54236951195</v>
      </c>
      <c r="F46" s="1236">
        <v>34877.539985775584</v>
      </c>
      <c r="G46" s="1236">
        <v>6033.5996260500197</v>
      </c>
      <c r="H46" s="1236">
        <v>11852.453332213714</v>
      </c>
      <c r="I46" s="1236">
        <v>12233.94274346193</v>
      </c>
      <c r="J46" s="1237">
        <v>12.066359099183886</v>
      </c>
      <c r="K46" s="1237">
        <v>18.120187810357418</v>
      </c>
    </row>
    <row r="47" spans="1:11" ht="15.75" hidden="1" customHeight="1" x14ac:dyDescent="0.25">
      <c r="A47" s="1221">
        <v>43538</v>
      </c>
      <c r="B47" s="1235">
        <v>386284.50415640144</v>
      </c>
      <c r="C47" s="1236">
        <v>100211.01914063616</v>
      </c>
      <c r="D47" s="1236">
        <v>47930.10120686642</v>
      </c>
      <c r="E47" s="1236">
        <v>18893.887458218065</v>
      </c>
      <c r="F47" s="1236">
        <v>34784.862122794453</v>
      </c>
      <c r="G47" s="1236">
        <v>5999.8233159592864</v>
      </c>
      <c r="H47" s="1236">
        <v>13145.239084071967</v>
      </c>
      <c r="I47" s="1236">
        <v>12894.06414225878</v>
      </c>
      <c r="J47" s="1237">
        <v>12.407979272049744</v>
      </c>
      <c r="K47" s="1237">
        <v>18.854101694846932</v>
      </c>
    </row>
    <row r="48" spans="1:11" ht="15.75" hidden="1" customHeight="1" thickTop="1" x14ac:dyDescent="0.25">
      <c r="A48" s="1221">
        <v>43552</v>
      </c>
      <c r="B48" s="1235">
        <v>387997.17273510993</v>
      </c>
      <c r="C48" s="1236">
        <v>102402.98837716757</v>
      </c>
      <c r="D48" s="1236">
        <v>47930.289578314289</v>
      </c>
      <c r="E48" s="1236">
        <v>19814.342317332637</v>
      </c>
      <c r="F48" s="1236">
        <v>34937.104062503648</v>
      </c>
      <c r="G48" s="1236">
        <v>6132.6069584008892</v>
      </c>
      <c r="H48" s="1236">
        <v>12993.185515810641</v>
      </c>
      <c r="I48" s="1236">
        <v>13681.735358931748</v>
      </c>
      <c r="J48" s="1237">
        <v>12.353257432377436</v>
      </c>
      <c r="K48" s="1237">
        <v>19.349378989168809</v>
      </c>
    </row>
    <row r="49" spans="1:11" ht="15.75" hidden="1" customHeight="1" x14ac:dyDescent="0.25">
      <c r="A49" s="1221">
        <v>43566</v>
      </c>
      <c r="B49" s="1235">
        <v>390349.57052449783</v>
      </c>
      <c r="C49" s="1236">
        <v>100858.24847887128</v>
      </c>
      <c r="D49" s="1236">
        <v>44598.967381561415</v>
      </c>
      <c r="E49" s="1236">
        <v>19999.63114357254</v>
      </c>
      <c r="F49" s="1236">
        <v>35148.967909088024</v>
      </c>
      <c r="G49" s="1236">
        <v>6039.8238674767972</v>
      </c>
      <c r="H49" s="1236">
        <v>9449.9994724733915</v>
      </c>
      <c r="I49" s="1236">
        <v>13959.807276095744</v>
      </c>
      <c r="J49" s="1237">
        <v>11.425391687157612</v>
      </c>
      <c r="K49" s="1237">
        <v>19.82944523150454</v>
      </c>
    </row>
    <row r="50" spans="1:11" ht="15.75" hidden="1" customHeight="1" x14ac:dyDescent="0.25">
      <c r="A50" s="1221">
        <v>43580</v>
      </c>
      <c r="B50" s="1235">
        <v>388827.78923031635</v>
      </c>
      <c r="C50" s="1236">
        <v>97784.255142351903</v>
      </c>
      <c r="D50" s="1236">
        <v>44686.189603757142</v>
      </c>
      <c r="E50" s="1236">
        <v>19522.33620810046</v>
      </c>
      <c r="F50" s="1236">
        <v>35011.89858251821</v>
      </c>
      <c r="G50" s="1236">
        <v>5855.4569406812852</v>
      </c>
      <c r="H50" s="1236">
        <v>9674.2910212389324</v>
      </c>
      <c r="I50" s="1236">
        <v>13666.879267419175</v>
      </c>
      <c r="J50" s="1237">
        <v>11.49254010167672</v>
      </c>
      <c r="K50" s="1237">
        <v>19.964703090165514</v>
      </c>
    </row>
    <row r="51" spans="1:11" ht="15.75" hidden="1" customHeight="1" x14ac:dyDescent="0.25">
      <c r="A51" s="1221">
        <v>43594</v>
      </c>
      <c r="B51" s="1235">
        <v>390015.89235821058</v>
      </c>
      <c r="C51" s="1236">
        <v>99230.258401527099</v>
      </c>
      <c r="D51" s="1236">
        <v>46374.351876499291</v>
      </c>
      <c r="E51" s="1236">
        <v>19726.096856061249</v>
      </c>
      <c r="F51" s="1236">
        <v>35118.79248837271</v>
      </c>
      <c r="G51" s="1236">
        <v>5942.2407200024636</v>
      </c>
      <c r="H51" s="1236">
        <v>11255.559388126581</v>
      </c>
      <c r="I51" s="1236">
        <v>13783.856136058785</v>
      </c>
      <c r="J51" s="1237">
        <v>11.890374927057257</v>
      </c>
      <c r="K51" s="1237">
        <v>19.879114671092779</v>
      </c>
    </row>
    <row r="52" spans="1:11" ht="15.75" hidden="1" customHeight="1" x14ac:dyDescent="0.25">
      <c r="A52" s="1221">
        <v>43608</v>
      </c>
      <c r="B52" s="1235">
        <v>395178.77733674349</v>
      </c>
      <c r="C52" s="1236">
        <v>99674.588857506023</v>
      </c>
      <c r="D52" s="1236">
        <v>46781.35921928141</v>
      </c>
      <c r="E52" s="1236">
        <v>19691.131639216535</v>
      </c>
      <c r="F52" s="1236">
        <v>35583.392051342496</v>
      </c>
      <c r="G52" s="1236">
        <v>5968.9406040933136</v>
      </c>
      <c r="H52" s="1236">
        <v>11197.967167938914</v>
      </c>
      <c r="I52" s="1236">
        <v>13722.191035123222</v>
      </c>
      <c r="J52" s="1237">
        <v>11.838024180994324</v>
      </c>
      <c r="K52" s="1237">
        <v>19.755417970538925</v>
      </c>
    </row>
    <row r="53" spans="1:11" ht="15.75" hidden="1" customHeight="1" x14ac:dyDescent="0.25">
      <c r="A53" s="1221">
        <v>43622</v>
      </c>
      <c r="B53" s="1235">
        <v>393234.33321811352</v>
      </c>
      <c r="C53" s="1236">
        <v>99207.040452394853</v>
      </c>
      <c r="D53" s="1236">
        <v>52311.448588595711</v>
      </c>
      <c r="E53" s="1236">
        <v>19817.799357513763</v>
      </c>
      <c r="F53" s="1236">
        <v>35408.360907349364</v>
      </c>
      <c r="G53" s="1236">
        <v>5940.9084819975942</v>
      </c>
      <c r="H53" s="1236">
        <v>16903.087681246347</v>
      </c>
      <c r="I53" s="1236">
        <v>13876.890875516168</v>
      </c>
      <c r="J53" s="1237">
        <v>13.302869096015671</v>
      </c>
      <c r="K53" s="1237">
        <v>19.976202562985904</v>
      </c>
    </row>
    <row r="54" spans="1:11" ht="15.75" hidden="1" customHeight="1" x14ac:dyDescent="0.25">
      <c r="A54" s="1221">
        <v>43636</v>
      </c>
      <c r="B54" s="1235">
        <v>396538.74419182417</v>
      </c>
      <c r="C54" s="1236">
        <v>102751.7424632349</v>
      </c>
      <c r="D54" s="1236">
        <v>44244.403039649289</v>
      </c>
      <c r="E54" s="1236">
        <v>19916.171639023163</v>
      </c>
      <c r="F54" s="1236">
        <v>35705.447143754303</v>
      </c>
      <c r="G54" s="1236">
        <v>6153.7977701340023</v>
      </c>
      <c r="H54" s="1236">
        <v>8538.9558958949856</v>
      </c>
      <c r="I54" s="1236">
        <v>13762.373868889161</v>
      </c>
      <c r="J54" s="1237">
        <v>11.157649457387251</v>
      </c>
      <c r="K54" s="1237">
        <v>19.382806716050847</v>
      </c>
    </row>
    <row r="55" spans="1:11" ht="15.75" hidden="1" customHeight="1" x14ac:dyDescent="0.25">
      <c r="A55" s="1221">
        <v>43650</v>
      </c>
      <c r="B55" s="1235">
        <v>397095.54591140727</v>
      </c>
      <c r="C55" s="1236">
        <v>104782.63394747024</v>
      </c>
      <c r="D55" s="1236">
        <v>47177.149322470716</v>
      </c>
      <c r="E55" s="1236">
        <v>20473.368077867479</v>
      </c>
      <c r="F55" s="1236">
        <v>35755.303929522262</v>
      </c>
      <c r="G55" s="1236">
        <v>6275.8215051844763</v>
      </c>
      <c r="H55" s="1236">
        <v>11421.845392948453</v>
      </c>
      <c r="I55" s="1236">
        <v>14197.546572683003</v>
      </c>
      <c r="J55" s="1237">
        <v>11.880553637082604</v>
      </c>
      <c r="K55" s="1237">
        <v>19.538894286749091</v>
      </c>
    </row>
    <row r="56" spans="1:11" ht="15.75" hidden="1" customHeight="1" x14ac:dyDescent="0.25">
      <c r="A56" s="1221">
        <v>43664</v>
      </c>
      <c r="B56" s="1235">
        <v>401180.26240941073</v>
      </c>
      <c r="C56" s="1236">
        <v>106950.5223859104</v>
      </c>
      <c r="D56" s="1236">
        <v>48175.050196501441</v>
      </c>
      <c r="E56" s="1236">
        <v>20233.116572669958</v>
      </c>
      <c r="F56" s="1236">
        <v>36123.193962393605</v>
      </c>
      <c r="G56" s="1236">
        <v>6405.7177794568597</v>
      </c>
      <c r="H56" s="1236">
        <v>12051.856234107836</v>
      </c>
      <c r="I56" s="1236">
        <v>13827.398793213099</v>
      </c>
      <c r="J56" s="1237">
        <v>12.008330097590408</v>
      </c>
      <c r="K56" s="1237">
        <v>18.918202661659425</v>
      </c>
    </row>
    <row r="57" spans="1:11" ht="15.75" hidden="1" customHeight="1" x14ac:dyDescent="0.25">
      <c r="A57" s="1221">
        <v>43678</v>
      </c>
      <c r="B57" s="1235">
        <v>397858.29795419081</v>
      </c>
      <c r="C57" s="1236">
        <v>108223.58274427621</v>
      </c>
      <c r="D57" s="1236">
        <v>50976.035905411423</v>
      </c>
      <c r="E57" s="1236">
        <v>20494.340032618322</v>
      </c>
      <c r="F57" s="1236">
        <v>35824.134564789798</v>
      </c>
      <c r="G57" s="1236">
        <v>6482.1564653814949</v>
      </c>
      <c r="H57" s="1236">
        <v>15151.901340621625</v>
      </c>
      <c r="I57" s="1236">
        <v>14012.183567236827</v>
      </c>
      <c r="J57" s="1237">
        <v>12.812610964137985</v>
      </c>
      <c r="K57" s="1237">
        <v>18.937037116064463</v>
      </c>
    </row>
    <row r="58" spans="1:11" ht="15.75" hidden="1" customHeight="1" x14ac:dyDescent="0.25">
      <c r="A58" s="1221">
        <v>43692</v>
      </c>
      <c r="B58" s="1235">
        <v>400564.03373729216</v>
      </c>
      <c r="C58" s="1236">
        <v>107017.22328837361</v>
      </c>
      <c r="D58" s="1236">
        <v>48870.342296707131</v>
      </c>
      <c r="E58" s="1236">
        <v>20341.609465751128</v>
      </c>
      <c r="F58" s="1236">
        <v>36067.603703053661</v>
      </c>
      <c r="G58" s="1236">
        <v>6409.8062861708313</v>
      </c>
      <c r="H58" s="1236">
        <v>12802.73859365347</v>
      </c>
      <c r="I58" s="1236">
        <v>13931.803179580296</v>
      </c>
      <c r="J58" s="1237">
        <v>12.200382006527947</v>
      </c>
      <c r="K58" s="1237">
        <v>19.007790373085719</v>
      </c>
    </row>
    <row r="59" spans="1:11" ht="15.75" hidden="1" customHeight="1" x14ac:dyDescent="0.25">
      <c r="A59" s="1221">
        <v>43706</v>
      </c>
      <c r="B59" s="1235">
        <v>400881.20995892538</v>
      </c>
      <c r="C59" s="1236">
        <v>105525.52685398559</v>
      </c>
      <c r="D59" s="1236">
        <v>48056.885617234999</v>
      </c>
      <c r="E59" s="1236">
        <v>20637.930989652839</v>
      </c>
      <c r="F59" s="1236">
        <v>36096.00222344022</v>
      </c>
      <c r="G59" s="1236">
        <v>6320.4027264811693</v>
      </c>
      <c r="H59" s="1236">
        <v>11960.883393794778</v>
      </c>
      <c r="I59" s="1236">
        <v>14317.528263171669</v>
      </c>
      <c r="J59" s="1237">
        <v>11.987811956105139</v>
      </c>
      <c r="K59" s="1237">
        <v>19.557287800334127</v>
      </c>
    </row>
    <row r="60" spans="1:11" ht="15.75" hidden="1" customHeight="1" x14ac:dyDescent="0.25">
      <c r="A60" s="1221">
        <v>43720</v>
      </c>
      <c r="B60" s="1235">
        <v>401078.72161256569</v>
      </c>
      <c r="C60" s="1236">
        <v>109835.40286059282</v>
      </c>
      <c r="D60" s="1236">
        <v>46957.651518063576</v>
      </c>
      <c r="E60" s="1236">
        <v>21063.601823466121</v>
      </c>
      <c r="F60" s="1236">
        <v>36113.775577910943</v>
      </c>
      <c r="G60" s="1236">
        <v>6578.9970831155488</v>
      </c>
      <c r="H60" s="1236">
        <v>10843.875940152633</v>
      </c>
      <c r="I60" s="1236">
        <v>14484.604740350573</v>
      </c>
      <c r="J60" s="1237">
        <v>11.707839131746251</v>
      </c>
      <c r="K60" s="1237">
        <v>19.177424832866347</v>
      </c>
    </row>
    <row r="61" spans="1:11" ht="15.75" hidden="1" customHeight="1" x14ac:dyDescent="0.25">
      <c r="A61" s="1221">
        <v>43734</v>
      </c>
      <c r="B61" s="1235">
        <v>397450.27503390639</v>
      </c>
      <c r="C61" s="1236">
        <v>108824.6141703379</v>
      </c>
      <c r="D61" s="1236">
        <v>49786.912189245697</v>
      </c>
      <c r="E61" s="1236">
        <v>19902.031115700134</v>
      </c>
      <c r="F61" s="1236">
        <v>35787.151187501826</v>
      </c>
      <c r="G61" s="1236">
        <v>6518.3925605867689</v>
      </c>
      <c r="H61" s="1236">
        <v>13999.761001743871</v>
      </c>
      <c r="I61" s="1236">
        <v>13383.638555113364</v>
      </c>
      <c r="J61" s="1237">
        <v>12.526576358513877</v>
      </c>
      <c r="K61" s="1237">
        <v>18.288170619698636</v>
      </c>
    </row>
    <row r="62" spans="1:11" ht="15.75" hidden="1" customHeight="1" x14ac:dyDescent="0.25">
      <c r="A62" s="1221">
        <v>43748</v>
      </c>
      <c r="B62" s="1235">
        <v>399307.4070736164</v>
      </c>
      <c r="C62" s="1236">
        <v>117200.11122887878</v>
      </c>
      <c r="D62" s="1236">
        <v>47170.271561300004</v>
      </c>
      <c r="E62" s="1236">
        <v>19417.692619168916</v>
      </c>
      <c r="F62" s="1236">
        <v>35954.271758940791</v>
      </c>
      <c r="G62" s="1236">
        <v>7020.9365921891804</v>
      </c>
      <c r="H62" s="1236">
        <v>11215.999802359212</v>
      </c>
      <c r="I62" s="1236">
        <v>12396.756026979736</v>
      </c>
      <c r="J62" s="1237">
        <v>11.813021928892915</v>
      </c>
      <c r="K62" s="1237">
        <v>16.567981391458169</v>
      </c>
    </row>
    <row r="63" spans="1:11" ht="15.75" hidden="1" customHeight="1" x14ac:dyDescent="0.25">
      <c r="A63" s="1221">
        <v>43762</v>
      </c>
      <c r="B63" s="1235">
        <v>400649.8363802096</v>
      </c>
      <c r="C63" s="1236">
        <v>115858.25171883483</v>
      </c>
      <c r="D63" s="1236">
        <v>44252.334700571424</v>
      </c>
      <c r="E63" s="1236">
        <v>21079.876919848179</v>
      </c>
      <c r="F63" s="1236">
        <v>36074.81224958846</v>
      </c>
      <c r="G63" s="1236">
        <v>6940.6104528836822</v>
      </c>
      <c r="H63" s="1236">
        <v>8177.5224509829641</v>
      </c>
      <c r="I63" s="1236">
        <v>14139.266466964496</v>
      </c>
      <c r="J63" s="1237">
        <v>11.045139840910043</v>
      </c>
      <c r="K63" s="1237">
        <v>18.194540835127473</v>
      </c>
    </row>
    <row r="64" spans="1:11" ht="15.75" hidden="1" customHeight="1" x14ac:dyDescent="0.25">
      <c r="A64" s="1221">
        <v>43776</v>
      </c>
      <c r="B64" s="1235">
        <v>400329.66033975634</v>
      </c>
      <c r="C64" s="1236">
        <v>113967.49228880426</v>
      </c>
      <c r="D64" s="1236">
        <v>45448.266891724285</v>
      </c>
      <c r="E64" s="1236">
        <v>21417.499139336116</v>
      </c>
      <c r="F64" s="1236">
        <v>36045.914290170578</v>
      </c>
      <c r="G64" s="1236">
        <v>6827.2196309332585</v>
      </c>
      <c r="H64" s="1236">
        <v>9402.3526015537063</v>
      </c>
      <c r="I64" s="1236">
        <v>14590.279508402858</v>
      </c>
      <c r="J64" s="1237">
        <v>11.352710377030952</v>
      </c>
      <c r="K64" s="1237">
        <v>18.792638768485119</v>
      </c>
    </row>
    <row r="65" spans="1:12" ht="15.75" hidden="1" customHeight="1" x14ac:dyDescent="0.25">
      <c r="A65" s="1221">
        <v>43790</v>
      </c>
      <c r="B65" s="1235">
        <v>405135.79123642144</v>
      </c>
      <c r="C65" s="1236">
        <v>112840.53048504356</v>
      </c>
      <c r="D65" s="1236">
        <v>44862.006161371428</v>
      </c>
      <c r="E65" s="1236">
        <v>21002.414131485595</v>
      </c>
      <c r="F65" s="1236">
        <v>36463.21303148404</v>
      </c>
      <c r="G65" s="1236">
        <v>6769.77061563187</v>
      </c>
      <c r="H65" s="1236">
        <v>8398.7931298873882</v>
      </c>
      <c r="I65" s="1236">
        <v>14232.643515853724</v>
      </c>
      <c r="J65" s="1237">
        <v>11.073325816131538</v>
      </c>
      <c r="K65" s="1237">
        <v>18.612473763821377</v>
      </c>
    </row>
    <row r="66" spans="1:12" ht="15.75" hidden="1" customHeight="1" x14ac:dyDescent="0.25">
      <c r="A66" s="1221">
        <v>43804</v>
      </c>
      <c r="B66" s="1235">
        <v>406262.55785023421</v>
      </c>
      <c r="C66" s="1236">
        <v>115068.29607919187</v>
      </c>
      <c r="D66" s="1236">
        <v>46751.711527508574</v>
      </c>
      <c r="E66" s="1236">
        <v>23917.806966345383</v>
      </c>
      <c r="F66" s="1236">
        <v>36564.621590872041</v>
      </c>
      <c r="G66" s="1236">
        <v>6903.4368418508875</v>
      </c>
      <c r="H66" s="1236">
        <v>10187.089936636534</v>
      </c>
      <c r="I66" s="1236">
        <v>17014.370124494497</v>
      </c>
      <c r="J66" s="1237">
        <v>11.507757883202041</v>
      </c>
      <c r="K66" s="1237">
        <v>20.785748795554213</v>
      </c>
    </row>
    <row r="67" spans="1:12" ht="15.75" hidden="1" customHeight="1" x14ac:dyDescent="0.25">
      <c r="A67" s="1221">
        <v>43818</v>
      </c>
      <c r="B67" s="1235">
        <v>409140.00303550792</v>
      </c>
      <c r="C67" s="1236">
        <v>115324.85661245523</v>
      </c>
      <c r="D67" s="1236">
        <v>49233.249328197133</v>
      </c>
      <c r="E67" s="1236">
        <v>24050.969859993736</v>
      </c>
      <c r="F67" s="1236">
        <v>36823.594093180589</v>
      </c>
      <c r="G67" s="1236">
        <v>6918.8288500907256</v>
      </c>
      <c r="H67" s="1236">
        <v>12409.655235016544</v>
      </c>
      <c r="I67" s="1236">
        <v>17132.141009903011</v>
      </c>
      <c r="J67" s="1237">
        <v>12.033350188914268</v>
      </c>
      <c r="K67" s="1237">
        <v>20.854974865319885</v>
      </c>
    </row>
    <row r="68" spans="1:12" ht="15.75" hidden="1" customHeight="1" x14ac:dyDescent="0.25">
      <c r="A68" s="1221">
        <v>43832</v>
      </c>
      <c r="B68" s="1235">
        <v>414244.54177146713</v>
      </c>
      <c r="C68" s="1236">
        <v>115459.7230340622</v>
      </c>
      <c r="D68" s="1236">
        <v>58820.77716494356</v>
      </c>
      <c r="E68" s="1236">
        <v>22619.678858911568</v>
      </c>
      <c r="F68" s="1236">
        <v>37283.00548618177</v>
      </c>
      <c r="G68" s="1236">
        <v>6926.918897543912</v>
      </c>
      <c r="H68" s="1236">
        <v>21537.77167876179</v>
      </c>
      <c r="I68" s="1236">
        <v>15692.759961367656</v>
      </c>
      <c r="J68" s="1237">
        <v>14.199529802711112</v>
      </c>
      <c r="K68" s="1237">
        <v>19.590969270070438</v>
      </c>
    </row>
    <row r="69" spans="1:12" ht="15.75" hidden="1" customHeight="1" x14ac:dyDescent="0.25">
      <c r="A69" s="1221">
        <v>43846</v>
      </c>
      <c r="B69" s="1235">
        <v>429288.60444826138</v>
      </c>
      <c r="C69" s="1236">
        <v>110831.03053986686</v>
      </c>
      <c r="D69" s="1236">
        <v>56380.51258256712</v>
      </c>
      <c r="E69" s="1236">
        <v>21234.726662682937</v>
      </c>
      <c r="F69" s="1236">
        <v>38636.971889038752</v>
      </c>
      <c r="G69" s="1236">
        <v>6649.1968399285233</v>
      </c>
      <c r="H69" s="1236">
        <v>17743.540693528368</v>
      </c>
      <c r="I69" s="1236">
        <v>14585.529822754414</v>
      </c>
      <c r="J69" s="1237">
        <v>13.133475242146151</v>
      </c>
      <c r="K69" s="1237">
        <v>19.159549955681975</v>
      </c>
    </row>
    <row r="70" spans="1:12" ht="15.75" hidden="1" customHeight="1" x14ac:dyDescent="0.25">
      <c r="A70" s="1221">
        <v>43860</v>
      </c>
      <c r="B70" s="1235">
        <v>426522.02863370709</v>
      </c>
      <c r="C70" s="1236">
        <v>111941.55872104883</v>
      </c>
      <c r="D70" s="1236">
        <v>58174.850189351426</v>
      </c>
      <c r="E70" s="1236">
        <v>21118.336706052833</v>
      </c>
      <c r="F70" s="1236">
        <v>38387.979758909831</v>
      </c>
      <c r="G70" s="1236">
        <v>6715.8287353454698</v>
      </c>
      <c r="H70" s="1236">
        <v>19786.870430441595</v>
      </c>
      <c r="I70" s="1236">
        <v>14402.507970707364</v>
      </c>
      <c r="J70" s="1237">
        <v>13.639354191319249</v>
      </c>
      <c r="K70" s="1237">
        <v>18.865501737990243</v>
      </c>
    </row>
    <row r="71" spans="1:12" ht="15.75" hidden="1" customHeight="1" x14ac:dyDescent="0.25">
      <c r="A71" s="1221">
        <v>43874</v>
      </c>
      <c r="B71" s="1235">
        <v>429791.55726958497</v>
      </c>
      <c r="C71" s="1236">
        <v>113965.15817015122</v>
      </c>
      <c r="D71" s="1236">
        <v>45685.05742508571</v>
      </c>
      <c r="E71" s="1236">
        <v>21660.669189635024</v>
      </c>
      <c r="F71" s="1236">
        <v>38682.237084828404</v>
      </c>
      <c r="G71" s="1236">
        <v>6837.2448698319085</v>
      </c>
      <c r="H71" s="1236">
        <v>7002.8203402573054</v>
      </c>
      <c r="I71" s="1236">
        <v>14823.424319803114</v>
      </c>
      <c r="J71" s="1237">
        <v>10.629584656180192</v>
      </c>
      <c r="K71" s="1237">
        <v>19.006395934883372</v>
      </c>
    </row>
    <row r="72" spans="1:12" ht="15.75" hidden="1" customHeight="1" x14ac:dyDescent="0.25">
      <c r="A72" s="1221">
        <v>43888</v>
      </c>
      <c r="B72" s="1235">
        <v>425481.70085667213</v>
      </c>
      <c r="C72" s="1236">
        <v>114150.9914912494</v>
      </c>
      <c r="D72" s="1236">
        <v>52771.250898473561</v>
      </c>
      <c r="E72" s="1236">
        <v>22367.402046643772</v>
      </c>
      <c r="F72" s="1236">
        <v>38293.650172238464</v>
      </c>
      <c r="G72" s="1236">
        <v>6848.8614260496479</v>
      </c>
      <c r="H72" s="1236">
        <v>14477.600726235098</v>
      </c>
      <c r="I72" s="1236">
        <v>15518.540620594125</v>
      </c>
      <c r="J72" s="1237">
        <v>12.402707517673035</v>
      </c>
      <c r="K72" s="1237">
        <v>19.594575355360284</v>
      </c>
    </row>
    <row r="73" spans="1:12" ht="15.75" hidden="1" customHeight="1" x14ac:dyDescent="0.25">
      <c r="A73" s="1221">
        <v>43902</v>
      </c>
      <c r="B73" s="1235">
        <v>430735.0620059151</v>
      </c>
      <c r="C73" s="1236">
        <v>116517.47911195534</v>
      </c>
      <c r="D73" s="1236">
        <v>55352.080935636433</v>
      </c>
      <c r="E73" s="1236">
        <v>23734.41897577095</v>
      </c>
      <c r="F73" s="1236">
        <v>38766.454025485371</v>
      </c>
      <c r="G73" s="1236">
        <v>6990.8497834153095</v>
      </c>
      <c r="H73" s="1236">
        <v>16585.626910151062</v>
      </c>
      <c r="I73" s="1236">
        <v>16743.569192355641</v>
      </c>
      <c r="J73" s="1237">
        <v>12.850609531962437</v>
      </c>
      <c r="K73" s="1237">
        <v>20.369835630382831</v>
      </c>
    </row>
    <row r="74" spans="1:12" s="1238" customFormat="1" ht="15.75" hidden="1" customHeight="1" x14ac:dyDescent="0.25">
      <c r="A74" s="1221" t="s">
        <v>3300</v>
      </c>
      <c r="B74" s="1235">
        <v>434118.87694211298</v>
      </c>
      <c r="C74" s="1236">
        <v>119963.4531807469</v>
      </c>
      <c r="D74" s="1236">
        <v>57341.591692895716</v>
      </c>
      <c r="E74" s="1236">
        <v>22896.333603557137</v>
      </c>
      <c r="F74" s="1236">
        <v>34729.775006733405</v>
      </c>
      <c r="G74" s="1236">
        <v>7197.6085523215334</v>
      </c>
      <c r="H74" s="1236">
        <v>22611.81668616231</v>
      </c>
      <c r="I74" s="1236">
        <v>15698.725051235604</v>
      </c>
      <c r="J74" s="1237">
        <v>13.20873031295109</v>
      </c>
      <c r="K74" s="1237">
        <v>19.086090802220923</v>
      </c>
      <c r="L74" s="1228"/>
    </row>
    <row r="75" spans="1:12" s="1238" customFormat="1" ht="15.75" hidden="1" customHeight="1" x14ac:dyDescent="0.25">
      <c r="A75" s="1221" t="s">
        <v>3301</v>
      </c>
      <c r="B75" s="1235">
        <v>434547.6612497851</v>
      </c>
      <c r="C75" s="1236">
        <v>129370.32235956832</v>
      </c>
      <c r="D75" s="1236">
        <v>58681.827167577132</v>
      </c>
      <c r="E75" s="1236">
        <v>27142.85812084797</v>
      </c>
      <c r="F75" s="1236">
        <v>34764.089291075048</v>
      </c>
      <c r="G75" s="1236">
        <v>7762.0120482549055</v>
      </c>
      <c r="H75" s="1236">
        <v>23917.737876502077</v>
      </c>
      <c r="I75" s="1236">
        <v>19380.846072593056</v>
      </c>
      <c r="J75" s="1237">
        <v>13.504117591797568</v>
      </c>
      <c r="K75" s="1237">
        <v>20.980745526325467</v>
      </c>
      <c r="L75" s="1228"/>
    </row>
    <row r="76" spans="1:12" s="1238" customFormat="1" ht="15.75" hidden="1" customHeight="1" thickTop="1" x14ac:dyDescent="0.25">
      <c r="A76" s="1221">
        <v>43944</v>
      </c>
      <c r="B76" s="1235">
        <v>440638</v>
      </c>
      <c r="C76" s="1236">
        <v>132053</v>
      </c>
      <c r="D76" s="1236">
        <v>59304</v>
      </c>
      <c r="E76" s="1236">
        <v>29512</v>
      </c>
      <c r="F76" s="1236">
        <v>35251</v>
      </c>
      <c r="G76" s="1236">
        <v>7923</v>
      </c>
      <c r="H76" s="1236">
        <v>24053</v>
      </c>
      <c r="I76" s="1236">
        <v>21589</v>
      </c>
      <c r="J76" s="1237">
        <v>13.46</v>
      </c>
      <c r="K76" s="1237">
        <v>22.35</v>
      </c>
      <c r="L76" s="1228"/>
    </row>
    <row r="77" spans="1:12" s="1238" customFormat="1" ht="15.75" hidden="1" customHeight="1" thickTop="1" x14ac:dyDescent="0.25">
      <c r="A77" s="1221">
        <v>43958</v>
      </c>
      <c r="B77" s="1235">
        <v>442773.04167473654</v>
      </c>
      <c r="C77" s="1236">
        <v>133723.89196545194</v>
      </c>
      <c r="D77" s="1236">
        <v>64941.483634741424</v>
      </c>
      <c r="E77" s="1236">
        <v>26773.457449848429</v>
      </c>
      <c r="F77" s="1236">
        <v>35422.124596832764</v>
      </c>
      <c r="G77" s="1236">
        <v>8023.2225707867246</v>
      </c>
      <c r="H77" s="1236">
        <v>29519.359037908645</v>
      </c>
      <c r="I77" s="1236">
        <v>18750.2348790617</v>
      </c>
      <c r="J77" s="1237">
        <v>14.666991330164992</v>
      </c>
      <c r="K77" s="1237">
        <v>20.021446471783406</v>
      </c>
      <c r="L77" s="1228"/>
    </row>
    <row r="78" spans="1:12" s="1238" customFormat="1" ht="15.75" hidden="1" customHeight="1" thickTop="1" x14ac:dyDescent="0.25">
      <c r="A78" s="1221">
        <v>43972</v>
      </c>
      <c r="B78" s="1235">
        <v>448625.182851827</v>
      </c>
      <c r="C78" s="1236">
        <v>137023.56465890515</v>
      </c>
      <c r="D78" s="1236">
        <v>74986.714448143568</v>
      </c>
      <c r="E78" s="1236">
        <v>24798.107613464039</v>
      </c>
      <c r="F78" s="1236">
        <v>35890.29854383412</v>
      </c>
      <c r="G78" s="1236">
        <v>8221.2009427683442</v>
      </c>
      <c r="H78" s="1236">
        <v>39096.415904309477</v>
      </c>
      <c r="I78" s="1236">
        <v>16576.906670695691</v>
      </c>
      <c r="J78" s="1237">
        <v>16.714780470295256</v>
      </c>
      <c r="K78" s="1237">
        <v>18.097695586298855</v>
      </c>
      <c r="L78" s="1228"/>
    </row>
    <row r="79" spans="1:12" s="1238" customFormat="1" ht="15.75" hidden="1" customHeight="1" thickTop="1" x14ac:dyDescent="0.25">
      <c r="A79" s="1221">
        <v>43986</v>
      </c>
      <c r="B79" s="1235">
        <v>452007.75125861005</v>
      </c>
      <c r="C79" s="1236">
        <v>138220.86483187968</v>
      </c>
      <c r="D79" s="1236">
        <v>85411.994129944971</v>
      </c>
      <c r="E79" s="1236">
        <v>24693.806443150279</v>
      </c>
      <c r="F79" s="1236">
        <v>36160.903881011698</v>
      </c>
      <c r="G79" s="1236">
        <v>8293.0390546706112</v>
      </c>
      <c r="H79" s="1236">
        <v>49251.090248933295</v>
      </c>
      <c r="I79" s="1236">
        <v>16400.767388479671</v>
      </c>
      <c r="J79" s="1237">
        <v>18.896134832227172</v>
      </c>
      <c r="K79" s="1237">
        <v>17.865469495640738</v>
      </c>
      <c r="L79" s="1228"/>
    </row>
    <row r="80" spans="1:12" s="1239" customFormat="1" ht="15.75" hidden="1" customHeight="1" thickTop="1" x14ac:dyDescent="0.25">
      <c r="A80" s="1221">
        <v>44000</v>
      </c>
      <c r="B80" s="1235">
        <v>457492.35724326567</v>
      </c>
      <c r="C80" s="1236">
        <v>135358.58551198844</v>
      </c>
      <c r="D80" s="1236">
        <v>81888.482788155001</v>
      </c>
      <c r="E80" s="1236">
        <v>24694.989226607184</v>
      </c>
      <c r="F80" s="1236">
        <v>36599.672101309894</v>
      </c>
      <c r="G80" s="1236">
        <v>8121.3024893328302</v>
      </c>
      <c r="H80" s="1236">
        <v>45288.8106868451</v>
      </c>
      <c r="I80" s="1236">
        <v>16573.686737274362</v>
      </c>
      <c r="J80" s="1237">
        <v>17.899420939312403</v>
      </c>
      <c r="K80" s="1237">
        <v>18.244124769182076</v>
      </c>
      <c r="L80" s="1228"/>
    </row>
    <row r="81" spans="1:12" s="1239" customFormat="1" ht="15.75" hidden="1" customHeight="1" x14ac:dyDescent="0.25">
      <c r="A81" s="1221">
        <v>44014</v>
      </c>
      <c r="B81" s="1235">
        <v>463194.18166354287</v>
      </c>
      <c r="C81" s="1236">
        <v>135492.8845285328</v>
      </c>
      <c r="D81" s="1236">
        <v>76546.654821627148</v>
      </c>
      <c r="E81" s="1236">
        <v>26548.965386488129</v>
      </c>
      <c r="F81" s="1236">
        <v>37055.817292054242</v>
      </c>
      <c r="G81" s="1236">
        <v>8129.3610024838545</v>
      </c>
      <c r="H81" s="1236">
        <v>39490.837529572898</v>
      </c>
      <c r="I81" s="1236">
        <v>18419.604384004269</v>
      </c>
      <c r="J81" s="1237">
        <v>16.52582390968578</v>
      </c>
      <c r="K81" s="1237">
        <v>19.594361341460193</v>
      </c>
      <c r="L81" s="1228"/>
    </row>
    <row r="82" spans="1:12" s="1239" customFormat="1" ht="15.75" hidden="1" customHeight="1" x14ac:dyDescent="0.25">
      <c r="A82" s="1221">
        <v>44028</v>
      </c>
      <c r="B82" s="1235">
        <v>463213.02200582885</v>
      </c>
      <c r="C82" s="1236">
        <v>133201.9528924381</v>
      </c>
      <c r="D82" s="1236">
        <v>74752.283116682855</v>
      </c>
      <c r="E82" s="1236">
        <v>28202.443901021667</v>
      </c>
      <c r="F82" s="1236">
        <v>37057.325741634195</v>
      </c>
      <c r="G82" s="1236">
        <v>7991.9041876703586</v>
      </c>
      <c r="H82" s="1236">
        <v>37694.957375048652</v>
      </c>
      <c r="I82" s="1236">
        <v>20210.539713351307</v>
      </c>
      <c r="J82" s="1237">
        <v>16.137776695695358</v>
      </c>
      <c r="K82" s="1237">
        <v>21.172695511300365</v>
      </c>
      <c r="L82" s="1228"/>
    </row>
    <row r="83" spans="1:12" s="1239" customFormat="1" ht="15.75" customHeight="1" thickTop="1" x14ac:dyDescent="0.25">
      <c r="A83" s="1221">
        <v>44042</v>
      </c>
      <c r="B83" s="1235">
        <v>456906.08644868794</v>
      </c>
      <c r="C83" s="1236">
        <v>136292.40019267926</v>
      </c>
      <c r="D83" s="1236">
        <v>77442.357277575735</v>
      </c>
      <c r="E83" s="1236">
        <v>28461.644294954236</v>
      </c>
      <c r="F83" s="1236">
        <v>36552.769368146968</v>
      </c>
      <c r="G83" s="1236">
        <v>8177.3321723718027</v>
      </c>
      <c r="H83" s="1236">
        <v>40889.587909428752</v>
      </c>
      <c r="I83" s="1236">
        <v>20284.312122582432</v>
      </c>
      <c r="J83" s="1237">
        <v>16.949294302358293</v>
      </c>
      <c r="K83" s="1237">
        <v>20.882781618577006</v>
      </c>
      <c r="L83" s="1228"/>
    </row>
    <row r="84" spans="1:12" s="1239" customFormat="1" ht="15.75" customHeight="1" x14ac:dyDescent="0.25">
      <c r="A84" s="1221">
        <v>44056</v>
      </c>
      <c r="B84" s="1235">
        <v>459100.6758373006</v>
      </c>
      <c r="C84" s="1236">
        <v>136012.00585691672</v>
      </c>
      <c r="D84" s="1236">
        <v>75345.583890757174</v>
      </c>
      <c r="E84" s="1236">
        <v>28414.174386130613</v>
      </c>
      <c r="F84" s="1236">
        <v>36728.333073827314</v>
      </c>
      <c r="G84" s="1236">
        <v>8160.5110962825574</v>
      </c>
      <c r="H84" s="1236">
        <v>38617.250816929838</v>
      </c>
      <c r="I84" s="1236">
        <v>20253.663289848038</v>
      </c>
      <c r="J84" s="1237">
        <v>16.411560221152598</v>
      </c>
      <c r="K84" s="1237">
        <v>20.890931066792767</v>
      </c>
      <c r="L84" s="1228"/>
    </row>
    <row r="85" spans="1:12" s="1239" customFormat="1" ht="15.75" customHeight="1" x14ac:dyDescent="0.25">
      <c r="A85" s="1221">
        <v>44070</v>
      </c>
      <c r="B85" s="1235">
        <v>453759.70683656883</v>
      </c>
      <c r="C85" s="1236">
        <v>139915.59122062675</v>
      </c>
      <c r="D85" s="1236">
        <v>65278.104126367143</v>
      </c>
      <c r="E85" s="1236">
        <v>25955.852403344088</v>
      </c>
      <c r="F85" s="1236">
        <v>36300.842063632357</v>
      </c>
      <c r="G85" s="1236">
        <v>8394.8863357074715</v>
      </c>
      <c r="H85" s="1236">
        <v>28977.26206273479</v>
      </c>
      <c r="I85" s="1236">
        <v>17560.966067636615</v>
      </c>
      <c r="J85" s="1237">
        <v>14.386051282838658</v>
      </c>
      <c r="K85" s="1237">
        <v>18.551079387868537</v>
      </c>
      <c r="L85" s="1228"/>
    </row>
    <row r="86" spans="1:12" s="1239" customFormat="1" ht="15.75" customHeight="1" x14ac:dyDescent="0.25">
      <c r="A86" s="1221">
        <v>44084</v>
      </c>
      <c r="B86" s="1240">
        <v>448962.07461513602</v>
      </c>
      <c r="C86" s="1241">
        <v>142757.78877172273</v>
      </c>
      <c r="D86" s="1241">
        <v>61131.574679963567</v>
      </c>
      <c r="E86" s="1241">
        <v>22556.158653139355</v>
      </c>
      <c r="F86" s="1241">
        <v>35917.031354315106</v>
      </c>
      <c r="G86" s="1241">
        <v>8565.418287475195</v>
      </c>
      <c r="H86" s="1241">
        <v>25214.543325648483</v>
      </c>
      <c r="I86" s="1241">
        <v>13990.74036566416</v>
      </c>
      <c r="J86" s="1242">
        <v>13.616200150617939</v>
      </c>
      <c r="K86" s="1242">
        <v>15.800299827568672</v>
      </c>
      <c r="L86" s="1228"/>
    </row>
    <row r="87" spans="1:12" s="1239" customFormat="1" ht="15.75" customHeight="1" x14ac:dyDescent="0.25">
      <c r="A87" s="1221">
        <v>44098</v>
      </c>
      <c r="B87" s="1240">
        <v>449725.49507104565</v>
      </c>
      <c r="C87" s="1241">
        <v>147619.97988150796</v>
      </c>
      <c r="D87" s="1241">
        <v>58402.554810847127</v>
      </c>
      <c r="E87" s="1241">
        <v>20750.915502770302</v>
      </c>
      <c r="F87" s="1241">
        <v>35978.10508565182</v>
      </c>
      <c r="G87" s="1241">
        <v>8857.1496829143562</v>
      </c>
      <c r="H87" s="1241">
        <v>22424.449725195336</v>
      </c>
      <c r="I87" s="1241">
        <v>11893.765819855942</v>
      </c>
      <c r="J87" s="1242">
        <v>12.98626727880325</v>
      </c>
      <c r="K87" s="1242">
        <v>14.056983017764063</v>
      </c>
      <c r="L87" s="1228"/>
    </row>
    <row r="88" spans="1:12" s="1239" customFormat="1" ht="15.75" customHeight="1" x14ac:dyDescent="0.25">
      <c r="A88" s="1221">
        <v>44112</v>
      </c>
      <c r="B88" s="1240">
        <v>450256.08529647707</v>
      </c>
      <c r="C88" s="1241">
        <v>144519.43950848395</v>
      </c>
      <c r="D88" s="1241">
        <v>69364.945952854294</v>
      </c>
      <c r="E88" s="1241">
        <v>24664.569574595742</v>
      </c>
      <c r="F88" s="1241">
        <v>36020.552347157136</v>
      </c>
      <c r="G88" s="1241">
        <v>8671.1172279298098</v>
      </c>
      <c r="H88" s="1241">
        <v>33344.393605697151</v>
      </c>
      <c r="I88" s="1241">
        <v>15993.452346665934</v>
      </c>
      <c r="J88" s="1242">
        <v>15.405665401985635</v>
      </c>
      <c r="K88" s="1242">
        <v>17.06661031794814</v>
      </c>
      <c r="L88" s="1228"/>
    </row>
    <row r="89" spans="1:12" s="1239" customFormat="1" ht="15.75" customHeight="1" x14ac:dyDescent="0.25">
      <c r="A89" s="1221">
        <v>44126</v>
      </c>
      <c r="B89" s="1240">
        <v>455522.25029191631</v>
      </c>
      <c r="C89" s="1241">
        <v>143736.63092413594</v>
      </c>
      <c r="D89" s="1241">
        <v>71871.119891732858</v>
      </c>
      <c r="E89" s="1241">
        <v>23606.857843985716</v>
      </c>
      <c r="F89" s="1241">
        <v>36441.845696743003</v>
      </c>
      <c r="G89" s="1241">
        <v>8624.1486004058625</v>
      </c>
      <c r="H89" s="1241">
        <v>35429.274194989834</v>
      </c>
      <c r="I89" s="1241">
        <v>14982.709243579853</v>
      </c>
      <c r="J89" s="1242">
        <v>15.777740789977891</v>
      </c>
      <c r="K89" s="1242">
        <v>16.423689418771328</v>
      </c>
      <c r="L89" s="1228"/>
    </row>
    <row r="90" spans="1:12" s="1239" customFormat="1" ht="15.75" customHeight="1" x14ac:dyDescent="0.25">
      <c r="A90" s="1221">
        <v>44140</v>
      </c>
      <c r="B90" s="1240">
        <v>455375.62639938155</v>
      </c>
      <c r="C90" s="1241">
        <v>140332.1087129988</v>
      </c>
      <c r="D90" s="1241">
        <v>75760.619301484272</v>
      </c>
      <c r="E90" s="1241">
        <v>23933.09079887105</v>
      </c>
      <c r="F90" s="1241">
        <v>36430.115733197512</v>
      </c>
      <c r="G90" s="1241">
        <v>8419.8773068446808</v>
      </c>
      <c r="H90" s="1241">
        <v>39330.503568286782</v>
      </c>
      <c r="I90" s="1241">
        <v>15513.213492026362</v>
      </c>
      <c r="J90" s="1242">
        <v>16.636950883936716</v>
      </c>
      <c r="K90" s="1242">
        <v>17.054607828788473</v>
      </c>
      <c r="L90" s="1228"/>
    </row>
    <row r="91" spans="1:12" s="1239" customFormat="1" ht="15.75" customHeight="1" x14ac:dyDescent="0.25">
      <c r="A91" s="1221">
        <v>44154</v>
      </c>
      <c r="B91" s="1240">
        <v>455336.08695708076</v>
      </c>
      <c r="C91" s="1241">
        <v>142098.86307587833</v>
      </c>
      <c r="D91" s="1241">
        <v>76673.864114207143</v>
      </c>
      <c r="E91" s="1241">
        <v>23711.408756019948</v>
      </c>
      <c r="F91" s="1241">
        <v>36426.952750729179</v>
      </c>
      <c r="G91" s="1241">
        <v>8525.8824389306628</v>
      </c>
      <c r="H91" s="1241">
        <v>40246.911363477986</v>
      </c>
      <c r="I91" s="1241">
        <v>15185.526317089281</v>
      </c>
      <c r="J91" s="1242">
        <v>16.83896056352641</v>
      </c>
      <c r="K91" s="1242">
        <v>16.686557684390806</v>
      </c>
      <c r="L91" s="1228"/>
    </row>
    <row r="92" spans="1:12" s="1239" customFormat="1" ht="15.75" customHeight="1" x14ac:dyDescent="0.25">
      <c r="A92" s="1221">
        <v>44168</v>
      </c>
      <c r="B92" s="1240">
        <v>453110.19436861924</v>
      </c>
      <c r="C92" s="1241">
        <v>145216.77448584131</v>
      </c>
      <c r="D92" s="1241">
        <v>80203.29089773717</v>
      </c>
      <c r="E92" s="1241">
        <v>23424.620305077387</v>
      </c>
      <c r="F92" s="1241">
        <v>36248.881299707813</v>
      </c>
      <c r="G92" s="1241">
        <v>8712.9571564867729</v>
      </c>
      <c r="H92" s="1241">
        <v>43954.409598029313</v>
      </c>
      <c r="I92" s="1241">
        <v>14711.663148590609</v>
      </c>
      <c r="J92" s="1242">
        <v>17.700614970602338</v>
      </c>
      <c r="K92" s="1242">
        <v>16.130795073789013</v>
      </c>
      <c r="L92" s="1228"/>
    </row>
    <row r="93" spans="1:12" s="1239" customFormat="1" ht="15.75" customHeight="1" x14ac:dyDescent="0.25">
      <c r="A93" s="1221">
        <v>44182</v>
      </c>
      <c r="B93" s="1240">
        <v>459223.70406609704</v>
      </c>
      <c r="C93" s="1241">
        <v>141862.76828453573</v>
      </c>
      <c r="D93" s="1241">
        <v>86369.993143274958</v>
      </c>
      <c r="E93" s="1241">
        <v>24584.302913260064</v>
      </c>
      <c r="F93" s="1241">
        <v>36737.962005869536</v>
      </c>
      <c r="G93" s="1241">
        <v>8511.7168366358255</v>
      </c>
      <c r="H93" s="1241">
        <v>49632.031137405458</v>
      </c>
      <c r="I93" s="1241">
        <v>16072.586076624237</v>
      </c>
      <c r="J93" s="1242">
        <v>18.807825549624404</v>
      </c>
      <c r="K93" s="1242">
        <v>17.329637092623944</v>
      </c>
      <c r="L93" s="1228"/>
    </row>
    <row r="94" spans="1:12" s="1239" customFormat="1" ht="15.75" customHeight="1" x14ac:dyDescent="0.25">
      <c r="A94" s="1221">
        <v>44196</v>
      </c>
      <c r="B94" s="1240">
        <v>465433.02136863774</v>
      </c>
      <c r="C94" s="1241">
        <v>142750.25806398326</v>
      </c>
      <c r="D94" s="1241">
        <v>85817.539259184996</v>
      </c>
      <c r="E94" s="1241">
        <v>25411.12964533249</v>
      </c>
      <c r="F94" s="1241">
        <v>37234.704338798874</v>
      </c>
      <c r="G94" s="1241">
        <v>8564.9685118581074</v>
      </c>
      <c r="H94" s="1241">
        <v>48582.834920386122</v>
      </c>
      <c r="I94" s="1241">
        <v>16846.161133474383</v>
      </c>
      <c r="J94" s="1242">
        <v>18.438214591399774</v>
      </c>
      <c r="K94" s="1242">
        <v>17.801109427026578</v>
      </c>
      <c r="L94" s="1228"/>
    </row>
    <row r="95" spans="1:12" s="1239" customFormat="1" ht="15.75" customHeight="1" x14ac:dyDescent="0.25">
      <c r="A95" s="1221">
        <v>44210</v>
      </c>
      <c r="B95" s="1240">
        <v>477391.92859725002</v>
      </c>
      <c r="C95" s="1241">
        <v>146410.05442792206</v>
      </c>
      <c r="D95" s="1241">
        <v>79007.517803357157</v>
      </c>
      <c r="E95" s="1241">
        <v>29479.495979262589</v>
      </c>
      <c r="F95" s="1241">
        <v>38191.409615599543</v>
      </c>
      <c r="G95" s="1241">
        <v>8784.5617698106598</v>
      </c>
      <c r="H95" s="1241">
        <v>40816.108187757593</v>
      </c>
      <c r="I95" s="1241">
        <v>20694.934209451927</v>
      </c>
      <c r="J95" s="1242">
        <v>16.549822707625118</v>
      </c>
      <c r="K95" s="1242">
        <v>20.13488492607275</v>
      </c>
      <c r="L95" s="1228"/>
    </row>
    <row r="96" spans="1:12" s="1239" customFormat="1" ht="15.75" customHeight="1" x14ac:dyDescent="0.25">
      <c r="A96" s="1221">
        <v>44224</v>
      </c>
      <c r="B96" s="1240">
        <v>470895.62921301421</v>
      </c>
      <c r="C96" s="1241">
        <v>147242.77496795502</v>
      </c>
      <c r="D96" s="1241">
        <v>75730.05856911499</v>
      </c>
      <c r="E96" s="1241">
        <v>54472.336609172358</v>
      </c>
      <c r="F96" s="1241">
        <v>37671.705645969552</v>
      </c>
      <c r="G96" s="1241">
        <v>8834.5250163809869</v>
      </c>
      <c r="H96" s="1241">
        <v>38058.35292314543</v>
      </c>
      <c r="I96" s="1241">
        <v>45637.811592791382</v>
      </c>
      <c r="J96" s="1242">
        <v>16.082132402816963</v>
      </c>
      <c r="K96" s="1242">
        <v>36.994913075380012</v>
      </c>
      <c r="L96" s="1228"/>
    </row>
    <row r="97" spans="1:16" s="1239" customFormat="1" ht="15.75" customHeight="1" x14ac:dyDescent="0.25">
      <c r="A97" s="1221">
        <v>44238</v>
      </c>
      <c r="B97" s="1240">
        <v>472800.52777481149</v>
      </c>
      <c r="C97" s="1241">
        <v>148822.72881842603</v>
      </c>
      <c r="D97" s="1241">
        <v>76536.409536986437</v>
      </c>
      <c r="E97" s="1241">
        <v>50060.083900303522</v>
      </c>
      <c r="F97" s="1241">
        <v>37824.09767784115</v>
      </c>
      <c r="G97" s="1241">
        <v>8929.3221372133794</v>
      </c>
      <c r="H97" s="1241">
        <v>38712.311859145273</v>
      </c>
      <c r="I97" s="1241">
        <v>41130.761763090151</v>
      </c>
      <c r="J97" s="1242">
        <v>16.187885808249288</v>
      </c>
      <c r="K97" s="1242">
        <v>33.637391477601696</v>
      </c>
      <c r="L97" s="1228"/>
    </row>
    <row r="98" spans="1:16" s="1239" customFormat="1" ht="15.75" customHeight="1" x14ac:dyDescent="0.25">
      <c r="A98" s="1221">
        <v>44252</v>
      </c>
      <c r="B98" s="1240">
        <v>470909.36710750213</v>
      </c>
      <c r="C98" s="1241">
        <v>150722.43578835254</v>
      </c>
      <c r="D98" s="1241">
        <v>73774.153345464292</v>
      </c>
      <c r="E98" s="1241">
        <v>42103.800804853825</v>
      </c>
      <c r="F98" s="1241">
        <v>37672.805133181864</v>
      </c>
      <c r="G98" s="1241">
        <v>9043.3043238648843</v>
      </c>
      <c r="H98" s="1241">
        <v>36101.348212282421</v>
      </c>
      <c r="I98" s="1241">
        <v>33060.496480988942</v>
      </c>
      <c r="J98" s="1242">
        <v>15.666316811366945</v>
      </c>
      <c r="K98" s="1242">
        <v>27.934660546474198</v>
      </c>
      <c r="L98" s="1228"/>
    </row>
    <row r="99" spans="1:16" s="1239" customFormat="1" ht="15.75" customHeight="1" x14ac:dyDescent="0.25">
      <c r="A99" s="1221" t="s">
        <v>3302</v>
      </c>
      <c r="B99" s="1240">
        <v>471339.25044922938</v>
      </c>
      <c r="C99" s="1241">
        <v>153462.13485504608</v>
      </c>
      <c r="D99" s="1241">
        <v>71944.656035065011</v>
      </c>
      <c r="E99" s="1241">
        <v>42571.538742179626</v>
      </c>
      <c r="F99" s="1241">
        <v>37707.195853906189</v>
      </c>
      <c r="G99" s="1241">
        <v>9207.6862278268854</v>
      </c>
      <c r="H99" s="1241">
        <v>34237.460181158807</v>
      </c>
      <c r="I99" s="1241">
        <v>33363.852514352751</v>
      </c>
      <c r="J99" s="1242">
        <v>15.263879671912575</v>
      </c>
      <c r="K99" s="1242">
        <v>27.740744505079984</v>
      </c>
      <c r="L99" s="1228"/>
    </row>
    <row r="100" spans="1:16" s="1239" customFormat="1" ht="15.75" customHeight="1" x14ac:dyDescent="0.25">
      <c r="A100" s="1221" t="s">
        <v>3303</v>
      </c>
      <c r="B100" s="1240">
        <v>472397.34851422219</v>
      </c>
      <c r="C100" s="1241">
        <v>151804.97383321795</v>
      </c>
      <c r="D100" s="1241">
        <v>69813.54109377788</v>
      </c>
      <c r="E100" s="1241">
        <v>42490.659123691315</v>
      </c>
      <c r="F100" s="1241">
        <v>37791.843874334409</v>
      </c>
      <c r="G100" s="1241">
        <v>9108.2564350955963</v>
      </c>
      <c r="H100" s="1241">
        <v>32021.697219443457</v>
      </c>
      <c r="I100" s="1241">
        <v>33382.402688595714</v>
      </c>
      <c r="J100" s="1242">
        <v>14.778563282235707</v>
      </c>
      <c r="K100" s="1242">
        <v>27.990294422351468</v>
      </c>
      <c r="L100" s="1228"/>
    </row>
    <row r="101" spans="1:16" s="1239" customFormat="1" ht="15.75" customHeight="1" x14ac:dyDescent="0.25">
      <c r="A101" s="1221" t="s">
        <v>3304</v>
      </c>
      <c r="B101" s="1240">
        <v>473471.71997981356</v>
      </c>
      <c r="C101" s="1241">
        <v>149979.39783585654</v>
      </c>
      <c r="D101" s="1241">
        <v>72719.102963212164</v>
      </c>
      <c r="E101" s="1241">
        <v>36648.046505275393</v>
      </c>
      <c r="F101" s="1241">
        <v>37877.794053523074</v>
      </c>
      <c r="G101" s="1241">
        <v>8998.7215287979034</v>
      </c>
      <c r="H101" s="1241">
        <v>34841.308909689076</v>
      </c>
      <c r="I101" s="1241">
        <v>27649.324976477485</v>
      </c>
      <c r="J101" s="1242">
        <v>15.358700402700407</v>
      </c>
      <c r="K101" s="1242">
        <v>24.435387149229978</v>
      </c>
      <c r="L101" s="1228"/>
    </row>
    <row r="102" spans="1:16" s="1239" customFormat="1" ht="15.75" customHeight="1" x14ac:dyDescent="0.25">
      <c r="A102" s="1221" t="s">
        <v>3305</v>
      </c>
      <c r="B102" s="1240">
        <v>480061.20814166061</v>
      </c>
      <c r="C102" s="1241">
        <v>149876.30159740118</v>
      </c>
      <c r="D102" s="1241">
        <v>63759.16759120713</v>
      </c>
      <c r="E102" s="1241">
        <v>39276.324253339975</v>
      </c>
      <c r="F102" s="1241">
        <v>38404.953420725069</v>
      </c>
      <c r="G102" s="1241">
        <v>8992.5355187999121</v>
      </c>
      <c r="H102" s="1241">
        <v>25354.214170482075</v>
      </c>
      <c r="I102" s="1241">
        <v>30283.788734540056</v>
      </c>
      <c r="J102" s="1242">
        <v>13.281466302603755</v>
      </c>
      <c r="K102" s="1242">
        <v>26.205826961786343</v>
      </c>
      <c r="L102" s="1228"/>
    </row>
    <row r="103" spans="1:16" s="1239" customFormat="1" ht="15.75" customHeight="1" x14ac:dyDescent="0.25">
      <c r="A103" s="1221" t="s">
        <v>3306</v>
      </c>
      <c r="B103" s="1240">
        <v>481781.37499180919</v>
      </c>
      <c r="C103" s="1241">
        <v>156772.72896667561</v>
      </c>
      <c r="D103" s="1241">
        <v>63264.542162366422</v>
      </c>
      <c r="E103" s="1241">
        <v>44282.207465811596</v>
      </c>
      <c r="F103" s="1241">
        <v>38542.566776260966</v>
      </c>
      <c r="G103" s="1241">
        <v>9406.3211553133642</v>
      </c>
      <c r="H103" s="1241">
        <v>24721.975386105452</v>
      </c>
      <c r="I103" s="1241">
        <v>34875.886310498245</v>
      </c>
      <c r="J103" s="1242">
        <v>13.131379801355333</v>
      </c>
      <c r="K103" s="1242">
        <v>28.246116373482565</v>
      </c>
      <c r="L103" s="1228"/>
    </row>
    <row r="104" spans="1:16" s="1239" customFormat="1" ht="15.75" customHeight="1" x14ac:dyDescent="0.25">
      <c r="A104" s="1221" t="s">
        <v>3307</v>
      </c>
      <c r="B104" s="1240">
        <v>485574.71506499965</v>
      </c>
      <c r="C104" s="1241">
        <v>150796.37123321131</v>
      </c>
      <c r="D104" s="1241">
        <v>59150.094510864292</v>
      </c>
      <c r="E104" s="1241">
        <v>44756.099827593127</v>
      </c>
      <c r="F104" s="1241">
        <v>38846.033960803572</v>
      </c>
      <c r="G104" s="1241">
        <v>9047.7397072899785</v>
      </c>
      <c r="H104" s="1241">
        <v>20304.060550060702</v>
      </c>
      <c r="I104" s="1241">
        <v>35708.360120303158</v>
      </c>
      <c r="J104" s="1242">
        <v>12.181460993689999</v>
      </c>
      <c r="K104" s="1242">
        <v>29.679825490214494</v>
      </c>
      <c r="L104" s="1228"/>
    </row>
    <row r="105" spans="1:16" s="1239" customFormat="1" ht="15.75" customHeight="1" x14ac:dyDescent="0.25">
      <c r="A105" s="1221" t="s">
        <v>3308</v>
      </c>
      <c r="B105" s="1240">
        <v>484094.36413183936</v>
      </c>
      <c r="C105" s="1241">
        <v>150269.87786368156</v>
      </c>
      <c r="D105" s="1241">
        <v>62931.329664193581</v>
      </c>
      <c r="E105" s="1241">
        <v>49184.125342699554</v>
      </c>
      <c r="F105" s="1241">
        <v>38727.605953578168</v>
      </c>
      <c r="G105" s="1241">
        <v>9016.1500545476229</v>
      </c>
      <c r="H105" s="1241">
        <v>24203.72371061541</v>
      </c>
      <c r="I105" s="1241">
        <v>40167.975288151931</v>
      </c>
      <c r="J105" s="1242">
        <v>12.999806303684775</v>
      </c>
      <c r="K105" s="1242">
        <v>32.730528594238493</v>
      </c>
      <c r="L105" s="1228"/>
    </row>
    <row r="106" spans="1:16" s="1239" customFormat="1" ht="15.75" customHeight="1" x14ac:dyDescent="0.25">
      <c r="A106" s="1221" t="s">
        <v>3309</v>
      </c>
      <c r="B106" s="1240">
        <v>490755.83145439852</v>
      </c>
      <c r="C106" s="1241">
        <v>151987.44668250755</v>
      </c>
      <c r="D106" s="1241">
        <v>65565.392585915717</v>
      </c>
      <c r="E106" s="1241">
        <v>52673.259804868176</v>
      </c>
      <c r="F106" s="1241">
        <v>39275.90018443099</v>
      </c>
      <c r="G106" s="1241">
        <v>9107.6715498911162</v>
      </c>
      <c r="H106" s="1241">
        <v>26289.492401484713</v>
      </c>
      <c r="I106" s="1241">
        <v>43565.588254977061</v>
      </c>
      <c r="J106" s="1242">
        <v>13.360084258521562</v>
      </c>
      <c r="K106" s="1242">
        <v>34.656322580969068</v>
      </c>
      <c r="L106" s="1228"/>
    </row>
    <row r="107" spans="1:16" s="1239" customFormat="1" ht="15.75" customHeight="1" x14ac:dyDescent="0.25">
      <c r="A107" s="1221">
        <v>44378</v>
      </c>
      <c r="B107" s="1240">
        <v>491847.58458091709</v>
      </c>
      <c r="C107" s="1241">
        <v>151939.53137012263</v>
      </c>
      <c r="D107" s="1241">
        <v>65088.55270101213</v>
      </c>
      <c r="E107" s="1241">
        <v>46137.662945877455</v>
      </c>
      <c r="F107" s="1241">
        <v>39363.284359994468</v>
      </c>
      <c r="G107" s="1241">
        <v>9104.7636870665392</v>
      </c>
      <c r="H107" s="1241">
        <v>25725.268341017672</v>
      </c>
      <c r="I107" s="1241">
        <v>37032.899258810925</v>
      </c>
      <c r="J107" s="1242">
        <v>13.233480196201711</v>
      </c>
      <c r="K107" s="1242">
        <v>30.365805745107071</v>
      </c>
      <c r="L107" s="1228"/>
    </row>
    <row r="108" spans="1:16" s="1239" customFormat="1" ht="15.75" customHeight="1" x14ac:dyDescent="0.25">
      <c r="A108" s="1221">
        <v>44392</v>
      </c>
      <c r="B108" s="1240">
        <v>494332.43840061995</v>
      </c>
      <c r="C108" s="1241">
        <v>157665.6445190972</v>
      </c>
      <c r="D108" s="1241">
        <v>65202.017440840013</v>
      </c>
      <c r="E108" s="1241">
        <v>50312.472834534863</v>
      </c>
      <c r="F108" s="1241">
        <v>39562.13046284255</v>
      </c>
      <c r="G108" s="1241">
        <v>9448.2871280511154</v>
      </c>
      <c r="H108" s="1241">
        <v>25639.886977997448</v>
      </c>
      <c r="I108" s="1241">
        <v>40864.185706483739</v>
      </c>
      <c r="J108" s="1242">
        <v>13.189912774447263</v>
      </c>
      <c r="K108" s="1242">
        <v>31.91086618013399</v>
      </c>
      <c r="L108" s="1228"/>
    </row>
    <row r="109" spans="1:16" s="1239" customFormat="1" ht="15.75" customHeight="1" thickBot="1" x14ac:dyDescent="0.3">
      <c r="A109" s="1243">
        <v>44406</v>
      </c>
      <c r="B109" s="1244">
        <v>496257.79445336206</v>
      </c>
      <c r="C109" s="1245">
        <v>163337.44614575611</v>
      </c>
      <c r="D109" s="1245">
        <v>63512.973652910718</v>
      </c>
      <c r="E109" s="1245">
        <v>45058.520014218579</v>
      </c>
      <c r="F109" s="1245">
        <v>39716.456909833323</v>
      </c>
      <c r="G109" s="1245">
        <v>9788.3717535720934</v>
      </c>
      <c r="H109" s="1245">
        <v>23796.516743077387</v>
      </c>
      <c r="I109" s="1245">
        <v>35270.148260646478</v>
      </c>
      <c r="J109" s="1246">
        <v>12.798383090964149</v>
      </c>
      <c r="K109" s="1246">
        <v>27.586154355572624</v>
      </c>
      <c r="L109" s="1228"/>
    </row>
    <row r="110" spans="1:16" s="1239" customFormat="1" ht="13.5" customHeight="1" x14ac:dyDescent="0.25">
      <c r="A110" s="3704" t="s">
        <v>3310</v>
      </c>
      <c r="B110" s="3704"/>
      <c r="C110" s="3704"/>
      <c r="D110" s="3704"/>
      <c r="E110" s="3704"/>
      <c r="F110" s="3704"/>
      <c r="G110" s="3704"/>
      <c r="H110" s="3704"/>
      <c r="I110" s="3704"/>
      <c r="J110" s="3704"/>
      <c r="K110" s="1247"/>
      <c r="L110" s="1238"/>
    </row>
    <row r="111" spans="1:16" s="1239" customFormat="1" ht="30.75" customHeight="1" x14ac:dyDescent="0.25">
      <c r="A111" s="3713" t="s">
        <v>3311</v>
      </c>
      <c r="B111" s="3713"/>
      <c r="C111" s="3713"/>
      <c r="D111" s="3713"/>
      <c r="E111" s="3713"/>
      <c r="F111" s="3713"/>
      <c r="G111" s="3713"/>
      <c r="H111" s="3713"/>
      <c r="I111" s="3713"/>
      <c r="J111" s="3713"/>
      <c r="K111" s="3713"/>
      <c r="L111" s="1248"/>
      <c r="M111" s="1248"/>
      <c r="N111" s="1248"/>
      <c r="O111" s="1248"/>
      <c r="P111" s="1248"/>
    </row>
    <row r="112" spans="1:16" s="1239" customFormat="1" ht="13.5" customHeight="1" x14ac:dyDescent="0.25">
      <c r="A112" s="3704" t="s">
        <v>3312</v>
      </c>
      <c r="B112" s="3704"/>
      <c r="C112" s="3704"/>
      <c r="D112" s="3704"/>
      <c r="E112" s="3704"/>
      <c r="F112" s="3704"/>
      <c r="G112" s="3704"/>
      <c r="H112" s="3704"/>
      <c r="I112" s="3704"/>
      <c r="J112" s="3704"/>
      <c r="K112" s="1247"/>
    </row>
    <row r="113" spans="1:12" ht="13.5" customHeight="1" x14ac:dyDescent="0.25">
      <c r="A113" s="102" t="s">
        <v>3313</v>
      </c>
      <c r="B113" s="1249"/>
      <c r="C113" s="1249"/>
      <c r="D113" s="1249"/>
      <c r="E113" s="1249"/>
      <c r="F113" s="1249"/>
      <c r="G113" s="1249"/>
      <c r="H113" s="1249"/>
      <c r="I113" s="1249"/>
      <c r="J113" s="1249"/>
      <c r="K113" s="1249"/>
      <c r="L113" s="1239"/>
    </row>
    <row r="114" spans="1:12" ht="13.5" customHeight="1" x14ac:dyDescent="0.25">
      <c r="A114" s="102" t="s">
        <v>3314</v>
      </c>
      <c r="B114" s="1249"/>
      <c r="C114" s="1249"/>
      <c r="D114" s="1249"/>
      <c r="E114" s="1249"/>
      <c r="F114" s="1249"/>
      <c r="G114" s="1249"/>
      <c r="H114" s="1250"/>
      <c r="I114" s="1250"/>
      <c r="J114" s="1249"/>
      <c r="K114" s="1249"/>
      <c r="L114" s="1239"/>
    </row>
    <row r="115" spans="1:12" ht="13.5" customHeight="1" x14ac:dyDescent="0.25">
      <c r="A115" s="102" t="s">
        <v>3315</v>
      </c>
      <c r="B115" s="1249"/>
      <c r="C115" s="1249"/>
      <c r="D115" s="1249"/>
      <c r="E115" s="1249"/>
      <c r="F115" s="1249"/>
      <c r="G115" s="1249"/>
      <c r="H115" s="1250"/>
      <c r="I115" s="1250"/>
      <c r="J115" s="1249"/>
      <c r="K115" s="1249"/>
      <c r="L115" s="1239"/>
    </row>
    <row r="116" spans="1:12" ht="13.5" customHeight="1" x14ac:dyDescent="0.25">
      <c r="A116" s="102" t="s">
        <v>3316</v>
      </c>
      <c r="B116" s="1249"/>
      <c r="C116" s="1249"/>
      <c r="D116" s="1249"/>
      <c r="E116" s="1249"/>
      <c r="F116" s="1249"/>
      <c r="G116" s="1249"/>
      <c r="H116" s="1250"/>
      <c r="I116" s="1250"/>
      <c r="J116" s="1249"/>
      <c r="K116" s="1249"/>
      <c r="L116" s="1239"/>
    </row>
    <row r="117" spans="1:12" ht="13.5" customHeight="1" x14ac:dyDescent="0.25">
      <c r="A117" s="102" t="s">
        <v>3317</v>
      </c>
      <c r="B117" s="1249"/>
      <c r="C117" s="1249"/>
      <c r="D117" s="1249"/>
      <c r="E117" s="1249"/>
      <c r="F117" s="1249"/>
      <c r="G117" s="1249"/>
      <c r="H117" s="1250"/>
      <c r="I117" s="1250"/>
      <c r="J117" s="1249"/>
      <c r="K117" s="1249"/>
      <c r="L117" s="1239"/>
    </row>
    <row r="118" spans="1:12" ht="13.5" customHeight="1" x14ac:dyDescent="0.25">
      <c r="A118" s="102" t="s">
        <v>3318</v>
      </c>
      <c r="B118" s="1249"/>
      <c r="C118" s="1249"/>
      <c r="D118" s="1249"/>
      <c r="E118" s="1249"/>
      <c r="F118" s="1249"/>
      <c r="G118" s="1249"/>
      <c r="H118" s="1249"/>
      <c r="I118" s="1249"/>
      <c r="J118" s="1249"/>
      <c r="K118" s="1249"/>
      <c r="L118" s="1239"/>
    </row>
    <row r="119" spans="1:12" ht="13.5" customHeight="1" x14ac:dyDescent="0.25">
      <c r="A119" s="102" t="s">
        <v>3319</v>
      </c>
      <c r="B119" s="1249"/>
      <c r="C119" s="1249"/>
      <c r="D119" s="1249"/>
      <c r="E119" s="1249"/>
      <c r="F119" s="1249"/>
      <c r="G119" s="1249"/>
      <c r="H119" s="1250"/>
      <c r="I119" s="1250"/>
      <c r="J119" s="1249"/>
      <c r="K119" s="1249"/>
      <c r="L119" s="1239"/>
    </row>
    <row r="120" spans="1:12" ht="13.5" customHeight="1" x14ac:dyDescent="0.25">
      <c r="A120" s="3705" t="s">
        <v>134</v>
      </c>
      <c r="B120" s="3705"/>
      <c r="C120" s="3705"/>
      <c r="D120" s="3705"/>
      <c r="E120" s="3705"/>
      <c r="F120" s="3705"/>
      <c r="G120" s="3705"/>
      <c r="H120" s="3705"/>
      <c r="I120" s="3705"/>
      <c r="J120" s="3705"/>
      <c r="K120" s="1247"/>
      <c r="L120" s="1239"/>
    </row>
  </sheetData>
  <mergeCells count="18">
    <mergeCell ref="D5:E5"/>
    <mergeCell ref="F5:G5"/>
    <mergeCell ref="A112:J112"/>
    <mergeCell ref="A120:J120"/>
    <mergeCell ref="H5:I5"/>
    <mergeCell ref="J5:K5"/>
    <mergeCell ref="B7:I7"/>
    <mergeCell ref="J7:K7"/>
    <mergeCell ref="A110:J110"/>
    <mergeCell ref="A111:K111"/>
    <mergeCell ref="A3:A7"/>
    <mergeCell ref="B3:C4"/>
    <mergeCell ref="D3:E4"/>
    <mergeCell ref="F3:G3"/>
    <mergeCell ref="H3:I4"/>
    <mergeCell ref="J3:K4"/>
    <mergeCell ref="F4:G4"/>
    <mergeCell ref="B5:C5"/>
  </mergeCells>
  <pageMargins left="0.75" right="0.75" top="0.75" bottom="0.75" header="0.3" footer="0"/>
  <pageSetup paperSize="9" scale="68"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33"/>
  <sheetViews>
    <sheetView zoomScaleNormal="100" zoomScaleSheetLayoutView="90" workbookViewId="0">
      <pane xSplit="1" ySplit="5" topLeftCell="B6" activePane="bottomRight" state="frozen"/>
      <selection activeCell="I35" sqref="I35"/>
      <selection pane="topRight" activeCell="I35" sqref="I35"/>
      <selection pane="bottomLeft" activeCell="I35" sqref="I35"/>
      <selection pane="bottomRight"/>
    </sheetView>
  </sheetViews>
  <sheetFormatPr defaultColWidth="9.140625" defaultRowHeight="14.25" x14ac:dyDescent="0.25"/>
  <cols>
    <col min="1" max="1" width="45.85546875" style="1253" customWidth="1"/>
    <col min="2" max="2" width="18.7109375" style="1253" bestFit="1" customWidth="1"/>
    <col min="3" max="4" width="17.28515625" style="1253" bestFit="1" customWidth="1"/>
    <col min="5" max="5" width="16" style="1253" bestFit="1" customWidth="1"/>
    <col min="6" max="6" width="17.28515625" style="1253" bestFit="1" customWidth="1"/>
    <col min="7" max="7" width="18.7109375" style="1253" bestFit="1" customWidth="1"/>
    <col min="8" max="8" width="15.85546875" style="1253" customWidth="1"/>
    <col min="9" max="16384" width="9.140625" style="1253"/>
  </cols>
  <sheetData>
    <row r="1" spans="1:8" s="1252" customFormat="1" ht="18.75" x14ac:dyDescent="0.25">
      <c r="A1" s="1251" t="s">
        <v>3320</v>
      </c>
    </row>
    <row r="2" spans="1:8" ht="12" customHeight="1" thickBot="1" x14ac:dyDescent="0.3">
      <c r="G2" s="1254" t="s">
        <v>25</v>
      </c>
    </row>
    <row r="3" spans="1:8" s="1258" customFormat="1" ht="18" thickTop="1" thickBot="1" x14ac:dyDescent="0.3">
      <c r="A3" s="3728" t="s">
        <v>3321</v>
      </c>
      <c r="B3" s="1255" t="s">
        <v>3322</v>
      </c>
      <c r="C3" s="1256"/>
      <c r="D3" s="1256"/>
      <c r="E3" s="1256"/>
      <c r="F3" s="1256"/>
      <c r="G3" s="1257"/>
    </row>
    <row r="4" spans="1:8" s="1258" customFormat="1" ht="16.5" x14ac:dyDescent="0.25">
      <c r="A4" s="3729"/>
      <c r="B4" s="1259" t="s">
        <v>103</v>
      </c>
      <c r="C4" s="3731" t="s">
        <v>3323</v>
      </c>
      <c r="D4" s="1260" t="s">
        <v>3324</v>
      </c>
      <c r="E4" s="1260" t="s">
        <v>3325</v>
      </c>
      <c r="F4" s="3731" t="s">
        <v>3326</v>
      </c>
      <c r="G4" s="3733" t="s">
        <v>114</v>
      </c>
    </row>
    <row r="5" spans="1:8" s="1258" customFormat="1" ht="17.25" thickBot="1" x14ac:dyDescent="0.3">
      <c r="A5" s="3730"/>
      <c r="B5" s="1261" t="s">
        <v>3327</v>
      </c>
      <c r="C5" s="3732"/>
      <c r="D5" s="1262" t="s">
        <v>3328</v>
      </c>
      <c r="E5" s="1262" t="s">
        <v>3329</v>
      </c>
      <c r="F5" s="3732"/>
      <c r="G5" s="3734"/>
    </row>
    <row r="6" spans="1:8" ht="17.25" thickTop="1" x14ac:dyDescent="0.25">
      <c r="A6" s="1263"/>
      <c r="B6" s="1264"/>
      <c r="C6" s="1265"/>
      <c r="D6" s="1265"/>
      <c r="E6" s="1265"/>
      <c r="F6" s="1265"/>
      <c r="G6" s="1266"/>
    </row>
    <row r="7" spans="1:8" ht="15" customHeight="1" x14ac:dyDescent="0.25">
      <c r="A7" s="1267" t="s">
        <v>3330</v>
      </c>
      <c r="B7" s="1268">
        <v>484923701013.70239</v>
      </c>
      <c r="C7" s="1269">
        <v>98670200021.542908</v>
      </c>
      <c r="D7" s="1269">
        <v>23468258156.008289</v>
      </c>
      <c r="E7" s="1269">
        <v>4755299555.9012766</v>
      </c>
      <c r="F7" s="1269">
        <v>22181245539.709457</v>
      </c>
      <c r="G7" s="1270">
        <v>633998704286.86438</v>
      </c>
      <c r="H7" s="1271"/>
    </row>
    <row r="8" spans="1:8" ht="16.5" x14ac:dyDescent="0.25">
      <c r="A8" s="1263"/>
      <c r="B8" s="1272"/>
      <c r="C8" s="1273"/>
      <c r="D8" s="1273"/>
      <c r="E8" s="1273"/>
      <c r="F8" s="1273"/>
      <c r="G8" s="1274"/>
      <c r="H8" s="1271"/>
    </row>
    <row r="9" spans="1:8" ht="15" customHeight="1" x14ac:dyDescent="0.25">
      <c r="A9" s="1267" t="s">
        <v>3331</v>
      </c>
      <c r="B9" s="1268">
        <v>228599068427.75504</v>
      </c>
      <c r="C9" s="1269">
        <v>17559354888.643227</v>
      </c>
      <c r="D9" s="1269">
        <v>6721565280.2675762</v>
      </c>
      <c r="E9" s="1269">
        <v>2827225830.9798484</v>
      </c>
      <c r="F9" s="1269">
        <v>2343723026.4954109</v>
      </c>
      <c r="G9" s="1270">
        <v>258050937454.14114</v>
      </c>
      <c r="H9" s="1271"/>
    </row>
    <row r="10" spans="1:8" ht="16.5" x14ac:dyDescent="0.25">
      <c r="A10" s="1267"/>
      <c r="B10" s="1275"/>
      <c r="C10" s="1276"/>
      <c r="D10" s="1276"/>
      <c r="E10" s="1276"/>
      <c r="F10" s="1276"/>
      <c r="G10" s="1270"/>
      <c r="H10" s="1271"/>
    </row>
    <row r="11" spans="1:8" ht="16.5" x14ac:dyDescent="0.25">
      <c r="A11" s="1267" t="s">
        <v>3332</v>
      </c>
      <c r="B11" s="1272">
        <v>87287153950.955612</v>
      </c>
      <c r="C11" s="1273">
        <v>8227722304.382844</v>
      </c>
      <c r="D11" s="1273">
        <v>2854995491.7422829</v>
      </c>
      <c r="E11" s="1273">
        <v>519268928.61596578</v>
      </c>
      <c r="F11" s="1273">
        <v>495804070.60567433</v>
      </c>
      <c r="G11" s="1270">
        <v>99384944746.302368</v>
      </c>
      <c r="H11" s="1271"/>
    </row>
    <row r="12" spans="1:8" ht="15" customHeight="1" x14ac:dyDescent="0.25">
      <c r="A12" s="1267" t="s">
        <v>3333</v>
      </c>
      <c r="B12" s="1272">
        <v>9785635798.0193729</v>
      </c>
      <c r="C12" s="1273">
        <v>75646694.998497874</v>
      </c>
      <c r="D12" s="1273">
        <v>80661962.312898129</v>
      </c>
      <c r="E12" s="1273">
        <v>1007147362.5454359</v>
      </c>
      <c r="F12" s="1273">
        <v>231300914.56993014</v>
      </c>
      <c r="G12" s="1270">
        <v>11180392732.446136</v>
      </c>
      <c r="H12" s="1271"/>
    </row>
    <row r="13" spans="1:8" ht="15" customHeight="1" x14ac:dyDescent="0.25">
      <c r="A13" s="1267" t="s">
        <v>3334</v>
      </c>
      <c r="B13" s="1272">
        <v>16723379432.395592</v>
      </c>
      <c r="C13" s="1273">
        <v>33519642.758266859</v>
      </c>
      <c r="D13" s="1273">
        <v>19866637.871611092</v>
      </c>
      <c r="E13" s="1273">
        <v>210323981.22145972</v>
      </c>
      <c r="F13" s="1273">
        <v>461616.79980675003</v>
      </c>
      <c r="G13" s="1270">
        <v>16987551311.046736</v>
      </c>
      <c r="H13" s="1271"/>
    </row>
    <row r="14" spans="1:8" ht="15" customHeight="1" x14ac:dyDescent="0.25">
      <c r="A14" s="1267" t="s">
        <v>3335</v>
      </c>
      <c r="B14" s="1272">
        <v>35206540287.308273</v>
      </c>
      <c r="C14" s="1273">
        <v>1475564941.4242675</v>
      </c>
      <c r="D14" s="1273">
        <v>556223777.4425205</v>
      </c>
      <c r="E14" s="1273">
        <v>499556287.93088859</v>
      </c>
      <c r="F14" s="1273">
        <v>834536252.8158226</v>
      </c>
      <c r="G14" s="1270">
        <v>38572421546.921768</v>
      </c>
      <c r="H14" s="1271"/>
    </row>
    <row r="15" spans="1:8" ht="15" customHeight="1" x14ac:dyDescent="0.25">
      <c r="A15" s="1267" t="s">
        <v>3336</v>
      </c>
      <c r="B15" s="1272">
        <v>27929580001.396957</v>
      </c>
      <c r="C15" s="1273">
        <v>2221493772.7027354</v>
      </c>
      <c r="D15" s="1273">
        <v>517128274.06508243</v>
      </c>
      <c r="E15" s="1273">
        <v>147008262.24450198</v>
      </c>
      <c r="F15" s="1273">
        <v>74784995.170000747</v>
      </c>
      <c r="G15" s="1270">
        <v>30889995305.579281</v>
      </c>
      <c r="H15" s="1271"/>
    </row>
    <row r="16" spans="1:8" ht="15" customHeight="1" x14ac:dyDescent="0.25">
      <c r="A16" s="1267" t="s">
        <v>3337</v>
      </c>
      <c r="B16" s="1272">
        <v>36530789780.132103</v>
      </c>
      <c r="C16" s="1273">
        <v>1792277357.9724047</v>
      </c>
      <c r="D16" s="1273">
        <v>2205691480.409636</v>
      </c>
      <c r="E16" s="1273">
        <v>437588728.57053268</v>
      </c>
      <c r="F16" s="1273">
        <v>381157544.12841994</v>
      </c>
      <c r="G16" s="1270">
        <v>41347504891.213097</v>
      </c>
      <c r="H16" s="1271"/>
    </row>
    <row r="17" spans="1:12" ht="15" customHeight="1" x14ac:dyDescent="0.25">
      <c r="A17" s="1267" t="s">
        <v>3338</v>
      </c>
      <c r="B17" s="1272">
        <v>2503740812.0292764</v>
      </c>
      <c r="C17" s="1273">
        <v>100092146.64383258</v>
      </c>
      <c r="D17" s="1273">
        <v>153040773.35241705</v>
      </c>
      <c r="E17" s="1273">
        <v>48882.964733999994</v>
      </c>
      <c r="F17" s="1273">
        <v>15415657.472316971</v>
      </c>
      <c r="G17" s="1270">
        <v>2772338272.4625769</v>
      </c>
      <c r="H17" s="1271"/>
    </row>
    <row r="18" spans="1:12" ht="15" customHeight="1" x14ac:dyDescent="0.25">
      <c r="A18" s="1267" t="s">
        <v>3339</v>
      </c>
      <c r="B18" s="1272">
        <v>5469245052.7752695</v>
      </c>
      <c r="C18" s="1273">
        <v>148736602.73810989</v>
      </c>
      <c r="D18" s="1273">
        <v>136675543.14660653</v>
      </c>
      <c r="E18" s="1273">
        <v>223535.06570067001</v>
      </c>
      <c r="F18" s="1273">
        <v>290885516.84742552</v>
      </c>
      <c r="G18" s="1270">
        <v>6045766250.5731115</v>
      </c>
      <c r="H18" s="1271"/>
    </row>
    <row r="19" spans="1:12" ht="15" customHeight="1" x14ac:dyDescent="0.25">
      <c r="A19" s="1267" t="s">
        <v>3340</v>
      </c>
      <c r="B19" s="1272">
        <v>739894561.08994281</v>
      </c>
      <c r="C19" s="1273">
        <v>4215280.1950560603</v>
      </c>
      <c r="D19" s="1273">
        <v>1517961.9027905504</v>
      </c>
      <c r="E19" s="1273">
        <v>0</v>
      </c>
      <c r="F19" s="1273">
        <v>1284872.1698524801</v>
      </c>
      <c r="G19" s="1270">
        <v>746912675.35764194</v>
      </c>
      <c r="H19" s="1271"/>
    </row>
    <row r="20" spans="1:12" ht="15" customHeight="1" x14ac:dyDescent="0.25">
      <c r="A20" s="1267" t="s">
        <v>3341</v>
      </c>
      <c r="B20" s="1272">
        <v>3295377931.7252216</v>
      </c>
      <c r="C20" s="1273">
        <v>94503818.016807035</v>
      </c>
      <c r="D20" s="1273">
        <v>100488779.83021058</v>
      </c>
      <c r="E20" s="1273">
        <v>4175903.3224118394</v>
      </c>
      <c r="F20" s="1273">
        <v>6543081.7345109703</v>
      </c>
      <c r="G20" s="1270">
        <v>3501089514.6291623</v>
      </c>
      <c r="H20" s="1271"/>
    </row>
    <row r="21" spans="1:12" ht="15" customHeight="1" x14ac:dyDescent="0.25">
      <c r="A21" s="1267" t="s">
        <v>3342</v>
      </c>
      <c r="B21" s="1272">
        <v>894843295.85492527</v>
      </c>
      <c r="C21" s="1273">
        <v>23374562.740377028</v>
      </c>
      <c r="D21" s="1273">
        <v>19468953.016197931</v>
      </c>
      <c r="E21" s="1273">
        <v>0</v>
      </c>
      <c r="F21" s="1273">
        <v>0</v>
      </c>
      <c r="G21" s="1270">
        <v>937686811.61150026</v>
      </c>
      <c r="H21" s="1271"/>
    </row>
    <row r="22" spans="1:12" ht="15" customHeight="1" x14ac:dyDescent="0.25">
      <c r="A22" s="1267" t="s">
        <v>3343</v>
      </c>
      <c r="B22" s="1272">
        <v>278791663.69912875</v>
      </c>
      <c r="C22" s="1273">
        <v>20930310.569738701</v>
      </c>
      <c r="D22" s="1273">
        <v>14939640.131599048</v>
      </c>
      <c r="E22" s="1273">
        <v>0</v>
      </c>
      <c r="F22" s="1273">
        <v>6526541.5027263397</v>
      </c>
      <c r="G22" s="1270">
        <v>321188155.90319282</v>
      </c>
      <c r="H22" s="1271"/>
    </row>
    <row r="23" spans="1:12" ht="15" customHeight="1" x14ac:dyDescent="0.25">
      <c r="A23" s="1267" t="s">
        <v>3344</v>
      </c>
      <c r="B23" s="1272">
        <v>691651953.48425567</v>
      </c>
      <c r="C23" s="1273">
        <v>1469968.9972250399</v>
      </c>
      <c r="D23" s="1273">
        <v>12518484.676276321</v>
      </c>
      <c r="E23" s="1273">
        <v>1883958.49821702</v>
      </c>
      <c r="F23" s="1273">
        <v>0</v>
      </c>
      <c r="G23" s="1270">
        <v>707524365.65597403</v>
      </c>
      <c r="H23" s="1271"/>
    </row>
    <row r="24" spans="1:12" ht="15" customHeight="1" x14ac:dyDescent="0.25">
      <c r="A24" s="1267" t="s">
        <v>3345</v>
      </c>
      <c r="B24" s="1272">
        <v>978290578.3741889</v>
      </c>
      <c r="C24" s="1273">
        <v>13303395.372495148</v>
      </c>
      <c r="D24" s="1273">
        <v>13206771.448479211</v>
      </c>
      <c r="E24" s="1273">
        <v>0</v>
      </c>
      <c r="F24" s="1273">
        <v>3625049.3250318901</v>
      </c>
      <c r="G24" s="1270">
        <v>1008425794.5201951</v>
      </c>
      <c r="H24" s="1271"/>
    </row>
    <row r="25" spans="1:12" ht="15" customHeight="1" x14ac:dyDescent="0.25">
      <c r="A25" s="1267" t="s">
        <v>3346</v>
      </c>
      <c r="B25" s="1272">
        <v>284153328.51494968</v>
      </c>
      <c r="C25" s="1273">
        <v>3326504089.1305661</v>
      </c>
      <c r="D25" s="1273">
        <v>35140748.918965831</v>
      </c>
      <c r="E25" s="1273">
        <v>0</v>
      </c>
      <c r="F25" s="1273">
        <v>1396913.3538925301</v>
      </c>
      <c r="G25" s="1270">
        <v>3647195079.9183741</v>
      </c>
      <c r="H25" s="1271"/>
    </row>
    <row r="26" spans="1:12" ht="16.5" x14ac:dyDescent="0.25">
      <c r="A26" s="1267"/>
      <c r="B26" s="1272"/>
      <c r="C26" s="1273"/>
      <c r="D26" s="1273"/>
      <c r="E26" s="1273"/>
      <c r="F26" s="1273"/>
      <c r="G26" s="1274"/>
      <c r="H26" s="1271"/>
    </row>
    <row r="27" spans="1:12" ht="15.75" customHeight="1" x14ac:dyDescent="0.25">
      <c r="A27" s="1267" t="s">
        <v>274</v>
      </c>
      <c r="B27" s="1268">
        <v>713522769441.4574</v>
      </c>
      <c r="C27" s="1269">
        <v>116229554910.18613</v>
      </c>
      <c r="D27" s="1269">
        <v>30189823436.275864</v>
      </c>
      <c r="E27" s="1269">
        <v>7582525386.8811245</v>
      </c>
      <c r="F27" s="1269">
        <v>24524968566.204868</v>
      </c>
      <c r="G27" s="1270">
        <v>892049641741.00549</v>
      </c>
      <c r="H27" s="1271"/>
    </row>
    <row r="28" spans="1:12" ht="17.25" thickBot="1" x14ac:dyDescent="0.3">
      <c r="A28" s="1277"/>
      <c r="B28" s="1278"/>
      <c r="C28" s="1279"/>
      <c r="D28" s="1279"/>
      <c r="E28" s="1279"/>
      <c r="F28" s="1279"/>
      <c r="G28" s="1280"/>
      <c r="H28" s="1271"/>
    </row>
    <row r="29" spans="1:12" ht="15" hidden="1" thickTop="1" x14ac:dyDescent="0.25">
      <c r="A29" s="1281"/>
      <c r="B29" s="1282"/>
      <c r="C29" s="1282"/>
      <c r="D29" s="1282"/>
      <c r="E29" s="1282"/>
      <c r="F29" s="1282"/>
      <c r="G29" s="1281"/>
      <c r="H29" s="1271"/>
    </row>
    <row r="30" spans="1:12" s="1283" customFormat="1" ht="16.5" thickTop="1" x14ac:dyDescent="0.25">
      <c r="A30" s="1283" t="s">
        <v>3347</v>
      </c>
      <c r="B30" s="1284"/>
      <c r="E30" s="1285"/>
      <c r="G30" s="1284"/>
      <c r="H30" s="1284"/>
    </row>
    <row r="31" spans="1:12" s="1283" customFormat="1" ht="15.75" x14ac:dyDescent="0.25">
      <c r="A31" s="1283" t="s">
        <v>3348</v>
      </c>
      <c r="B31" s="1284"/>
      <c r="C31" s="1284"/>
      <c r="D31" s="1284"/>
      <c r="E31" s="1284"/>
      <c r="F31" s="1284"/>
      <c r="G31" s="1284"/>
      <c r="H31" s="1284"/>
      <c r="I31" s="1284"/>
      <c r="J31" s="1284"/>
      <c r="K31" s="1284"/>
      <c r="L31" s="1284"/>
    </row>
    <row r="32" spans="1:12" s="1283" customFormat="1" x14ac:dyDescent="0.25">
      <c r="A32" s="1283" t="s">
        <v>172</v>
      </c>
      <c r="B32" s="1284"/>
      <c r="C32" s="1284"/>
      <c r="D32" s="1284"/>
      <c r="E32" s="1284"/>
      <c r="F32" s="1284"/>
      <c r="G32" s="1284"/>
      <c r="H32" s="1284"/>
      <c r="I32" s="1284"/>
      <c r="J32" s="1284"/>
      <c r="K32" s="1284"/>
      <c r="L32" s="1284"/>
    </row>
    <row r="33" spans="1:7" s="1283" customFormat="1" ht="17.25" customHeight="1" x14ac:dyDescent="0.25">
      <c r="A33" s="1286" t="s">
        <v>134</v>
      </c>
      <c r="B33" s="1284"/>
      <c r="C33" s="1284"/>
      <c r="D33" s="1284"/>
      <c r="E33" s="1284"/>
      <c r="F33" s="1284"/>
      <c r="G33" s="1284"/>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I109"/>
  <sheetViews>
    <sheetView zoomScale="90" zoomScaleNormal="90" zoomScaleSheetLayoutView="100" workbookViewId="0">
      <pane xSplit="22" ySplit="4" topLeftCell="AM5" activePane="bottomRight" state="frozen"/>
      <selection activeCell="I35" sqref="I35"/>
      <selection pane="topRight" activeCell="I35" sqref="I35"/>
      <selection pane="bottomLeft" activeCell="I35" sqref="I35"/>
      <selection pane="bottomRight" sqref="A1:AR1"/>
    </sheetView>
  </sheetViews>
  <sheetFormatPr defaultRowHeight="14.25" x14ac:dyDescent="0.2"/>
  <cols>
    <col min="1" max="1" width="56.42578125" style="1367" customWidth="1"/>
    <col min="2" max="2" width="8.42578125" style="1372" hidden="1" customWidth="1"/>
    <col min="3" max="3" width="10" style="1372" hidden="1" customWidth="1"/>
    <col min="4" max="4" width="11" style="1372" hidden="1" customWidth="1"/>
    <col min="5" max="5" width="9.5703125" style="1372" hidden="1" customWidth="1"/>
    <col min="6" max="6" width="9.42578125" style="1372" hidden="1" customWidth="1"/>
    <col min="7" max="7" width="8.5703125" style="1372" hidden="1" customWidth="1"/>
    <col min="8" max="8" width="10.85546875" style="1372" hidden="1" customWidth="1"/>
    <col min="9" max="10" width="9.5703125" style="1372" hidden="1" customWidth="1"/>
    <col min="11" max="11" width="10.28515625" style="1294" hidden="1" customWidth="1"/>
    <col min="12" max="17" width="9.28515625" style="1294" hidden="1" customWidth="1"/>
    <col min="18" max="18" width="7.5703125" style="1294" hidden="1" customWidth="1"/>
    <col min="19" max="19" width="9.28515625" style="1294" hidden="1" customWidth="1"/>
    <col min="20" max="20" width="7.5703125" style="1294" hidden="1" customWidth="1"/>
    <col min="21" max="21" width="7.5703125" style="1369" hidden="1" customWidth="1"/>
    <col min="22" max="22" width="7.85546875" style="1369" hidden="1" customWidth="1"/>
    <col min="23" max="23" width="12.7109375" style="1370" hidden="1" customWidth="1"/>
    <col min="24" max="26" width="7.5703125" style="1371" hidden="1" customWidth="1"/>
    <col min="27" max="27" width="12.7109375" style="1371" hidden="1" customWidth="1"/>
    <col min="28" max="28" width="7.5703125" style="1371" hidden="1" customWidth="1"/>
    <col min="29" max="29" width="9.28515625" style="1371" hidden="1" customWidth="1"/>
    <col min="30" max="30" width="7.5703125" style="1371" hidden="1" customWidth="1"/>
    <col min="31" max="38" width="12.7109375" style="1371" hidden="1" customWidth="1"/>
    <col min="39" max="47" width="12.7109375" style="1371" customWidth="1"/>
    <col min="48" max="48" width="12.5703125" style="1294" customWidth="1"/>
    <col min="49" max="16384" width="9.140625" style="1294"/>
  </cols>
  <sheetData>
    <row r="1" spans="1:61" s="1287" customFormat="1" ht="27.75" customHeight="1" x14ac:dyDescent="0.25">
      <c r="A1" s="3735" t="s">
        <v>3349</v>
      </c>
      <c r="B1" s="3735"/>
      <c r="C1" s="3735"/>
      <c r="D1" s="3735"/>
      <c r="E1" s="3735"/>
      <c r="F1" s="3735"/>
      <c r="G1" s="3735"/>
      <c r="H1" s="3735"/>
      <c r="I1" s="3735"/>
      <c r="J1" s="3735"/>
      <c r="K1" s="3735"/>
      <c r="L1" s="3735"/>
      <c r="M1" s="3735"/>
      <c r="N1" s="3735"/>
      <c r="O1" s="3735"/>
      <c r="P1" s="3735"/>
      <c r="Q1" s="3735"/>
      <c r="R1" s="3735"/>
      <c r="S1" s="3735"/>
      <c r="T1" s="3735"/>
      <c r="U1" s="3735"/>
      <c r="V1" s="3735"/>
      <c r="W1" s="3735"/>
      <c r="X1" s="3735"/>
      <c r="Y1" s="3735"/>
      <c r="Z1" s="3735"/>
      <c r="AA1" s="3735"/>
      <c r="AB1" s="3735"/>
      <c r="AC1" s="3735"/>
      <c r="AD1" s="3735"/>
      <c r="AE1" s="3735"/>
      <c r="AF1" s="3735"/>
      <c r="AG1" s="3735"/>
      <c r="AH1" s="3735"/>
      <c r="AI1" s="3735"/>
      <c r="AJ1" s="3735"/>
      <c r="AK1" s="3735"/>
      <c r="AL1" s="3735"/>
      <c r="AM1" s="3735"/>
      <c r="AN1" s="3735"/>
      <c r="AO1" s="3735"/>
      <c r="AP1" s="3735"/>
      <c r="AQ1" s="3735"/>
      <c r="AR1" s="3735"/>
    </row>
    <row r="2" spans="1:61" s="1287" customFormat="1" ht="13.5" customHeight="1" thickBot="1" x14ac:dyDescent="0.3">
      <c r="B2" s="1288"/>
      <c r="C2" s="1288"/>
      <c r="D2" s="1288"/>
      <c r="E2" s="1288"/>
      <c r="F2" s="1288"/>
      <c r="G2" s="1288"/>
      <c r="H2" s="1288"/>
      <c r="I2" s="1288"/>
      <c r="J2" s="1288"/>
      <c r="K2" s="1288"/>
      <c r="L2" s="1288"/>
      <c r="M2" s="1288"/>
      <c r="N2" s="1288"/>
      <c r="O2" s="1288"/>
      <c r="P2" s="1288"/>
      <c r="Q2" s="1288"/>
      <c r="R2" s="1288"/>
      <c r="S2" s="1288"/>
      <c r="T2" s="1288"/>
      <c r="U2" s="1288"/>
      <c r="V2" s="1288"/>
      <c r="W2" s="1289"/>
      <c r="X2" s="1289"/>
      <c r="Y2" s="1289"/>
      <c r="Z2" s="1289"/>
      <c r="AA2" s="1289"/>
      <c r="AB2" s="1289"/>
      <c r="AC2" s="1289"/>
      <c r="AD2" s="1289"/>
      <c r="AE2" s="1289"/>
      <c r="AF2" s="1289"/>
      <c r="AG2" s="1289"/>
      <c r="AH2" s="1289"/>
      <c r="AI2" s="1289"/>
      <c r="AJ2" s="1289"/>
      <c r="AK2" s="1290"/>
      <c r="AL2" s="1290"/>
      <c r="AM2" s="1289"/>
      <c r="AP2" s="1290"/>
      <c r="AQ2" s="1290"/>
      <c r="AR2" s="1290"/>
      <c r="AS2" s="1290"/>
      <c r="AT2" s="1290"/>
      <c r="AU2" s="1290"/>
      <c r="AV2" s="1290" t="s">
        <v>3299</v>
      </c>
    </row>
    <row r="3" spans="1:61" s="1292" customFormat="1" ht="16.5" customHeight="1" x14ac:dyDescent="0.3">
      <c r="A3" s="3736" t="s">
        <v>3350</v>
      </c>
      <c r="B3" s="1291">
        <v>39873</v>
      </c>
      <c r="C3" s="1291">
        <v>39965</v>
      </c>
      <c r="D3" s="1291">
        <v>40057</v>
      </c>
      <c r="E3" s="1291">
        <v>40148</v>
      </c>
      <c r="F3" s="1291">
        <v>40238</v>
      </c>
      <c r="G3" s="1291">
        <v>40330</v>
      </c>
      <c r="H3" s="1291">
        <v>40422</v>
      </c>
      <c r="I3" s="1291">
        <v>40513</v>
      </c>
      <c r="J3" s="1291">
        <v>40603</v>
      </c>
      <c r="K3" s="1291">
        <v>40695</v>
      </c>
      <c r="L3" s="1291">
        <v>40787</v>
      </c>
      <c r="M3" s="1291">
        <v>40878</v>
      </c>
      <c r="N3" s="1291">
        <v>40969</v>
      </c>
      <c r="O3" s="1291">
        <v>41061</v>
      </c>
      <c r="P3" s="1291">
        <v>41153</v>
      </c>
      <c r="Q3" s="1291">
        <v>41244</v>
      </c>
      <c r="R3" s="1291">
        <v>41334</v>
      </c>
      <c r="S3" s="1291">
        <v>41426</v>
      </c>
      <c r="T3" s="1291">
        <v>41518</v>
      </c>
      <c r="U3" s="1291">
        <v>41609</v>
      </c>
      <c r="V3" s="3738">
        <v>41883</v>
      </c>
      <c r="W3" s="3740">
        <v>41974</v>
      </c>
      <c r="X3" s="3740">
        <v>42064</v>
      </c>
      <c r="Y3" s="3740">
        <v>42157</v>
      </c>
      <c r="Z3" s="3740">
        <v>42250</v>
      </c>
      <c r="AA3" s="3740">
        <v>42339</v>
      </c>
      <c r="AB3" s="3740">
        <v>42430</v>
      </c>
      <c r="AC3" s="3740">
        <v>42523</v>
      </c>
      <c r="AD3" s="3740">
        <v>42616</v>
      </c>
      <c r="AE3" s="3740">
        <v>42708</v>
      </c>
      <c r="AF3" s="3740">
        <v>42795</v>
      </c>
      <c r="AG3" s="3740">
        <v>42887</v>
      </c>
      <c r="AH3" s="3740">
        <v>42979</v>
      </c>
      <c r="AI3" s="3740">
        <v>43070</v>
      </c>
      <c r="AJ3" s="3740">
        <v>43160</v>
      </c>
      <c r="AK3" s="3742" t="s">
        <v>3156</v>
      </c>
      <c r="AL3" s="3742" t="s">
        <v>3351</v>
      </c>
      <c r="AM3" s="3742" t="s">
        <v>3352</v>
      </c>
      <c r="AN3" s="3742" t="s">
        <v>3353</v>
      </c>
      <c r="AO3" s="3742" t="s">
        <v>3354</v>
      </c>
      <c r="AP3" s="3742" t="s">
        <v>3355</v>
      </c>
      <c r="AQ3" s="3743" t="s">
        <v>887</v>
      </c>
      <c r="AR3" s="3743" t="s">
        <v>502</v>
      </c>
      <c r="AS3" s="3743" t="s">
        <v>177</v>
      </c>
      <c r="AT3" s="3743" t="s">
        <v>144</v>
      </c>
      <c r="AU3" s="3743">
        <v>44166</v>
      </c>
      <c r="AV3" s="3743">
        <v>44256</v>
      </c>
    </row>
    <row r="4" spans="1:61" ht="9.75" customHeight="1" thickBot="1" x14ac:dyDescent="0.35">
      <c r="A4" s="3737"/>
      <c r="B4" s="1293"/>
      <c r="C4" s="1293"/>
      <c r="D4" s="1293"/>
      <c r="E4" s="1293"/>
      <c r="F4" s="1293"/>
      <c r="G4" s="1293"/>
      <c r="H4" s="1293"/>
      <c r="I4" s="1293"/>
      <c r="J4" s="1293"/>
      <c r="K4" s="1293"/>
      <c r="L4" s="1293"/>
      <c r="M4" s="1293"/>
      <c r="N4" s="1293"/>
      <c r="O4" s="1293"/>
      <c r="P4" s="1293"/>
      <c r="Q4" s="1293"/>
      <c r="R4" s="1293"/>
      <c r="S4" s="1293"/>
      <c r="T4" s="1293"/>
      <c r="U4" s="1293"/>
      <c r="V4" s="3739"/>
      <c r="W4" s="3741"/>
      <c r="X4" s="3741"/>
      <c r="Y4" s="3741"/>
      <c r="Z4" s="3741"/>
      <c r="AA4" s="3741"/>
      <c r="AB4" s="3741"/>
      <c r="AC4" s="3741"/>
      <c r="AD4" s="3741"/>
      <c r="AE4" s="3741"/>
      <c r="AF4" s="3741"/>
      <c r="AG4" s="3741"/>
      <c r="AH4" s="3741"/>
      <c r="AI4" s="3741"/>
      <c r="AJ4" s="3741"/>
      <c r="AK4" s="3741"/>
      <c r="AL4" s="3741"/>
      <c r="AM4" s="3741"/>
      <c r="AN4" s="3741"/>
      <c r="AO4" s="3741"/>
      <c r="AP4" s="3741"/>
      <c r="AQ4" s="3744"/>
      <c r="AR4" s="3744"/>
      <c r="AS4" s="3744"/>
      <c r="AT4" s="3744"/>
      <c r="AU4" s="3744"/>
      <c r="AV4" s="3744"/>
    </row>
    <row r="5" spans="1:61" s="1300" customFormat="1" ht="17.25" x14ac:dyDescent="0.3">
      <c r="A5" s="1295" t="s">
        <v>3356</v>
      </c>
      <c r="B5" s="1296"/>
      <c r="C5" s="1296"/>
      <c r="D5" s="1296"/>
      <c r="E5" s="1296"/>
      <c r="F5" s="1296"/>
      <c r="G5" s="1296"/>
      <c r="H5" s="1296"/>
      <c r="I5" s="1296"/>
      <c r="J5" s="1296"/>
      <c r="K5" s="1296"/>
      <c r="L5" s="1296"/>
      <c r="M5" s="1296"/>
      <c r="N5" s="1296"/>
      <c r="O5" s="1296"/>
      <c r="P5" s="1296"/>
      <c r="Q5" s="1296"/>
      <c r="R5" s="1296"/>
      <c r="S5" s="1296"/>
      <c r="T5" s="1296"/>
      <c r="U5" s="1296"/>
      <c r="V5" s="1297"/>
      <c r="W5" s="1298"/>
      <c r="X5" s="1298"/>
      <c r="Y5" s="1298"/>
      <c r="Z5" s="1298"/>
      <c r="AA5" s="1299"/>
      <c r="AB5" s="1298"/>
      <c r="AC5" s="1298"/>
      <c r="AD5" s="1298"/>
      <c r="AE5" s="1299"/>
      <c r="AF5" s="1299"/>
      <c r="AG5" s="1299"/>
      <c r="AH5" s="1299"/>
      <c r="AI5" s="1299"/>
      <c r="AJ5" s="1299"/>
      <c r="AK5" s="1299"/>
      <c r="AL5" s="1299"/>
      <c r="AM5" s="1299"/>
      <c r="AN5" s="1299"/>
      <c r="AO5" s="1299"/>
      <c r="AP5" s="1299"/>
      <c r="AQ5" s="1299"/>
      <c r="AR5" s="1299"/>
      <c r="AS5" s="1299"/>
      <c r="AT5" s="1299"/>
      <c r="AU5" s="1299"/>
      <c r="AV5" s="1299"/>
    </row>
    <row r="6" spans="1:61" ht="17.25" x14ac:dyDescent="0.3">
      <c r="A6" s="1301" t="s">
        <v>3357</v>
      </c>
      <c r="B6" s="1302">
        <v>0.1718676367942365</v>
      </c>
      <c r="C6" s="1302">
        <v>0.15997964794204753</v>
      </c>
      <c r="D6" s="1302">
        <v>0.153</v>
      </c>
      <c r="E6" s="1302">
        <v>0.154</v>
      </c>
      <c r="F6" s="1302">
        <v>0.16700000000000001</v>
      </c>
      <c r="G6" s="1302">
        <v>0.16549926722586525</v>
      </c>
      <c r="H6" s="1302">
        <v>0.1591182920756036</v>
      </c>
      <c r="I6" s="1302">
        <v>0.157946867635543</v>
      </c>
      <c r="J6" s="1302">
        <v>0.17243388831771284</v>
      </c>
      <c r="K6" s="1302">
        <v>0.16285419143411595</v>
      </c>
      <c r="L6" s="1302">
        <v>0.15829854881621278</v>
      </c>
      <c r="M6" s="1302">
        <v>0.156</v>
      </c>
      <c r="N6" s="1302">
        <v>0.16</v>
      </c>
      <c r="O6" s="1302">
        <v>0.16435170105853492</v>
      </c>
      <c r="P6" s="1302">
        <v>0.17203186507637383</v>
      </c>
      <c r="Q6" s="1302">
        <v>0.17090056720664193</v>
      </c>
      <c r="R6" s="1302">
        <v>0.17430335722370124</v>
      </c>
      <c r="S6" s="1302">
        <v>0.16400000000000001</v>
      </c>
      <c r="T6" s="1302">
        <v>0.16900000000000001</v>
      </c>
      <c r="U6" s="1302">
        <v>0.17299999999999999</v>
      </c>
      <c r="V6" s="1303">
        <v>0.17508264034499557</v>
      </c>
      <c r="W6" s="1304">
        <v>17.079466277427397</v>
      </c>
      <c r="X6" s="1304">
        <v>17.740151884661529</v>
      </c>
      <c r="Y6" s="1304">
        <v>17.599999999999998</v>
      </c>
      <c r="Z6" s="1304">
        <v>18.2</v>
      </c>
      <c r="AA6" s="1304">
        <v>18.383057849063054</v>
      </c>
      <c r="AB6" s="1304">
        <v>18.675117348055888</v>
      </c>
      <c r="AC6" s="1304">
        <v>18.201865156654755</v>
      </c>
      <c r="AD6" s="1304">
        <v>18.18107339782329</v>
      </c>
      <c r="AE6" s="1304">
        <v>18.234977514011121</v>
      </c>
      <c r="AF6" s="1304">
        <v>18.478099253170633</v>
      </c>
      <c r="AG6" s="1304">
        <v>18.600000000000001</v>
      </c>
      <c r="AH6" s="1304">
        <v>18.2</v>
      </c>
      <c r="AI6" s="1304">
        <v>18.600000000000001</v>
      </c>
      <c r="AJ6" s="1304">
        <v>18.600000000000001</v>
      </c>
      <c r="AK6" s="1304">
        <v>18</v>
      </c>
      <c r="AL6" s="1304">
        <v>18.398676813123199</v>
      </c>
      <c r="AM6" s="1304">
        <v>19.243484012944851</v>
      </c>
      <c r="AN6" s="1304">
        <v>19.546290927550068</v>
      </c>
      <c r="AO6" s="1304">
        <v>19.98532855093838</v>
      </c>
      <c r="AP6" s="1304">
        <v>19.837974262374257</v>
      </c>
      <c r="AQ6" s="1305">
        <v>19.600371347647538</v>
      </c>
      <c r="AR6" s="1304">
        <v>19.294394145716151</v>
      </c>
      <c r="AS6" s="1304">
        <v>20.360962428295718</v>
      </c>
      <c r="AT6" s="1304">
        <v>19.880611409676508</v>
      </c>
      <c r="AU6" s="1304">
        <v>19.707844948950726</v>
      </c>
      <c r="AV6" s="1304">
        <v>19.752002668590912</v>
      </c>
      <c r="AX6" s="1306"/>
    </row>
    <row r="7" spans="1:61" ht="17.25" x14ac:dyDescent="0.3">
      <c r="A7" s="1301" t="s">
        <v>3358</v>
      </c>
      <c r="B7" s="1302">
        <v>0.15055686147138789</v>
      </c>
      <c r="C7" s="1302">
        <v>0.13834498252886165</v>
      </c>
      <c r="D7" s="1302">
        <v>0.13206883192338364</v>
      </c>
      <c r="E7" s="1302">
        <v>0.13257567692621144</v>
      </c>
      <c r="F7" s="1302">
        <v>0.14600174663236906</v>
      </c>
      <c r="G7" s="1302">
        <v>0.1423335452646744</v>
      </c>
      <c r="H7" s="1302">
        <v>0.13647953285407111</v>
      </c>
      <c r="I7" s="1302">
        <v>0.13638936851998498</v>
      </c>
      <c r="J7" s="1302">
        <v>0.15014960288428036</v>
      </c>
      <c r="K7" s="1302">
        <v>0.14085991820948748</v>
      </c>
      <c r="L7" s="1302">
        <v>0.13806515998901453</v>
      </c>
      <c r="M7" s="1302">
        <v>0.13900000000000001</v>
      </c>
      <c r="N7" s="1302">
        <v>0.14499999999999999</v>
      </c>
      <c r="O7" s="1302">
        <v>0.15037147410328416</v>
      </c>
      <c r="P7" s="1302">
        <v>0.15749874257434712</v>
      </c>
      <c r="Q7" s="1302">
        <v>0.15521270336226159</v>
      </c>
      <c r="R7" s="1302">
        <v>0.15935757455659602</v>
      </c>
      <c r="S7" s="1302">
        <v>0.15</v>
      </c>
      <c r="T7" s="1302">
        <v>0.14799999999999999</v>
      </c>
      <c r="U7" s="1302">
        <v>0.151</v>
      </c>
      <c r="V7" s="1303">
        <v>0.15122846815962562</v>
      </c>
      <c r="W7" s="1304">
        <v>15.121041423645831</v>
      </c>
      <c r="X7" s="1304">
        <v>15.369758545732349</v>
      </c>
      <c r="Y7" s="1304">
        <v>15.2</v>
      </c>
      <c r="Z7" s="1304">
        <v>16.600000000000001</v>
      </c>
      <c r="AA7" s="1304">
        <v>16.977039339356185</v>
      </c>
      <c r="AB7" s="1304">
        <v>17.241235556886664</v>
      </c>
      <c r="AC7" s="1304">
        <v>16.53574933076268</v>
      </c>
      <c r="AD7" s="1304">
        <v>16.562261888658959</v>
      </c>
      <c r="AE7" s="1304">
        <v>16.664238987111755</v>
      </c>
      <c r="AF7" s="1304">
        <v>16.935946304592171</v>
      </c>
      <c r="AG7" s="1304">
        <v>17.2</v>
      </c>
      <c r="AH7" s="1304">
        <v>16.8</v>
      </c>
      <c r="AI7" s="1304">
        <v>17.299999999999997</v>
      </c>
      <c r="AJ7" s="1304">
        <v>17.2</v>
      </c>
      <c r="AK7" s="1304">
        <v>16.7</v>
      </c>
      <c r="AL7" s="1304">
        <v>17.055065710101662</v>
      </c>
      <c r="AM7" s="1304">
        <v>17.867932104146984</v>
      </c>
      <c r="AN7" s="1304">
        <v>18.162603154807112</v>
      </c>
      <c r="AO7" s="1304">
        <v>18.524051642907786</v>
      </c>
      <c r="AP7" s="1304">
        <v>18.444901394979841</v>
      </c>
      <c r="AQ7" s="1305">
        <v>18.21484157642093</v>
      </c>
      <c r="AR7" s="1304">
        <v>18.021312422135612</v>
      </c>
      <c r="AS7" s="1304">
        <v>19.022911522605384</v>
      </c>
      <c r="AT7" s="1304">
        <v>18.520278174427229</v>
      </c>
      <c r="AU7" s="1304">
        <v>18.337569014559815</v>
      </c>
      <c r="AV7" s="1304">
        <v>18.404464005233415</v>
      </c>
      <c r="AX7" s="1306"/>
    </row>
    <row r="8" spans="1:61" ht="17.25" x14ac:dyDescent="0.3">
      <c r="A8" s="1301" t="s">
        <v>3359</v>
      </c>
      <c r="B8" s="1302">
        <v>0.10140426111429046</v>
      </c>
      <c r="C8" s="1302">
        <v>0.10589471241226837</v>
      </c>
      <c r="D8" s="1302">
        <v>0.11068489597478232</v>
      </c>
      <c r="E8" s="1302">
        <v>0.13420253822556999</v>
      </c>
      <c r="F8" s="1302">
        <v>8.1405968067922219E-2</v>
      </c>
      <c r="G8" s="1302">
        <v>7.5999999999999998E-2</v>
      </c>
      <c r="H8" s="1302">
        <v>8.617944059955579E-2</v>
      </c>
      <c r="I8" s="1302">
        <v>9.1381504838376093E-2</v>
      </c>
      <c r="J8" s="1302">
        <v>8.2010890852598411E-2</v>
      </c>
      <c r="K8" s="1302">
        <v>9.6056694525205336E-2</v>
      </c>
      <c r="L8" s="1302">
        <v>9.6426830122635337E-2</v>
      </c>
      <c r="M8" s="1302">
        <v>0.109</v>
      </c>
      <c r="N8" s="1302">
        <v>0.107</v>
      </c>
      <c r="O8" s="1302">
        <v>0.15815332093148349</v>
      </c>
      <c r="P8" s="1302">
        <v>0.14694991323370413</v>
      </c>
      <c r="Q8" s="1302">
        <v>0.12407532303703329</v>
      </c>
      <c r="R8" s="1302">
        <v>0.11825260073262621</v>
      </c>
      <c r="S8" s="1302">
        <v>0.13</v>
      </c>
      <c r="T8" s="1302">
        <v>0.129</v>
      </c>
      <c r="U8" s="1302">
        <v>0.127</v>
      </c>
      <c r="V8" s="1303">
        <v>0.1221773840544107</v>
      </c>
      <c r="W8" s="1304">
        <v>16.446667143528636</v>
      </c>
      <c r="X8" s="1304">
        <v>16.411092890645577</v>
      </c>
      <c r="Y8" s="1304">
        <v>17.8</v>
      </c>
      <c r="Z8" s="1304">
        <v>17.899999999999999</v>
      </c>
      <c r="AA8" s="1304">
        <v>19.106987017216934</v>
      </c>
      <c r="AB8" s="1304">
        <v>18.707460028369997</v>
      </c>
      <c r="AC8" s="1304">
        <v>18.505255305394439</v>
      </c>
      <c r="AD8" s="1304">
        <v>18.688264715851261</v>
      </c>
      <c r="AE8" s="1304">
        <v>18.665572688503023</v>
      </c>
      <c r="AF8" s="1304">
        <v>19.275934037268701</v>
      </c>
      <c r="AG8" s="1304">
        <v>18</v>
      </c>
      <c r="AH8" s="1304">
        <v>18.3</v>
      </c>
      <c r="AI8" s="1304">
        <v>16.600000000000001</v>
      </c>
      <c r="AJ8" s="1304">
        <v>15.6</v>
      </c>
      <c r="AK8" s="1304">
        <v>14.3</v>
      </c>
      <c r="AL8" s="1304">
        <v>9.9073415848788198</v>
      </c>
      <c r="AM8" s="1304">
        <v>13.894017800239904</v>
      </c>
      <c r="AN8" s="1304">
        <v>12.987379307258815</v>
      </c>
      <c r="AO8" s="1304">
        <v>12.687120676440983</v>
      </c>
      <c r="AP8" s="1304">
        <v>11.541547614822806</v>
      </c>
      <c r="AQ8" s="1305">
        <v>10.397266259056606</v>
      </c>
      <c r="AR8" s="1304">
        <v>11.482813013192354</v>
      </c>
      <c r="AS8" s="1304">
        <v>12.220372398420672</v>
      </c>
      <c r="AT8" s="1304">
        <v>11.135984273161625</v>
      </c>
      <c r="AU8" s="1304">
        <v>10.213019762269575</v>
      </c>
      <c r="AV8" s="1304">
        <v>10.564795482922449</v>
      </c>
      <c r="AX8" s="1306"/>
    </row>
    <row r="9" spans="1:61" ht="15.75" hidden="1" customHeight="1" x14ac:dyDescent="0.3">
      <c r="A9" s="1301"/>
      <c r="B9" s="1302">
        <v>0.8239611283071826</v>
      </c>
      <c r="C9" s="1302">
        <v>1.4373029210939954</v>
      </c>
      <c r="D9" s="1302">
        <v>1.6411025237915049</v>
      </c>
      <c r="E9" s="1302">
        <v>2.0360524518371519</v>
      </c>
      <c r="F9" s="1302">
        <v>2.5552436349246372</v>
      </c>
      <c r="G9" s="1302"/>
      <c r="H9" s="1302"/>
      <c r="I9" s="1302"/>
      <c r="J9" s="1302"/>
      <c r="K9" s="1302"/>
      <c r="L9" s="1302"/>
      <c r="M9" s="1302"/>
      <c r="N9" s="1302"/>
      <c r="O9" s="1302"/>
      <c r="P9" s="1302"/>
      <c r="Q9" s="1302"/>
      <c r="R9" s="1302"/>
      <c r="S9" s="1302"/>
      <c r="T9" s="1302"/>
      <c r="U9" s="1302"/>
      <c r="V9" s="1303"/>
      <c r="W9" s="1307"/>
      <c r="X9" s="1307"/>
      <c r="Y9" s="1307"/>
      <c r="Z9" s="1307"/>
      <c r="AA9" s="1308"/>
      <c r="AB9" s="1307"/>
      <c r="AC9" s="1307"/>
      <c r="AD9" s="1307"/>
      <c r="AE9" s="1308"/>
      <c r="AF9" s="1308"/>
      <c r="AG9" s="1308"/>
      <c r="AH9" s="1308"/>
      <c r="AI9" s="1308"/>
      <c r="AJ9" s="1308"/>
      <c r="AK9" s="1308"/>
      <c r="AL9" s="1308"/>
      <c r="AM9" s="1308"/>
      <c r="AN9" s="1308"/>
      <c r="AO9" s="1308"/>
      <c r="AP9" s="1308">
        <v>0</v>
      </c>
      <c r="AQ9" s="1308"/>
      <c r="AR9" s="1308"/>
      <c r="AS9" s="1308"/>
      <c r="AT9" s="1308"/>
      <c r="AU9" s="1308"/>
      <c r="AV9" s="1308"/>
      <c r="AX9" s="1306"/>
    </row>
    <row r="10" spans="1:61" ht="15.75" hidden="1" customHeight="1" x14ac:dyDescent="0.3">
      <c r="A10" s="1301"/>
      <c r="B10" s="1302">
        <v>0.87272071449793776</v>
      </c>
      <c r="C10" s="1302">
        <v>1.4515986239049474</v>
      </c>
      <c r="D10" s="1302">
        <v>1.660813683255403</v>
      </c>
      <c r="E10" s="1302">
        <v>2.0554942301869499</v>
      </c>
      <c r="F10" s="1302">
        <v>2.5590518499363855</v>
      </c>
      <c r="G10" s="1302"/>
      <c r="H10" s="1302"/>
      <c r="I10" s="1302"/>
      <c r="J10" s="1302"/>
      <c r="K10" s="1302"/>
      <c r="L10" s="1302"/>
      <c r="M10" s="1302"/>
      <c r="N10" s="1302"/>
      <c r="O10" s="1302"/>
      <c r="P10" s="1302"/>
      <c r="Q10" s="1302"/>
      <c r="R10" s="1302"/>
      <c r="S10" s="1302"/>
      <c r="T10" s="1302"/>
      <c r="U10" s="1302"/>
      <c r="V10" s="1303"/>
      <c r="W10" s="1307"/>
      <c r="X10" s="1307"/>
      <c r="Y10" s="1307"/>
      <c r="Z10" s="1307"/>
      <c r="AA10" s="1308"/>
      <c r="AB10" s="1307"/>
      <c r="AC10" s="1307"/>
      <c r="AD10" s="1307"/>
      <c r="AE10" s="1308"/>
      <c r="AF10" s="1308"/>
      <c r="AG10" s="1308"/>
      <c r="AH10" s="1308"/>
      <c r="AI10" s="1308"/>
      <c r="AJ10" s="1308"/>
      <c r="AK10" s="1308"/>
      <c r="AL10" s="1308"/>
      <c r="AM10" s="1308"/>
      <c r="AN10" s="1308"/>
      <c r="AO10" s="1308"/>
      <c r="AP10" s="1308">
        <v>0</v>
      </c>
      <c r="AQ10" s="1308"/>
      <c r="AR10" s="1308"/>
      <c r="AS10" s="1308"/>
      <c r="AT10" s="1308"/>
      <c r="AU10" s="1308"/>
      <c r="AV10" s="1308"/>
      <c r="AX10" s="1306"/>
    </row>
    <row r="11" spans="1:61" ht="15.75" hidden="1" customHeight="1" x14ac:dyDescent="0.3">
      <c r="A11" s="1301"/>
      <c r="B11" s="1302"/>
      <c r="C11" s="1302"/>
      <c r="D11" s="1302"/>
      <c r="E11" s="1302"/>
      <c r="F11" s="1302"/>
      <c r="G11" s="1302"/>
      <c r="H11" s="1302"/>
      <c r="I11" s="1302"/>
      <c r="J11" s="1302"/>
      <c r="K11" s="1302"/>
      <c r="L11" s="1302"/>
      <c r="M11" s="1302"/>
      <c r="N11" s="1302"/>
      <c r="O11" s="1302"/>
      <c r="P11" s="1302"/>
      <c r="Q11" s="1302"/>
      <c r="R11" s="1302"/>
      <c r="S11" s="1302"/>
      <c r="T11" s="1302"/>
      <c r="U11" s="1302"/>
      <c r="V11" s="1303"/>
      <c r="W11" s="1307"/>
      <c r="X11" s="1307"/>
      <c r="Y11" s="1307"/>
      <c r="Z11" s="1307"/>
      <c r="AA11" s="1308"/>
      <c r="AB11" s="1307"/>
      <c r="AC11" s="1307"/>
      <c r="AD11" s="1307"/>
      <c r="AE11" s="1308"/>
      <c r="AF11" s="1308"/>
      <c r="AG11" s="1308"/>
      <c r="AH11" s="1308"/>
      <c r="AI11" s="1308"/>
      <c r="AJ11" s="1308"/>
      <c r="AK11" s="1308"/>
      <c r="AL11" s="1308"/>
      <c r="AM11" s="1308"/>
      <c r="AN11" s="1308"/>
      <c r="AO11" s="1308"/>
      <c r="AP11" s="1308">
        <v>0</v>
      </c>
      <c r="AQ11" s="1308"/>
      <c r="AR11" s="1308"/>
      <c r="AS11" s="1308"/>
      <c r="AT11" s="1308"/>
      <c r="AU11" s="1308"/>
      <c r="AV11" s="1308"/>
      <c r="AX11" s="1306"/>
    </row>
    <row r="12" spans="1:61" ht="9" customHeight="1" x14ac:dyDescent="0.3">
      <c r="A12" s="1301"/>
      <c r="B12" s="1302"/>
      <c r="C12" s="1302"/>
      <c r="D12" s="1302"/>
      <c r="E12" s="1302"/>
      <c r="F12" s="1302"/>
      <c r="G12" s="1302"/>
      <c r="H12" s="1302"/>
      <c r="I12" s="1302"/>
      <c r="J12" s="1302"/>
      <c r="K12" s="1302"/>
      <c r="L12" s="1302"/>
      <c r="M12" s="1302"/>
      <c r="N12" s="1302"/>
      <c r="O12" s="1302"/>
      <c r="P12" s="1302"/>
      <c r="Q12" s="1302"/>
      <c r="R12" s="1302"/>
      <c r="S12" s="1302"/>
      <c r="T12" s="1302"/>
      <c r="U12" s="1302"/>
      <c r="V12" s="1303"/>
      <c r="W12" s="1307"/>
      <c r="X12" s="1307"/>
      <c r="Y12" s="1307"/>
      <c r="Z12" s="1307"/>
      <c r="AA12" s="1308"/>
      <c r="AB12" s="1307"/>
      <c r="AC12" s="1307"/>
      <c r="AD12" s="1307"/>
      <c r="AE12" s="1308"/>
      <c r="AF12" s="1308"/>
      <c r="AG12" s="1308"/>
      <c r="AH12" s="1308"/>
      <c r="AI12" s="1308"/>
      <c r="AJ12" s="1308"/>
      <c r="AK12" s="1308"/>
      <c r="AL12" s="1308"/>
      <c r="AM12" s="1308"/>
      <c r="AN12" s="1308"/>
      <c r="AO12" s="1308"/>
      <c r="AP12" s="1308"/>
      <c r="AQ12" s="1308"/>
      <c r="AR12" s="1308"/>
      <c r="AS12" s="1308"/>
      <c r="AT12" s="1308"/>
      <c r="AU12" s="1308"/>
      <c r="AV12" s="1308"/>
      <c r="AX12" s="1306"/>
    </row>
    <row r="13" spans="1:61" s="1300" customFormat="1" ht="17.25" x14ac:dyDescent="0.3">
      <c r="A13" s="1309" t="s">
        <v>3360</v>
      </c>
      <c r="B13" s="1302"/>
      <c r="C13" s="1302"/>
      <c r="D13" s="1302"/>
      <c r="E13" s="1302"/>
      <c r="F13" s="1302"/>
      <c r="G13" s="1302"/>
      <c r="H13" s="1302"/>
      <c r="I13" s="1302"/>
      <c r="J13" s="1302"/>
      <c r="K13" s="1302"/>
      <c r="L13" s="1302"/>
      <c r="M13" s="1302"/>
      <c r="N13" s="1302"/>
      <c r="O13" s="1302"/>
      <c r="P13" s="1302"/>
      <c r="Q13" s="1302"/>
      <c r="R13" s="1302"/>
      <c r="S13" s="1302"/>
      <c r="T13" s="1302"/>
      <c r="U13" s="1302"/>
      <c r="V13" s="1303"/>
      <c r="W13" s="1307"/>
      <c r="X13" s="1307"/>
      <c r="Y13" s="1307"/>
      <c r="Z13" s="1307"/>
      <c r="AA13" s="1308"/>
      <c r="AB13" s="1307"/>
      <c r="AC13" s="1307"/>
      <c r="AD13" s="1307"/>
      <c r="AE13" s="1308"/>
      <c r="AF13" s="1308"/>
      <c r="AG13" s="1308"/>
      <c r="AH13" s="1308"/>
      <c r="AI13" s="1308"/>
      <c r="AJ13" s="1308"/>
      <c r="AK13" s="1308"/>
      <c r="AL13" s="1308"/>
      <c r="AM13" s="1308"/>
      <c r="AN13" s="1308"/>
      <c r="AO13" s="1308"/>
      <c r="AP13" s="1308"/>
      <c r="AQ13" s="1308"/>
      <c r="AR13" s="1308"/>
      <c r="AS13" s="1308"/>
      <c r="AT13" s="1308"/>
      <c r="AU13" s="1308"/>
      <c r="AV13" s="1308"/>
      <c r="AX13" s="1306"/>
    </row>
    <row r="14" spans="1:61" s="1311" customFormat="1" ht="17.25" x14ac:dyDescent="0.3">
      <c r="A14" s="1310" t="s">
        <v>3361</v>
      </c>
      <c r="B14" s="1302">
        <v>2.5197925557508143E-2</v>
      </c>
      <c r="C14" s="1302">
        <v>2.6045615462957972E-2</v>
      </c>
      <c r="D14" s="1302">
        <v>2.6486309631902225E-2</v>
      </c>
      <c r="E14" s="1302">
        <v>3.2924285771855202E-2</v>
      </c>
      <c r="F14" s="1302">
        <v>2.7363296386452005E-2</v>
      </c>
      <c r="G14" s="1302">
        <v>2.4065356759438657E-2</v>
      </c>
      <c r="H14" s="1302">
        <v>2.5049885804074492E-2</v>
      </c>
      <c r="I14" s="1302">
        <v>2.7651856071952099E-2</v>
      </c>
      <c r="J14" s="1302">
        <v>2.7561775187051701E-2</v>
      </c>
      <c r="K14" s="1302">
        <v>2.6164216840683992E-2</v>
      </c>
      <c r="L14" s="1302">
        <v>2.6373536194376886E-2</v>
      </c>
      <c r="M14" s="1302">
        <v>2.8000000000000001E-2</v>
      </c>
      <c r="N14" s="1302">
        <v>0.03</v>
      </c>
      <c r="O14" s="1302">
        <v>3.7556230260331717E-2</v>
      </c>
      <c r="P14" s="1302">
        <v>3.7761912444048883E-2</v>
      </c>
      <c r="Q14" s="1302">
        <v>3.6370789830943655E-2</v>
      </c>
      <c r="R14" s="1302">
        <v>3.8731735604897399E-2</v>
      </c>
      <c r="S14" s="1302">
        <v>0.04</v>
      </c>
      <c r="T14" s="1302">
        <v>4.1000000000000002E-2</v>
      </c>
      <c r="U14" s="1302">
        <v>4.2000000000000003E-2</v>
      </c>
      <c r="V14" s="1303">
        <v>4.4704044487761899E-2</v>
      </c>
      <c r="W14" s="1304">
        <v>4.9197505521158353</v>
      </c>
      <c r="X14" s="1304">
        <v>5.0754037081381709</v>
      </c>
      <c r="Y14" s="1304">
        <v>5.8000000000000007</v>
      </c>
      <c r="Z14" s="1304">
        <v>7.0000000000000009</v>
      </c>
      <c r="AA14" s="1304">
        <v>7.1953207801947094</v>
      </c>
      <c r="AB14" s="1304">
        <v>7.8326598836997245</v>
      </c>
      <c r="AC14" s="1304">
        <v>7.96090474918556</v>
      </c>
      <c r="AD14" s="1304">
        <v>7.9661725546600737</v>
      </c>
      <c r="AE14" s="1304">
        <v>7.7566016498368402</v>
      </c>
      <c r="AF14" s="1304">
        <v>7.8821384670888035</v>
      </c>
      <c r="AG14" s="1304">
        <v>7.8</v>
      </c>
      <c r="AH14" s="1304">
        <v>7.8</v>
      </c>
      <c r="AI14" s="1304">
        <v>7.0000000000000009</v>
      </c>
      <c r="AJ14" s="1304">
        <v>7.2</v>
      </c>
      <c r="AK14" s="1304">
        <v>6.85</v>
      </c>
      <c r="AL14" s="1304">
        <v>5.3421374731891733</v>
      </c>
      <c r="AM14" s="1304">
        <v>6.521304404860345</v>
      </c>
      <c r="AN14" s="1304">
        <v>6.2709373919024118</v>
      </c>
      <c r="AO14" s="1304">
        <v>6.2569253530058333</v>
      </c>
      <c r="AP14" s="1304">
        <v>5.8247478940608319</v>
      </c>
      <c r="AQ14" s="1304">
        <v>4.9403213350838797</v>
      </c>
      <c r="AR14" s="1304">
        <v>5.2919190662090099</v>
      </c>
      <c r="AS14" s="1304">
        <v>5.8489702018065381</v>
      </c>
      <c r="AT14" s="1304">
        <v>6.1127477251757902</v>
      </c>
      <c r="AU14" s="1304">
        <v>6.2057092378954053</v>
      </c>
      <c r="AV14" s="1304">
        <v>6.2436020991211656</v>
      </c>
      <c r="AW14" s="1300"/>
      <c r="AX14" s="1306"/>
      <c r="AY14" s="1300"/>
      <c r="AZ14" s="1300"/>
      <c r="BA14" s="1300"/>
      <c r="BB14" s="1300"/>
      <c r="BC14" s="1300"/>
      <c r="BD14" s="1300"/>
      <c r="BE14" s="1300"/>
      <c r="BF14" s="1300"/>
      <c r="BG14" s="1300"/>
      <c r="BH14" s="1300"/>
      <c r="BI14" s="1300"/>
    </row>
    <row r="15" spans="1:61" ht="17.25" x14ac:dyDescent="0.3">
      <c r="A15" s="1310" t="s">
        <v>3362</v>
      </c>
      <c r="B15" s="1302"/>
      <c r="C15" s="1302"/>
      <c r="D15" s="1302"/>
      <c r="E15" s="1302"/>
      <c r="F15" s="1302"/>
      <c r="G15" s="1302"/>
      <c r="H15" s="1302"/>
      <c r="I15" s="1302"/>
      <c r="J15" s="1302"/>
      <c r="K15" s="1302"/>
      <c r="L15" s="1302"/>
      <c r="M15" s="1302"/>
      <c r="N15" s="1302"/>
      <c r="O15" s="1302"/>
      <c r="P15" s="1302"/>
      <c r="Q15" s="1302"/>
      <c r="R15" s="1302"/>
      <c r="S15" s="1302"/>
      <c r="T15" s="1302"/>
      <c r="U15" s="1302"/>
      <c r="V15" s="1303"/>
      <c r="W15" s="1304"/>
      <c r="X15" s="1304"/>
      <c r="Y15" s="1304"/>
      <c r="Z15" s="1304"/>
      <c r="AA15" s="1304"/>
      <c r="AB15" s="1304"/>
      <c r="AC15" s="1304"/>
      <c r="AD15" s="1304"/>
      <c r="AE15" s="1304"/>
      <c r="AF15" s="1304"/>
      <c r="AG15" s="1304"/>
      <c r="AH15" s="1304"/>
      <c r="AI15" s="1304"/>
      <c r="AJ15" s="1304"/>
      <c r="AK15" s="1308"/>
      <c r="AL15" s="1308"/>
      <c r="AM15" s="1308"/>
      <c r="AN15" s="1308"/>
      <c r="AO15" s="1308"/>
      <c r="AP15" s="1308"/>
      <c r="AQ15" s="1308"/>
      <c r="AR15" s="1308"/>
      <c r="AS15" s="1308"/>
      <c r="AT15" s="1308"/>
      <c r="AU15" s="1308"/>
      <c r="AV15" s="1308"/>
      <c r="AW15" s="1300"/>
      <c r="AX15" s="1306"/>
      <c r="AY15" s="1300"/>
      <c r="AZ15" s="1300"/>
      <c r="BA15" s="1300"/>
      <c r="BB15" s="1300"/>
      <c r="BC15" s="1300"/>
      <c r="BD15" s="1300"/>
      <c r="BE15" s="1300"/>
      <c r="BF15" s="1300"/>
      <c r="BG15" s="1300"/>
      <c r="BH15" s="1300"/>
      <c r="BI15" s="1300"/>
    </row>
    <row r="16" spans="1:61" ht="17.25" x14ac:dyDescent="0.3">
      <c r="A16" s="1312" t="s">
        <v>3363</v>
      </c>
      <c r="B16" s="1302">
        <v>3.0155437159844183E-3</v>
      </c>
      <c r="C16" s="1302">
        <v>4.3193631377357539E-3</v>
      </c>
      <c r="D16" s="1302">
        <v>3.0841900478876497E-3</v>
      </c>
      <c r="E16" s="1302">
        <v>3.3434742997696314E-3</v>
      </c>
      <c r="F16" s="1302">
        <v>2.2633564100575953E-3</v>
      </c>
      <c r="G16" s="1302">
        <v>2.5743099818762759E-3</v>
      </c>
      <c r="H16" s="1302">
        <v>2.8677841566075546E-3</v>
      </c>
      <c r="I16" s="1302">
        <v>2.7469582431086498E-3</v>
      </c>
      <c r="J16" s="1302">
        <v>3.3967870062394778E-3</v>
      </c>
      <c r="K16" s="1302">
        <v>3.3791447360746948E-3</v>
      </c>
      <c r="L16" s="1302">
        <v>5.5081131733300684E-3</v>
      </c>
      <c r="M16" s="1302">
        <v>5.0000000000000001E-3</v>
      </c>
      <c r="N16" s="1302">
        <v>3.0000000000000001E-3</v>
      </c>
      <c r="O16" s="1302">
        <v>2.1539319168444051E-3</v>
      </c>
      <c r="P16" s="1302">
        <v>2.4931277095117804E-3</v>
      </c>
      <c r="Q16" s="1302">
        <v>2.3703916738098897E-3</v>
      </c>
      <c r="R16" s="1302">
        <v>5.0430731233156029E-3</v>
      </c>
      <c r="S16" s="1302">
        <v>1E-3</v>
      </c>
      <c r="T16" s="1302">
        <v>1.0999999999999999E-2</v>
      </c>
      <c r="U16" s="1302">
        <v>3.0000000000000001E-3</v>
      </c>
      <c r="V16" s="1303">
        <v>5.0000000000000001E-3</v>
      </c>
      <c r="W16" s="1304">
        <v>0.3</v>
      </c>
      <c r="X16" s="1304">
        <v>0.4</v>
      </c>
      <c r="Y16" s="1304">
        <v>0.1</v>
      </c>
      <c r="Z16" s="1304">
        <v>0</v>
      </c>
      <c r="AA16" s="1304">
        <v>0.12920864087190195</v>
      </c>
      <c r="AB16" s="1304">
        <v>0.17906161770768128</v>
      </c>
      <c r="AC16" s="1304">
        <v>0.16272967686037082</v>
      </c>
      <c r="AD16" s="1304">
        <v>0.26760242755425767</v>
      </c>
      <c r="AE16" s="1304">
        <v>0.481251878227557</v>
      </c>
      <c r="AF16" s="1304">
        <v>0.36791663612250475</v>
      </c>
      <c r="AG16" s="1304">
        <v>0.28477117470647767</v>
      </c>
      <c r="AH16" s="1304">
        <v>1.3</v>
      </c>
      <c r="AI16" s="1304">
        <v>1.6</v>
      </c>
      <c r="AJ16" s="1304">
        <v>1.81</v>
      </c>
      <c r="AK16" s="1304">
        <v>2.38</v>
      </c>
      <c r="AL16" s="1304">
        <v>3.5538292921179888</v>
      </c>
      <c r="AM16" s="1304">
        <v>2.1473568829140626</v>
      </c>
      <c r="AN16" s="1304">
        <v>3.1274194315739292</v>
      </c>
      <c r="AO16" s="1304">
        <v>3.5695375004339382</v>
      </c>
      <c r="AP16" s="1304">
        <v>2.3896054320652187</v>
      </c>
      <c r="AQ16" s="1304">
        <v>2.4809779610665039</v>
      </c>
      <c r="AR16" s="1304">
        <v>4.3927133173786013</v>
      </c>
      <c r="AS16" s="1304">
        <v>4.6131039573140011</v>
      </c>
      <c r="AT16" s="1304">
        <v>2.7809606158097804</v>
      </c>
      <c r="AU16" s="1304">
        <v>4.2619886732251517</v>
      </c>
      <c r="AV16" s="1304">
        <v>4.5343999631347538</v>
      </c>
      <c r="AW16" s="1300"/>
      <c r="AX16" s="1306"/>
      <c r="AY16" s="1300"/>
      <c r="AZ16" s="1300"/>
      <c r="BA16" s="1300"/>
      <c r="BB16" s="1300"/>
      <c r="BC16" s="1300"/>
      <c r="BD16" s="1300"/>
      <c r="BE16" s="1300"/>
      <c r="BF16" s="1300"/>
      <c r="BG16" s="1300"/>
      <c r="BH16" s="1300"/>
      <c r="BI16" s="1300"/>
    </row>
    <row r="17" spans="1:61" ht="15.75" hidden="1" customHeight="1" x14ac:dyDescent="0.3">
      <c r="A17" s="1312" t="s">
        <v>3364</v>
      </c>
      <c r="B17" s="1302">
        <v>0</v>
      </c>
      <c r="C17" s="1302">
        <v>0</v>
      </c>
      <c r="D17" s="1302">
        <v>0</v>
      </c>
      <c r="E17" s="1302">
        <v>0</v>
      </c>
      <c r="F17" s="1302">
        <v>0</v>
      </c>
      <c r="G17" s="1302">
        <v>0</v>
      </c>
      <c r="H17" s="1302">
        <v>0</v>
      </c>
      <c r="I17" s="1302">
        <v>2.0742703303314701E-5</v>
      </c>
      <c r="J17" s="1302">
        <v>0</v>
      </c>
      <c r="K17" s="1302">
        <v>0</v>
      </c>
      <c r="L17" s="1302">
        <v>0</v>
      </c>
      <c r="M17" s="1302">
        <v>0</v>
      </c>
      <c r="N17" s="1302">
        <v>0</v>
      </c>
      <c r="O17" s="1302">
        <v>0</v>
      </c>
      <c r="P17" s="1302">
        <v>0</v>
      </c>
      <c r="Q17" s="1302">
        <v>0</v>
      </c>
      <c r="R17" s="1302">
        <v>0</v>
      </c>
      <c r="S17" s="1302">
        <v>0</v>
      </c>
      <c r="T17" s="1302">
        <v>0</v>
      </c>
      <c r="U17" s="1302">
        <v>0</v>
      </c>
      <c r="V17" s="1303">
        <v>0</v>
      </c>
      <c r="W17" s="1304">
        <v>0</v>
      </c>
      <c r="X17" s="1304">
        <v>0</v>
      </c>
      <c r="Y17" s="1304">
        <v>0</v>
      </c>
      <c r="Z17" s="1304">
        <v>0</v>
      </c>
      <c r="AA17" s="1304">
        <v>0</v>
      </c>
      <c r="AB17" s="1304">
        <v>0</v>
      </c>
      <c r="AC17" s="1304">
        <v>0</v>
      </c>
      <c r="AD17" s="1304">
        <v>0</v>
      </c>
      <c r="AE17" s="1304">
        <v>0</v>
      </c>
      <c r="AF17" s="1304">
        <v>0</v>
      </c>
      <c r="AG17" s="1304">
        <v>0</v>
      </c>
      <c r="AH17" s="1304">
        <v>0</v>
      </c>
      <c r="AI17" s="1304">
        <v>0</v>
      </c>
      <c r="AJ17" s="1304"/>
      <c r="AK17" s="1304"/>
      <c r="AL17" s="1304"/>
      <c r="AM17" s="1304">
        <v>0</v>
      </c>
      <c r="AN17" s="1304">
        <v>6.3695963041807671E-6</v>
      </c>
      <c r="AO17" s="1304">
        <v>7.3668169322201249E-3</v>
      </c>
      <c r="AP17" s="1304">
        <v>0</v>
      </c>
      <c r="AQ17" s="1304">
        <v>0</v>
      </c>
      <c r="AR17" s="1304">
        <v>6.75889264937738E-8</v>
      </c>
      <c r="AS17" s="1304">
        <v>0</v>
      </c>
      <c r="AT17" s="1304">
        <v>1.1029404139373411E-6</v>
      </c>
      <c r="AU17" s="1304">
        <v>5.0303897755392231E-7</v>
      </c>
      <c r="AV17" s="1304">
        <v>0</v>
      </c>
      <c r="AW17" s="1300"/>
      <c r="AX17" s="1306"/>
      <c r="AY17" s="1300"/>
      <c r="AZ17" s="1300"/>
      <c r="BA17" s="1300"/>
      <c r="BB17" s="1300"/>
      <c r="BC17" s="1300"/>
      <c r="BD17" s="1300"/>
      <c r="BE17" s="1300"/>
      <c r="BF17" s="1300"/>
      <c r="BG17" s="1300"/>
      <c r="BH17" s="1300"/>
      <c r="BI17" s="1300"/>
    </row>
    <row r="18" spans="1:61" ht="17.25" x14ac:dyDescent="0.3">
      <c r="A18" s="1312" t="s">
        <v>3365</v>
      </c>
      <c r="B18" s="1302">
        <v>1.4092549441701673E-2</v>
      </c>
      <c r="C18" s="1302">
        <v>1.3649205921122077E-2</v>
      </c>
      <c r="D18" s="1302">
        <v>1.270030536008563E-2</v>
      </c>
      <c r="E18" s="1302">
        <v>1.2439305482407306E-2</v>
      </c>
      <c r="F18" s="1302">
        <v>1.4445408951210477E-2</v>
      </c>
      <c r="G18" s="1302">
        <v>1.2780911935204522E-2</v>
      </c>
      <c r="H18" s="1302">
        <v>1.1694594426882133E-2</v>
      </c>
      <c r="I18" s="1302">
        <v>1.1496703074599499E-2</v>
      </c>
      <c r="J18" s="1302">
        <v>1.3575268995024543E-2</v>
      </c>
      <c r="K18" s="1302">
        <v>1.3378856281861364E-2</v>
      </c>
      <c r="L18" s="1302">
        <v>1.168141210745146E-2</v>
      </c>
      <c r="M18" s="1302">
        <v>1.0999999999999999E-2</v>
      </c>
      <c r="N18" s="1302">
        <v>1.2999999999999999E-2</v>
      </c>
      <c r="O18" s="1302">
        <v>1.263616319426086E-2</v>
      </c>
      <c r="P18" s="1302">
        <v>1.2535027180992352E-2</v>
      </c>
      <c r="Q18" s="1302">
        <v>1.2154399056778346E-2</v>
      </c>
      <c r="R18" s="1302">
        <v>1.2758537196127594E-2</v>
      </c>
      <c r="S18" s="1302">
        <v>1.0999999999999999E-2</v>
      </c>
      <c r="T18" s="1302">
        <v>1.2E-2</v>
      </c>
      <c r="U18" s="1302">
        <v>1.2E-2</v>
      </c>
      <c r="V18" s="1303">
        <v>1.6E-2</v>
      </c>
      <c r="W18" s="1304">
        <v>1.5</v>
      </c>
      <c r="X18" s="1304">
        <v>1.5</v>
      </c>
      <c r="Y18" s="1304">
        <v>1.5</v>
      </c>
      <c r="Z18" s="1304">
        <v>1.5</v>
      </c>
      <c r="AA18" s="1304">
        <v>1.4886987448091058</v>
      </c>
      <c r="AB18" s="1304">
        <v>1.5752569404762784</v>
      </c>
      <c r="AC18" s="1304">
        <v>1.5881682048256272</v>
      </c>
      <c r="AD18" s="1304">
        <v>2.255156749437071</v>
      </c>
      <c r="AE18" s="1304">
        <v>2.3249145146920625</v>
      </c>
      <c r="AF18" s="1304">
        <v>2.9106927784129084</v>
      </c>
      <c r="AG18" s="1304">
        <v>3.1854958654870833</v>
      </c>
      <c r="AH18" s="1304">
        <v>3.8</v>
      </c>
      <c r="AI18" s="1304">
        <v>3.8</v>
      </c>
      <c r="AJ18" s="1304">
        <v>3.95</v>
      </c>
      <c r="AK18" s="1304">
        <v>3.95</v>
      </c>
      <c r="AL18" s="1304">
        <v>3.9147436854671605</v>
      </c>
      <c r="AM18" s="1304">
        <v>11.754983709697516</v>
      </c>
      <c r="AN18" s="1304">
        <v>11.480056521486807</v>
      </c>
      <c r="AO18" s="1304">
        <v>12.157369478837083</v>
      </c>
      <c r="AP18" s="1304">
        <v>13.010093266233715</v>
      </c>
      <c r="AQ18" s="1304">
        <v>12.080694668602995</v>
      </c>
      <c r="AR18" s="1304">
        <v>11.697649694406847</v>
      </c>
      <c r="AS18" s="1304">
        <v>11.397081061464027</v>
      </c>
      <c r="AT18" s="1304">
        <v>9.7873211539381284</v>
      </c>
      <c r="AU18" s="1304">
        <v>9.610060973660719</v>
      </c>
      <c r="AV18" s="1304">
        <v>8.9051769358252493</v>
      </c>
      <c r="AW18" s="1300"/>
      <c r="AX18" s="1306"/>
      <c r="AY18" s="1300"/>
      <c r="AZ18" s="1300"/>
      <c r="BA18" s="1300"/>
      <c r="BB18" s="1300"/>
      <c r="BC18" s="1300"/>
      <c r="BD18" s="1300"/>
      <c r="BE18" s="1300"/>
      <c r="BF18" s="1300"/>
      <c r="BG18" s="1300"/>
      <c r="BH18" s="1300"/>
      <c r="BI18" s="1300"/>
    </row>
    <row r="19" spans="1:61" ht="15.75" hidden="1" customHeight="1" x14ac:dyDescent="0.3">
      <c r="A19" s="1312" t="s">
        <v>3366</v>
      </c>
      <c r="B19" s="1302">
        <v>1.2933583145196233E-4</v>
      </c>
      <c r="C19" s="1302">
        <v>1.3542259299952717E-4</v>
      </c>
      <c r="D19" s="1302">
        <v>2.7090594245465809E-5</v>
      </c>
      <c r="E19" s="1302">
        <v>2.6432752449088304E-5</v>
      </c>
      <c r="F19" s="1302">
        <v>2.6096989300145516E-5</v>
      </c>
      <c r="G19" s="1302">
        <v>2.2143310927905979E-5</v>
      </c>
      <c r="H19" s="1302">
        <v>2.0083563141495049E-5</v>
      </c>
      <c r="I19" s="1302">
        <v>0</v>
      </c>
      <c r="J19" s="1302">
        <v>1.6379894098325613E-5</v>
      </c>
      <c r="K19" s="1302">
        <v>1.925115470682851E-5</v>
      </c>
      <c r="L19" s="1302">
        <v>1.0049879792999365E-5</v>
      </c>
      <c r="M19" s="1302">
        <v>0</v>
      </c>
      <c r="N19" s="1302">
        <v>0</v>
      </c>
      <c r="O19" s="1302">
        <v>1.6175287811040988E-5</v>
      </c>
      <c r="P19" s="1302">
        <v>4.6737659353978758E-6</v>
      </c>
      <c r="Q19" s="1302">
        <v>5.9854929905078961E-6</v>
      </c>
      <c r="R19" s="1302">
        <v>4.3936030275726805E-6</v>
      </c>
      <c r="S19" s="1302">
        <v>0</v>
      </c>
      <c r="T19" s="1302">
        <v>0</v>
      </c>
      <c r="U19" s="1302">
        <v>0</v>
      </c>
      <c r="V19" s="1303">
        <v>0</v>
      </c>
      <c r="W19" s="1304">
        <v>0</v>
      </c>
      <c r="X19" s="1304">
        <v>0</v>
      </c>
      <c r="Y19" s="1304">
        <v>0</v>
      </c>
      <c r="Z19" s="1304">
        <v>0</v>
      </c>
      <c r="AA19" s="1304">
        <v>0</v>
      </c>
      <c r="AB19" s="1304">
        <v>0</v>
      </c>
      <c r="AC19" s="1304">
        <v>0</v>
      </c>
      <c r="AD19" s="1304">
        <v>0</v>
      </c>
      <c r="AE19" s="1304">
        <v>0</v>
      </c>
      <c r="AF19" s="1304">
        <v>0</v>
      </c>
      <c r="AG19" s="1304">
        <v>0</v>
      </c>
      <c r="AH19" s="1304">
        <v>0</v>
      </c>
      <c r="AI19" s="1304">
        <v>0</v>
      </c>
      <c r="AJ19" s="1304"/>
      <c r="AK19" s="1304"/>
      <c r="AL19" s="1304"/>
      <c r="AM19" s="1304">
        <v>2.632518579061157E-2</v>
      </c>
      <c r="AN19" s="1304">
        <v>2.6348162882491394E-2</v>
      </c>
      <c r="AO19" s="1304">
        <v>2.5244193405041065E-2</v>
      </c>
      <c r="AP19" s="1304">
        <v>2.5039449300756248E-2</v>
      </c>
      <c r="AQ19" s="1304">
        <v>2.4571651738506697E-2</v>
      </c>
      <c r="AR19" s="1304">
        <v>2.4908087071665322E-2</v>
      </c>
      <c r="AS19" s="1304">
        <v>2.3153222522598032E-2</v>
      </c>
      <c r="AT19" s="1304">
        <v>1.6947961233458077E-2</v>
      </c>
      <c r="AU19" s="1304">
        <v>1.6519102727788046E-2</v>
      </c>
      <c r="AV19" s="1304">
        <v>0</v>
      </c>
      <c r="AW19" s="1300"/>
      <c r="AX19" s="1306"/>
      <c r="AY19" s="1300"/>
      <c r="AZ19" s="1300"/>
      <c r="BA19" s="1300"/>
      <c r="BB19" s="1300"/>
      <c r="BC19" s="1300"/>
      <c r="BD19" s="1300"/>
      <c r="BE19" s="1300"/>
      <c r="BF19" s="1300"/>
      <c r="BG19" s="1300"/>
      <c r="BH19" s="1300"/>
      <c r="BI19" s="1300"/>
    </row>
    <row r="20" spans="1:61" ht="17.25" x14ac:dyDescent="0.3">
      <c r="A20" s="1312" t="s">
        <v>3367</v>
      </c>
      <c r="B20" s="1302">
        <v>0.33389757536273279</v>
      </c>
      <c r="C20" s="1302">
        <v>0.34679967273354118</v>
      </c>
      <c r="D20" s="1302">
        <v>0.32817452300591377</v>
      </c>
      <c r="E20" s="1302">
        <v>0.3468926163137464</v>
      </c>
      <c r="F20" s="1302">
        <v>0.35191047592250252</v>
      </c>
      <c r="G20" s="1302">
        <v>0.33532169521547606</v>
      </c>
      <c r="H20" s="1302">
        <v>0.33909472543576735</v>
      </c>
      <c r="I20" s="1302">
        <v>0.33693445741015099</v>
      </c>
      <c r="J20" s="1302">
        <v>0.34179331204783581</v>
      </c>
      <c r="K20" s="1302">
        <v>0.33252461054199867</v>
      </c>
      <c r="L20" s="1302">
        <v>0.33022633402271567</v>
      </c>
      <c r="M20" s="1302">
        <v>0.32600000000000001</v>
      </c>
      <c r="N20" s="1302">
        <v>0.32900000000000001</v>
      </c>
      <c r="O20" s="1302">
        <v>0.31925704095719321</v>
      </c>
      <c r="P20" s="1302">
        <v>0.32836067996376689</v>
      </c>
      <c r="Q20" s="1302">
        <v>0.3293657705711992</v>
      </c>
      <c r="R20" s="1302">
        <v>0.33453988273147722</v>
      </c>
      <c r="S20" s="1302">
        <v>0.32600000000000001</v>
      </c>
      <c r="T20" s="1302">
        <v>0.33500000000000002</v>
      </c>
      <c r="U20" s="1302">
        <v>0.34699999999999998</v>
      </c>
      <c r="V20" s="1303">
        <v>0.34200000000000003</v>
      </c>
      <c r="W20" s="1304">
        <v>33.6</v>
      </c>
      <c r="X20" s="1304">
        <v>33.6</v>
      </c>
      <c r="Y20" s="1304">
        <v>34.799999999999997</v>
      </c>
      <c r="Z20" s="1304">
        <v>35.799999999999997</v>
      </c>
      <c r="AA20" s="1304">
        <v>36.783557136672798</v>
      </c>
      <c r="AB20" s="1304">
        <v>37.063958282435408</v>
      </c>
      <c r="AC20" s="1304">
        <v>36.978404237397925</v>
      </c>
      <c r="AD20" s="1304">
        <v>36.397531754839356</v>
      </c>
      <c r="AE20" s="1304">
        <v>35.607043996424458</v>
      </c>
      <c r="AF20" s="1304">
        <v>35.711979015288627</v>
      </c>
      <c r="AG20" s="1304">
        <v>35.565503851747138</v>
      </c>
      <c r="AH20" s="1304">
        <v>33.700000000000003</v>
      </c>
      <c r="AI20" s="1304">
        <v>33.1</v>
      </c>
      <c r="AJ20" s="1304">
        <v>33.01</v>
      </c>
      <c r="AK20" s="1304">
        <v>33.28</v>
      </c>
      <c r="AL20" s="1304">
        <v>32.854849432543304</v>
      </c>
      <c r="AM20" s="1304">
        <v>26.710892816735182</v>
      </c>
      <c r="AN20" s="1304">
        <v>26.816587973748717</v>
      </c>
      <c r="AO20" s="1304">
        <v>25.685654535962748</v>
      </c>
      <c r="AP20" s="1304">
        <v>26.185769845248487</v>
      </c>
      <c r="AQ20" s="1304">
        <v>26.444479051635987</v>
      </c>
      <c r="AR20" s="1304">
        <v>25.935985804921462</v>
      </c>
      <c r="AS20" s="1304">
        <v>27.123042390586889</v>
      </c>
      <c r="AT20" s="1304">
        <v>28.280747002995604</v>
      </c>
      <c r="AU20" s="1304">
        <v>27.800917616419728</v>
      </c>
      <c r="AV20" s="1304">
        <v>27.343493097023369</v>
      </c>
      <c r="AW20" s="1300"/>
      <c r="AX20" s="1306"/>
      <c r="AY20" s="1300"/>
      <c r="AZ20" s="1300"/>
      <c r="BA20" s="1300"/>
      <c r="BB20" s="1300"/>
      <c r="BC20" s="1300"/>
      <c r="BD20" s="1300"/>
      <c r="BE20" s="1300"/>
      <c r="BF20" s="1300"/>
      <c r="BG20" s="1300"/>
      <c r="BH20" s="1300"/>
      <c r="BI20" s="1300"/>
    </row>
    <row r="21" spans="1:61" ht="17.25" x14ac:dyDescent="0.3">
      <c r="A21" s="1312" t="s">
        <v>3368</v>
      </c>
      <c r="B21" s="1302">
        <v>0.13514181439579356</v>
      </c>
      <c r="C21" s="1302">
        <v>0.14405943931739607</v>
      </c>
      <c r="D21" s="1302">
        <v>0.14408870881548616</v>
      </c>
      <c r="E21" s="1302">
        <v>0.15570525298084484</v>
      </c>
      <c r="F21" s="1302">
        <v>0.16138847034649689</v>
      </c>
      <c r="G21" s="1302">
        <v>0.15004974623530135</v>
      </c>
      <c r="H21" s="1302">
        <v>0.15859095302657109</v>
      </c>
      <c r="I21" s="1302">
        <v>0.160909444215905</v>
      </c>
      <c r="J21" s="1302">
        <v>0.15256718262794058</v>
      </c>
      <c r="K21" s="1302">
        <v>0.15046915253648624</v>
      </c>
      <c r="L21" s="1302">
        <v>0.14692682233585846</v>
      </c>
      <c r="M21" s="1302">
        <v>0.14299999999999999</v>
      </c>
      <c r="N21" s="1302">
        <v>0.15</v>
      </c>
      <c r="O21" s="1302">
        <v>0.19112295647056809</v>
      </c>
      <c r="P21" s="1302">
        <v>0.20195561867535916</v>
      </c>
      <c r="Q21" s="1302">
        <v>0.19653475447206908</v>
      </c>
      <c r="R21" s="1302">
        <v>0.20526144136965374</v>
      </c>
      <c r="S21" s="1302">
        <v>0.20799999999999999</v>
      </c>
      <c r="T21" s="1302">
        <v>0.21</v>
      </c>
      <c r="U21" s="1302">
        <v>0.216</v>
      </c>
      <c r="V21" s="1303">
        <v>0.19900000000000001</v>
      </c>
      <c r="W21" s="1304">
        <v>19.2</v>
      </c>
      <c r="X21" s="1304">
        <v>18.600000000000001</v>
      </c>
      <c r="Y21" s="1304">
        <v>20.200000000000003</v>
      </c>
      <c r="Z21" s="1304">
        <v>20.5</v>
      </c>
      <c r="AA21" s="1304">
        <v>20.979802285971722</v>
      </c>
      <c r="AB21" s="1304">
        <v>21.640975993972162</v>
      </c>
      <c r="AC21" s="1304">
        <v>21.755820762617056</v>
      </c>
      <c r="AD21" s="1304">
        <v>21.820244957306862</v>
      </c>
      <c r="AE21" s="1304">
        <v>22.008368369989917</v>
      </c>
      <c r="AF21" s="1304">
        <v>21.591792416870256</v>
      </c>
      <c r="AG21" s="1304">
        <v>22.459342411256831</v>
      </c>
      <c r="AH21" s="1304">
        <v>22.1</v>
      </c>
      <c r="AI21" s="1304">
        <v>21.8</v>
      </c>
      <c r="AJ21" s="1304">
        <v>21.9</v>
      </c>
      <c r="AK21" s="1304">
        <v>21.8</v>
      </c>
      <c r="AL21" s="1304">
        <v>21.578622226795915</v>
      </c>
      <c r="AM21" s="1304">
        <v>22.021047647060975</v>
      </c>
      <c r="AN21" s="1304">
        <v>22.693792244418042</v>
      </c>
      <c r="AO21" s="1304">
        <v>22.567488143699137</v>
      </c>
      <c r="AP21" s="1304">
        <v>23.031073447825836</v>
      </c>
      <c r="AQ21" s="1304">
        <v>23.356358643891166</v>
      </c>
      <c r="AR21" s="1304">
        <v>21.1460361882855</v>
      </c>
      <c r="AS21" s="1304">
        <v>20.932642759312404</v>
      </c>
      <c r="AT21" s="1304">
        <v>22.028585038784424</v>
      </c>
      <c r="AU21" s="1304">
        <v>22.017463624490006</v>
      </c>
      <c r="AV21" s="1304">
        <v>22.260351432331394</v>
      </c>
      <c r="AW21" s="1300"/>
      <c r="AX21" s="1306"/>
      <c r="AY21" s="1300"/>
      <c r="AZ21" s="1300"/>
      <c r="BA21" s="1300"/>
      <c r="BB21" s="1300"/>
      <c r="BC21" s="1300"/>
      <c r="BD21" s="1300"/>
      <c r="BE21" s="1300"/>
      <c r="BF21" s="1300"/>
      <c r="BG21" s="1300"/>
      <c r="BH21" s="1300"/>
      <c r="BI21" s="1300"/>
    </row>
    <row r="22" spans="1:61" ht="17.25" x14ac:dyDescent="0.3">
      <c r="A22" s="1312" t="s">
        <v>3369</v>
      </c>
      <c r="B22" s="1302">
        <v>0.51372318125233563</v>
      </c>
      <c r="C22" s="1302">
        <v>0.49103689629720537</v>
      </c>
      <c r="D22" s="1302">
        <v>0.51192518217638128</v>
      </c>
      <c r="E22" s="1302">
        <v>0.48159291817078287</v>
      </c>
      <c r="F22" s="1302">
        <v>0.46996619138043216</v>
      </c>
      <c r="G22" s="1302">
        <v>0.49925119332121393</v>
      </c>
      <c r="H22" s="1302">
        <v>0.48773185939103036</v>
      </c>
      <c r="I22" s="1302">
        <v>0.487891694352933</v>
      </c>
      <c r="J22" s="1302">
        <v>0.48865106942886133</v>
      </c>
      <c r="K22" s="1302">
        <v>0.50022898474887223</v>
      </c>
      <c r="L22" s="1302">
        <v>0.50564726848085129</v>
      </c>
      <c r="M22" s="1302">
        <v>0.51500000000000001</v>
      </c>
      <c r="N22" s="1302">
        <v>0.505</v>
      </c>
      <c r="O22" s="1302">
        <v>0.47481373217332223</v>
      </c>
      <c r="P22" s="1302">
        <v>0.45465087270443438</v>
      </c>
      <c r="Q22" s="1302">
        <v>0.45956869873315292</v>
      </c>
      <c r="R22" s="1302">
        <v>0.44239267197639837</v>
      </c>
      <c r="S22" s="1302">
        <v>0.45500000000000002</v>
      </c>
      <c r="T22" s="1302">
        <v>0.432</v>
      </c>
      <c r="U22" s="1302">
        <v>0.42199999999999999</v>
      </c>
      <c r="V22" s="1303">
        <v>0.437</v>
      </c>
      <c r="W22" s="1304">
        <v>45.4</v>
      </c>
      <c r="X22" s="1304">
        <v>45.9</v>
      </c>
      <c r="Y22" s="1304">
        <v>43.4</v>
      </c>
      <c r="Z22" s="1304">
        <v>42.199999999999996</v>
      </c>
      <c r="AA22" s="1304">
        <v>40.618729311069785</v>
      </c>
      <c r="AB22" s="1304">
        <v>39.540743661972868</v>
      </c>
      <c r="AC22" s="1304">
        <v>39.484628995090688</v>
      </c>
      <c r="AD22" s="1304">
        <v>39.229828078749811</v>
      </c>
      <c r="AE22" s="1304">
        <v>39.549159027412045</v>
      </c>
      <c r="AF22" s="1304">
        <v>39.389090638073448</v>
      </c>
      <c r="AG22" s="1304">
        <v>38.476093801510665</v>
      </c>
      <c r="AH22" s="1304">
        <v>39</v>
      </c>
      <c r="AI22" s="1304">
        <v>39.700000000000003</v>
      </c>
      <c r="AJ22" s="1304">
        <v>39.28</v>
      </c>
      <c r="AK22" s="1304">
        <v>38.6</v>
      </c>
      <c r="AL22" s="1304">
        <v>38.072976428498556</v>
      </c>
      <c r="AM22" s="1304">
        <v>37.339393757801666</v>
      </c>
      <c r="AN22" s="1304">
        <v>35.855789296293707</v>
      </c>
      <c r="AO22" s="1304">
        <v>35.987339330729853</v>
      </c>
      <c r="AP22" s="1304">
        <v>35.35841855932599</v>
      </c>
      <c r="AQ22" s="1304">
        <v>35.612918023064822</v>
      </c>
      <c r="AR22" s="1304">
        <v>36.802706840346985</v>
      </c>
      <c r="AS22" s="1304">
        <v>35.91097660880007</v>
      </c>
      <c r="AT22" s="1304">
        <v>37.105437124298206</v>
      </c>
      <c r="AU22" s="1304">
        <v>36.293049506437612</v>
      </c>
      <c r="AV22" s="1304">
        <v>36.938851774688082</v>
      </c>
      <c r="AW22" s="1300"/>
      <c r="AX22" s="1306"/>
      <c r="AY22" s="1300"/>
      <c r="AZ22" s="1300"/>
      <c r="BA22" s="1300"/>
      <c r="BB22" s="1300"/>
      <c r="BC22" s="1300"/>
      <c r="BD22" s="1300"/>
      <c r="BE22" s="1300"/>
      <c r="BF22" s="1300"/>
      <c r="BG22" s="1300"/>
      <c r="BH22" s="1300"/>
      <c r="BI22" s="1300"/>
    </row>
    <row r="23" spans="1:61" ht="9" customHeight="1" x14ac:dyDescent="0.3">
      <c r="A23" s="1301"/>
      <c r="B23" s="1302"/>
      <c r="C23" s="1302"/>
      <c r="D23" s="1302"/>
      <c r="E23" s="1302"/>
      <c r="F23" s="1302"/>
      <c r="G23" s="1302"/>
      <c r="H23" s="1302"/>
      <c r="I23" s="1302"/>
      <c r="J23" s="1302"/>
      <c r="K23" s="1302"/>
      <c r="L23" s="1302"/>
      <c r="M23" s="1302"/>
      <c r="N23" s="1302"/>
      <c r="O23" s="1302"/>
      <c r="P23" s="1302"/>
      <c r="Q23" s="1302"/>
      <c r="R23" s="1302"/>
      <c r="S23" s="1302"/>
      <c r="T23" s="1302"/>
      <c r="U23" s="1302"/>
      <c r="V23" s="1303"/>
      <c r="W23" s="1304"/>
      <c r="X23" s="1304"/>
      <c r="Y23" s="1304"/>
      <c r="Z23" s="1304"/>
      <c r="AA23" s="1304"/>
      <c r="AB23" s="1304"/>
      <c r="AC23" s="1304"/>
      <c r="AD23" s="1304"/>
      <c r="AE23" s="1304"/>
      <c r="AF23" s="1304"/>
      <c r="AG23" s="1304"/>
      <c r="AH23" s="1304"/>
      <c r="AI23" s="1304"/>
      <c r="AJ23" s="1304"/>
      <c r="AK23" s="1308"/>
      <c r="AL23" s="1308"/>
      <c r="AM23" s="1308"/>
      <c r="AN23" s="1308"/>
      <c r="AO23" s="1308"/>
      <c r="AP23" s="1308"/>
      <c r="AQ23" s="1308"/>
      <c r="AR23" s="1308"/>
      <c r="AS23" s="1308"/>
      <c r="AT23" s="1308"/>
      <c r="AU23" s="1308"/>
      <c r="AV23" s="1308"/>
      <c r="AW23" s="1300"/>
      <c r="AX23" s="1306"/>
      <c r="AY23" s="1300"/>
      <c r="AZ23" s="1300"/>
      <c r="BA23" s="1300"/>
      <c r="BB23" s="1300"/>
      <c r="BC23" s="1300"/>
      <c r="BD23" s="1300"/>
      <c r="BE23" s="1300"/>
      <c r="BF23" s="1300"/>
      <c r="BG23" s="1300"/>
      <c r="BH23" s="1300"/>
      <c r="BI23" s="1300"/>
    </row>
    <row r="24" spans="1:61" s="1300" customFormat="1" ht="17.25" x14ac:dyDescent="0.3">
      <c r="A24" s="1309" t="s">
        <v>3370</v>
      </c>
      <c r="B24" s="1302"/>
      <c r="C24" s="1302"/>
      <c r="D24" s="1302"/>
      <c r="E24" s="1302"/>
      <c r="F24" s="1302"/>
      <c r="G24" s="1302"/>
      <c r="H24" s="1302"/>
      <c r="I24" s="1302"/>
      <c r="J24" s="1302"/>
      <c r="K24" s="1302"/>
      <c r="L24" s="1302"/>
      <c r="M24" s="1302"/>
      <c r="N24" s="1302"/>
      <c r="O24" s="1302"/>
      <c r="P24" s="1302"/>
      <c r="Q24" s="1302"/>
      <c r="R24" s="1302"/>
      <c r="S24" s="1302"/>
      <c r="T24" s="1302"/>
      <c r="U24" s="1302"/>
      <c r="V24" s="1303"/>
      <c r="W24" s="1304"/>
      <c r="X24" s="1304"/>
      <c r="Y24" s="1304"/>
      <c r="Z24" s="1304"/>
      <c r="AA24" s="1304"/>
      <c r="AB24" s="1304"/>
      <c r="AC24" s="1304"/>
      <c r="AD24" s="1304"/>
      <c r="AE24" s="1304"/>
      <c r="AF24" s="1304"/>
      <c r="AG24" s="1304"/>
      <c r="AH24" s="1304"/>
      <c r="AI24" s="1304"/>
      <c r="AJ24" s="1304"/>
      <c r="AK24" s="1308"/>
      <c r="AL24" s="1308"/>
      <c r="AM24" s="1308"/>
      <c r="AN24" s="1308"/>
      <c r="AO24" s="1308"/>
      <c r="AP24" s="1308"/>
      <c r="AQ24" s="1308"/>
      <c r="AR24" s="1308"/>
      <c r="AS24" s="1308"/>
      <c r="AT24" s="1308"/>
      <c r="AU24" s="1308"/>
      <c r="AV24" s="1308"/>
      <c r="AX24" s="1306"/>
    </row>
    <row r="25" spans="1:61" s="1311" customFormat="1" ht="17.25" x14ac:dyDescent="0.3">
      <c r="A25" s="1301" t="s">
        <v>3371</v>
      </c>
      <c r="B25" s="1302">
        <v>1.6090034105965979E-2</v>
      </c>
      <c r="C25" s="1302">
        <v>1.7057976197404033E-2</v>
      </c>
      <c r="D25" s="1302">
        <v>1.7000000000000001E-2</v>
      </c>
      <c r="E25" s="1302">
        <v>1.6E-2</v>
      </c>
      <c r="F25" s="1302">
        <v>1.7000000000000001E-2</v>
      </c>
      <c r="G25" s="1302">
        <v>1.4586812296004142E-2</v>
      </c>
      <c r="H25" s="1302">
        <v>1.2180404048535584E-2</v>
      </c>
      <c r="I25" s="1302">
        <v>1.4450478508197201E-2</v>
      </c>
      <c r="J25" s="1302">
        <v>1.3949362314729825E-2</v>
      </c>
      <c r="K25" s="1302">
        <v>1.5650576651972538E-2</v>
      </c>
      <c r="L25" s="1302">
        <v>1.6224751719306336E-2</v>
      </c>
      <c r="M25" s="1302">
        <v>1.2999999999999999E-2</v>
      </c>
      <c r="N25" s="1302">
        <v>1.4999999999999999E-2</v>
      </c>
      <c r="O25" s="1302">
        <v>1.5034313199307653E-2</v>
      </c>
      <c r="P25" s="1302">
        <v>1.523066263055624E-2</v>
      </c>
      <c r="Q25" s="1302">
        <v>1.4159637906424468E-2</v>
      </c>
      <c r="R25" s="1302">
        <v>1.2346864749583146E-2</v>
      </c>
      <c r="S25" s="1302">
        <v>1.2E-2</v>
      </c>
      <c r="T25" s="1302">
        <v>1.0999999999999999E-2</v>
      </c>
      <c r="U25" s="1302">
        <v>1.2999999999999999E-2</v>
      </c>
      <c r="V25" s="1303">
        <v>1.5114834382697631E-2</v>
      </c>
      <c r="W25" s="1304">
        <v>1.415480743806983</v>
      </c>
      <c r="X25" s="1304">
        <v>1.2682065316592466</v>
      </c>
      <c r="Y25" s="1304">
        <v>1.0999999999999999</v>
      </c>
      <c r="Z25" s="1304">
        <v>1.0999999999999999</v>
      </c>
      <c r="AA25" s="1304">
        <v>1.1973223805114095</v>
      </c>
      <c r="AB25" s="1304">
        <v>1.3809003810754978</v>
      </c>
      <c r="AC25" s="1304">
        <v>1.4346374829804802</v>
      </c>
      <c r="AD25" s="1304">
        <v>1.4746585075531982</v>
      </c>
      <c r="AE25" s="1304">
        <v>1.4739863068511501</v>
      </c>
      <c r="AF25" s="1304">
        <v>1.4000000000000001</v>
      </c>
      <c r="AG25" s="1304">
        <v>1.5</v>
      </c>
      <c r="AH25" s="1304">
        <v>1.5</v>
      </c>
      <c r="AI25" s="1304">
        <v>1.6</v>
      </c>
      <c r="AJ25" s="1304">
        <v>1.49</v>
      </c>
      <c r="AK25" s="1304">
        <v>1.54</v>
      </c>
      <c r="AL25" s="1304">
        <v>1.6923639622670097</v>
      </c>
      <c r="AM25" s="1304">
        <v>1.6468253092772327</v>
      </c>
      <c r="AN25" s="1304">
        <v>2.206227257590907</v>
      </c>
      <c r="AO25" s="1304">
        <v>2.0381838431232864</v>
      </c>
      <c r="AP25" s="1304">
        <v>2.0255635368388529</v>
      </c>
      <c r="AQ25" s="1304">
        <v>1.9417430097390922</v>
      </c>
      <c r="AR25" s="1304">
        <v>1.2317727901560871</v>
      </c>
      <c r="AS25" s="1304">
        <v>1.0554889242306253</v>
      </c>
      <c r="AT25" s="1304">
        <v>1.0629833107767395</v>
      </c>
      <c r="AU25" s="1304">
        <v>0.97475112532089192</v>
      </c>
      <c r="AV25" s="1304">
        <v>1.1971871063803601</v>
      </c>
      <c r="AW25" s="1300"/>
      <c r="AX25" s="1306"/>
      <c r="AY25" s="1300"/>
      <c r="AZ25" s="1300"/>
      <c r="BA25" s="1300"/>
      <c r="BB25" s="1300"/>
      <c r="BC25" s="1300"/>
      <c r="BD25" s="1300"/>
      <c r="BE25" s="1300"/>
      <c r="BF25" s="1300"/>
      <c r="BG25" s="1300"/>
      <c r="BH25" s="1300"/>
      <c r="BI25" s="1300"/>
    </row>
    <row r="26" spans="1:61" s="1311" customFormat="1" ht="17.25" x14ac:dyDescent="0.3">
      <c r="A26" s="1301" t="s">
        <v>3372</v>
      </c>
      <c r="B26" s="1302">
        <v>0.22024247467788996</v>
      </c>
      <c r="C26" s="1302">
        <v>0.22715409987767532</v>
      </c>
      <c r="D26" s="1302">
        <v>0.22139256495717388</v>
      </c>
      <c r="E26" s="1302">
        <v>0.21</v>
      </c>
      <c r="F26" s="1302">
        <v>0.214</v>
      </c>
      <c r="G26" s="1302">
        <v>0.19518147457291063</v>
      </c>
      <c r="H26" s="1302">
        <v>0.16700000000000001</v>
      </c>
      <c r="I26" s="1302">
        <v>0.200167681142044</v>
      </c>
      <c r="J26" s="1302">
        <v>0.19319702192885313</v>
      </c>
      <c r="K26" s="1302">
        <v>0.21475660485138484</v>
      </c>
      <c r="L26" s="1302">
        <v>0.22058102549230985</v>
      </c>
      <c r="M26" s="1302">
        <v>0.17899999999999999</v>
      </c>
      <c r="N26" s="1302">
        <v>0.20300000000000001</v>
      </c>
      <c r="O26" s="1302">
        <v>0.19630241418985794</v>
      </c>
      <c r="P26" s="1302">
        <v>0.1964053838402276</v>
      </c>
      <c r="Q26" s="1302">
        <v>0.17980837751637718</v>
      </c>
      <c r="R26" s="1302">
        <v>0.15654636430175237</v>
      </c>
      <c r="S26" s="1302">
        <v>0.152</v>
      </c>
      <c r="T26" s="1302">
        <v>0.13500000000000001</v>
      </c>
      <c r="U26" s="1302">
        <v>0.15</v>
      </c>
      <c r="V26" s="1303">
        <v>0.16299382009850857</v>
      </c>
      <c r="W26" s="1304">
        <v>15.244662636871393</v>
      </c>
      <c r="X26" s="1304">
        <v>13.691764718816323</v>
      </c>
      <c r="Y26" s="1304">
        <v>11.4</v>
      </c>
      <c r="Z26" s="1304">
        <v>11.1</v>
      </c>
      <c r="AA26" s="1304">
        <v>12.08330845681771</v>
      </c>
      <c r="AB26" s="1304">
        <v>13.139262747958739</v>
      </c>
      <c r="AC26" s="1304">
        <v>13.643696676349403</v>
      </c>
      <c r="AD26" s="1304">
        <v>14.011488942661035</v>
      </c>
      <c r="AE26" s="1304">
        <v>13.926742731512153</v>
      </c>
      <c r="AF26" s="1304">
        <v>13.200000000000001</v>
      </c>
      <c r="AG26" s="1304">
        <v>14.899999999999999</v>
      </c>
      <c r="AH26" s="1304">
        <v>14.7</v>
      </c>
      <c r="AI26" s="1304">
        <v>16</v>
      </c>
      <c r="AJ26" s="1304">
        <v>14.91</v>
      </c>
      <c r="AK26" s="1304">
        <v>14.64</v>
      </c>
      <c r="AL26" s="1304">
        <v>15.663858058796393</v>
      </c>
      <c r="AM26" s="1304">
        <v>15.061797945756956</v>
      </c>
      <c r="AN26" s="1304">
        <v>18.972522230132622</v>
      </c>
      <c r="AO26" s="1304">
        <v>17.41169088987327</v>
      </c>
      <c r="AP26" s="1304">
        <v>17.284500294032263</v>
      </c>
      <c r="AQ26" s="1304">
        <v>16.706972308375104</v>
      </c>
      <c r="AR26" s="1304">
        <v>10.964274071360022</v>
      </c>
      <c r="AS26" s="1304">
        <v>9.4505960925776655</v>
      </c>
      <c r="AT26" s="1304">
        <v>9.6530941345234851</v>
      </c>
      <c r="AU26" s="1304">
        <v>8.8854924637530601</v>
      </c>
      <c r="AV26" s="1304">
        <v>11.390579873923947</v>
      </c>
      <c r="AW26" s="1300"/>
      <c r="AX26" s="1306"/>
      <c r="AY26" s="1300"/>
      <c r="AZ26" s="1300"/>
      <c r="BA26" s="1300"/>
      <c r="BB26" s="1300"/>
      <c r="BC26" s="1300"/>
      <c r="BD26" s="1300"/>
      <c r="BE26" s="1300"/>
      <c r="BF26" s="1300"/>
      <c r="BG26" s="1300"/>
      <c r="BH26" s="1300"/>
      <c r="BI26" s="1300"/>
    </row>
    <row r="27" spans="1:61" ht="17.25" x14ac:dyDescent="0.3">
      <c r="A27" s="1301" t="s">
        <v>3373</v>
      </c>
      <c r="B27" s="1302">
        <v>0.68927270547595321</v>
      </c>
      <c r="C27" s="1302">
        <v>0.68600000000000005</v>
      </c>
      <c r="D27" s="1302">
        <v>0.69</v>
      </c>
      <c r="E27" s="1302">
        <v>0.68899999999999995</v>
      </c>
      <c r="F27" s="1302">
        <v>0.67600000000000005</v>
      </c>
      <c r="G27" s="1302">
        <v>0.69299999999999995</v>
      </c>
      <c r="H27" s="1302">
        <v>0.70499999999999996</v>
      </c>
      <c r="I27" s="1302">
        <v>0.67052464624553398</v>
      </c>
      <c r="J27" s="1302">
        <v>0.69975067350562514</v>
      </c>
      <c r="K27" s="1302">
        <v>0.65439552793373612</v>
      </c>
      <c r="L27" s="1302">
        <v>0.62417960009325579</v>
      </c>
      <c r="M27" s="1302">
        <v>0.65400000000000003</v>
      </c>
      <c r="N27" s="1302">
        <v>0.59699999999999998</v>
      </c>
      <c r="O27" s="1302">
        <v>0.62977187817500924</v>
      </c>
      <c r="P27" s="1302">
        <v>0.65165725198905189</v>
      </c>
      <c r="Q27" s="1302">
        <v>0.65688000793393164</v>
      </c>
      <c r="R27" s="1302">
        <v>0.69779968032192285</v>
      </c>
      <c r="S27" s="1302">
        <v>0.71299999999999997</v>
      </c>
      <c r="T27" s="1302">
        <v>0.71299999999999997</v>
      </c>
      <c r="U27" s="1302">
        <v>0.66800000000000004</v>
      </c>
      <c r="V27" s="1303">
        <v>0.68237790917093921</v>
      </c>
      <c r="W27" s="1304">
        <v>48.957804329847562</v>
      </c>
      <c r="X27" s="1304">
        <v>64.890780202486482</v>
      </c>
      <c r="Y27" s="1304">
        <v>62</v>
      </c>
      <c r="Z27" s="1304">
        <v>61.8</v>
      </c>
      <c r="AA27" s="1304">
        <v>68.53268891713283</v>
      </c>
      <c r="AB27" s="1304">
        <v>62.741210017356288</v>
      </c>
      <c r="AC27" s="1304">
        <v>67.223235194532577</v>
      </c>
      <c r="AD27" s="1304">
        <v>62.980100903777867</v>
      </c>
      <c r="AE27" s="1304">
        <v>71.514311582573526</v>
      </c>
      <c r="AF27" s="1304">
        <v>69.20210908500357</v>
      </c>
      <c r="AG27" s="1304">
        <v>68.8</v>
      </c>
      <c r="AH27" s="1304">
        <v>70.199999999999989</v>
      </c>
      <c r="AI27" s="1304">
        <v>69.599999999999994</v>
      </c>
      <c r="AJ27" s="1304">
        <v>66.95</v>
      </c>
      <c r="AK27" s="1304">
        <v>71.459999999999994</v>
      </c>
      <c r="AL27" s="1304">
        <v>71.322508294203303</v>
      </c>
      <c r="AM27" s="1304">
        <v>72.923885275720281</v>
      </c>
      <c r="AN27" s="1304">
        <v>72.693468284242726</v>
      </c>
      <c r="AO27" s="1304">
        <v>73.810115711038463</v>
      </c>
      <c r="AP27" s="1304">
        <v>72.802980924650825</v>
      </c>
      <c r="AQ27" s="1305">
        <v>69.294822860877105</v>
      </c>
      <c r="AR27" s="1304">
        <v>71.737733415435329</v>
      </c>
      <c r="AS27" s="1304">
        <v>65.854990318326585</v>
      </c>
      <c r="AT27" s="1304">
        <v>68.207367998092536</v>
      </c>
      <c r="AU27" s="1304">
        <v>69.007966557859902</v>
      </c>
      <c r="AV27" s="1304">
        <v>63.084492648444566</v>
      </c>
      <c r="AW27" s="1300"/>
      <c r="AX27" s="1306"/>
      <c r="AY27" s="1300"/>
      <c r="AZ27" s="1300"/>
      <c r="BA27" s="1300"/>
      <c r="BB27" s="1300"/>
      <c r="BC27" s="1300"/>
      <c r="BD27" s="1300"/>
      <c r="BE27" s="1300"/>
      <c r="BF27" s="1300"/>
      <c r="BG27" s="1300"/>
      <c r="BH27" s="1300"/>
      <c r="BI27" s="1300"/>
    </row>
    <row r="28" spans="1:61" ht="17.25" x14ac:dyDescent="0.3">
      <c r="A28" s="1301" t="s">
        <v>3374</v>
      </c>
      <c r="B28" s="1302">
        <v>0.38165357658836813</v>
      </c>
      <c r="C28" s="1302">
        <v>0.38800000000000001</v>
      </c>
      <c r="D28" s="1302">
        <v>0.37591465370404409</v>
      </c>
      <c r="E28" s="1302">
        <v>0.39200000000000002</v>
      </c>
      <c r="F28" s="1302">
        <v>0.39900000000000002</v>
      </c>
      <c r="G28" s="1302">
        <v>0.40894936046831321</v>
      </c>
      <c r="H28" s="1302">
        <v>0.43041634891269864</v>
      </c>
      <c r="I28" s="1302">
        <v>0.38928613324127903</v>
      </c>
      <c r="J28" s="1302">
        <v>0.39348905199766759</v>
      </c>
      <c r="K28" s="1302">
        <v>0.3671289285246872</v>
      </c>
      <c r="L28" s="1302">
        <v>0.36766692890891983</v>
      </c>
      <c r="M28" s="1302">
        <v>0.41199999999999998</v>
      </c>
      <c r="N28" s="1302">
        <v>0.33800000000000002</v>
      </c>
      <c r="O28" s="1302">
        <v>0.39021901253483943</v>
      </c>
      <c r="P28" s="1302">
        <v>0.3860554089170613</v>
      </c>
      <c r="Q28" s="1302">
        <v>0.38746267888210367</v>
      </c>
      <c r="R28" s="1302">
        <v>0.41456959896407691</v>
      </c>
      <c r="S28" s="1302">
        <v>0.43</v>
      </c>
      <c r="T28" s="1302">
        <v>0.437</v>
      </c>
      <c r="U28" s="1302">
        <v>0.44800000000000001</v>
      </c>
      <c r="V28" s="1303">
        <v>0.42688328881786741</v>
      </c>
      <c r="W28" s="1304">
        <v>36.878828281237382</v>
      </c>
      <c r="X28" s="1304">
        <v>43.598319242041796</v>
      </c>
      <c r="Y28" s="1304">
        <v>40.6</v>
      </c>
      <c r="Z28" s="1304">
        <v>39.5</v>
      </c>
      <c r="AA28" s="1304">
        <v>44.266421935883159</v>
      </c>
      <c r="AB28" s="1304">
        <v>36.183633918285516</v>
      </c>
      <c r="AC28" s="1304">
        <v>41.777357758885245</v>
      </c>
      <c r="AD28" s="1304">
        <v>38.91381225487185</v>
      </c>
      <c r="AE28" s="1304">
        <v>45.883118245707983</v>
      </c>
      <c r="AF28" s="1304">
        <v>42.256130385845161</v>
      </c>
      <c r="AG28" s="1304">
        <v>40.200000000000003</v>
      </c>
      <c r="AH28" s="1304">
        <v>44.3</v>
      </c>
      <c r="AI28" s="1304">
        <v>42.9</v>
      </c>
      <c r="AJ28" s="1304">
        <v>41.13</v>
      </c>
      <c r="AK28" s="1304">
        <v>40.51</v>
      </c>
      <c r="AL28" s="1304">
        <v>41.5242541537189</v>
      </c>
      <c r="AM28" s="1304">
        <v>39.572794892234917</v>
      </c>
      <c r="AN28" s="1304">
        <v>38.423939843807844</v>
      </c>
      <c r="AO28" s="1304">
        <v>40.384402037778628</v>
      </c>
      <c r="AP28" s="1304">
        <v>42.454167747126895</v>
      </c>
      <c r="AQ28" s="1305">
        <v>41.056475919522718</v>
      </c>
      <c r="AR28" s="1304">
        <v>41.813727199979823</v>
      </c>
      <c r="AS28" s="1304">
        <v>40.032403383137968</v>
      </c>
      <c r="AT28" s="1304">
        <v>43.322117908762124</v>
      </c>
      <c r="AU28" s="1304">
        <v>44.125550257001215</v>
      </c>
      <c r="AV28" s="1304">
        <v>44.025934383685687</v>
      </c>
      <c r="AW28" s="1300"/>
      <c r="AX28" s="1306"/>
      <c r="AY28" s="1300"/>
      <c r="AZ28" s="1300"/>
      <c r="BA28" s="1300"/>
      <c r="BB28" s="1300"/>
      <c r="BC28" s="1300"/>
      <c r="BD28" s="1300"/>
      <c r="BE28" s="1300"/>
      <c r="BF28" s="1300"/>
      <c r="BG28" s="1300"/>
      <c r="BH28" s="1300"/>
      <c r="BI28" s="1300"/>
    </row>
    <row r="29" spans="1:61" ht="7.5" customHeight="1" x14ac:dyDescent="0.3">
      <c r="A29" s="1301"/>
      <c r="B29" s="1302"/>
      <c r="C29" s="1302"/>
      <c r="D29" s="1302"/>
      <c r="E29" s="1302"/>
      <c r="F29" s="1302"/>
      <c r="G29" s="1302"/>
      <c r="H29" s="1302"/>
      <c r="I29" s="1302"/>
      <c r="J29" s="1302"/>
      <c r="K29" s="1302"/>
      <c r="L29" s="1302"/>
      <c r="M29" s="1302"/>
      <c r="N29" s="1302"/>
      <c r="O29" s="1302"/>
      <c r="P29" s="1302"/>
      <c r="Q29" s="1302"/>
      <c r="R29" s="1302"/>
      <c r="S29" s="1302"/>
      <c r="T29" s="1302"/>
      <c r="U29" s="1302"/>
      <c r="V29" s="1303"/>
      <c r="W29" s="1304"/>
      <c r="X29" s="1304"/>
      <c r="Y29" s="1304"/>
      <c r="Z29" s="1304"/>
      <c r="AA29" s="1304"/>
      <c r="AB29" s="1304"/>
      <c r="AC29" s="1304"/>
      <c r="AD29" s="1304"/>
      <c r="AE29" s="1304"/>
      <c r="AF29" s="1304"/>
      <c r="AG29" s="1304"/>
      <c r="AH29" s="1304"/>
      <c r="AI29" s="1304"/>
      <c r="AJ29" s="1304"/>
      <c r="AK29" s="1304"/>
      <c r="AL29" s="1304"/>
      <c r="AM29" s="1304"/>
      <c r="AN29" s="1304"/>
      <c r="AO29" s="1304"/>
      <c r="AP29" s="1304">
        <v>0</v>
      </c>
      <c r="AQ29" s="1304"/>
      <c r="AR29" s="1304"/>
      <c r="AS29" s="1304"/>
      <c r="AT29" s="1304"/>
      <c r="AU29" s="1304"/>
      <c r="AV29" s="1304"/>
      <c r="AW29" s="1300"/>
      <c r="AX29" s="1306"/>
      <c r="AY29" s="1300"/>
      <c r="AZ29" s="1300"/>
      <c r="BA29" s="1300"/>
      <c r="BB29" s="1300"/>
      <c r="BC29" s="1300"/>
      <c r="BD29" s="1300"/>
      <c r="BE29" s="1300"/>
      <c r="BF29" s="1300"/>
      <c r="BG29" s="1300"/>
      <c r="BH29" s="1300"/>
      <c r="BI29" s="1300"/>
    </row>
    <row r="30" spans="1:61" s="1300" customFormat="1" ht="17.25" x14ac:dyDescent="0.3">
      <c r="A30" s="1309" t="s">
        <v>3375</v>
      </c>
      <c r="B30" s="1302"/>
      <c r="C30" s="1302"/>
      <c r="D30" s="1302"/>
      <c r="E30" s="1302"/>
      <c r="F30" s="1302"/>
      <c r="G30" s="1302"/>
      <c r="H30" s="1302"/>
      <c r="I30" s="1302"/>
      <c r="J30" s="1302"/>
      <c r="K30" s="1302"/>
      <c r="L30" s="1302"/>
      <c r="M30" s="1302"/>
      <c r="N30" s="1302"/>
      <c r="O30" s="1302"/>
      <c r="P30" s="1302"/>
      <c r="Q30" s="1302"/>
      <c r="R30" s="1302"/>
      <c r="S30" s="1302"/>
      <c r="T30" s="1302"/>
      <c r="U30" s="1302"/>
      <c r="V30" s="1303"/>
      <c r="W30" s="1304"/>
      <c r="X30" s="1304"/>
      <c r="Y30" s="1304"/>
      <c r="Z30" s="1304"/>
      <c r="AA30" s="1304"/>
      <c r="AB30" s="1304"/>
      <c r="AC30" s="1304"/>
      <c r="AD30" s="1304"/>
      <c r="AE30" s="1304"/>
      <c r="AF30" s="1304"/>
      <c r="AG30" s="1304"/>
      <c r="AH30" s="1304"/>
      <c r="AI30" s="1304"/>
      <c r="AJ30" s="1304"/>
      <c r="AK30" s="1304"/>
      <c r="AL30" s="1304"/>
      <c r="AM30" s="1304"/>
      <c r="AN30" s="1304"/>
      <c r="AO30" s="1304"/>
      <c r="AP30" s="1304"/>
      <c r="AQ30" s="1304"/>
      <c r="AR30" s="1304"/>
      <c r="AS30" s="1304"/>
      <c r="AT30" s="1304"/>
      <c r="AU30" s="1304"/>
      <c r="AV30" s="1304"/>
      <c r="AX30" s="1306"/>
    </row>
    <row r="31" spans="1:61" s="1316" customFormat="1" ht="6.75" hidden="1" customHeight="1" x14ac:dyDescent="0.3">
      <c r="A31" s="1313"/>
      <c r="B31" s="1314"/>
      <c r="C31" s="1314"/>
      <c r="D31" s="1314"/>
      <c r="E31" s="1314"/>
      <c r="F31" s="1314"/>
      <c r="G31" s="1314"/>
      <c r="H31" s="1314"/>
      <c r="I31" s="1314"/>
      <c r="J31" s="1314"/>
      <c r="K31" s="1314"/>
      <c r="L31" s="1314"/>
      <c r="M31" s="1314"/>
      <c r="N31" s="1314"/>
      <c r="O31" s="1314"/>
      <c r="P31" s="1314"/>
      <c r="Q31" s="1314"/>
      <c r="R31" s="1314"/>
      <c r="S31" s="1314"/>
      <c r="T31" s="1314"/>
      <c r="U31" s="1314"/>
      <c r="V31" s="1315"/>
      <c r="W31" s="1304">
        <v>0</v>
      </c>
      <c r="X31" s="1304">
        <v>0</v>
      </c>
      <c r="Y31" s="1304">
        <v>0</v>
      </c>
      <c r="Z31" s="1304">
        <v>0</v>
      </c>
      <c r="AA31" s="1304">
        <v>0</v>
      </c>
      <c r="AB31" s="1304">
        <v>0</v>
      </c>
      <c r="AC31" s="1304">
        <v>0</v>
      </c>
      <c r="AD31" s="1304">
        <v>0</v>
      </c>
      <c r="AE31" s="1304">
        <v>0</v>
      </c>
      <c r="AF31" s="1304">
        <v>0</v>
      </c>
      <c r="AG31" s="1304">
        <v>0</v>
      </c>
      <c r="AH31" s="1304">
        <v>0</v>
      </c>
      <c r="AI31" s="1304">
        <v>0</v>
      </c>
      <c r="AJ31" s="1304"/>
      <c r="AK31" s="1304"/>
      <c r="AL31" s="1304"/>
      <c r="AM31" s="1304"/>
      <c r="AN31" s="1304"/>
      <c r="AO31" s="1304"/>
      <c r="AP31" s="1304">
        <v>0</v>
      </c>
      <c r="AQ31" s="1304"/>
      <c r="AR31" s="1304"/>
      <c r="AS31" s="1304"/>
      <c r="AT31" s="1304"/>
      <c r="AU31" s="1304"/>
      <c r="AV31" s="1304"/>
      <c r="AW31" s="1300"/>
      <c r="AX31" s="1306"/>
      <c r="AY31" s="1300"/>
      <c r="AZ31" s="1300"/>
      <c r="BA31" s="1300"/>
      <c r="BB31" s="1300"/>
      <c r="BC31" s="1300"/>
      <c r="BD31" s="1300"/>
      <c r="BE31" s="1300"/>
      <c r="BF31" s="1300"/>
      <c r="BG31" s="1300"/>
      <c r="BH31" s="1300"/>
      <c r="BI31" s="1300"/>
    </row>
    <row r="32" spans="1:61" s="1311" customFormat="1" ht="17.25" x14ac:dyDescent="0.3">
      <c r="A32" s="1301" t="s">
        <v>3376</v>
      </c>
      <c r="B32" s="1302">
        <f>3198.69553483832%/100</f>
        <v>0.319869553483832</v>
      </c>
      <c r="C32" s="1302">
        <f>2883.54139724783%/100</f>
        <v>0.28835413972478302</v>
      </c>
      <c r="D32" s="1302">
        <f>2647.99753987011%/100</f>
        <v>0.264799753987011</v>
      </c>
      <c r="E32" s="1302">
        <f>2793.88812550324%/100</f>
        <v>0.27938881255032405</v>
      </c>
      <c r="F32" s="1302">
        <f>2764.2792299214%/100</f>
        <v>0.27642792299214003</v>
      </c>
      <c r="G32" s="1302">
        <f>2494.99233140775%/100</f>
        <v>0.24949923314077502</v>
      </c>
      <c r="H32" s="1302">
        <f>2359.35420038034%/100</f>
        <v>0.235935420038034</v>
      </c>
      <c r="I32" s="1302">
        <v>0.233821796802682</v>
      </c>
      <c r="J32" s="1302">
        <v>0.19846258281635012</v>
      </c>
      <c r="K32" s="1302">
        <v>0.21183228729625447</v>
      </c>
      <c r="L32" s="1302">
        <v>0.1823844581403502</v>
      </c>
      <c r="M32" s="1302">
        <v>0.17699999999999999</v>
      </c>
      <c r="N32" s="1302">
        <v>0.191</v>
      </c>
      <c r="O32" s="1302">
        <v>0.14787624364786564</v>
      </c>
      <c r="P32" s="1302">
        <v>0.1635561889119112</v>
      </c>
      <c r="Q32" s="1302">
        <v>0.19142503995162541</v>
      </c>
      <c r="R32" s="1302">
        <v>0.19068883377495952</v>
      </c>
      <c r="S32" s="1302">
        <v>0.19400000000000001</v>
      </c>
      <c r="T32" s="1302">
        <v>0.17499999999999999</v>
      </c>
      <c r="U32" s="1302">
        <v>0.22500000000000001</v>
      </c>
      <c r="V32" s="1303">
        <v>0.22699012975755481</v>
      </c>
      <c r="W32" s="1304">
        <v>24.09625881394858</v>
      </c>
      <c r="X32" s="1304">
        <v>25.956200484147235</v>
      </c>
      <c r="Y32" s="1304">
        <v>25.1</v>
      </c>
      <c r="Z32" s="1304">
        <v>24.3</v>
      </c>
      <c r="AA32" s="1304">
        <v>27.142915617403883</v>
      </c>
      <c r="AB32" s="1304">
        <v>27.434399319476118</v>
      </c>
      <c r="AC32" s="1304">
        <v>27.927923997394061</v>
      </c>
      <c r="AD32" s="1304">
        <v>28.268794851144087</v>
      </c>
      <c r="AE32" s="1304">
        <v>27.859308096266783</v>
      </c>
      <c r="AF32" s="1304">
        <v>26.837315676924266</v>
      </c>
      <c r="AG32" s="1304">
        <v>28.1</v>
      </c>
      <c r="AH32" s="1304">
        <v>25</v>
      </c>
      <c r="AI32" s="1304">
        <v>22.1</v>
      </c>
      <c r="AJ32" s="1304">
        <v>23.2</v>
      </c>
      <c r="AK32" s="1304">
        <v>25.37</v>
      </c>
      <c r="AL32" s="1304">
        <v>21.572066904887965</v>
      </c>
      <c r="AM32" s="1304">
        <v>22.546695113733346</v>
      </c>
      <c r="AN32" s="1304">
        <v>22.557680565156815</v>
      </c>
      <c r="AO32" s="1304">
        <v>20.991140022327809</v>
      </c>
      <c r="AP32" s="1304">
        <v>21.741972974986023</v>
      </c>
      <c r="AQ32" s="1304">
        <v>25.271548428200468</v>
      </c>
      <c r="AR32" s="1304">
        <v>24.527136382024747</v>
      </c>
      <c r="AS32" s="1304">
        <v>26.38357194716453</v>
      </c>
      <c r="AT32" s="1304">
        <v>27.699442655492518</v>
      </c>
      <c r="AU32" s="1304">
        <v>26.049504322446694</v>
      </c>
      <c r="AV32" s="1304">
        <v>29.386920832383044</v>
      </c>
      <c r="AW32" s="1300"/>
      <c r="AX32" s="1306"/>
      <c r="AY32" s="1300"/>
      <c r="AZ32" s="1300"/>
      <c r="BA32" s="1300"/>
      <c r="BB32" s="1300"/>
      <c r="BC32" s="1300"/>
      <c r="BD32" s="1300"/>
      <c r="BE32" s="1300"/>
      <c r="BF32" s="1300"/>
      <c r="BG32" s="1300"/>
      <c r="BH32" s="1300"/>
      <c r="BI32" s="1300"/>
    </row>
    <row r="33" spans="1:61" ht="17.25" x14ac:dyDescent="0.3">
      <c r="A33" s="1301" t="s">
        <v>3377</v>
      </c>
      <c r="B33" s="1302">
        <v>0.36733440968615505</v>
      </c>
      <c r="C33" s="1302">
        <v>0.34416969269264264</v>
      </c>
      <c r="D33" s="1302">
        <v>0.31765180209417104</v>
      </c>
      <c r="E33" s="1302">
        <v>0.34403627001483933</v>
      </c>
      <c r="F33" s="1302">
        <v>0.35415334845235552</v>
      </c>
      <c r="G33" s="1302">
        <v>0.32384477218823571</v>
      </c>
      <c r="H33" s="1302">
        <v>0.3122705232676406</v>
      </c>
      <c r="I33" s="1302">
        <v>0.31876904337777801</v>
      </c>
      <c r="J33" s="1302">
        <v>0.28078266284313547</v>
      </c>
      <c r="K33" s="1302">
        <v>0.29928540102271473</v>
      </c>
      <c r="L33" s="1302">
        <v>0.26706251255058722</v>
      </c>
      <c r="M33" s="1302">
        <v>0.26</v>
      </c>
      <c r="N33" s="1302">
        <v>0.28799999999999998</v>
      </c>
      <c r="O33" s="1302">
        <v>0.22604206315803368</v>
      </c>
      <c r="P33" s="1302">
        <v>0.25120426135156182</v>
      </c>
      <c r="Q33" s="1302">
        <v>0.27451269118104954</v>
      </c>
      <c r="R33" s="1302">
        <v>0.27949757265796787</v>
      </c>
      <c r="S33" s="1302">
        <v>0.28000000000000003</v>
      </c>
      <c r="T33" s="1302">
        <v>0.26500000000000001</v>
      </c>
      <c r="U33" s="1302">
        <v>0.31</v>
      </c>
      <c r="V33" s="1303">
        <v>0.29133738928079433</v>
      </c>
      <c r="W33" s="1304">
        <v>30.194998135417585</v>
      </c>
      <c r="X33" s="1304">
        <v>32.996147914315046</v>
      </c>
      <c r="Y33" s="1304">
        <v>31.7</v>
      </c>
      <c r="Z33" s="1304">
        <v>31.1</v>
      </c>
      <c r="AA33" s="1304">
        <v>34.489015586532489</v>
      </c>
      <c r="AB33" s="1304">
        <v>34.421831374166722</v>
      </c>
      <c r="AC33" s="1304">
        <v>34.132045167644662</v>
      </c>
      <c r="AD33" s="1304">
        <v>34.280026697973724</v>
      </c>
      <c r="AE33" s="1304">
        <v>33.851704489104179</v>
      </c>
      <c r="AF33" s="1304">
        <v>33.307781232977042</v>
      </c>
      <c r="AG33" s="1304">
        <v>35.199999999999996</v>
      </c>
      <c r="AH33" s="1304">
        <v>32.200000000000003</v>
      </c>
      <c r="AI33" s="1304">
        <v>28.9</v>
      </c>
      <c r="AJ33" s="1304">
        <v>30.03</v>
      </c>
      <c r="AK33" s="1304">
        <v>28.79</v>
      </c>
      <c r="AL33" s="1304">
        <v>24.570447913983699</v>
      </c>
      <c r="AM33" s="1304">
        <v>25.525085947107247</v>
      </c>
      <c r="AN33" s="1304">
        <v>25.636014001331485</v>
      </c>
      <c r="AO33" s="1304">
        <v>23.863619699285589</v>
      </c>
      <c r="AP33" s="1304">
        <v>24.717089688296614</v>
      </c>
      <c r="AQ33" s="1304">
        <v>28.528597138542644</v>
      </c>
      <c r="AR33" s="1304">
        <v>27.714199398343819</v>
      </c>
      <c r="AS33" s="1304">
        <v>29.723515893727487</v>
      </c>
      <c r="AT33" s="1304">
        <v>31.071832868578163</v>
      </c>
      <c r="AU33" s="1304">
        <v>29.258097229978631</v>
      </c>
      <c r="AV33" s="1304">
        <v>32.814777103977924</v>
      </c>
      <c r="AW33" s="1300"/>
      <c r="AX33" s="1306"/>
      <c r="AY33" s="1300"/>
      <c r="AZ33" s="1300"/>
      <c r="BA33" s="1300"/>
      <c r="BB33" s="1300"/>
      <c r="BC33" s="1300"/>
      <c r="BD33" s="1300"/>
      <c r="BE33" s="1300"/>
      <c r="BF33" s="1300"/>
      <c r="BG33" s="1300"/>
      <c r="BH33" s="1300"/>
      <c r="BI33" s="1300"/>
    </row>
    <row r="34" spans="1:61" ht="6" customHeight="1" x14ac:dyDescent="0.3">
      <c r="A34" s="1301"/>
      <c r="B34" s="1302"/>
      <c r="C34" s="1302"/>
      <c r="D34" s="1302"/>
      <c r="E34" s="1302"/>
      <c r="F34" s="1302"/>
      <c r="G34" s="1302"/>
      <c r="H34" s="1302"/>
      <c r="I34" s="1302"/>
      <c r="J34" s="1302"/>
      <c r="K34" s="1302"/>
      <c r="L34" s="1302"/>
      <c r="M34" s="1302"/>
      <c r="N34" s="1302"/>
      <c r="O34" s="1302"/>
      <c r="P34" s="1302"/>
      <c r="Q34" s="1302"/>
      <c r="R34" s="1302"/>
      <c r="S34" s="1302"/>
      <c r="T34" s="1302"/>
      <c r="U34" s="1302"/>
      <c r="V34" s="1303"/>
      <c r="W34" s="1304">
        <v>0</v>
      </c>
      <c r="X34" s="1304">
        <v>0</v>
      </c>
      <c r="Y34" s="1304">
        <v>0</v>
      </c>
      <c r="Z34" s="1304">
        <v>0</v>
      </c>
      <c r="AA34" s="1304">
        <v>0</v>
      </c>
      <c r="AB34" s="1304">
        <v>0</v>
      </c>
      <c r="AC34" s="1304">
        <v>0</v>
      </c>
      <c r="AD34" s="1304">
        <v>0</v>
      </c>
      <c r="AE34" s="1304">
        <v>0</v>
      </c>
      <c r="AF34" s="1304">
        <v>0</v>
      </c>
      <c r="AG34" s="1304">
        <v>0</v>
      </c>
      <c r="AH34" s="1304">
        <v>0</v>
      </c>
      <c r="AI34" s="1304">
        <v>0</v>
      </c>
      <c r="AJ34" s="1304"/>
      <c r="AK34" s="1304"/>
      <c r="AL34" s="1304"/>
      <c r="AM34" s="1304"/>
      <c r="AN34" s="1304"/>
      <c r="AO34" s="1304"/>
      <c r="AP34" s="1304">
        <v>0</v>
      </c>
      <c r="AQ34" s="1304"/>
      <c r="AR34" s="1304"/>
      <c r="AS34" s="1304"/>
      <c r="AT34" s="1304"/>
      <c r="AU34" s="1304"/>
      <c r="AV34" s="1304"/>
      <c r="AW34" s="1300"/>
      <c r="AX34" s="1306"/>
      <c r="AY34" s="1300"/>
      <c r="AZ34" s="1300"/>
      <c r="BA34" s="1300"/>
      <c r="BB34" s="1300"/>
      <c r="BC34" s="1300"/>
      <c r="BD34" s="1300"/>
      <c r="BE34" s="1300"/>
      <c r="BF34" s="1300"/>
      <c r="BG34" s="1300"/>
      <c r="BH34" s="1300"/>
      <c r="BI34" s="1300"/>
    </row>
    <row r="35" spans="1:61" s="1300" customFormat="1" ht="17.25" x14ac:dyDescent="0.3">
      <c r="A35" s="1309" t="s">
        <v>3378</v>
      </c>
      <c r="B35" s="1302"/>
      <c r="C35" s="1302"/>
      <c r="D35" s="1302"/>
      <c r="E35" s="1302"/>
      <c r="F35" s="1302"/>
      <c r="G35" s="1302"/>
      <c r="H35" s="1302"/>
      <c r="I35" s="1302"/>
      <c r="J35" s="1302"/>
      <c r="K35" s="1302"/>
      <c r="L35" s="1302"/>
      <c r="M35" s="1302"/>
      <c r="N35" s="1302"/>
      <c r="O35" s="1302"/>
      <c r="P35" s="1302"/>
      <c r="Q35" s="1302"/>
      <c r="R35" s="1302"/>
      <c r="S35" s="1302"/>
      <c r="T35" s="1302"/>
      <c r="U35" s="1302"/>
      <c r="V35" s="1303"/>
      <c r="W35" s="1304"/>
      <c r="X35" s="1304"/>
      <c r="Y35" s="1304"/>
      <c r="Z35" s="1304"/>
      <c r="AA35" s="1304"/>
      <c r="AB35" s="1304"/>
      <c r="AC35" s="1304"/>
      <c r="AD35" s="1304"/>
      <c r="AE35" s="1304"/>
      <c r="AF35" s="1304"/>
      <c r="AG35" s="1304"/>
      <c r="AH35" s="1304"/>
      <c r="AI35" s="1304"/>
      <c r="AJ35" s="1304"/>
      <c r="AK35" s="1304"/>
      <c r="AL35" s="1304"/>
      <c r="AM35" s="1304"/>
      <c r="AN35" s="1304"/>
      <c r="AO35" s="1304"/>
      <c r="AP35" s="1304"/>
      <c r="AQ35" s="1304"/>
      <c r="AR35" s="1304"/>
      <c r="AS35" s="1304"/>
      <c r="AT35" s="1304"/>
      <c r="AU35" s="1304"/>
      <c r="AV35" s="1304"/>
      <c r="AX35" s="1306"/>
    </row>
    <row r="36" spans="1:61" ht="17.25" x14ac:dyDescent="0.3">
      <c r="A36" s="1301" t="s">
        <v>3379</v>
      </c>
      <c r="B36" s="1302">
        <v>6.0104282553467739E-2</v>
      </c>
      <c r="C36" s="1302">
        <v>6.4500346785437618E-2</v>
      </c>
      <c r="D36" s="1302">
        <v>5.2099011223765992E-2</v>
      </c>
      <c r="E36" s="1302">
        <v>5.3012908503079936E-2</v>
      </c>
      <c r="F36" s="1302">
        <v>3.7775463806665695E-2</v>
      </c>
      <c r="G36" s="1302">
        <v>1.7999999999999999E-2</v>
      </c>
      <c r="H36" s="1302">
        <v>4.2999999999999997E-2</v>
      </c>
      <c r="I36" s="1302">
        <v>7.0107517851225695E-2</v>
      </c>
      <c r="J36" s="1302">
        <v>2.6102399698963264E-2</v>
      </c>
      <c r="K36" s="1302">
        <v>1.9882783996460547E-2</v>
      </c>
      <c r="L36" s="1302">
        <v>1.6936369755080404E-2</v>
      </c>
      <c r="M36" s="1302">
        <v>2.1999999999999999E-2</v>
      </c>
      <c r="N36" s="1302">
        <v>0.03</v>
      </c>
      <c r="O36" s="1302">
        <v>3.7545194683539999E-2</v>
      </c>
      <c r="P36" s="1302">
        <v>2.9523432845026468E-2</v>
      </c>
      <c r="Q36" s="1302">
        <v>2.1096732096130714E-2</v>
      </c>
      <c r="R36" s="1302">
        <v>2.1691074312518387E-2</v>
      </c>
      <c r="S36" s="1302">
        <v>2.3E-2</v>
      </c>
      <c r="T36" s="1302">
        <v>2.3E-2</v>
      </c>
      <c r="U36" s="1302">
        <v>2.1000000000000001E-2</v>
      </c>
      <c r="V36" s="1303">
        <v>2.9767143936428712E-2</v>
      </c>
      <c r="W36" s="1304">
        <v>2.3671240711071979</v>
      </c>
      <c r="X36" s="1304">
        <v>2.7377210400152552</v>
      </c>
      <c r="Y36" s="1304">
        <v>2.8000000000000003</v>
      </c>
      <c r="Z36" s="1304">
        <v>2.6</v>
      </c>
      <c r="AA36" s="1304">
        <v>3.0399589089660322</v>
      </c>
      <c r="AB36" s="1304">
        <v>2.5358553132808566</v>
      </c>
      <c r="AC36" s="1304">
        <v>2.8569898184830889</v>
      </c>
      <c r="AD36" s="1304">
        <v>3.0105070033503716</v>
      </c>
      <c r="AE36" s="1317">
        <v>3.1</v>
      </c>
      <c r="AF36" s="1304">
        <v>4.7</v>
      </c>
      <c r="AG36" s="1304">
        <v>3.8</v>
      </c>
      <c r="AH36" s="1304">
        <v>3.3000000000000003</v>
      </c>
      <c r="AI36" s="1304">
        <v>3.3000000000000003</v>
      </c>
      <c r="AJ36" s="1304">
        <v>4.8</v>
      </c>
      <c r="AK36" s="1304">
        <v>3.05</v>
      </c>
      <c r="AL36" s="1304">
        <v>2.5739174229080173</v>
      </c>
      <c r="AM36" s="1304">
        <v>2.0982168926491829</v>
      </c>
      <c r="AN36" s="1304">
        <v>3.6282338540501438</v>
      </c>
      <c r="AO36" s="1304">
        <v>2.7841920746542619</v>
      </c>
      <c r="AP36" s="1304">
        <v>1.9356859820226016</v>
      </c>
      <c r="AQ36" s="1304">
        <v>2.0930245211400003</v>
      </c>
      <c r="AR36" s="1304">
        <v>1.6950509850660926</v>
      </c>
      <c r="AS36" s="1304">
        <v>1.7107143034474743</v>
      </c>
      <c r="AT36" s="1304">
        <v>1.6117213095953209</v>
      </c>
      <c r="AU36" s="1304">
        <v>1.6416036359376718</v>
      </c>
      <c r="AV36" s="1304">
        <v>1.8627625081364965</v>
      </c>
      <c r="AW36" s="1300"/>
      <c r="AX36" s="1306"/>
      <c r="AY36" s="1300"/>
      <c r="AZ36" s="1300"/>
      <c r="BA36" s="1300"/>
      <c r="BB36" s="1300"/>
      <c r="BC36" s="1300"/>
      <c r="BD36" s="1300"/>
      <c r="BE36" s="1300"/>
      <c r="BF36" s="1300"/>
      <c r="BG36" s="1300"/>
      <c r="BH36" s="1300"/>
      <c r="BI36" s="1300"/>
    </row>
    <row r="37" spans="1:61" ht="9.75" customHeight="1" thickBot="1" x14ac:dyDescent="0.35">
      <c r="A37" s="1318"/>
      <c r="B37" s="1319"/>
      <c r="C37" s="1319"/>
      <c r="D37" s="1319"/>
      <c r="E37" s="1319"/>
      <c r="F37" s="1319"/>
      <c r="G37" s="1319"/>
      <c r="H37" s="1319"/>
      <c r="I37" s="1319"/>
      <c r="J37" s="1319"/>
      <c r="K37" s="1319"/>
      <c r="L37" s="1319"/>
      <c r="M37" s="1319"/>
      <c r="N37" s="1319"/>
      <c r="O37" s="1319"/>
      <c r="P37" s="1319"/>
      <c r="Q37" s="1319"/>
      <c r="R37" s="1319"/>
      <c r="S37" s="1319"/>
      <c r="T37" s="1319"/>
      <c r="U37" s="1319"/>
      <c r="V37" s="1320"/>
      <c r="W37" s="1321"/>
      <c r="X37" s="1321"/>
      <c r="Y37" s="1321"/>
      <c r="Z37" s="1321"/>
      <c r="AA37" s="1322"/>
      <c r="AB37" s="1321"/>
      <c r="AC37" s="1321"/>
      <c r="AD37" s="1321"/>
      <c r="AE37" s="1322"/>
      <c r="AF37" s="1322"/>
      <c r="AG37" s="1322"/>
      <c r="AH37" s="1322"/>
      <c r="AI37" s="1322"/>
      <c r="AJ37" s="1322"/>
      <c r="AK37" s="1322"/>
      <c r="AL37" s="1322"/>
      <c r="AM37" s="1322"/>
      <c r="AN37" s="1322"/>
      <c r="AO37" s="1322"/>
      <c r="AP37" s="1322"/>
      <c r="AQ37" s="1322"/>
      <c r="AR37" s="1322"/>
      <c r="AS37" s="1322"/>
      <c r="AT37" s="1322"/>
      <c r="AU37" s="1322"/>
      <c r="AV37" s="1322"/>
      <c r="AW37" s="1300"/>
      <c r="AX37" s="1306"/>
      <c r="AY37" s="1300"/>
      <c r="AZ37" s="1300"/>
      <c r="BA37" s="1300"/>
      <c r="BB37" s="1300"/>
      <c r="BC37" s="1300"/>
      <c r="BD37" s="1300"/>
      <c r="BE37" s="1300"/>
      <c r="BF37" s="1300"/>
      <c r="BG37" s="1300"/>
      <c r="BH37" s="1300"/>
      <c r="BI37" s="1300"/>
    </row>
    <row r="38" spans="1:61" ht="16.5" hidden="1" customHeight="1" x14ac:dyDescent="0.3">
      <c r="A38" s="1301"/>
      <c r="B38" s="1302"/>
      <c r="C38" s="1302"/>
      <c r="D38" s="1302"/>
      <c r="E38" s="1302"/>
      <c r="F38" s="1302"/>
      <c r="G38" s="1302"/>
      <c r="H38" s="1302"/>
      <c r="I38" s="1302"/>
      <c r="J38" s="1302"/>
      <c r="K38" s="1302"/>
      <c r="L38" s="1302"/>
      <c r="M38" s="1302"/>
      <c r="N38" s="1302"/>
      <c r="O38" s="1302"/>
      <c r="P38" s="1302"/>
      <c r="Q38" s="1302"/>
      <c r="R38" s="1302"/>
      <c r="S38" s="1302"/>
      <c r="T38" s="1302"/>
      <c r="U38" s="1302"/>
      <c r="V38" s="1303"/>
      <c r="W38" s="1323"/>
      <c r="X38" s="1323"/>
      <c r="Y38" s="1323"/>
      <c r="Z38" s="1323"/>
      <c r="AA38" s="1324"/>
      <c r="AB38" s="1323"/>
      <c r="AC38" s="1323"/>
      <c r="AD38" s="1323"/>
      <c r="AE38" s="1324"/>
      <c r="AF38" s="1324"/>
      <c r="AG38" s="1324"/>
      <c r="AH38" s="1324"/>
      <c r="AI38" s="1324"/>
      <c r="AJ38" s="1324"/>
      <c r="AK38" s="1324"/>
      <c r="AL38" s="1324"/>
      <c r="AM38" s="1324"/>
      <c r="AN38" s="1324"/>
      <c r="AO38" s="1324"/>
      <c r="AP38" s="1324"/>
      <c r="AQ38" s="1324"/>
      <c r="AR38" s="1324"/>
      <c r="AS38" s="1324"/>
      <c r="AT38" s="1324"/>
      <c r="AU38" s="1324"/>
      <c r="AV38" s="1324"/>
      <c r="AW38" s="1300"/>
      <c r="AX38" s="1306"/>
      <c r="AY38" s="1300"/>
      <c r="AZ38" s="1300"/>
      <c r="BA38" s="1300"/>
      <c r="BB38" s="1300"/>
      <c r="BC38" s="1300"/>
      <c r="BD38" s="1300"/>
      <c r="BE38" s="1300"/>
      <c r="BF38" s="1300"/>
      <c r="BG38" s="1300"/>
      <c r="BH38" s="1300"/>
      <c r="BI38" s="1300"/>
    </row>
    <row r="39" spans="1:61" s="1292" customFormat="1" ht="17.25" customHeight="1" thickBot="1" x14ac:dyDescent="0.35">
      <c r="A39" s="1325" t="s">
        <v>3380</v>
      </c>
      <c r="B39" s="1326"/>
      <c r="C39" s="1326"/>
      <c r="D39" s="1326"/>
      <c r="E39" s="1326"/>
      <c r="F39" s="1326"/>
      <c r="G39" s="1326"/>
      <c r="H39" s="1326"/>
      <c r="I39" s="1326"/>
      <c r="J39" s="1326"/>
      <c r="K39" s="1326"/>
      <c r="L39" s="1326"/>
      <c r="M39" s="1326"/>
      <c r="N39" s="1326"/>
      <c r="O39" s="1326"/>
      <c r="P39" s="1326"/>
      <c r="Q39" s="1326"/>
      <c r="R39" s="1326"/>
      <c r="S39" s="1326"/>
      <c r="T39" s="1326"/>
      <c r="U39" s="1326"/>
      <c r="V39" s="1327">
        <v>41883</v>
      </c>
      <c r="W39" s="1328">
        <v>41974</v>
      </c>
      <c r="X39" s="1328">
        <v>42064</v>
      </c>
      <c r="Y39" s="1328">
        <v>42156</v>
      </c>
      <c r="Z39" s="1328">
        <v>42248</v>
      </c>
      <c r="AA39" s="1328">
        <v>42339</v>
      </c>
      <c r="AB39" s="1328">
        <v>42430</v>
      </c>
      <c r="AC39" s="1328">
        <v>42523</v>
      </c>
      <c r="AD39" s="1328">
        <v>42616</v>
      </c>
      <c r="AE39" s="1328">
        <v>42708</v>
      </c>
      <c r="AF39" s="1328">
        <v>42795</v>
      </c>
      <c r="AG39" s="1328">
        <v>42887</v>
      </c>
      <c r="AH39" s="1328">
        <v>42979</v>
      </c>
      <c r="AI39" s="1328">
        <v>43070</v>
      </c>
      <c r="AJ39" s="1328">
        <v>43160</v>
      </c>
      <c r="AK39" s="1329">
        <v>43252</v>
      </c>
      <c r="AL39" s="1330" t="s">
        <v>3351</v>
      </c>
      <c r="AM39" s="1330" t="s">
        <v>3352</v>
      </c>
      <c r="AN39" s="1329">
        <v>43525</v>
      </c>
      <c r="AO39" s="1329">
        <v>43617</v>
      </c>
      <c r="AP39" s="1329" t="str">
        <f>AP3</f>
        <v>Sep-19</v>
      </c>
      <c r="AQ39" s="1331" t="s">
        <v>887</v>
      </c>
      <c r="AR39" s="1331" t="s">
        <v>502</v>
      </c>
      <c r="AS39" s="1331" t="s">
        <v>177</v>
      </c>
      <c r="AT39" s="1331" t="s">
        <v>144</v>
      </c>
      <c r="AU39" s="1331">
        <v>44166</v>
      </c>
      <c r="AV39" s="1331">
        <v>44256</v>
      </c>
      <c r="AW39" s="1300"/>
      <c r="AX39" s="1306"/>
      <c r="AY39" s="1300"/>
      <c r="AZ39" s="1300"/>
      <c r="BA39" s="1300"/>
      <c r="BB39" s="1300"/>
      <c r="BC39" s="1300"/>
      <c r="BD39" s="1300"/>
      <c r="BE39" s="1300"/>
      <c r="BF39" s="1300"/>
      <c r="BG39" s="1300"/>
      <c r="BH39" s="1300"/>
      <c r="BI39" s="1300"/>
    </row>
    <row r="40" spans="1:61" ht="17.25" x14ac:dyDescent="0.3">
      <c r="A40" s="1332" t="s">
        <v>3381</v>
      </c>
      <c r="B40" s="1333">
        <v>7.9906493935895634E-2</v>
      </c>
      <c r="C40" s="1333">
        <v>0.08</v>
      </c>
      <c r="D40" s="1333">
        <v>7.7560171958379262E-2</v>
      </c>
      <c r="E40" s="1333">
        <v>7.6225904274344988E-2</v>
      </c>
      <c r="F40" s="1333">
        <v>7.3999999999999996E-2</v>
      </c>
      <c r="G40" s="1333">
        <v>7.0965784548610814E-2</v>
      </c>
      <c r="H40" s="1333">
        <v>7.0119202036310641E-2</v>
      </c>
      <c r="I40" s="1333">
        <v>7.2993052800396696E-2</v>
      </c>
      <c r="J40" s="1333">
        <v>7.5409031682435193E-2</v>
      </c>
      <c r="K40" s="1333">
        <v>7.2929576692569859E-2</v>
      </c>
      <c r="L40" s="1333">
        <v>7.2890223933264706E-2</v>
      </c>
      <c r="M40" s="1333">
        <v>7.1999999999999995E-2</v>
      </c>
      <c r="N40" s="1333">
        <v>7.0999999999999994E-2</v>
      </c>
      <c r="O40" s="1333">
        <v>7.8821490254983792E-2</v>
      </c>
      <c r="P40" s="1333">
        <v>7.959578181433738E-2</v>
      </c>
      <c r="Q40" s="1333">
        <v>8.4657485930249854E-2</v>
      </c>
      <c r="R40" s="1333">
        <v>8.6053026682195985E-2</v>
      </c>
      <c r="S40" s="1333">
        <v>8.6999999999999994E-2</v>
      </c>
      <c r="T40" s="1333">
        <v>8.1000000000000003E-2</v>
      </c>
      <c r="U40" s="1333">
        <v>8.7999999999999995E-2</v>
      </c>
      <c r="V40" s="1334">
        <v>9.3177437379245442E-2</v>
      </c>
      <c r="W40" s="1335">
        <v>9.3306665730606149</v>
      </c>
      <c r="X40" s="1335">
        <v>9.2009086776321336</v>
      </c>
      <c r="Y40" s="1335">
        <v>10.299999999999999</v>
      </c>
      <c r="Z40" s="1335">
        <v>10.4</v>
      </c>
      <c r="AA40" s="1335">
        <v>10.519981499742521</v>
      </c>
      <c r="AB40" s="1335">
        <v>10.500357654121462</v>
      </c>
      <c r="AC40" s="1335">
        <v>10.525758840695129</v>
      </c>
      <c r="AD40" s="1335">
        <v>10.553703201314901</v>
      </c>
      <c r="AE40" s="1335">
        <v>10.621188951352165</v>
      </c>
      <c r="AF40" s="1335">
        <v>10.201805120964211</v>
      </c>
      <c r="AG40" s="1335">
        <v>10.4</v>
      </c>
      <c r="AH40" s="1335">
        <v>10</v>
      </c>
      <c r="AI40" s="1335">
        <v>10.100000000000001</v>
      </c>
      <c r="AJ40" s="1335">
        <v>9.9600000000000009</v>
      </c>
      <c r="AK40" s="1335">
        <v>11.58</v>
      </c>
      <c r="AL40" s="1335">
        <v>11.786602748732603</v>
      </c>
      <c r="AM40" s="1335">
        <v>11.479521667759071</v>
      </c>
      <c r="AN40" s="1335">
        <v>11.773806130298089</v>
      </c>
      <c r="AO40" s="1335">
        <v>11.855077862194207</v>
      </c>
      <c r="AP40" s="1335">
        <v>11.756500727490572</v>
      </c>
      <c r="AQ40" s="1335">
        <v>11.26924916887902</v>
      </c>
      <c r="AR40" s="1335">
        <v>11.200733143647019</v>
      </c>
      <c r="AS40" s="1335">
        <v>10.998509013545373</v>
      </c>
      <c r="AT40" s="1335">
        <v>10.616657798512689</v>
      </c>
      <c r="AU40" s="1335">
        <v>10.809213053859001</v>
      </c>
      <c r="AV40" s="1335">
        <v>10.232099584990143</v>
      </c>
      <c r="AW40" s="1300"/>
      <c r="AX40" s="1306"/>
      <c r="AY40" s="1300"/>
      <c r="AZ40" s="1300"/>
      <c r="BA40" s="1300"/>
      <c r="BB40" s="1300"/>
      <c r="BC40" s="1300"/>
      <c r="BD40" s="1300"/>
      <c r="BE40" s="1300"/>
      <c r="BF40" s="1300"/>
      <c r="BG40" s="1300"/>
      <c r="BH40" s="1300"/>
      <c r="BI40" s="1300"/>
    </row>
    <row r="41" spans="1:61" ht="17.25" x14ac:dyDescent="0.3">
      <c r="A41" s="1301" t="s">
        <v>3382</v>
      </c>
      <c r="B41" s="1302">
        <v>1.9627250984953022</v>
      </c>
      <c r="C41" s="1302">
        <v>2.1319255590887591</v>
      </c>
      <c r="D41" s="1302">
        <v>2.1769357461154226</v>
      </c>
      <c r="E41" s="1302">
        <v>2.168539174429887</v>
      </c>
      <c r="F41" s="1302">
        <v>2.0885666569830477</v>
      </c>
      <c r="G41" s="1302">
        <v>1.9385614907555835</v>
      </c>
      <c r="H41" s="1302">
        <v>2.1700196622474026</v>
      </c>
      <c r="I41" s="1302">
        <v>2.2245426981523302</v>
      </c>
      <c r="J41" s="1302">
        <v>1.9744786940643584</v>
      </c>
      <c r="K41" s="1302">
        <v>2.2818638509353271</v>
      </c>
      <c r="L41" s="1302">
        <v>2.5020124605940488</v>
      </c>
      <c r="M41" s="1302">
        <v>2.4700000000000002</v>
      </c>
      <c r="N41" s="1302">
        <v>2.327</v>
      </c>
      <c r="O41" s="1302">
        <v>2.2005123371488451</v>
      </c>
      <c r="P41" s="1302">
        <v>2.1480849342308126</v>
      </c>
      <c r="Q41" s="1302">
        <v>1.8722714306439481</v>
      </c>
      <c r="R41" s="1302">
        <v>1.7170463816925896</v>
      </c>
      <c r="S41" s="1302">
        <v>1.7450000000000001</v>
      </c>
      <c r="T41" s="1302">
        <v>1.869</v>
      </c>
      <c r="U41" s="1302">
        <v>1.9590000000000001</v>
      </c>
      <c r="V41" s="1303">
        <v>1.95502172520468</v>
      </c>
      <c r="W41" s="1304">
        <v>201.92649213219048</v>
      </c>
      <c r="X41" s="1304">
        <v>190.93545728041644</v>
      </c>
      <c r="Y41" s="1304">
        <v>209.60000000000002</v>
      </c>
      <c r="Z41" s="1304">
        <v>190.9</v>
      </c>
      <c r="AA41" s="1304">
        <v>184.26505542569564</v>
      </c>
      <c r="AB41" s="1304">
        <v>190.17114275750822</v>
      </c>
      <c r="AC41" s="1304">
        <v>188.42965770810886</v>
      </c>
      <c r="AD41" s="1304">
        <v>176.47487871145307</v>
      </c>
      <c r="AE41" s="1304">
        <v>159.69999999999999</v>
      </c>
      <c r="AF41" s="1304">
        <v>149.96446659510275</v>
      </c>
      <c r="AG41" s="1304">
        <v>137.79999999999998</v>
      </c>
      <c r="AH41" s="1304">
        <v>157.4</v>
      </c>
      <c r="AI41" s="1305" t="s">
        <v>3383</v>
      </c>
      <c r="AJ41" s="1305" t="s">
        <v>3384</v>
      </c>
      <c r="AK41" s="1305" t="s">
        <v>3385</v>
      </c>
      <c r="AL41" s="1305">
        <v>262.18939224700034</v>
      </c>
      <c r="AM41" s="1305">
        <v>249.37992166303684</v>
      </c>
      <c r="AN41" s="1305">
        <v>232.05528012186375</v>
      </c>
      <c r="AO41" s="1305">
        <v>248.4412477187405</v>
      </c>
      <c r="AP41" s="1305">
        <v>237.94130223524209</v>
      </c>
      <c r="AQ41" s="1305">
        <v>237.30761378430759</v>
      </c>
      <c r="AR41" s="1305">
        <v>244.82381044708453</v>
      </c>
      <c r="AS41" s="1305">
        <v>258.53227861225508</v>
      </c>
      <c r="AT41" s="1305">
        <v>257.68598049025917</v>
      </c>
      <c r="AU41" s="1305">
        <v>242.31270014006415</v>
      </c>
      <c r="AV41" s="1305">
        <v>237.49864541313087</v>
      </c>
      <c r="AW41" s="1300"/>
      <c r="AX41" s="1306"/>
      <c r="AY41" s="1300"/>
      <c r="AZ41" s="1300"/>
      <c r="BA41" s="1300"/>
      <c r="BB41" s="1300"/>
      <c r="BC41" s="1300"/>
      <c r="BD41" s="1300"/>
      <c r="BE41" s="1300"/>
      <c r="BF41" s="1300"/>
      <c r="BG41" s="1300"/>
      <c r="BH41" s="1300"/>
      <c r="BI41" s="1300"/>
    </row>
    <row r="42" spans="1:61" ht="17.25" x14ac:dyDescent="0.3">
      <c r="A42" s="1301" t="s">
        <v>3386</v>
      </c>
      <c r="B42" s="1302">
        <v>1.4290284535231361</v>
      </c>
      <c r="C42" s="1302">
        <v>1.4595003462992404</v>
      </c>
      <c r="D42" s="1302">
        <v>1.3869498927450459</v>
      </c>
      <c r="E42" s="1302">
        <v>1.5309162373238567</v>
      </c>
      <c r="F42" s="1302">
        <v>1.6026195548337676</v>
      </c>
      <c r="G42" s="1302">
        <v>1.530922336492808</v>
      </c>
      <c r="H42" s="1302">
        <v>1.4878856869276673</v>
      </c>
      <c r="I42" s="1302">
        <v>1.4958549175584801</v>
      </c>
      <c r="J42" s="1302">
        <v>1.4026143194487957</v>
      </c>
      <c r="K42" s="1302">
        <v>1.4266298021305628</v>
      </c>
      <c r="L42" s="1302">
        <v>1.3137065928627119</v>
      </c>
      <c r="M42" s="1302">
        <v>1.2490000000000001</v>
      </c>
      <c r="N42" s="1302">
        <v>1.349</v>
      </c>
      <c r="O42" s="1302">
        <v>1.2011290761119884</v>
      </c>
      <c r="P42" s="1302">
        <v>1.240136467155629</v>
      </c>
      <c r="Q42" s="1302">
        <v>1.2865702142777165</v>
      </c>
      <c r="R42" s="1302">
        <v>1.3418788746442913</v>
      </c>
      <c r="S42" s="1302">
        <v>1.3069999999999999</v>
      </c>
      <c r="T42" s="1302">
        <v>1.304</v>
      </c>
      <c r="U42" s="1302">
        <v>1.37</v>
      </c>
      <c r="V42" s="1303">
        <v>1.3152938304312209</v>
      </c>
      <c r="W42" s="1304">
        <v>133.2278965083992</v>
      </c>
      <c r="X42" s="1304">
        <v>141.52665313146429</v>
      </c>
      <c r="Y42" s="1304">
        <v>142.30000000000001</v>
      </c>
      <c r="Z42" s="1304">
        <v>140.30000000000001</v>
      </c>
      <c r="AA42" s="1304">
        <v>146.76415963638695</v>
      </c>
      <c r="AB42" s="1304">
        <v>144.38932082754798</v>
      </c>
      <c r="AC42" s="1304">
        <v>148.18322966266041</v>
      </c>
      <c r="AD42" s="1304">
        <v>150.88832178332578</v>
      </c>
      <c r="AE42" s="1304">
        <v>149.80133515000017</v>
      </c>
      <c r="AF42" s="1304">
        <v>151.50840819950449</v>
      </c>
      <c r="AG42" s="1304">
        <v>155.80000000000001</v>
      </c>
      <c r="AH42" s="1304">
        <v>157.1</v>
      </c>
      <c r="AI42" s="1304">
        <v>153.4</v>
      </c>
      <c r="AJ42" s="1304">
        <v>159.30000000000001</v>
      </c>
      <c r="AK42" s="1304">
        <v>155.19999999999999</v>
      </c>
      <c r="AL42" s="1304">
        <v>148.27899368637875</v>
      </c>
      <c r="AM42" s="1304">
        <v>154.55582027513788</v>
      </c>
      <c r="AN42" s="1304">
        <v>161.20259835440837</v>
      </c>
      <c r="AO42" s="1304">
        <v>159.90049393801627</v>
      </c>
      <c r="AP42" s="1304">
        <v>161.54905638747132</v>
      </c>
      <c r="AQ42" s="1304">
        <v>174.73707687326063</v>
      </c>
      <c r="AR42" s="1304">
        <v>179.3646775726412</v>
      </c>
      <c r="AS42" s="1304">
        <v>182.65396249015745</v>
      </c>
      <c r="AT42" s="1304">
        <v>194.78373728286968</v>
      </c>
      <c r="AU42" s="1304">
        <v>197.42974227474267</v>
      </c>
      <c r="AV42" s="1304">
        <v>212.9695669851194</v>
      </c>
      <c r="AW42" s="1300"/>
      <c r="AX42" s="1306"/>
      <c r="AY42" s="1300"/>
      <c r="AZ42" s="1300"/>
      <c r="BA42" s="1300"/>
      <c r="BB42" s="1300"/>
      <c r="BC42" s="1300"/>
      <c r="BD42" s="1300"/>
      <c r="BE42" s="1300"/>
      <c r="BF42" s="1300"/>
      <c r="BG42" s="1300"/>
      <c r="BH42" s="1300"/>
      <c r="BI42" s="1300"/>
    </row>
    <row r="43" spans="1:61" ht="17.25" x14ac:dyDescent="0.3">
      <c r="A43" s="1301" t="s">
        <v>3387</v>
      </c>
      <c r="B43" s="1302">
        <v>5.7194720647856898E-2</v>
      </c>
      <c r="C43" s="1302">
        <v>6.0366142880787295E-2</v>
      </c>
      <c r="D43" s="1302">
        <v>6.3213859091297758E-2</v>
      </c>
      <c r="E43" s="1302">
        <v>6.8320490728315059E-2</v>
      </c>
      <c r="F43" s="1302">
        <v>7.1463039342846452E-2</v>
      </c>
      <c r="G43" s="1302">
        <v>6.8223465290142282E-2</v>
      </c>
      <c r="H43" s="1302">
        <v>6.9256999467085259E-2</v>
      </c>
      <c r="I43" s="1302">
        <v>6.8474932408058409E-2</v>
      </c>
      <c r="J43" s="1302">
        <v>6.8639495447066337E-2</v>
      </c>
      <c r="K43" s="1302">
        <v>5.8999999999999997E-2</v>
      </c>
      <c r="L43" s="1302">
        <v>5.7000000000000002E-2</v>
      </c>
      <c r="M43" s="1302">
        <v>6.8000000000000005E-2</v>
      </c>
      <c r="N43" s="1302">
        <v>7.1999999999999995E-2</v>
      </c>
      <c r="O43" s="1302">
        <v>7.4257402484487325E-2</v>
      </c>
      <c r="P43" s="1302">
        <v>7.8473382486985904E-2</v>
      </c>
      <c r="Q43" s="1302">
        <v>7.8568928847883177E-2</v>
      </c>
      <c r="R43" s="1302">
        <v>7.1265329485131687E-2</v>
      </c>
      <c r="S43" s="1302">
        <v>7.2999999999999995E-2</v>
      </c>
      <c r="T43" s="1302">
        <v>8.5000000000000006E-2</v>
      </c>
      <c r="U43" s="1302">
        <v>8.6999999999999994E-2</v>
      </c>
      <c r="V43" s="1303">
        <v>6.2E-2</v>
      </c>
      <c r="W43" s="1304">
        <v>6.2</v>
      </c>
      <c r="X43" s="1304">
        <v>6</v>
      </c>
      <c r="Y43" s="1304">
        <v>8.6999999999999993</v>
      </c>
      <c r="Z43" s="1304">
        <v>8.9</v>
      </c>
      <c r="AA43" s="1304">
        <v>9.093315768425132</v>
      </c>
      <c r="AB43" s="1304">
        <v>9.4164576237297162</v>
      </c>
      <c r="AC43" s="1304">
        <v>9.4682716417396211</v>
      </c>
      <c r="AD43" s="1304">
        <v>9.3019144763507011</v>
      </c>
      <c r="AE43" s="1304">
        <v>9.3844928647020556</v>
      </c>
      <c r="AF43" s="1304">
        <v>9.1800000000000015</v>
      </c>
      <c r="AG43" s="1304">
        <v>9.7100000000000009</v>
      </c>
      <c r="AH43" s="1304">
        <v>9.7000000000000011</v>
      </c>
      <c r="AI43" s="1304">
        <v>10.199999999999999</v>
      </c>
      <c r="AJ43" s="1304">
        <v>10.3</v>
      </c>
      <c r="AK43" s="1304">
        <v>10.3</v>
      </c>
      <c r="AL43" s="1304">
        <v>10.256165501073442</v>
      </c>
      <c r="AM43" s="1304">
        <v>10.481515955254658</v>
      </c>
      <c r="AN43" s="1304">
        <v>10.72744175671591</v>
      </c>
      <c r="AO43" s="1304">
        <v>10.959357565834154</v>
      </c>
      <c r="AP43" s="1304">
        <v>11.062157568951598</v>
      </c>
      <c r="AQ43" s="1304">
        <v>10.787403137229123</v>
      </c>
      <c r="AR43" s="1304">
        <v>10.611089318588951</v>
      </c>
      <c r="AS43" s="1304">
        <v>10.589241986559772</v>
      </c>
      <c r="AT43" s="1304">
        <v>11.274688957534654</v>
      </c>
      <c r="AU43" s="1304">
        <v>11.47941169215407</v>
      </c>
      <c r="AV43" s="1304">
        <v>12.546617345236646</v>
      </c>
      <c r="AW43" s="1300"/>
      <c r="AX43" s="1306"/>
      <c r="AY43" s="1300"/>
      <c r="AZ43" s="1300"/>
      <c r="BA43" s="1300"/>
      <c r="BB43" s="1300"/>
      <c r="BC43" s="1300"/>
      <c r="BD43" s="1300"/>
      <c r="BE43" s="1300"/>
      <c r="BF43" s="1300"/>
      <c r="BG43" s="1300"/>
      <c r="BH43" s="1300"/>
      <c r="BI43" s="1300"/>
    </row>
    <row r="44" spans="1:61" s="1311" customFormat="1" ht="17.25" x14ac:dyDescent="0.3">
      <c r="A44" s="1301" t="s">
        <v>3388</v>
      </c>
      <c r="B44" s="1302">
        <v>1.8517519925667948E-2</v>
      </c>
      <c r="C44" s="1302">
        <v>2.0662406859914193E-2</v>
      </c>
      <c r="D44" s="1302">
        <v>2.0824617653534151E-2</v>
      </c>
      <c r="E44" s="1302">
        <v>2.0776781417889457E-2</v>
      </c>
      <c r="F44" s="1302">
        <v>2.0704778494959192E-2</v>
      </c>
      <c r="G44" s="1302">
        <v>3.2000000000000001E-2</v>
      </c>
      <c r="H44" s="1302">
        <v>3.2017096550969314E-2</v>
      </c>
      <c r="I44" s="1302">
        <v>5.5875278857700897E-2</v>
      </c>
      <c r="J44" s="1302">
        <v>6.1879204771409971E-2</v>
      </c>
      <c r="K44" s="1302">
        <v>5.2999999999999999E-2</v>
      </c>
      <c r="L44" s="1302">
        <v>5.1999999999999998E-2</v>
      </c>
      <c r="M44" s="1302">
        <v>6.6000000000000003E-2</v>
      </c>
      <c r="N44" s="1302">
        <v>7.5999999999999998E-2</v>
      </c>
      <c r="O44" s="1302">
        <v>7.1945523792900298E-2</v>
      </c>
      <c r="P44" s="1302">
        <v>7.5223345885320744E-2</v>
      </c>
      <c r="Q44" s="1302">
        <v>7.4421681982130033E-2</v>
      </c>
      <c r="R44" s="1302">
        <v>7.4053880022555321E-2</v>
      </c>
      <c r="S44" s="1302">
        <v>7.0000000000000007E-2</v>
      </c>
      <c r="T44" s="1302">
        <v>6.7000000000000004E-2</v>
      </c>
      <c r="U44" s="1302">
        <v>6.9000000000000006E-2</v>
      </c>
      <c r="V44" s="1303">
        <v>5.0999999999999997E-2</v>
      </c>
      <c r="W44" s="1304">
        <v>5</v>
      </c>
      <c r="X44" s="1304">
        <v>4.9000000000000004</v>
      </c>
      <c r="Y44" s="1304">
        <v>5.6000000000000005</v>
      </c>
      <c r="Z44" s="1304">
        <v>6</v>
      </c>
      <c r="AA44" s="1304">
        <v>5.7940872453689947</v>
      </c>
      <c r="AB44" s="1304">
        <v>5.7953616100292322</v>
      </c>
      <c r="AC44" s="1304">
        <v>5.4992830782663571</v>
      </c>
      <c r="AD44" s="1304">
        <v>5.0896689425874868</v>
      </c>
      <c r="AE44" s="1304">
        <v>4.5778556151022585</v>
      </c>
      <c r="AF44" s="1304">
        <v>4.2799999999999994</v>
      </c>
      <c r="AG44" s="1304">
        <v>4.32</v>
      </c>
      <c r="AH44" s="1304">
        <v>4.2</v>
      </c>
      <c r="AI44" s="1304">
        <v>3.9</v>
      </c>
      <c r="AJ44" s="1304">
        <v>4.0999999999999996</v>
      </c>
      <c r="AK44" s="1304">
        <v>4.4000000000000004</v>
      </c>
      <c r="AL44" s="1304">
        <v>3.9324856897086646</v>
      </c>
      <c r="AM44" s="1304">
        <v>4.5782800655325318</v>
      </c>
      <c r="AN44" s="1304">
        <v>4.2845886524579342</v>
      </c>
      <c r="AO44" s="1304">
        <v>4.1646219112942191</v>
      </c>
      <c r="AP44" s="1304">
        <v>4.7292401016471777</v>
      </c>
      <c r="AQ44" s="1304">
        <v>4.9775185716538557</v>
      </c>
      <c r="AR44" s="1304">
        <v>4.7079171097236365</v>
      </c>
      <c r="AS44" s="1304">
        <v>4.9689057687053744</v>
      </c>
      <c r="AT44" s="1304">
        <v>5.1128421197643634</v>
      </c>
      <c r="AU44" s="1304">
        <v>5.3711581637697705</v>
      </c>
      <c r="AV44" s="1304">
        <v>5.4770060555126312</v>
      </c>
      <c r="AW44" s="1300"/>
      <c r="AX44" s="1306"/>
      <c r="AY44" s="1300"/>
      <c r="AZ44" s="1300"/>
      <c r="BA44" s="1300"/>
      <c r="BB44" s="1300"/>
      <c r="BC44" s="1300"/>
      <c r="BD44" s="1300"/>
      <c r="BE44" s="1300"/>
      <c r="BF44" s="1300"/>
      <c r="BG44" s="1300"/>
      <c r="BH44" s="1300"/>
      <c r="BI44" s="1300"/>
    </row>
    <row r="45" spans="1:61" ht="17.25" x14ac:dyDescent="0.3">
      <c r="A45" s="1301" t="s">
        <v>3389</v>
      </c>
      <c r="B45" s="1302">
        <v>0.12383616636928256</v>
      </c>
      <c r="C45" s="1302">
        <v>0.12551167945399952</v>
      </c>
      <c r="D45" s="1302">
        <v>0.18511174186781373</v>
      </c>
      <c r="E45" s="1302">
        <v>0.111</v>
      </c>
      <c r="F45" s="1302">
        <v>0.14399999999999999</v>
      </c>
      <c r="G45" s="1302">
        <v>0.10852360032635136</v>
      </c>
      <c r="H45" s="1302">
        <v>0.11352801390210875</v>
      </c>
      <c r="I45" s="1302">
        <v>7.7623670420225596E-2</v>
      </c>
      <c r="J45" s="1302">
        <v>2.0635413736239248E-2</v>
      </c>
      <c r="K45" s="1302">
        <v>8.4710226533909874E-2</v>
      </c>
      <c r="L45" s="1302">
        <v>0.11290021258379018</v>
      </c>
      <c r="M45" s="1302">
        <v>0.112</v>
      </c>
      <c r="N45" s="1302">
        <v>0.159</v>
      </c>
      <c r="O45" s="1302">
        <v>9.9520293546976446E-2</v>
      </c>
      <c r="P45" s="1302">
        <v>9.5565647973099258E-2</v>
      </c>
      <c r="Q45" s="1302">
        <v>8.7322655929667883E-2</v>
      </c>
      <c r="R45" s="1302">
        <v>3.1091166790915416E-2</v>
      </c>
      <c r="S45" s="1302">
        <v>5.2999999999999999E-2</v>
      </c>
      <c r="T45" s="1302">
        <v>4.5999999999999999E-2</v>
      </c>
      <c r="U45" s="1302">
        <v>0.14099999999999999</v>
      </c>
      <c r="V45" s="1303">
        <v>8.8126492609848492E-2</v>
      </c>
      <c r="W45" s="1304">
        <v>35.428382092928636</v>
      </c>
      <c r="X45" s="1304">
        <v>13.082563421897442</v>
      </c>
      <c r="Y45" s="1304">
        <v>15</v>
      </c>
      <c r="Z45" s="1304">
        <v>17.7</v>
      </c>
      <c r="AA45" s="1304">
        <v>9.9705636281062517</v>
      </c>
      <c r="AB45" s="1304">
        <v>16.248607296743852</v>
      </c>
      <c r="AC45" s="1304">
        <v>7.8658365326374771</v>
      </c>
      <c r="AD45" s="1304">
        <v>17.921172709626422</v>
      </c>
      <c r="AE45" s="1304">
        <v>9.5</v>
      </c>
      <c r="AF45" s="1304">
        <v>10.335416037667905</v>
      </c>
      <c r="AG45" s="1304">
        <v>8.67</v>
      </c>
      <c r="AH45" s="1304">
        <v>12.3</v>
      </c>
      <c r="AI45" s="1304">
        <v>10.199999999999999</v>
      </c>
      <c r="AJ45" s="1304">
        <v>12.5</v>
      </c>
      <c r="AK45" s="1304">
        <v>8.1999999999999993</v>
      </c>
      <c r="AL45" s="1304">
        <v>11.52956682435153</v>
      </c>
      <c r="AM45" s="1304">
        <v>10.153914066524013</v>
      </c>
      <c r="AN45" s="1304">
        <v>9.1576863490318896</v>
      </c>
      <c r="AO45" s="1304">
        <v>7.7482079379959874</v>
      </c>
      <c r="AP45" s="1304">
        <v>10.325812636437661</v>
      </c>
      <c r="AQ45" s="1304">
        <v>11.714781411352655</v>
      </c>
      <c r="AR45" s="1304">
        <v>13.015051181384976</v>
      </c>
      <c r="AS45" s="1304">
        <v>16.384610062134374</v>
      </c>
      <c r="AT45" s="1304">
        <v>13.311740922442258</v>
      </c>
      <c r="AU45" s="1304">
        <v>10.989464698155068</v>
      </c>
      <c r="AV45" s="1304">
        <v>17.853248658938583</v>
      </c>
      <c r="AW45" s="1300"/>
      <c r="AX45" s="1306"/>
      <c r="AY45" s="1300"/>
      <c r="AZ45" s="1300"/>
      <c r="BA45" s="1300"/>
      <c r="BB45" s="1300"/>
      <c r="BC45" s="1300"/>
      <c r="BD45" s="1300"/>
      <c r="BE45" s="1300"/>
      <c r="BF45" s="1300"/>
      <c r="BG45" s="1300"/>
      <c r="BH45" s="1300"/>
      <c r="BI45" s="1300"/>
    </row>
    <row r="46" spans="1:61" ht="17.25" x14ac:dyDescent="0.3">
      <c r="A46" s="1301" t="s">
        <v>3390</v>
      </c>
      <c r="B46" s="1302">
        <v>0.50952478864520678</v>
      </c>
      <c r="C46" s="1302">
        <v>0.51040969410895709</v>
      </c>
      <c r="D46" s="1302">
        <v>0.51006029551619902</v>
      </c>
      <c r="E46" s="1302">
        <v>0.498</v>
      </c>
      <c r="F46" s="1302">
        <v>0.49399999999999999</v>
      </c>
      <c r="G46" s="1302">
        <v>0.51184873814634058</v>
      </c>
      <c r="H46" s="1302">
        <v>0.50939829811820359</v>
      </c>
      <c r="I46" s="1302">
        <v>0.52770905139815094</v>
      </c>
      <c r="J46" s="1302">
        <v>0.54460659783228837</v>
      </c>
      <c r="K46" s="1302">
        <v>0.54708430130161723</v>
      </c>
      <c r="L46" s="1302">
        <v>0.54526814766153842</v>
      </c>
      <c r="M46" s="1302">
        <v>0.52500000000000002</v>
      </c>
      <c r="N46" s="1302">
        <v>0.53900000000000003</v>
      </c>
      <c r="O46" s="1302">
        <v>0.50522145235047444</v>
      </c>
      <c r="P46" s="1302">
        <v>0.50218348550998548</v>
      </c>
      <c r="Q46" s="1302">
        <v>0.50218322980033603</v>
      </c>
      <c r="R46" s="1302">
        <v>0.49331822794070151</v>
      </c>
      <c r="S46" s="1302">
        <v>0.50900000000000001</v>
      </c>
      <c r="T46" s="1302">
        <v>0.51500000000000001</v>
      </c>
      <c r="U46" s="1302">
        <v>0.51500000000000001</v>
      </c>
      <c r="V46" s="1303">
        <v>0.48905505739826755</v>
      </c>
      <c r="W46" s="1304">
        <v>40.819364129624233</v>
      </c>
      <c r="X46" s="1304">
        <v>47.565109823874202</v>
      </c>
      <c r="Y46" s="1304">
        <v>48.5</v>
      </c>
      <c r="Z46" s="1304">
        <v>48.8</v>
      </c>
      <c r="AA46" s="1304">
        <v>50.481026933098015</v>
      </c>
      <c r="AB46" s="1304">
        <v>50.593172919148898</v>
      </c>
      <c r="AC46" s="1304">
        <v>52.02247117488821</v>
      </c>
      <c r="AD46" s="1304">
        <v>47.701977264315488</v>
      </c>
      <c r="AE46" s="1304">
        <v>47.259718494279355</v>
      </c>
      <c r="AF46" s="1304">
        <v>49.384036965107889</v>
      </c>
      <c r="AG46" s="1304">
        <v>49.5</v>
      </c>
      <c r="AH46" s="1304">
        <v>49.1</v>
      </c>
      <c r="AI46" s="1304">
        <v>49.5</v>
      </c>
      <c r="AJ46" s="1304">
        <v>49.3</v>
      </c>
      <c r="AK46" s="1304">
        <v>49.4</v>
      </c>
      <c r="AL46" s="1304">
        <v>46.183363113622221</v>
      </c>
      <c r="AM46" s="1304">
        <v>49.336789243473426</v>
      </c>
      <c r="AN46" s="1304">
        <v>48.983199308015877</v>
      </c>
      <c r="AO46" s="1304">
        <v>46.836442615690174</v>
      </c>
      <c r="AP46" s="1304">
        <v>46.220946188143472</v>
      </c>
      <c r="AQ46" s="1304">
        <v>45.389198827768432</v>
      </c>
      <c r="AR46" s="1304">
        <v>46.490869922143979</v>
      </c>
      <c r="AS46" s="1304">
        <v>47.972792092614789</v>
      </c>
      <c r="AT46" s="1304">
        <v>45.596775821482254</v>
      </c>
      <c r="AU46" s="1304">
        <v>51.124253049755438</v>
      </c>
      <c r="AV46" s="1304">
        <v>48.740871409593609</v>
      </c>
      <c r="AX46" s="1306"/>
    </row>
    <row r="47" spans="1:61" ht="7.5" customHeight="1" thickBot="1" x14ac:dyDescent="0.35">
      <c r="A47" s="1336"/>
      <c r="B47" s="1337"/>
      <c r="C47" s="1337"/>
      <c r="D47" s="1337"/>
      <c r="E47" s="1337"/>
      <c r="F47" s="1337"/>
      <c r="G47" s="1337"/>
      <c r="H47" s="1337"/>
      <c r="I47" s="1337"/>
      <c r="J47" s="1337"/>
      <c r="K47" s="1337"/>
      <c r="L47" s="1337"/>
      <c r="M47" s="1337"/>
      <c r="N47" s="1337"/>
      <c r="O47" s="1337"/>
      <c r="P47" s="1337"/>
      <c r="Q47" s="1337"/>
      <c r="R47" s="1337"/>
      <c r="S47" s="1337"/>
      <c r="T47" s="1337"/>
      <c r="U47" s="1337"/>
      <c r="V47" s="1338"/>
      <c r="W47" s="1339"/>
      <c r="X47" s="1339"/>
      <c r="Y47" s="1339"/>
      <c r="Z47" s="1339"/>
      <c r="AA47" s="1322"/>
      <c r="AB47" s="1339"/>
      <c r="AC47" s="1339"/>
      <c r="AD47" s="1339"/>
      <c r="AE47" s="1322"/>
      <c r="AF47" s="1322"/>
      <c r="AG47" s="1322"/>
      <c r="AH47" s="1322"/>
      <c r="AI47" s="1322"/>
      <c r="AJ47" s="1322"/>
      <c r="AK47" s="1322"/>
      <c r="AL47" s="1322"/>
      <c r="AM47" s="1322"/>
      <c r="AN47" s="1322"/>
      <c r="AO47" s="1322"/>
      <c r="AP47" s="1322"/>
      <c r="AQ47" s="1322"/>
      <c r="AR47" s="1322"/>
      <c r="AS47" s="1322"/>
      <c r="AT47" s="1322"/>
      <c r="AU47" s="1322"/>
      <c r="AV47" s="1322"/>
    </row>
    <row r="48" spans="1:61" ht="16.5" hidden="1" x14ac:dyDescent="0.3">
      <c r="A48" s="1340"/>
      <c r="B48" s="1341"/>
      <c r="C48" s="1341"/>
      <c r="D48" s="1341"/>
      <c r="E48" s="1341"/>
      <c r="F48" s="1341"/>
      <c r="G48" s="1341"/>
      <c r="H48" s="1341"/>
      <c r="I48" s="1341"/>
      <c r="J48" s="1341"/>
      <c r="K48" s="1341"/>
      <c r="L48" s="1341"/>
      <c r="M48" s="1341"/>
      <c r="N48" s="1341"/>
      <c r="O48" s="1341"/>
      <c r="P48" s="1341"/>
      <c r="Q48" s="1341"/>
      <c r="R48" s="1341"/>
      <c r="S48" s="1341"/>
      <c r="T48" s="1341"/>
      <c r="U48" s="1341"/>
      <c r="V48" s="1342"/>
      <c r="W48" s="1343"/>
      <c r="X48" s="1344"/>
      <c r="Y48" s="1344"/>
      <c r="Z48" s="1344"/>
      <c r="AA48" s="1344"/>
      <c r="AB48" s="1344"/>
      <c r="AC48" s="1345"/>
      <c r="AD48" s="1346"/>
      <c r="AE48" s="1345"/>
      <c r="AF48" s="1345"/>
      <c r="AG48" s="1345"/>
      <c r="AH48" s="1345"/>
      <c r="AI48" s="1347"/>
      <c r="AJ48" s="1347"/>
      <c r="AK48" s="1347"/>
      <c r="AL48" s="1347"/>
      <c r="AM48" s="1347"/>
      <c r="AN48" s="1347"/>
      <c r="AO48" s="1347"/>
      <c r="AP48" s="1347"/>
      <c r="AQ48" s="1347"/>
      <c r="AR48" s="1347"/>
      <c r="AS48" s="1347"/>
      <c r="AT48" s="1347"/>
      <c r="AU48" s="1347"/>
    </row>
    <row r="49" spans="1:47" ht="0.75" customHeight="1" x14ac:dyDescent="0.3">
      <c r="A49" s="1348"/>
      <c r="B49" s="1349"/>
      <c r="C49" s="1349"/>
      <c r="D49" s="1349"/>
      <c r="E49" s="1349"/>
      <c r="F49" s="1349"/>
      <c r="G49" s="1349"/>
      <c r="H49" s="1349"/>
      <c r="I49" s="1349"/>
      <c r="J49" s="1349"/>
      <c r="K49" s="1348"/>
      <c r="L49" s="1348"/>
      <c r="M49" s="1348"/>
      <c r="N49" s="1348"/>
      <c r="O49" s="1348"/>
      <c r="P49" s="1348"/>
      <c r="Q49" s="1348"/>
      <c r="R49" s="1348"/>
      <c r="S49" s="1348"/>
      <c r="T49" s="1348"/>
      <c r="U49" s="1348"/>
      <c r="V49" s="1348"/>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1350"/>
    </row>
    <row r="50" spans="1:47" ht="8.1" hidden="1" customHeight="1" x14ac:dyDescent="0.3">
      <c r="A50" s="1348"/>
      <c r="B50" s="1351"/>
      <c r="C50" s="1351"/>
      <c r="D50" s="1351"/>
      <c r="E50" s="1351"/>
      <c r="F50" s="1351"/>
      <c r="G50" s="1351"/>
      <c r="H50" s="1351"/>
      <c r="I50" s="1351"/>
      <c r="J50" s="1351"/>
      <c r="K50" s="1348"/>
      <c r="L50" s="1352"/>
      <c r="M50" s="1352"/>
      <c r="N50" s="1352"/>
      <c r="O50" s="1353"/>
      <c r="P50" s="1354"/>
      <c r="Q50" s="1348"/>
      <c r="R50" s="1348"/>
      <c r="S50" s="1348"/>
      <c r="T50" s="1348"/>
      <c r="U50" s="1348"/>
      <c r="V50" s="1348"/>
      <c r="W50" s="1350"/>
      <c r="X50" s="1350"/>
      <c r="Y50" s="1350"/>
      <c r="Z50" s="1350"/>
      <c r="AA50" s="1350"/>
      <c r="AB50" s="1350"/>
      <c r="AC50" s="1350"/>
      <c r="AD50" s="1350"/>
      <c r="AE50" s="1350"/>
      <c r="AF50" s="1350"/>
      <c r="AG50" s="1350"/>
      <c r="AH50" s="1350"/>
      <c r="AI50" s="1350"/>
      <c r="AJ50" s="1350"/>
      <c r="AK50" s="1350"/>
      <c r="AL50" s="1350"/>
      <c r="AM50" s="1350"/>
      <c r="AN50" s="1350"/>
      <c r="AO50" s="1350"/>
      <c r="AP50" s="1350"/>
      <c r="AQ50" s="1350"/>
      <c r="AR50" s="1350"/>
      <c r="AS50" s="1350"/>
      <c r="AT50" s="1350"/>
      <c r="AU50" s="1350"/>
    </row>
    <row r="51" spans="1:47" ht="14.25" customHeight="1" x14ac:dyDescent="0.2">
      <c r="A51" s="3745" t="s">
        <v>3391</v>
      </c>
      <c r="B51" s="3745"/>
      <c r="C51" s="3745"/>
      <c r="D51" s="3745"/>
      <c r="E51" s="3745"/>
      <c r="F51" s="3745"/>
      <c r="G51" s="3745"/>
      <c r="H51" s="3745"/>
      <c r="I51" s="3745"/>
      <c r="J51" s="3745"/>
      <c r="K51" s="3745"/>
      <c r="L51" s="3745"/>
      <c r="M51" s="3745"/>
      <c r="N51" s="3745"/>
      <c r="O51" s="3745"/>
      <c r="P51" s="3745"/>
      <c r="Q51" s="3745"/>
      <c r="R51" s="3745"/>
      <c r="S51" s="3745"/>
      <c r="T51" s="3745"/>
      <c r="U51" s="3745"/>
      <c r="V51" s="3745"/>
      <c r="W51" s="3745"/>
      <c r="X51" s="3745"/>
      <c r="Y51" s="3745"/>
      <c r="Z51" s="3745"/>
      <c r="AA51" s="3745"/>
      <c r="AB51" s="3745"/>
      <c r="AC51" s="3745"/>
      <c r="AD51" s="3745"/>
      <c r="AE51" s="3745"/>
      <c r="AF51" s="3745"/>
      <c r="AG51" s="3745"/>
      <c r="AH51" s="3745"/>
      <c r="AI51" s="3745"/>
      <c r="AJ51" s="3745"/>
      <c r="AK51" s="3745"/>
      <c r="AL51" s="3745"/>
      <c r="AM51" s="3745"/>
      <c r="AN51" s="3745"/>
      <c r="AO51" s="3745"/>
      <c r="AP51" s="3745"/>
      <c r="AQ51" s="3745"/>
      <c r="AR51" s="3745"/>
      <c r="AS51" s="3745"/>
      <c r="AT51" s="1294"/>
      <c r="AU51" s="1294"/>
    </row>
    <row r="52" spans="1:47" ht="16.5" x14ac:dyDescent="0.3">
      <c r="A52" s="1355" t="s">
        <v>3392</v>
      </c>
      <c r="B52" s="1355"/>
      <c r="C52" s="1355"/>
      <c r="D52" s="1355"/>
      <c r="E52" s="1355"/>
      <c r="F52" s="1355"/>
      <c r="G52" s="1355"/>
      <c r="H52" s="1355"/>
      <c r="I52" s="1355"/>
      <c r="J52" s="1355"/>
      <c r="K52" s="1355"/>
      <c r="L52" s="1355"/>
      <c r="M52" s="1355"/>
      <c r="N52" s="1355"/>
      <c r="O52" s="1355"/>
      <c r="P52" s="1355"/>
      <c r="Q52" s="1355"/>
      <c r="R52" s="1355"/>
      <c r="S52" s="1355"/>
      <c r="T52" s="1355"/>
      <c r="U52" s="1355"/>
      <c r="V52" s="1355"/>
      <c r="W52" s="1356"/>
      <c r="X52" s="1356"/>
      <c r="Y52" s="1356"/>
      <c r="Z52" s="1356"/>
      <c r="AA52" s="1356"/>
      <c r="AB52" s="1356"/>
      <c r="AC52" s="1356"/>
      <c r="AD52" s="1356"/>
      <c r="AE52" s="1356"/>
      <c r="AF52" s="1356"/>
      <c r="AG52" s="1356"/>
      <c r="AH52" s="1356"/>
      <c r="AI52" s="1356"/>
      <c r="AJ52" s="1356"/>
      <c r="AK52" s="1356"/>
      <c r="AL52" s="1356"/>
      <c r="AM52" s="1356"/>
      <c r="AN52" s="1356"/>
      <c r="AO52" s="1356"/>
      <c r="AP52" s="1356"/>
      <c r="AQ52" s="1356"/>
      <c r="AR52" s="1356"/>
      <c r="AS52" s="1356"/>
      <c r="AT52" s="1356"/>
      <c r="AU52" s="1356"/>
    </row>
    <row r="53" spans="1:47" ht="17.25" customHeight="1" x14ac:dyDescent="0.2">
      <c r="A53" s="3746" t="s">
        <v>3393</v>
      </c>
      <c r="B53" s="3746"/>
      <c r="C53" s="3746"/>
      <c r="D53" s="3746"/>
      <c r="E53" s="3746"/>
      <c r="F53" s="3746"/>
      <c r="G53" s="3746"/>
      <c r="H53" s="3746"/>
      <c r="I53" s="3746"/>
      <c r="J53" s="3746"/>
      <c r="K53" s="3746"/>
      <c r="L53" s="3746"/>
      <c r="M53" s="3746"/>
      <c r="N53" s="3746"/>
      <c r="O53" s="3746"/>
      <c r="P53" s="3746"/>
      <c r="Q53" s="3746"/>
      <c r="R53" s="3746"/>
      <c r="S53" s="3746"/>
      <c r="T53" s="3746"/>
      <c r="U53" s="3746"/>
      <c r="V53" s="3746"/>
      <c r="W53" s="3746"/>
      <c r="X53" s="3746"/>
      <c r="Y53" s="3746"/>
      <c r="Z53" s="3746"/>
      <c r="AA53" s="3746"/>
      <c r="AB53" s="3746"/>
      <c r="AC53" s="3746"/>
      <c r="AD53" s="3746"/>
      <c r="AE53" s="3746"/>
      <c r="AF53" s="3746"/>
      <c r="AG53" s="3746"/>
      <c r="AH53" s="3746"/>
      <c r="AI53" s="3746"/>
      <c r="AJ53" s="3746"/>
      <c r="AK53" s="3746"/>
      <c r="AL53" s="3746"/>
      <c r="AM53" s="3746"/>
      <c r="AN53" s="3746"/>
      <c r="AO53" s="3746"/>
      <c r="AP53" s="3746"/>
      <c r="AQ53" s="3746"/>
      <c r="AR53" s="3746"/>
      <c r="AS53" s="3746"/>
      <c r="AT53" s="3746"/>
      <c r="AU53" s="3746"/>
    </row>
    <row r="54" spans="1:47" ht="17.25" customHeight="1" x14ac:dyDescent="0.2">
      <c r="A54" s="3746" t="s">
        <v>3394</v>
      </c>
      <c r="B54" s="3746"/>
      <c r="C54" s="3746"/>
      <c r="D54" s="3746"/>
      <c r="E54" s="3746"/>
      <c r="F54" s="3746"/>
      <c r="G54" s="3746"/>
      <c r="H54" s="3746"/>
      <c r="I54" s="3746"/>
      <c r="J54" s="3746"/>
      <c r="K54" s="3746"/>
      <c r="L54" s="3746"/>
      <c r="M54" s="3746"/>
      <c r="N54" s="3746"/>
      <c r="O54" s="3746"/>
      <c r="P54" s="3746"/>
      <c r="Q54" s="3746"/>
      <c r="R54" s="3746"/>
      <c r="S54" s="3746"/>
      <c r="T54" s="3746"/>
      <c r="U54" s="3746"/>
      <c r="V54" s="3746"/>
      <c r="W54" s="3746"/>
      <c r="X54" s="3746"/>
      <c r="Y54" s="3746"/>
      <c r="Z54" s="3746"/>
      <c r="AA54" s="3746"/>
      <c r="AB54" s="3746"/>
      <c r="AC54" s="3746"/>
      <c r="AD54" s="3746"/>
      <c r="AE54" s="3746"/>
      <c r="AF54" s="3746"/>
      <c r="AG54" s="3746"/>
      <c r="AH54" s="3746"/>
      <c r="AI54" s="3746"/>
      <c r="AJ54" s="3746"/>
      <c r="AK54" s="3746"/>
      <c r="AL54" s="3746"/>
      <c r="AM54" s="3746"/>
      <c r="AN54" s="3746"/>
      <c r="AO54" s="3746"/>
      <c r="AP54" s="3746"/>
      <c r="AQ54" s="3746"/>
      <c r="AR54" s="3746"/>
      <c r="AS54" s="3746"/>
      <c r="AT54" s="3746"/>
      <c r="AU54" s="3746"/>
    </row>
    <row r="55" spans="1:47" ht="17.25" customHeight="1" x14ac:dyDescent="0.2">
      <c r="A55" s="1357" t="s">
        <v>3395</v>
      </c>
      <c r="B55" s="1357"/>
      <c r="C55" s="1357"/>
      <c r="D55" s="1357"/>
      <c r="E55" s="1357"/>
      <c r="F55" s="1357"/>
      <c r="G55" s="1357"/>
      <c r="H55" s="1357"/>
      <c r="I55" s="1357"/>
      <c r="J55" s="1357"/>
      <c r="K55" s="1357"/>
      <c r="L55" s="1357"/>
      <c r="M55" s="1357"/>
      <c r="N55" s="1357"/>
      <c r="O55" s="1357"/>
      <c r="P55" s="1357"/>
      <c r="Q55" s="1357"/>
      <c r="R55" s="1357"/>
      <c r="S55" s="1357"/>
      <c r="T55" s="1357"/>
      <c r="U55" s="1357"/>
      <c r="V55" s="1357"/>
      <c r="W55" s="1357"/>
      <c r="X55" s="1357"/>
      <c r="Y55" s="1357"/>
      <c r="Z55" s="1357"/>
      <c r="AA55" s="1357"/>
      <c r="AB55" s="1357"/>
      <c r="AC55" s="1357"/>
      <c r="AD55" s="1357"/>
      <c r="AE55" s="1357"/>
      <c r="AF55" s="1357"/>
      <c r="AG55" s="1357"/>
      <c r="AH55" s="1357"/>
      <c r="AI55" s="1357"/>
      <c r="AJ55" s="1357"/>
      <c r="AK55" s="1357"/>
      <c r="AL55" s="1357"/>
      <c r="AM55" s="1357"/>
      <c r="AN55" s="1357"/>
      <c r="AO55" s="1357"/>
      <c r="AP55" s="1357"/>
      <c r="AQ55" s="1357"/>
      <c r="AR55" s="1357"/>
      <c r="AS55" s="1357"/>
      <c r="AT55" s="1357"/>
      <c r="AU55" s="1357"/>
    </row>
    <row r="56" spans="1:47" ht="30" customHeight="1" x14ac:dyDescent="0.2">
      <c r="A56" s="3746" t="s">
        <v>3396</v>
      </c>
      <c r="B56" s="3746"/>
      <c r="C56" s="3746"/>
      <c r="D56" s="3746"/>
      <c r="E56" s="3746"/>
      <c r="F56" s="3746"/>
      <c r="G56" s="3746"/>
      <c r="H56" s="3746"/>
      <c r="I56" s="3746"/>
      <c r="J56" s="3746"/>
      <c r="K56" s="3746"/>
      <c r="L56" s="3746"/>
      <c r="M56" s="3746"/>
      <c r="N56" s="3746"/>
      <c r="O56" s="3746"/>
      <c r="P56" s="3746"/>
      <c r="Q56" s="3746"/>
      <c r="R56" s="3746"/>
      <c r="S56" s="3746"/>
      <c r="T56" s="3746"/>
      <c r="U56" s="3746"/>
      <c r="V56" s="3746"/>
      <c r="W56" s="3746"/>
      <c r="X56" s="3746"/>
      <c r="Y56" s="3746"/>
      <c r="Z56" s="3746"/>
      <c r="AA56" s="3746"/>
      <c r="AB56" s="3746"/>
      <c r="AC56" s="3746"/>
      <c r="AD56" s="3746"/>
      <c r="AE56" s="3746"/>
      <c r="AF56" s="3746"/>
      <c r="AG56" s="3746"/>
      <c r="AH56" s="3746"/>
      <c r="AI56" s="3746"/>
      <c r="AJ56" s="3746"/>
      <c r="AK56" s="3746"/>
      <c r="AL56" s="3746"/>
      <c r="AM56" s="3746"/>
      <c r="AN56" s="3746"/>
      <c r="AO56" s="3746"/>
      <c r="AP56" s="3746"/>
      <c r="AQ56" s="3746"/>
      <c r="AR56" s="3746"/>
      <c r="AS56" s="3746"/>
      <c r="AT56" s="3746"/>
      <c r="AU56" s="3746"/>
    </row>
    <row r="57" spans="1:47" ht="2.25" customHeight="1" x14ac:dyDescent="0.2">
      <c r="A57" s="1357"/>
      <c r="B57" s="1357"/>
      <c r="C57" s="1357"/>
      <c r="D57" s="1357"/>
      <c r="E57" s="1357"/>
      <c r="F57" s="1357"/>
      <c r="G57" s="1357"/>
      <c r="H57" s="1357"/>
      <c r="I57" s="1357"/>
      <c r="J57" s="1357"/>
      <c r="K57" s="1357"/>
      <c r="L57" s="1357"/>
      <c r="M57" s="1357"/>
      <c r="N57" s="1357"/>
      <c r="O57" s="1357"/>
      <c r="P57" s="1357"/>
      <c r="Q57" s="1357"/>
      <c r="R57" s="1357"/>
      <c r="S57" s="1357"/>
      <c r="T57" s="1357"/>
      <c r="U57" s="1357"/>
      <c r="V57" s="1357"/>
      <c r="W57" s="1357"/>
      <c r="X57" s="1357"/>
      <c r="Y57" s="1357"/>
      <c r="Z57" s="1357"/>
      <c r="AA57" s="1357"/>
      <c r="AB57" s="1357"/>
      <c r="AC57" s="1357"/>
      <c r="AD57" s="1357"/>
      <c r="AE57" s="1357"/>
      <c r="AF57" s="1357"/>
      <c r="AG57" s="1357"/>
      <c r="AH57" s="1357"/>
      <c r="AI57" s="1357"/>
      <c r="AJ57" s="1357"/>
      <c r="AK57" s="1357"/>
      <c r="AL57" s="1357"/>
      <c r="AM57" s="1357"/>
      <c r="AN57" s="1357"/>
      <c r="AO57" s="1357"/>
      <c r="AP57" s="1357"/>
      <c r="AQ57" s="1357"/>
      <c r="AR57" s="1357"/>
      <c r="AS57" s="1357"/>
      <c r="AT57" s="1357"/>
      <c r="AU57" s="1357"/>
    </row>
    <row r="58" spans="1:47" s="1287" customFormat="1" ht="15" customHeight="1" x14ac:dyDescent="0.25">
      <c r="A58" s="1358" t="s">
        <v>3397</v>
      </c>
      <c r="B58" s="1359"/>
      <c r="C58" s="1359"/>
      <c r="D58" s="1359"/>
      <c r="E58" s="1359"/>
      <c r="F58" s="1359"/>
      <c r="G58" s="1359"/>
      <c r="H58" s="1359"/>
      <c r="I58" s="1359"/>
      <c r="J58" s="1359"/>
      <c r="K58" s="1358"/>
      <c r="L58" s="1358"/>
      <c r="M58" s="1358"/>
      <c r="N58" s="1358"/>
      <c r="O58" s="1358"/>
      <c r="P58" s="1358"/>
      <c r="Q58" s="1358"/>
      <c r="R58" s="1358"/>
      <c r="S58" s="1358"/>
      <c r="T58" s="1358"/>
      <c r="U58" s="1358"/>
      <c r="V58" s="1358"/>
      <c r="W58" s="1360"/>
      <c r="X58" s="1360"/>
      <c r="Y58" s="1360"/>
      <c r="Z58" s="1360"/>
      <c r="AA58" s="1360"/>
      <c r="AB58" s="1360"/>
      <c r="AC58" s="1360"/>
      <c r="AD58" s="1360"/>
      <c r="AE58" s="1360"/>
      <c r="AF58" s="1360"/>
      <c r="AG58" s="1360"/>
      <c r="AH58" s="1360"/>
      <c r="AI58" s="1360"/>
      <c r="AJ58" s="1360"/>
      <c r="AK58" s="1360"/>
      <c r="AL58" s="1360"/>
      <c r="AM58" s="1360"/>
      <c r="AN58" s="1360"/>
      <c r="AO58" s="1360"/>
      <c r="AP58" s="1360"/>
      <c r="AQ58" s="1360"/>
      <c r="AR58" s="1360"/>
      <c r="AS58" s="1360"/>
      <c r="AT58" s="1360"/>
      <c r="AU58" s="1360"/>
    </row>
    <row r="59" spans="1:47" s="1287" customFormat="1" ht="15" customHeight="1" x14ac:dyDescent="0.25">
      <c r="A59" s="1358" t="s">
        <v>3398</v>
      </c>
      <c r="B59" s="1359"/>
      <c r="C59" s="1359"/>
      <c r="D59" s="1359"/>
      <c r="E59" s="1359"/>
      <c r="F59" s="1359"/>
      <c r="G59" s="1359"/>
      <c r="H59" s="1359"/>
      <c r="I59" s="1359"/>
      <c r="J59" s="1359"/>
      <c r="K59" s="1358"/>
      <c r="L59" s="1358"/>
      <c r="M59" s="1358"/>
      <c r="N59" s="1358"/>
      <c r="O59" s="1358"/>
      <c r="P59" s="1358"/>
      <c r="Q59" s="1358"/>
      <c r="R59" s="1358"/>
      <c r="S59" s="1358"/>
      <c r="T59" s="1358"/>
      <c r="U59" s="1358"/>
      <c r="V59" s="1358"/>
      <c r="W59" s="1360"/>
      <c r="X59" s="1360"/>
      <c r="Y59" s="1360"/>
      <c r="Z59" s="1360"/>
      <c r="AA59" s="1360"/>
      <c r="AB59" s="1360"/>
      <c r="AC59" s="1360"/>
      <c r="AD59" s="1360"/>
      <c r="AE59" s="1360"/>
      <c r="AF59" s="1360"/>
      <c r="AG59" s="1360"/>
      <c r="AH59" s="1360"/>
      <c r="AI59" s="1360"/>
      <c r="AJ59" s="1360"/>
      <c r="AK59" s="1360"/>
      <c r="AL59" s="1360"/>
      <c r="AM59" s="1360"/>
      <c r="AN59" s="1360"/>
      <c r="AO59" s="1360"/>
      <c r="AP59" s="1360"/>
      <c r="AQ59" s="1360"/>
      <c r="AR59" s="1360"/>
      <c r="AS59" s="1360"/>
      <c r="AT59" s="1360"/>
      <c r="AU59" s="1360"/>
    </row>
    <row r="60" spans="1:47" ht="16.5" x14ac:dyDescent="0.3">
      <c r="A60" s="1361"/>
      <c r="B60" s="1362"/>
      <c r="C60" s="1362"/>
      <c r="D60" s="1362"/>
      <c r="E60" s="1362"/>
      <c r="F60" s="1362"/>
      <c r="G60" s="1362"/>
      <c r="H60" s="1362"/>
      <c r="I60" s="1362"/>
      <c r="J60" s="1362"/>
      <c r="K60" s="1361"/>
      <c r="L60" s="1361"/>
      <c r="M60" s="1361"/>
      <c r="N60" s="1361"/>
      <c r="O60" s="1361"/>
      <c r="P60" s="1361"/>
      <c r="Q60" s="1361"/>
      <c r="R60" s="1361"/>
      <c r="S60" s="1361"/>
      <c r="T60" s="1361"/>
      <c r="U60" s="1363"/>
      <c r="V60" s="1363"/>
      <c r="W60" s="1364"/>
      <c r="X60" s="1365"/>
      <c r="Y60" s="1365"/>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row>
    <row r="61" spans="1:47" s="1253" customFormat="1" x14ac:dyDescent="0.25"/>
    <row r="62" spans="1:47" s="1253" customFormat="1" x14ac:dyDescent="0.25"/>
    <row r="63" spans="1:47" ht="16.5" x14ac:dyDescent="0.3">
      <c r="A63" s="1361"/>
      <c r="B63" s="1362"/>
      <c r="C63" s="1362"/>
      <c r="D63" s="1362"/>
      <c r="E63" s="1362"/>
      <c r="F63" s="1362"/>
      <c r="G63" s="1366"/>
      <c r="H63" s="1362"/>
      <c r="I63" s="1362"/>
      <c r="J63" s="1362"/>
      <c r="K63" s="1361"/>
      <c r="L63" s="1361"/>
      <c r="M63" s="1361"/>
      <c r="N63" s="1361"/>
      <c r="O63" s="1361"/>
      <c r="P63" s="1361"/>
      <c r="Q63" s="1361"/>
      <c r="R63" s="1361"/>
      <c r="S63" s="1361"/>
      <c r="T63" s="1361"/>
      <c r="U63" s="1363"/>
      <c r="V63" s="1363"/>
      <c r="W63" s="1364"/>
      <c r="X63" s="1365"/>
      <c r="Y63" s="1365"/>
      <c r="Z63" s="1365"/>
      <c r="AA63" s="1365"/>
      <c r="AB63" s="1365"/>
      <c r="AC63" s="1365"/>
      <c r="AD63" s="1365"/>
      <c r="AE63" s="1365"/>
      <c r="AF63" s="1365"/>
      <c r="AG63" s="1365"/>
      <c r="AH63" s="1365"/>
      <c r="AI63" s="1365"/>
      <c r="AJ63" s="1365"/>
      <c r="AK63" s="1365"/>
      <c r="AL63" s="1365"/>
      <c r="AM63" s="1365"/>
      <c r="AN63" s="1365"/>
      <c r="AO63" s="1365"/>
      <c r="AP63" s="1365"/>
      <c r="AQ63" s="1365"/>
      <c r="AR63" s="1365"/>
      <c r="AS63" s="1365"/>
      <c r="AT63" s="1365"/>
      <c r="AU63" s="1365"/>
    </row>
    <row r="64" spans="1:47" ht="16.5" x14ac:dyDescent="0.3">
      <c r="A64" s="1361"/>
      <c r="B64" s="1362"/>
      <c r="C64" s="1362"/>
      <c r="D64" s="1362"/>
      <c r="E64" s="1362"/>
      <c r="F64" s="1362"/>
      <c r="G64" s="1366"/>
      <c r="H64" s="1362"/>
      <c r="I64" s="1362"/>
      <c r="J64" s="1362"/>
      <c r="K64" s="1361"/>
      <c r="L64" s="1361"/>
      <c r="M64" s="1361"/>
      <c r="N64" s="1361"/>
      <c r="O64" s="1361"/>
      <c r="P64" s="1361"/>
      <c r="Q64" s="1361"/>
      <c r="R64" s="1361"/>
      <c r="S64" s="1361"/>
      <c r="T64" s="1361"/>
      <c r="U64" s="1363"/>
      <c r="V64" s="1363"/>
      <c r="W64" s="1364"/>
      <c r="X64" s="1365"/>
      <c r="Y64" s="1365"/>
      <c r="Z64" s="1365"/>
      <c r="AA64" s="1365"/>
      <c r="AB64" s="1365"/>
      <c r="AC64" s="1365"/>
      <c r="AD64" s="1365"/>
      <c r="AE64" s="1365"/>
      <c r="AF64" s="1365"/>
      <c r="AG64" s="1365"/>
      <c r="AH64" s="1365"/>
      <c r="AI64" s="1365"/>
      <c r="AJ64" s="1365"/>
      <c r="AK64" s="1365"/>
      <c r="AL64" s="1365"/>
      <c r="AM64" s="1365"/>
      <c r="AN64" s="1365"/>
      <c r="AO64" s="1365"/>
      <c r="AP64" s="1365"/>
      <c r="AQ64" s="1365"/>
      <c r="AR64" s="1365"/>
      <c r="AS64" s="1365"/>
      <c r="AT64" s="1365"/>
      <c r="AU64" s="1365"/>
    </row>
    <row r="65" spans="1:47" ht="16.5" x14ac:dyDescent="0.3">
      <c r="A65" s="1361"/>
      <c r="B65" s="1362"/>
      <c r="C65" s="1362"/>
      <c r="D65" s="1362"/>
      <c r="E65" s="1362"/>
      <c r="F65" s="1362"/>
      <c r="G65" s="1366"/>
      <c r="H65" s="1362"/>
      <c r="I65" s="1362"/>
      <c r="J65" s="1362"/>
      <c r="K65" s="1361"/>
      <c r="L65" s="1361"/>
      <c r="M65" s="1361"/>
      <c r="N65" s="1361"/>
      <c r="O65" s="1361"/>
      <c r="P65" s="1361"/>
      <c r="Q65" s="1361"/>
      <c r="R65" s="1361"/>
      <c r="S65" s="1361"/>
      <c r="T65" s="1361"/>
      <c r="U65" s="1363"/>
      <c r="V65" s="1363"/>
      <c r="W65" s="1364"/>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row>
    <row r="66" spans="1:47" ht="16.5" x14ac:dyDescent="0.3">
      <c r="A66" s="1361"/>
      <c r="B66" s="1362"/>
      <c r="C66" s="1362"/>
      <c r="D66" s="1362"/>
      <c r="E66" s="1362"/>
      <c r="F66" s="1362"/>
      <c r="G66" s="1366"/>
      <c r="H66" s="1362"/>
      <c r="I66" s="1362"/>
      <c r="J66" s="1362"/>
      <c r="K66" s="1361"/>
      <c r="L66" s="1361"/>
      <c r="M66" s="1361"/>
      <c r="N66" s="1361"/>
      <c r="O66" s="1361"/>
      <c r="P66" s="1361"/>
      <c r="Q66" s="1361"/>
      <c r="R66" s="1361"/>
      <c r="S66" s="1361"/>
      <c r="T66" s="1361"/>
      <c r="U66" s="1363"/>
      <c r="V66" s="1363"/>
      <c r="W66" s="1364"/>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row>
    <row r="67" spans="1:47" ht="16.5" x14ac:dyDescent="0.3">
      <c r="A67" s="1361"/>
      <c r="B67" s="1362"/>
      <c r="C67" s="1362"/>
      <c r="D67" s="1362"/>
      <c r="E67" s="1362"/>
      <c r="F67" s="1362"/>
      <c r="G67" s="1366"/>
      <c r="H67" s="1362"/>
      <c r="I67" s="1362"/>
      <c r="J67" s="1362"/>
      <c r="K67" s="1361"/>
      <c r="L67" s="1361"/>
      <c r="M67" s="1361"/>
      <c r="N67" s="1361"/>
      <c r="O67" s="1361"/>
      <c r="P67" s="1361"/>
      <c r="Q67" s="1361"/>
      <c r="R67" s="1361"/>
      <c r="S67" s="1361"/>
      <c r="T67" s="1361"/>
      <c r="U67" s="1363"/>
      <c r="V67" s="1363"/>
      <c r="W67" s="1364"/>
      <c r="X67" s="1365"/>
      <c r="Y67" s="1365"/>
      <c r="Z67" s="1365"/>
      <c r="AA67" s="1365"/>
      <c r="AB67" s="1365"/>
      <c r="AC67" s="1365"/>
      <c r="AD67" s="1365"/>
      <c r="AE67" s="1365"/>
      <c r="AF67" s="1365"/>
      <c r="AG67" s="1365"/>
      <c r="AH67" s="1365"/>
      <c r="AI67" s="1365"/>
      <c r="AJ67" s="1365"/>
      <c r="AK67" s="1365"/>
      <c r="AL67" s="1365"/>
      <c r="AM67" s="1365"/>
      <c r="AN67" s="1365"/>
      <c r="AO67" s="1365"/>
      <c r="AP67" s="1365"/>
      <c r="AQ67" s="1365"/>
      <c r="AR67" s="1365"/>
      <c r="AS67" s="1365"/>
      <c r="AT67" s="1365"/>
      <c r="AU67" s="1365"/>
    </row>
    <row r="68" spans="1:47" ht="16.5" x14ac:dyDescent="0.3">
      <c r="A68" s="1361"/>
      <c r="B68" s="1362"/>
      <c r="C68" s="1362"/>
      <c r="D68" s="1362"/>
      <c r="E68" s="1362"/>
      <c r="F68" s="1362"/>
      <c r="G68" s="1366"/>
      <c r="H68" s="1362"/>
      <c r="I68" s="1362"/>
      <c r="J68" s="1362"/>
      <c r="K68" s="1361"/>
      <c r="L68" s="1361"/>
      <c r="M68" s="1361"/>
      <c r="N68" s="1361"/>
      <c r="O68" s="1361"/>
      <c r="P68" s="1361"/>
      <c r="Q68" s="1361"/>
      <c r="R68" s="1361"/>
      <c r="S68" s="1361"/>
      <c r="T68" s="1361"/>
      <c r="U68" s="1363"/>
      <c r="V68" s="1363"/>
      <c r="W68" s="1364"/>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row>
    <row r="69" spans="1:47" ht="16.5" x14ac:dyDescent="0.3">
      <c r="A69" s="1361"/>
      <c r="B69" s="1362"/>
      <c r="C69" s="1362"/>
      <c r="D69" s="1362"/>
      <c r="E69" s="1362"/>
      <c r="F69" s="1362"/>
      <c r="G69" s="1362"/>
      <c r="H69" s="1362"/>
      <c r="I69" s="1362"/>
      <c r="J69" s="1362"/>
      <c r="K69" s="1361"/>
      <c r="L69" s="1361"/>
      <c r="M69" s="1361"/>
      <c r="N69" s="1361"/>
      <c r="O69" s="1361"/>
      <c r="P69" s="1361"/>
      <c r="Q69" s="1361"/>
      <c r="R69" s="1361"/>
      <c r="S69" s="1361"/>
      <c r="T69" s="1361"/>
      <c r="U69" s="1363"/>
      <c r="V69" s="1363"/>
      <c r="W69" s="1364"/>
      <c r="X69" s="1365"/>
      <c r="Y69" s="1365"/>
      <c r="Z69" s="1365"/>
      <c r="AA69" s="1365"/>
      <c r="AB69" s="1365"/>
      <c r="AC69" s="1365"/>
      <c r="AD69" s="1365"/>
      <c r="AE69" s="1365"/>
      <c r="AF69" s="1365"/>
      <c r="AG69" s="1365"/>
      <c r="AH69" s="1365"/>
      <c r="AI69" s="1365"/>
      <c r="AJ69" s="1365"/>
      <c r="AK69" s="1365"/>
      <c r="AL69" s="1365"/>
      <c r="AM69" s="1365"/>
      <c r="AN69" s="1365"/>
      <c r="AO69" s="1365"/>
      <c r="AP69" s="1365"/>
      <c r="AQ69" s="1365"/>
      <c r="AR69" s="1365"/>
      <c r="AS69" s="1365"/>
      <c r="AT69" s="1365"/>
      <c r="AU69" s="1365"/>
    </row>
    <row r="70" spans="1:47" ht="16.5" x14ac:dyDescent="0.3">
      <c r="A70" s="1361"/>
      <c r="B70" s="1362"/>
      <c r="C70" s="1362"/>
      <c r="D70" s="1362"/>
      <c r="E70" s="1362"/>
      <c r="F70" s="1362"/>
      <c r="G70" s="1362"/>
      <c r="H70" s="1362"/>
      <c r="I70" s="1362"/>
      <c r="J70" s="1362"/>
      <c r="K70" s="1361"/>
      <c r="L70" s="1361"/>
      <c r="M70" s="1361"/>
      <c r="N70" s="1361"/>
      <c r="O70" s="1361"/>
      <c r="P70" s="1361"/>
      <c r="Q70" s="1361"/>
      <c r="R70" s="1361"/>
      <c r="S70" s="1361"/>
      <c r="T70" s="1361"/>
      <c r="U70" s="1363"/>
      <c r="V70" s="1363"/>
      <c r="W70" s="1364"/>
      <c r="X70" s="1365"/>
      <c r="Y70" s="1365"/>
      <c r="Z70" s="1365"/>
      <c r="AA70" s="1365"/>
      <c r="AB70" s="1365"/>
      <c r="AC70" s="1365"/>
      <c r="AD70" s="1365"/>
      <c r="AE70" s="1365"/>
      <c r="AF70" s="1365"/>
      <c r="AG70" s="1365"/>
      <c r="AH70" s="1365"/>
      <c r="AI70" s="1365"/>
      <c r="AJ70" s="1365"/>
      <c r="AK70" s="1365"/>
      <c r="AL70" s="1365"/>
      <c r="AM70" s="1365"/>
      <c r="AN70" s="1365"/>
      <c r="AO70" s="1365"/>
      <c r="AP70" s="1365"/>
      <c r="AQ70" s="1365"/>
      <c r="AR70" s="1365"/>
      <c r="AS70" s="1365"/>
      <c r="AT70" s="1365"/>
      <c r="AU70" s="1365"/>
    </row>
    <row r="71" spans="1:47" ht="16.5" x14ac:dyDescent="0.3">
      <c r="A71" s="1361"/>
      <c r="B71" s="1362"/>
      <c r="C71" s="1362"/>
      <c r="D71" s="1362"/>
      <c r="E71" s="1362"/>
      <c r="F71" s="1362"/>
      <c r="G71" s="1362"/>
      <c r="H71" s="1362"/>
      <c r="I71" s="1362"/>
      <c r="J71" s="1362"/>
      <c r="K71" s="1361"/>
      <c r="L71" s="1361"/>
      <c r="M71" s="1361"/>
      <c r="N71" s="1361"/>
      <c r="O71" s="1361"/>
      <c r="P71" s="1361"/>
      <c r="Q71" s="1361"/>
      <c r="R71" s="1361"/>
      <c r="S71" s="1361"/>
      <c r="T71" s="1361"/>
      <c r="U71" s="1363"/>
      <c r="V71" s="1363"/>
      <c r="W71" s="1364"/>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row>
    <row r="72" spans="1:47" ht="16.5" x14ac:dyDescent="0.3">
      <c r="A72" s="1361"/>
      <c r="B72" s="1362"/>
      <c r="C72" s="1362"/>
      <c r="D72" s="1362"/>
      <c r="E72" s="1362"/>
      <c r="F72" s="1362"/>
      <c r="G72" s="1362"/>
      <c r="H72" s="1362"/>
      <c r="I72" s="1362"/>
      <c r="J72" s="1362"/>
      <c r="K72" s="1361"/>
      <c r="L72" s="1361"/>
      <c r="M72" s="1361"/>
      <c r="N72" s="1361"/>
      <c r="O72" s="1361"/>
      <c r="P72" s="1361"/>
      <c r="Q72" s="1361"/>
      <c r="R72" s="1361"/>
      <c r="S72" s="1361"/>
      <c r="T72" s="1361"/>
      <c r="U72" s="1363"/>
      <c r="V72" s="1363"/>
      <c r="W72" s="1364"/>
      <c r="X72" s="1365"/>
      <c r="Y72" s="1365"/>
      <c r="Z72" s="1365"/>
      <c r="AA72" s="1365"/>
      <c r="AB72" s="1365"/>
      <c r="AC72" s="1365"/>
      <c r="AD72" s="1365"/>
      <c r="AE72" s="1365"/>
      <c r="AF72" s="1365"/>
      <c r="AG72" s="1365"/>
      <c r="AH72" s="1365"/>
      <c r="AI72" s="1365"/>
      <c r="AJ72" s="1365"/>
      <c r="AK72" s="1365"/>
      <c r="AL72" s="1365"/>
      <c r="AM72" s="1365"/>
      <c r="AN72" s="1365"/>
      <c r="AO72" s="1365"/>
      <c r="AP72" s="1365"/>
      <c r="AQ72" s="1365"/>
      <c r="AR72" s="1365"/>
      <c r="AS72" s="1365"/>
      <c r="AT72" s="1365"/>
      <c r="AU72" s="1365"/>
    </row>
    <row r="73" spans="1:47" ht="16.5" x14ac:dyDescent="0.3">
      <c r="A73" s="1361"/>
      <c r="B73" s="1362"/>
      <c r="C73" s="1362"/>
      <c r="D73" s="1362"/>
      <c r="E73" s="1362"/>
      <c r="F73" s="1362"/>
      <c r="G73" s="1362"/>
      <c r="H73" s="1362"/>
      <c r="I73" s="1362"/>
      <c r="J73" s="1362"/>
      <c r="K73" s="1361"/>
      <c r="L73" s="1361"/>
      <c r="M73" s="1361"/>
      <c r="N73" s="1361"/>
      <c r="O73" s="1361"/>
      <c r="P73" s="1361"/>
      <c r="Q73" s="1361"/>
      <c r="R73" s="1361"/>
      <c r="S73" s="1361"/>
      <c r="T73" s="1361"/>
      <c r="U73" s="1363"/>
      <c r="V73" s="1363"/>
      <c r="W73" s="1364"/>
      <c r="X73" s="1365"/>
      <c r="Y73" s="1365"/>
      <c r="Z73" s="1365"/>
      <c r="AA73" s="1365"/>
      <c r="AB73" s="1365"/>
      <c r="AC73" s="1365"/>
      <c r="AD73" s="1365"/>
      <c r="AE73" s="1365"/>
      <c r="AF73" s="1365"/>
      <c r="AG73" s="1365"/>
      <c r="AH73" s="1365"/>
      <c r="AI73" s="1365"/>
      <c r="AJ73" s="1365"/>
      <c r="AK73" s="1365"/>
      <c r="AL73" s="1365"/>
      <c r="AM73" s="1365"/>
      <c r="AN73" s="1365"/>
      <c r="AO73" s="1365"/>
      <c r="AP73" s="1365"/>
      <c r="AQ73" s="1365"/>
      <c r="AR73" s="1365"/>
      <c r="AS73" s="1365"/>
      <c r="AT73" s="1365"/>
      <c r="AU73" s="1365"/>
    </row>
    <row r="74" spans="1:47" ht="16.5" x14ac:dyDescent="0.3">
      <c r="A74" s="1361"/>
      <c r="B74" s="1362"/>
      <c r="C74" s="1362"/>
      <c r="D74" s="1362"/>
      <c r="E74" s="1362"/>
      <c r="F74" s="1362"/>
      <c r="G74" s="1362"/>
      <c r="H74" s="1362"/>
      <c r="I74" s="1362"/>
      <c r="J74" s="1362"/>
      <c r="K74" s="1361"/>
      <c r="L74" s="1361"/>
      <c r="M74" s="1361"/>
      <c r="N74" s="1361"/>
      <c r="O74" s="1361"/>
      <c r="P74" s="1361"/>
      <c r="Q74" s="1361"/>
      <c r="R74" s="1361"/>
      <c r="S74" s="1361"/>
      <c r="T74" s="1361"/>
      <c r="U74" s="1363"/>
      <c r="V74" s="1363"/>
      <c r="W74" s="1364"/>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row>
    <row r="75" spans="1:47" ht="16.5" x14ac:dyDescent="0.3">
      <c r="A75" s="1361"/>
      <c r="B75" s="1362"/>
      <c r="C75" s="1362"/>
      <c r="D75" s="1362"/>
      <c r="E75" s="1362"/>
      <c r="F75" s="1362"/>
      <c r="G75" s="1362"/>
      <c r="H75" s="1362"/>
      <c r="I75" s="1362"/>
      <c r="J75" s="1362"/>
      <c r="K75" s="1361"/>
      <c r="L75" s="1361"/>
      <c r="M75" s="1361"/>
      <c r="N75" s="1361"/>
      <c r="O75" s="1361"/>
      <c r="P75" s="1361"/>
      <c r="Q75" s="1361"/>
      <c r="R75" s="1361"/>
      <c r="S75" s="1361"/>
      <c r="T75" s="1361"/>
      <c r="U75" s="1363"/>
      <c r="V75" s="1363"/>
      <c r="W75" s="1364"/>
      <c r="X75" s="1365"/>
      <c r="Y75" s="1365"/>
      <c r="Z75" s="1365"/>
      <c r="AA75" s="1365"/>
      <c r="AB75" s="1365"/>
      <c r="AC75" s="1365"/>
      <c r="AD75" s="1365"/>
      <c r="AE75" s="1365"/>
      <c r="AF75" s="1365"/>
      <c r="AG75" s="1365"/>
      <c r="AH75" s="1365"/>
      <c r="AI75" s="1365"/>
      <c r="AJ75" s="1365"/>
      <c r="AK75" s="1365"/>
      <c r="AL75" s="1365"/>
      <c r="AM75" s="1365"/>
      <c r="AN75" s="1365"/>
      <c r="AO75" s="1365"/>
      <c r="AP75" s="1365"/>
      <c r="AQ75" s="1365"/>
      <c r="AR75" s="1365"/>
      <c r="AS75" s="1365"/>
      <c r="AT75" s="1365"/>
      <c r="AU75" s="1365"/>
    </row>
    <row r="76" spans="1:47" ht="16.5" x14ac:dyDescent="0.3">
      <c r="A76" s="1361"/>
      <c r="B76" s="1362"/>
      <c r="C76" s="1362"/>
      <c r="D76" s="1362"/>
      <c r="E76" s="1362"/>
      <c r="F76" s="1362"/>
      <c r="G76" s="1362"/>
      <c r="H76" s="1362"/>
      <c r="I76" s="1362"/>
      <c r="J76" s="1362"/>
      <c r="K76" s="1361"/>
      <c r="L76" s="1361"/>
      <c r="M76" s="1361"/>
      <c r="N76" s="1361"/>
      <c r="O76" s="1361"/>
      <c r="P76" s="1361"/>
      <c r="Q76" s="1361"/>
      <c r="R76" s="1361"/>
      <c r="S76" s="1361"/>
      <c r="T76" s="1361"/>
      <c r="U76" s="1363"/>
      <c r="V76" s="1363"/>
      <c r="W76" s="1364"/>
      <c r="X76" s="1365"/>
      <c r="Y76" s="1365"/>
      <c r="Z76" s="1365"/>
      <c r="AA76" s="1365"/>
      <c r="AB76" s="1365"/>
      <c r="AC76" s="1365"/>
      <c r="AD76" s="1365"/>
      <c r="AE76" s="1365"/>
      <c r="AF76" s="1365"/>
      <c r="AG76" s="1365"/>
      <c r="AH76" s="1365"/>
      <c r="AI76" s="1365"/>
      <c r="AJ76" s="1365"/>
      <c r="AK76" s="1365"/>
      <c r="AL76" s="1365"/>
      <c r="AM76" s="1365"/>
      <c r="AN76" s="1365"/>
      <c r="AO76" s="1365"/>
      <c r="AP76" s="1365"/>
      <c r="AQ76" s="1365"/>
      <c r="AR76" s="1365"/>
      <c r="AS76" s="1365"/>
      <c r="AT76" s="1365"/>
      <c r="AU76" s="1365"/>
    </row>
    <row r="77" spans="1:47" ht="16.5" x14ac:dyDescent="0.3">
      <c r="A77" s="1361"/>
      <c r="B77" s="1362"/>
      <c r="C77" s="1362"/>
      <c r="D77" s="1362"/>
      <c r="E77" s="1362"/>
      <c r="F77" s="1362"/>
      <c r="G77" s="1362"/>
      <c r="H77" s="1362"/>
      <c r="I77" s="1362"/>
      <c r="J77" s="1362"/>
      <c r="K77" s="1361"/>
      <c r="L77" s="1361"/>
      <c r="M77" s="1361"/>
      <c r="N77" s="1361"/>
      <c r="O77" s="1361"/>
      <c r="P77" s="1361"/>
      <c r="Q77" s="1361"/>
      <c r="R77" s="1361"/>
      <c r="S77" s="1361"/>
      <c r="T77" s="1361"/>
      <c r="U77" s="1363"/>
      <c r="V77" s="1363"/>
      <c r="W77" s="1364"/>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row>
    <row r="78" spans="1:47" ht="16.5" x14ac:dyDescent="0.3">
      <c r="A78" s="1361"/>
      <c r="B78" s="1362"/>
      <c r="C78" s="1362"/>
      <c r="D78" s="1362"/>
      <c r="E78" s="1362"/>
      <c r="F78" s="1362"/>
      <c r="G78" s="1362"/>
      <c r="H78" s="1362"/>
      <c r="I78" s="1362"/>
      <c r="J78" s="1362"/>
      <c r="K78" s="1361"/>
      <c r="L78" s="1361"/>
      <c r="M78" s="1361"/>
      <c r="N78" s="1361"/>
      <c r="O78" s="1361"/>
      <c r="P78" s="1361"/>
      <c r="Q78" s="1361"/>
      <c r="R78" s="1361"/>
      <c r="S78" s="1361"/>
      <c r="T78" s="1361"/>
      <c r="U78" s="1363"/>
      <c r="V78" s="1363"/>
      <c r="W78" s="1364"/>
      <c r="X78" s="1365"/>
      <c r="Y78" s="1365"/>
      <c r="Z78" s="1365"/>
      <c r="AA78" s="1365"/>
      <c r="AB78" s="1365"/>
      <c r="AC78" s="1365"/>
      <c r="AD78" s="1365"/>
      <c r="AE78" s="1365"/>
      <c r="AF78" s="1365"/>
      <c r="AG78" s="1365"/>
      <c r="AH78" s="1365"/>
      <c r="AI78" s="1365"/>
      <c r="AJ78" s="1365"/>
      <c r="AK78" s="1365"/>
      <c r="AL78" s="1365"/>
      <c r="AM78" s="1365"/>
      <c r="AN78" s="1365"/>
      <c r="AO78" s="1365"/>
      <c r="AP78" s="1365"/>
      <c r="AQ78" s="1365"/>
      <c r="AR78" s="1365"/>
      <c r="AS78" s="1365"/>
      <c r="AT78" s="1365"/>
      <c r="AU78" s="1365"/>
    </row>
    <row r="79" spans="1:47" ht="16.5" x14ac:dyDescent="0.3">
      <c r="A79" s="1361"/>
      <c r="B79" s="1362"/>
      <c r="C79" s="1362"/>
      <c r="D79" s="1362"/>
      <c r="E79" s="1362"/>
      <c r="F79" s="1362"/>
      <c r="G79" s="1362"/>
      <c r="H79" s="1362"/>
      <c r="I79" s="1362"/>
      <c r="J79" s="1362"/>
      <c r="K79" s="1361"/>
      <c r="L79" s="1361"/>
      <c r="M79" s="1361"/>
      <c r="N79" s="1361"/>
      <c r="O79" s="1361"/>
      <c r="P79" s="1361"/>
      <c r="Q79" s="1361"/>
      <c r="R79" s="1361"/>
      <c r="S79" s="1361"/>
      <c r="T79" s="1361"/>
      <c r="U79" s="1363"/>
      <c r="V79" s="1363"/>
      <c r="W79" s="1364"/>
      <c r="X79" s="1365"/>
      <c r="Y79" s="1365"/>
      <c r="Z79" s="1365"/>
      <c r="AA79" s="1365"/>
      <c r="AB79" s="1365"/>
      <c r="AC79" s="1365"/>
      <c r="AD79" s="1365"/>
      <c r="AE79" s="1365"/>
      <c r="AF79" s="1365"/>
      <c r="AG79" s="1365"/>
      <c r="AH79" s="1365"/>
      <c r="AI79" s="1365"/>
      <c r="AJ79" s="1365"/>
      <c r="AK79" s="1365"/>
      <c r="AL79" s="1365"/>
      <c r="AM79" s="1365"/>
      <c r="AN79" s="1365"/>
      <c r="AO79" s="1365"/>
      <c r="AP79" s="1365"/>
      <c r="AQ79" s="1365"/>
      <c r="AR79" s="1365"/>
      <c r="AS79" s="1365"/>
      <c r="AT79" s="1365"/>
      <c r="AU79" s="1365"/>
    </row>
    <row r="80" spans="1:47" ht="16.5" x14ac:dyDescent="0.3">
      <c r="A80" s="1361"/>
      <c r="B80" s="1362"/>
      <c r="C80" s="1362"/>
      <c r="D80" s="1362"/>
      <c r="E80" s="1362"/>
      <c r="F80" s="1362"/>
      <c r="G80" s="1362"/>
      <c r="H80" s="1362"/>
      <c r="I80" s="1362"/>
      <c r="J80" s="1362"/>
      <c r="K80" s="1361"/>
      <c r="L80" s="1361"/>
      <c r="M80" s="1361"/>
      <c r="N80" s="1361"/>
      <c r="O80" s="1361"/>
      <c r="P80" s="1361"/>
      <c r="Q80" s="1361"/>
      <c r="R80" s="1361"/>
      <c r="S80" s="1361"/>
      <c r="T80" s="1361"/>
      <c r="U80" s="1363"/>
      <c r="V80" s="1363"/>
      <c r="W80" s="1364"/>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row>
    <row r="81" spans="1:47" ht="16.5" x14ac:dyDescent="0.3">
      <c r="A81" s="1361"/>
      <c r="B81" s="1362"/>
      <c r="C81" s="1362"/>
      <c r="D81" s="1362"/>
      <c r="E81" s="1362"/>
      <c r="F81" s="1362"/>
      <c r="G81" s="1362"/>
      <c r="H81" s="1362"/>
      <c r="I81" s="1362"/>
      <c r="J81" s="1362"/>
      <c r="K81" s="1361"/>
      <c r="L81" s="1361"/>
      <c r="M81" s="1361"/>
      <c r="N81" s="1361"/>
      <c r="O81" s="1361"/>
      <c r="P81" s="1361"/>
      <c r="Q81" s="1361"/>
      <c r="R81" s="1361"/>
      <c r="S81" s="1361"/>
      <c r="T81" s="1361"/>
      <c r="U81" s="1363"/>
      <c r="V81" s="1363"/>
      <c r="W81" s="1364"/>
      <c r="X81" s="1365"/>
      <c r="Y81" s="1365"/>
      <c r="Z81" s="1365"/>
      <c r="AA81" s="1365"/>
      <c r="AB81" s="1365"/>
      <c r="AC81" s="1365"/>
      <c r="AD81" s="1365"/>
      <c r="AE81" s="1365"/>
      <c r="AF81" s="1365"/>
      <c r="AG81" s="1365"/>
      <c r="AH81" s="1365"/>
      <c r="AI81" s="1365"/>
      <c r="AJ81" s="1365"/>
      <c r="AK81" s="1365"/>
      <c r="AL81" s="1365"/>
      <c r="AM81" s="1365"/>
      <c r="AN81" s="1365"/>
      <c r="AO81" s="1365"/>
      <c r="AP81" s="1365"/>
      <c r="AQ81" s="1365"/>
      <c r="AR81" s="1365"/>
      <c r="AS81" s="1365"/>
      <c r="AT81" s="1365"/>
      <c r="AU81" s="1365"/>
    </row>
    <row r="82" spans="1:47" ht="16.5" x14ac:dyDescent="0.3">
      <c r="A82" s="1361"/>
      <c r="B82" s="1362"/>
      <c r="C82" s="1362"/>
      <c r="D82" s="1362"/>
      <c r="E82" s="1362"/>
      <c r="F82" s="1362"/>
      <c r="G82" s="1362"/>
      <c r="H82" s="1362"/>
      <c r="I82" s="1362"/>
      <c r="J82" s="1362"/>
      <c r="K82" s="1361"/>
      <c r="L82" s="1361"/>
      <c r="M82" s="1361"/>
      <c r="N82" s="1361"/>
      <c r="O82" s="1361"/>
      <c r="P82" s="1361"/>
      <c r="Q82" s="1361"/>
      <c r="R82" s="1361"/>
      <c r="S82" s="1361"/>
      <c r="T82" s="1361"/>
      <c r="U82" s="1363"/>
      <c r="V82" s="1363"/>
      <c r="W82" s="1364"/>
      <c r="X82" s="1365"/>
      <c r="Y82" s="1365"/>
      <c r="Z82" s="1365"/>
      <c r="AA82" s="1365"/>
      <c r="AB82" s="1365"/>
      <c r="AC82" s="1365"/>
      <c r="AD82" s="1365"/>
      <c r="AE82" s="1365"/>
      <c r="AF82" s="1365"/>
      <c r="AG82" s="1365"/>
      <c r="AH82" s="1365"/>
      <c r="AI82" s="1365"/>
      <c r="AJ82" s="1365"/>
      <c r="AK82" s="1365"/>
      <c r="AL82" s="1365"/>
      <c r="AM82" s="1365"/>
      <c r="AN82" s="1365"/>
      <c r="AO82" s="1365"/>
      <c r="AP82" s="1365"/>
      <c r="AQ82" s="1365"/>
      <c r="AR82" s="1365"/>
      <c r="AS82" s="1365"/>
      <c r="AT82" s="1365"/>
      <c r="AU82" s="1365"/>
    </row>
    <row r="83" spans="1:47" ht="16.5" x14ac:dyDescent="0.3">
      <c r="A83" s="1361"/>
      <c r="B83" s="1362"/>
      <c r="C83" s="1362"/>
      <c r="D83" s="1362"/>
      <c r="E83" s="1362"/>
      <c r="F83" s="1362"/>
      <c r="G83" s="1362"/>
      <c r="H83" s="1362"/>
      <c r="I83" s="1362"/>
      <c r="J83" s="1362"/>
      <c r="K83" s="1361"/>
      <c r="L83" s="1361"/>
      <c r="M83" s="1361"/>
      <c r="N83" s="1361"/>
      <c r="O83" s="1361"/>
      <c r="P83" s="1361"/>
      <c r="Q83" s="1361"/>
      <c r="R83" s="1361"/>
      <c r="S83" s="1361"/>
      <c r="T83" s="1361"/>
      <c r="U83" s="1363"/>
      <c r="V83" s="1363"/>
      <c r="W83" s="1364"/>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row>
    <row r="84" spans="1:47" ht="16.5" x14ac:dyDescent="0.3">
      <c r="A84" s="1361"/>
      <c r="B84" s="1362"/>
      <c r="C84" s="1362"/>
      <c r="D84" s="1362"/>
      <c r="E84" s="1362"/>
      <c r="F84" s="1362"/>
      <c r="G84" s="1362"/>
      <c r="H84" s="1362"/>
      <c r="I84" s="1362"/>
      <c r="J84" s="1362"/>
      <c r="K84" s="1361"/>
      <c r="L84" s="1361"/>
      <c r="M84" s="1361"/>
      <c r="N84" s="1361"/>
      <c r="O84" s="1361"/>
      <c r="P84" s="1361"/>
      <c r="Q84" s="1361"/>
      <c r="R84" s="1361"/>
      <c r="S84" s="1361"/>
      <c r="T84" s="1361"/>
      <c r="U84" s="1363"/>
      <c r="V84" s="1363"/>
      <c r="W84" s="1364"/>
      <c r="X84" s="1365"/>
      <c r="Y84" s="1365"/>
      <c r="Z84" s="1365"/>
      <c r="AA84" s="1365"/>
      <c r="AB84" s="1365"/>
      <c r="AC84" s="1365"/>
      <c r="AD84" s="1365"/>
      <c r="AE84" s="1365"/>
      <c r="AF84" s="1365"/>
      <c r="AG84" s="1365"/>
      <c r="AH84" s="1365"/>
      <c r="AI84" s="1365"/>
      <c r="AJ84" s="1365"/>
      <c r="AK84" s="1365"/>
      <c r="AL84" s="1365"/>
      <c r="AM84" s="1365"/>
      <c r="AN84" s="1365"/>
      <c r="AO84" s="1365"/>
      <c r="AP84" s="1365"/>
      <c r="AQ84" s="1365"/>
      <c r="AR84" s="1365"/>
      <c r="AS84" s="1365"/>
      <c r="AT84" s="1365"/>
      <c r="AU84" s="1365"/>
    </row>
    <row r="85" spans="1:47" ht="16.5" x14ac:dyDescent="0.3">
      <c r="A85" s="1361"/>
      <c r="B85" s="1362"/>
      <c r="C85" s="1362"/>
      <c r="D85" s="1362"/>
      <c r="E85" s="1362"/>
      <c r="F85" s="1362"/>
      <c r="G85" s="1362"/>
      <c r="H85" s="1362"/>
      <c r="I85" s="1362"/>
      <c r="J85" s="1362"/>
      <c r="K85" s="1361"/>
      <c r="L85" s="1361"/>
      <c r="M85" s="1361"/>
      <c r="N85" s="1361"/>
      <c r="O85" s="1361"/>
      <c r="P85" s="1361"/>
      <c r="Q85" s="1361"/>
      <c r="R85" s="1361"/>
      <c r="S85" s="1361"/>
      <c r="T85" s="1361"/>
      <c r="U85" s="1363"/>
      <c r="V85" s="1363"/>
      <c r="W85" s="1364"/>
      <c r="X85" s="1365"/>
      <c r="Y85" s="1365"/>
      <c r="Z85" s="1365"/>
      <c r="AA85" s="1365"/>
      <c r="AB85" s="1365"/>
      <c r="AC85" s="1365"/>
      <c r="AD85" s="1365"/>
      <c r="AE85" s="1365"/>
      <c r="AF85" s="1365"/>
      <c r="AG85" s="1365"/>
      <c r="AH85" s="1365"/>
      <c r="AI85" s="1365"/>
      <c r="AJ85" s="1365"/>
      <c r="AK85" s="1365"/>
      <c r="AL85" s="1365"/>
      <c r="AM85" s="1365"/>
      <c r="AN85" s="1365"/>
      <c r="AO85" s="1365"/>
      <c r="AP85" s="1365"/>
      <c r="AQ85" s="1365"/>
      <c r="AR85" s="1365"/>
      <c r="AS85" s="1365"/>
      <c r="AT85" s="1365"/>
      <c r="AU85" s="1365"/>
    </row>
    <row r="86" spans="1:47" ht="16.5" x14ac:dyDescent="0.3">
      <c r="A86" s="1361"/>
      <c r="B86" s="1362"/>
      <c r="C86" s="1362"/>
      <c r="D86" s="1362"/>
      <c r="E86" s="1362"/>
      <c r="F86" s="1362"/>
      <c r="G86" s="1362"/>
      <c r="H86" s="1362"/>
      <c r="I86" s="1362"/>
      <c r="J86" s="1362"/>
      <c r="K86" s="1361"/>
      <c r="L86" s="1361"/>
      <c r="M86" s="1361"/>
      <c r="N86" s="1361"/>
      <c r="O86" s="1361"/>
      <c r="P86" s="1361"/>
      <c r="Q86" s="1361"/>
      <c r="R86" s="1361"/>
      <c r="S86" s="1361"/>
      <c r="T86" s="1361"/>
      <c r="U86" s="1363"/>
      <c r="V86" s="1363"/>
      <c r="W86" s="1364"/>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row>
    <row r="87" spans="1:47" ht="16.5" x14ac:dyDescent="0.3">
      <c r="A87" s="1361"/>
      <c r="B87" s="1362"/>
      <c r="C87" s="1362"/>
      <c r="D87" s="1362"/>
      <c r="E87" s="1362"/>
      <c r="F87" s="1362"/>
      <c r="G87" s="1362"/>
      <c r="H87" s="1362"/>
      <c r="I87" s="1362"/>
      <c r="J87" s="1362"/>
      <c r="K87" s="1361"/>
      <c r="L87" s="1361"/>
      <c r="M87" s="1361"/>
      <c r="N87" s="1361"/>
      <c r="O87" s="1361"/>
      <c r="P87" s="1361"/>
      <c r="Q87" s="1361"/>
      <c r="R87" s="1361"/>
      <c r="S87" s="1361"/>
      <c r="T87" s="1361"/>
      <c r="U87" s="1363"/>
      <c r="V87" s="1363"/>
      <c r="W87" s="1364"/>
      <c r="X87" s="1365"/>
      <c r="Y87" s="1365"/>
      <c r="Z87" s="1365"/>
      <c r="AA87" s="1365"/>
      <c r="AB87" s="1365"/>
      <c r="AC87" s="1365"/>
      <c r="AD87" s="1365"/>
      <c r="AE87" s="1365"/>
      <c r="AF87" s="1365"/>
      <c r="AG87" s="1365"/>
      <c r="AH87" s="1365"/>
      <c r="AI87" s="1365"/>
      <c r="AJ87" s="1365"/>
      <c r="AK87" s="1365"/>
      <c r="AL87" s="1365"/>
      <c r="AM87" s="1365"/>
      <c r="AN87" s="1365"/>
      <c r="AO87" s="1365"/>
      <c r="AP87" s="1365"/>
      <c r="AQ87" s="1365"/>
      <c r="AR87" s="1365"/>
      <c r="AS87" s="1365"/>
      <c r="AT87" s="1365"/>
      <c r="AU87" s="1365"/>
    </row>
    <row r="88" spans="1:47" ht="16.5" x14ac:dyDescent="0.3">
      <c r="A88" s="1361"/>
      <c r="B88" s="1362"/>
      <c r="C88" s="1362"/>
      <c r="D88" s="1362"/>
      <c r="E88" s="1362"/>
      <c r="F88" s="1362"/>
      <c r="G88" s="1362"/>
      <c r="H88" s="1362"/>
      <c r="I88" s="1362"/>
      <c r="J88" s="1362"/>
      <c r="K88" s="1361"/>
      <c r="L88" s="1361"/>
      <c r="M88" s="1361"/>
      <c r="N88" s="1361"/>
      <c r="O88" s="1361"/>
      <c r="P88" s="1361"/>
      <c r="Q88" s="1361"/>
      <c r="R88" s="1361"/>
      <c r="S88" s="1361"/>
      <c r="T88" s="1361"/>
      <c r="U88" s="1363"/>
      <c r="V88" s="1363"/>
      <c r="W88" s="1364"/>
      <c r="X88" s="1365"/>
      <c r="Y88" s="1365"/>
      <c r="Z88" s="1365"/>
      <c r="AA88" s="1365"/>
      <c r="AB88" s="1365"/>
      <c r="AC88" s="1365"/>
      <c r="AD88" s="1365"/>
      <c r="AE88" s="1365"/>
      <c r="AF88" s="1365"/>
      <c r="AG88" s="1365"/>
      <c r="AH88" s="1365"/>
      <c r="AI88" s="1365"/>
      <c r="AJ88" s="1365"/>
      <c r="AK88" s="1365"/>
      <c r="AL88" s="1365"/>
      <c r="AM88" s="1365"/>
      <c r="AN88" s="1365"/>
      <c r="AO88" s="1365"/>
      <c r="AP88" s="1365"/>
      <c r="AQ88" s="1365"/>
      <c r="AR88" s="1365"/>
      <c r="AS88" s="1365"/>
      <c r="AT88" s="1365"/>
      <c r="AU88" s="1365"/>
    </row>
    <row r="89" spans="1:47" ht="16.5" x14ac:dyDescent="0.3">
      <c r="A89" s="1361"/>
      <c r="B89" s="1362"/>
      <c r="C89" s="1362"/>
      <c r="D89" s="1362"/>
      <c r="E89" s="1362"/>
      <c r="F89" s="1362"/>
      <c r="G89" s="1362"/>
      <c r="H89" s="1362"/>
      <c r="I89" s="1362"/>
      <c r="J89" s="1362"/>
      <c r="K89" s="1361"/>
      <c r="L89" s="1361"/>
      <c r="M89" s="1361"/>
      <c r="N89" s="1361"/>
      <c r="O89" s="1361"/>
      <c r="P89" s="1361"/>
      <c r="Q89" s="1361"/>
      <c r="R89" s="1361"/>
      <c r="S89" s="1361"/>
      <c r="T89" s="1361"/>
      <c r="U89" s="1363"/>
      <c r="V89" s="1363"/>
      <c r="W89" s="1364"/>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row>
    <row r="90" spans="1:47" ht="16.5" x14ac:dyDescent="0.3">
      <c r="A90" s="1361"/>
      <c r="B90" s="1362"/>
      <c r="C90" s="1362"/>
      <c r="D90" s="1362"/>
      <c r="E90" s="1362"/>
      <c r="F90" s="1362"/>
      <c r="G90" s="1362"/>
      <c r="H90" s="1362"/>
      <c r="I90" s="1362"/>
      <c r="J90" s="1362"/>
      <c r="K90" s="1361"/>
      <c r="L90" s="1361"/>
      <c r="M90" s="1361"/>
      <c r="N90" s="1361"/>
      <c r="O90" s="1361"/>
      <c r="P90" s="1361"/>
      <c r="Q90" s="1361"/>
      <c r="R90" s="1361"/>
      <c r="S90" s="1361"/>
      <c r="T90" s="1361"/>
      <c r="U90" s="1363"/>
      <c r="V90" s="1363"/>
      <c r="W90" s="1364"/>
      <c r="X90" s="1365"/>
      <c r="Y90" s="1365"/>
      <c r="Z90" s="1365"/>
      <c r="AA90" s="1365"/>
      <c r="AB90" s="1365"/>
      <c r="AC90" s="1365"/>
      <c r="AD90" s="1365"/>
      <c r="AE90" s="1365"/>
      <c r="AF90" s="1365"/>
      <c r="AG90" s="1365"/>
      <c r="AH90" s="1365"/>
      <c r="AI90" s="1365"/>
      <c r="AJ90" s="1365"/>
      <c r="AK90" s="1365"/>
      <c r="AL90" s="1365"/>
      <c r="AM90" s="1365"/>
      <c r="AN90" s="1365"/>
      <c r="AO90" s="1365"/>
      <c r="AP90" s="1365"/>
      <c r="AQ90" s="1365"/>
      <c r="AR90" s="1365"/>
      <c r="AS90" s="1365"/>
      <c r="AT90" s="1365"/>
      <c r="AU90" s="1365"/>
    </row>
    <row r="91" spans="1:47" ht="16.5" x14ac:dyDescent="0.3">
      <c r="A91" s="1361"/>
      <c r="B91" s="1362"/>
      <c r="C91" s="1362"/>
      <c r="D91" s="1362"/>
      <c r="E91" s="1362"/>
      <c r="F91" s="1362"/>
      <c r="G91" s="1362"/>
      <c r="H91" s="1362"/>
      <c r="I91" s="1362"/>
      <c r="J91" s="1362"/>
      <c r="K91" s="1361"/>
      <c r="L91" s="1361"/>
      <c r="M91" s="1361"/>
      <c r="N91" s="1361"/>
      <c r="O91" s="1361"/>
      <c r="P91" s="1361"/>
      <c r="Q91" s="1361"/>
      <c r="R91" s="1361"/>
      <c r="S91" s="1361"/>
      <c r="T91" s="1361"/>
      <c r="U91" s="1363"/>
      <c r="V91" s="1363"/>
      <c r="W91" s="1364"/>
      <c r="X91" s="1365"/>
      <c r="Y91" s="1365"/>
      <c r="Z91" s="1365"/>
      <c r="AA91" s="1365"/>
      <c r="AB91" s="1365"/>
      <c r="AC91" s="1365"/>
      <c r="AD91" s="1365"/>
      <c r="AE91" s="1365"/>
      <c r="AF91" s="1365"/>
      <c r="AG91" s="1365"/>
      <c r="AH91" s="1365"/>
      <c r="AI91" s="1365"/>
      <c r="AJ91" s="1365"/>
      <c r="AK91" s="1365"/>
      <c r="AL91" s="1365"/>
      <c r="AM91" s="1365"/>
      <c r="AN91" s="1365"/>
      <c r="AO91" s="1365"/>
      <c r="AP91" s="1365"/>
      <c r="AQ91" s="1365"/>
      <c r="AR91" s="1365"/>
      <c r="AS91" s="1365"/>
      <c r="AT91" s="1365"/>
      <c r="AU91" s="1365"/>
    </row>
    <row r="92" spans="1:47" ht="16.5" x14ac:dyDescent="0.3">
      <c r="A92" s="1361"/>
      <c r="B92" s="1362"/>
      <c r="C92" s="1362"/>
      <c r="D92" s="1362"/>
      <c r="E92" s="1362"/>
      <c r="F92" s="1362"/>
      <c r="G92" s="1362"/>
      <c r="H92" s="1362"/>
      <c r="I92" s="1362"/>
      <c r="J92" s="1362"/>
      <c r="K92" s="1361"/>
      <c r="L92" s="1361"/>
      <c r="M92" s="1361"/>
      <c r="N92" s="1361"/>
      <c r="O92" s="1361"/>
      <c r="P92" s="1361"/>
      <c r="Q92" s="1361"/>
      <c r="R92" s="1361"/>
      <c r="S92" s="1361"/>
      <c r="T92" s="1361"/>
      <c r="U92" s="1363"/>
      <c r="V92" s="1363"/>
      <c r="W92" s="1364"/>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row>
    <row r="93" spans="1:47" ht="16.5" x14ac:dyDescent="0.3">
      <c r="A93" s="1361"/>
      <c r="B93" s="1362"/>
      <c r="C93" s="1362"/>
      <c r="D93" s="1362"/>
      <c r="E93" s="1362"/>
      <c r="F93" s="1362"/>
      <c r="G93" s="1362"/>
      <c r="H93" s="1362"/>
      <c r="I93" s="1362"/>
      <c r="J93" s="1362"/>
      <c r="K93" s="1361"/>
      <c r="L93" s="1361"/>
      <c r="M93" s="1361"/>
      <c r="N93" s="1361"/>
      <c r="O93" s="1361"/>
      <c r="P93" s="1361"/>
      <c r="Q93" s="1361"/>
      <c r="R93" s="1361"/>
      <c r="S93" s="1361"/>
      <c r="T93" s="1361"/>
      <c r="U93" s="1363"/>
      <c r="V93" s="1363"/>
      <c r="W93" s="1364"/>
      <c r="X93" s="1365"/>
      <c r="Y93" s="1365"/>
      <c r="Z93" s="1365"/>
      <c r="AA93" s="1365"/>
      <c r="AB93" s="1365"/>
      <c r="AC93" s="1365"/>
      <c r="AD93" s="1365"/>
      <c r="AE93" s="1365"/>
      <c r="AF93" s="1365"/>
      <c r="AG93" s="1365"/>
      <c r="AH93" s="1365"/>
      <c r="AI93" s="1365"/>
      <c r="AJ93" s="1365"/>
      <c r="AK93" s="1365"/>
      <c r="AL93" s="1365"/>
      <c r="AM93" s="1365"/>
      <c r="AN93" s="1365"/>
      <c r="AO93" s="1365"/>
      <c r="AP93" s="1365"/>
      <c r="AQ93" s="1365"/>
      <c r="AR93" s="1365"/>
      <c r="AS93" s="1365"/>
      <c r="AT93" s="1365"/>
      <c r="AU93" s="1365"/>
    </row>
    <row r="94" spans="1:47" ht="16.5" x14ac:dyDescent="0.3">
      <c r="A94" s="1361"/>
      <c r="B94" s="1362"/>
      <c r="C94" s="1362"/>
      <c r="D94" s="1362"/>
      <c r="E94" s="1362"/>
      <c r="F94" s="1362"/>
      <c r="G94" s="1362"/>
      <c r="H94" s="1362"/>
      <c r="I94" s="1362"/>
      <c r="J94" s="1362"/>
      <c r="K94" s="1361"/>
      <c r="L94" s="1361"/>
      <c r="M94" s="1361"/>
      <c r="N94" s="1361"/>
      <c r="O94" s="1361"/>
      <c r="P94" s="1361"/>
      <c r="Q94" s="1361"/>
      <c r="R94" s="1361"/>
      <c r="S94" s="1361"/>
      <c r="T94" s="1361"/>
      <c r="U94" s="1363"/>
      <c r="V94" s="1363"/>
      <c r="W94" s="1364"/>
      <c r="X94" s="1365"/>
      <c r="Y94" s="1365"/>
      <c r="Z94" s="1365"/>
      <c r="AA94" s="1365"/>
      <c r="AB94" s="1365"/>
      <c r="AC94" s="1365"/>
      <c r="AD94" s="1365"/>
      <c r="AE94" s="1365"/>
      <c r="AF94" s="1365"/>
      <c r="AG94" s="1365"/>
      <c r="AH94" s="1365"/>
      <c r="AI94" s="1365"/>
      <c r="AJ94" s="1365"/>
      <c r="AK94" s="1365"/>
      <c r="AL94" s="1365"/>
      <c r="AM94" s="1365"/>
      <c r="AN94" s="1365"/>
      <c r="AO94" s="1365"/>
      <c r="AP94" s="1365"/>
      <c r="AQ94" s="1365"/>
      <c r="AR94" s="1365"/>
      <c r="AS94" s="1365"/>
      <c r="AT94" s="1365"/>
      <c r="AU94" s="1365"/>
    </row>
    <row r="95" spans="1:47" ht="16.5" x14ac:dyDescent="0.3">
      <c r="A95" s="1361"/>
      <c r="B95" s="1362"/>
      <c r="C95" s="1362"/>
      <c r="D95" s="1362"/>
      <c r="E95" s="1362"/>
      <c r="F95" s="1362"/>
      <c r="G95" s="1362"/>
      <c r="H95" s="1362"/>
      <c r="I95" s="1362"/>
      <c r="J95" s="1362"/>
      <c r="K95" s="1361"/>
      <c r="L95" s="1361"/>
      <c r="M95" s="1361"/>
      <c r="N95" s="1361"/>
      <c r="O95" s="1361"/>
      <c r="P95" s="1361"/>
      <c r="Q95" s="1361"/>
      <c r="R95" s="1361"/>
      <c r="S95" s="1361"/>
      <c r="T95" s="1361"/>
      <c r="U95" s="1363"/>
      <c r="V95" s="1363"/>
      <c r="W95" s="1364"/>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row>
    <row r="96" spans="1:47" x14ac:dyDescent="0.2">
      <c r="B96" s="1368"/>
      <c r="C96" s="1368"/>
      <c r="D96" s="1368"/>
      <c r="E96" s="1368"/>
      <c r="F96" s="1368"/>
      <c r="G96" s="1368"/>
      <c r="H96" s="1368"/>
      <c r="I96" s="1368"/>
      <c r="J96" s="1368"/>
    </row>
    <row r="97" spans="2:10" x14ac:dyDescent="0.2">
      <c r="B97" s="1368"/>
      <c r="C97" s="1368"/>
      <c r="D97" s="1368"/>
      <c r="E97" s="1368"/>
      <c r="F97" s="1368"/>
      <c r="G97" s="1368"/>
      <c r="H97" s="1368"/>
      <c r="I97" s="1368"/>
      <c r="J97" s="1368"/>
    </row>
    <row r="98" spans="2:10" x14ac:dyDescent="0.2">
      <c r="B98" s="1368"/>
      <c r="C98" s="1368"/>
      <c r="D98" s="1368"/>
      <c r="E98" s="1368"/>
      <c r="F98" s="1368"/>
      <c r="G98" s="1368"/>
      <c r="H98" s="1368"/>
      <c r="I98" s="1368"/>
      <c r="J98" s="1368"/>
    </row>
    <row r="99" spans="2:10" x14ac:dyDescent="0.2">
      <c r="B99" s="1368"/>
      <c r="C99" s="1368"/>
      <c r="D99" s="1368"/>
      <c r="E99" s="1368"/>
      <c r="F99" s="1368"/>
      <c r="G99" s="1368"/>
      <c r="H99" s="1368"/>
      <c r="I99" s="1368"/>
      <c r="J99" s="1368"/>
    </row>
    <row r="100" spans="2:10" x14ac:dyDescent="0.2">
      <c r="B100" s="1368"/>
      <c r="C100" s="1368"/>
      <c r="D100" s="1368"/>
      <c r="E100" s="1368"/>
      <c r="F100" s="1368"/>
      <c r="G100" s="1368"/>
      <c r="H100" s="1368"/>
      <c r="I100" s="1368"/>
      <c r="J100" s="1368"/>
    </row>
    <row r="101" spans="2:10" x14ac:dyDescent="0.2">
      <c r="B101" s="1368"/>
      <c r="C101" s="1368"/>
      <c r="D101" s="1368"/>
      <c r="E101" s="1368"/>
      <c r="F101" s="1368"/>
      <c r="G101" s="1368"/>
      <c r="H101" s="1368"/>
      <c r="I101" s="1368"/>
      <c r="J101" s="1368"/>
    </row>
    <row r="102" spans="2:10" x14ac:dyDescent="0.2">
      <c r="B102" s="1368"/>
      <c r="C102" s="1368"/>
      <c r="D102" s="1368"/>
      <c r="E102" s="1368"/>
      <c r="F102" s="1368"/>
      <c r="G102" s="1368"/>
      <c r="H102" s="1368"/>
      <c r="I102" s="1368"/>
      <c r="J102" s="1368"/>
    </row>
    <row r="103" spans="2:10" x14ac:dyDescent="0.2">
      <c r="B103" s="1368"/>
      <c r="C103" s="1368"/>
      <c r="D103" s="1368"/>
      <c r="E103" s="1368"/>
      <c r="F103" s="1368"/>
      <c r="G103" s="1368"/>
      <c r="H103" s="1368"/>
      <c r="I103" s="1368"/>
      <c r="J103" s="1368"/>
    </row>
    <row r="104" spans="2:10" x14ac:dyDescent="0.2">
      <c r="B104" s="1368"/>
      <c r="C104" s="1368"/>
      <c r="D104" s="1368"/>
      <c r="E104" s="1368"/>
      <c r="F104" s="1368"/>
      <c r="G104" s="1368"/>
      <c r="H104" s="1368"/>
      <c r="I104" s="1368"/>
      <c r="J104" s="1368"/>
    </row>
    <row r="105" spans="2:10" x14ac:dyDescent="0.2">
      <c r="B105" s="1368"/>
      <c r="C105" s="1368"/>
      <c r="D105" s="1368"/>
      <c r="E105" s="1368"/>
      <c r="F105" s="1368"/>
      <c r="G105" s="1368"/>
      <c r="H105" s="1368"/>
      <c r="I105" s="1368"/>
      <c r="J105" s="1368"/>
    </row>
    <row r="106" spans="2:10" x14ac:dyDescent="0.2">
      <c r="B106" s="1368"/>
      <c r="C106" s="1368"/>
      <c r="D106" s="1368"/>
      <c r="E106" s="1368"/>
      <c r="F106" s="1368"/>
      <c r="G106" s="1368"/>
      <c r="H106" s="1368"/>
      <c r="I106" s="1368"/>
      <c r="J106" s="1368"/>
    </row>
    <row r="107" spans="2:10" x14ac:dyDescent="0.2">
      <c r="B107" s="1368"/>
      <c r="C107" s="1368"/>
      <c r="D107" s="1368"/>
      <c r="E107" s="1368"/>
      <c r="F107" s="1368"/>
      <c r="G107" s="1368"/>
      <c r="H107" s="1368"/>
      <c r="I107" s="1368"/>
      <c r="J107" s="1368"/>
    </row>
    <row r="108" spans="2:10" x14ac:dyDescent="0.2">
      <c r="B108" s="1368"/>
      <c r="C108" s="1368"/>
      <c r="D108" s="1368"/>
      <c r="E108" s="1368"/>
      <c r="F108" s="1368"/>
      <c r="G108" s="1368"/>
      <c r="H108" s="1368"/>
      <c r="I108" s="1368"/>
      <c r="J108" s="1368"/>
    </row>
    <row r="109" spans="2:10" x14ac:dyDescent="0.2">
      <c r="B109" s="1368"/>
      <c r="C109" s="1368"/>
      <c r="D109" s="1368"/>
      <c r="E109" s="1368"/>
      <c r="F109" s="1368"/>
      <c r="G109" s="1368"/>
      <c r="H109" s="1368"/>
      <c r="I109" s="1368"/>
      <c r="J109" s="1368"/>
    </row>
  </sheetData>
  <mergeCells count="33">
    <mergeCell ref="A56:AU56"/>
    <mergeCell ref="AP3:AP4"/>
    <mergeCell ref="AQ3:AQ4"/>
    <mergeCell ref="AR3:AR4"/>
    <mergeCell ref="AS3:AS4"/>
    <mergeCell ref="AT3:AT4"/>
    <mergeCell ref="AU3:AU4"/>
    <mergeCell ref="AJ3:AJ4"/>
    <mergeCell ref="AK3:AK4"/>
    <mergeCell ref="AL3:AL4"/>
    <mergeCell ref="AM3:AM4"/>
    <mergeCell ref="AN3:AN4"/>
    <mergeCell ref="AI3:AI4"/>
    <mergeCell ref="AE3:AE4"/>
    <mergeCell ref="AV3:AV4"/>
    <mergeCell ref="A51:AS51"/>
    <mergeCell ref="A53:AU53"/>
    <mergeCell ref="A54:AU54"/>
    <mergeCell ref="AG3:AG4"/>
    <mergeCell ref="AH3:AH4"/>
    <mergeCell ref="A1:AR1"/>
    <mergeCell ref="A3:A4"/>
    <mergeCell ref="V3:V4"/>
    <mergeCell ref="W3:W4"/>
    <mergeCell ref="X3:X4"/>
    <mergeCell ref="Y3:Y4"/>
    <mergeCell ref="Z3:Z4"/>
    <mergeCell ref="AA3:AA4"/>
    <mergeCell ref="AB3:AB4"/>
    <mergeCell ref="AC3:AC4"/>
    <mergeCell ref="AO3:AO4"/>
    <mergeCell ref="AD3:AD4"/>
    <mergeCell ref="AF3:AF4"/>
  </mergeCells>
  <pageMargins left="0.7" right="0.7" top="0.75" bottom="0.75" header="0.3" footer="0.3"/>
  <pageSetup paperSize="9" scale="64" fitToWidth="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C1575"/>
  <sheetViews>
    <sheetView showGridLines="0" zoomScaleNormal="100" zoomScaleSheetLayoutView="100" workbookViewId="0">
      <pane xSplit="1" ySplit="147" topLeftCell="B148" activePane="bottomRight" state="frozen"/>
      <selection activeCell="I35" sqref="I35"/>
      <selection pane="topRight" activeCell="I35" sqref="I35"/>
      <selection pane="bottomLeft" activeCell="I35" sqref="I35"/>
      <selection pane="bottomRight" activeCell="A167" sqref="A167"/>
    </sheetView>
  </sheetViews>
  <sheetFormatPr defaultRowHeight="16.5" x14ac:dyDescent="0.25"/>
  <cols>
    <col min="1" max="1" width="12.42578125" style="1378" customWidth="1"/>
    <col min="2" max="2" width="14.28515625" style="1444" customWidth="1"/>
    <col min="3" max="9" width="9.140625" style="1444" customWidth="1"/>
    <col min="10" max="10" width="14.85546875" style="1444" bestFit="1" customWidth="1"/>
    <col min="11" max="11" width="18.42578125" style="1444" customWidth="1"/>
    <col min="12" max="12" width="9.85546875" style="1444" customWidth="1"/>
    <col min="13" max="23" width="7.140625" style="1444" customWidth="1"/>
    <col min="24" max="24" width="10" style="1453" customWidth="1"/>
    <col min="25" max="25" width="14.85546875" style="1378" bestFit="1" customWidth="1"/>
    <col min="26" max="26" width="9.140625" style="1378"/>
    <col min="27" max="27" width="19.42578125" style="1378" customWidth="1"/>
    <col min="28" max="28" width="16.42578125" style="1378" bestFit="1" customWidth="1"/>
    <col min="29" max="256" width="9.140625" style="1378"/>
    <col min="257" max="257" width="7.42578125" style="1378" customWidth="1"/>
    <col min="258" max="258" width="11.140625" style="1378" customWidth="1"/>
    <col min="259" max="259" width="7" style="1378" bestFit="1" customWidth="1"/>
    <col min="260" max="260" width="7.5703125" style="1378" bestFit="1" customWidth="1"/>
    <col min="261" max="261" width="7.7109375" style="1378" bestFit="1" customWidth="1"/>
    <col min="262" max="262" width="9.42578125" style="1378" bestFit="1" customWidth="1"/>
    <col min="263" max="263" width="10" style="1378" bestFit="1" customWidth="1"/>
    <col min="264" max="264" width="8.28515625" style="1378" customWidth="1"/>
    <col min="265" max="265" width="7.140625" style="1378" customWidth="1"/>
    <col min="266" max="266" width="10.7109375" style="1378" customWidth="1"/>
    <col min="267" max="267" width="8.5703125" style="1378" customWidth="1"/>
    <col min="268" max="269" width="8.85546875" style="1378" bestFit="1" customWidth="1"/>
    <col min="270" max="270" width="9.42578125" style="1378" customWidth="1"/>
    <col min="271" max="279" width="8.28515625" style="1378" customWidth="1"/>
    <col min="280" max="280" width="8.140625" style="1378" customWidth="1"/>
    <col min="281" max="281" width="10.42578125" style="1378" customWidth="1"/>
    <col min="282" max="282" width="9.140625" style="1378"/>
    <col min="283" max="283" width="19.42578125" style="1378" customWidth="1"/>
    <col min="284" max="284" width="16.42578125" style="1378" bestFit="1" customWidth="1"/>
    <col min="285" max="512" width="9.140625" style="1378"/>
    <col min="513" max="513" width="7.42578125" style="1378" customWidth="1"/>
    <col min="514" max="514" width="11.140625" style="1378" customWidth="1"/>
    <col min="515" max="515" width="7" style="1378" bestFit="1" customWidth="1"/>
    <col min="516" max="516" width="7.5703125" style="1378" bestFit="1" customWidth="1"/>
    <col min="517" max="517" width="7.7109375" style="1378" bestFit="1" customWidth="1"/>
    <col min="518" max="518" width="9.42578125" style="1378" bestFit="1" customWidth="1"/>
    <col min="519" max="519" width="10" style="1378" bestFit="1" customWidth="1"/>
    <col min="520" max="520" width="8.28515625" style="1378" customWidth="1"/>
    <col min="521" max="521" width="7.140625" style="1378" customWidth="1"/>
    <col min="522" max="522" width="10.7109375" style="1378" customWidth="1"/>
    <col min="523" max="523" width="8.5703125" style="1378" customWidth="1"/>
    <col min="524" max="525" width="8.85546875" style="1378" bestFit="1" customWidth="1"/>
    <col min="526" max="526" width="9.42578125" style="1378" customWidth="1"/>
    <col min="527" max="535" width="8.28515625" style="1378" customWidth="1"/>
    <col min="536" max="536" width="8.140625" style="1378" customWidth="1"/>
    <col min="537" max="537" width="10.42578125" style="1378" customWidth="1"/>
    <col min="538" max="538" width="9.140625" style="1378"/>
    <col min="539" max="539" width="19.42578125" style="1378" customWidth="1"/>
    <col min="540" max="540" width="16.42578125" style="1378" bestFit="1" customWidth="1"/>
    <col min="541" max="768" width="9.140625" style="1378"/>
    <col min="769" max="769" width="7.42578125" style="1378" customWidth="1"/>
    <col min="770" max="770" width="11.140625" style="1378" customWidth="1"/>
    <col min="771" max="771" width="7" style="1378" bestFit="1" customWidth="1"/>
    <col min="772" max="772" width="7.5703125" style="1378" bestFit="1" customWidth="1"/>
    <col min="773" max="773" width="7.7109375" style="1378" bestFit="1" customWidth="1"/>
    <col min="774" max="774" width="9.42578125" style="1378" bestFit="1" customWidth="1"/>
    <col min="775" max="775" width="10" style="1378" bestFit="1" customWidth="1"/>
    <col min="776" max="776" width="8.28515625" style="1378" customWidth="1"/>
    <col min="777" max="777" width="7.140625" style="1378" customWidth="1"/>
    <col min="778" max="778" width="10.7109375" style="1378" customWidth="1"/>
    <col min="779" max="779" width="8.5703125" style="1378" customWidth="1"/>
    <col min="780" max="781" width="8.85546875" style="1378" bestFit="1" customWidth="1"/>
    <col min="782" max="782" width="9.42578125" style="1378" customWidth="1"/>
    <col min="783" max="791" width="8.28515625" style="1378" customWidth="1"/>
    <col min="792" max="792" width="8.140625" style="1378" customWidth="1"/>
    <col min="793" max="793" width="10.42578125" style="1378" customWidth="1"/>
    <col min="794" max="794" width="9.140625" style="1378"/>
    <col min="795" max="795" width="19.42578125" style="1378" customWidth="1"/>
    <col min="796" max="796" width="16.42578125" style="1378" bestFit="1" customWidth="1"/>
    <col min="797" max="1024" width="9.140625" style="1378"/>
    <col min="1025" max="1025" width="7.42578125" style="1378" customWidth="1"/>
    <col min="1026" max="1026" width="11.140625" style="1378" customWidth="1"/>
    <col min="1027" max="1027" width="7" style="1378" bestFit="1" customWidth="1"/>
    <col min="1028" max="1028" width="7.5703125" style="1378" bestFit="1" customWidth="1"/>
    <col min="1029" max="1029" width="7.7109375" style="1378" bestFit="1" customWidth="1"/>
    <col min="1030" max="1030" width="9.42578125" style="1378" bestFit="1" customWidth="1"/>
    <col min="1031" max="1031" width="10" style="1378" bestFit="1" customWidth="1"/>
    <col min="1032" max="1032" width="8.28515625" style="1378" customWidth="1"/>
    <col min="1033" max="1033" width="7.140625" style="1378" customWidth="1"/>
    <col min="1034" max="1034" width="10.7109375" style="1378" customWidth="1"/>
    <col min="1035" max="1035" width="8.5703125" style="1378" customWidth="1"/>
    <col min="1036" max="1037" width="8.85546875" style="1378" bestFit="1" customWidth="1"/>
    <col min="1038" max="1038" width="9.42578125" style="1378" customWidth="1"/>
    <col min="1039" max="1047" width="8.28515625" style="1378" customWidth="1"/>
    <col min="1048" max="1048" width="8.140625" style="1378" customWidth="1"/>
    <col min="1049" max="1049" width="10.42578125" style="1378" customWidth="1"/>
    <col min="1050" max="1050" width="9.140625" style="1378"/>
    <col min="1051" max="1051" width="19.42578125" style="1378" customWidth="1"/>
    <col min="1052" max="1052" width="16.42578125" style="1378" bestFit="1" customWidth="1"/>
    <col min="1053" max="1280" width="9.140625" style="1378"/>
    <col min="1281" max="1281" width="7.42578125" style="1378" customWidth="1"/>
    <col min="1282" max="1282" width="11.140625" style="1378" customWidth="1"/>
    <col min="1283" max="1283" width="7" style="1378" bestFit="1" customWidth="1"/>
    <col min="1284" max="1284" width="7.5703125" style="1378" bestFit="1" customWidth="1"/>
    <col min="1285" max="1285" width="7.7109375" style="1378" bestFit="1" customWidth="1"/>
    <col min="1286" max="1286" width="9.42578125" style="1378" bestFit="1" customWidth="1"/>
    <col min="1287" max="1287" width="10" style="1378" bestFit="1" customWidth="1"/>
    <col min="1288" max="1288" width="8.28515625" style="1378" customWidth="1"/>
    <col min="1289" max="1289" width="7.140625" style="1378" customWidth="1"/>
    <col min="1290" max="1290" width="10.7109375" style="1378" customWidth="1"/>
    <col min="1291" max="1291" width="8.5703125" style="1378" customWidth="1"/>
    <col min="1292" max="1293" width="8.85546875" style="1378" bestFit="1" customWidth="1"/>
    <col min="1294" max="1294" width="9.42578125" style="1378" customWidth="1"/>
    <col min="1295" max="1303" width="8.28515625" style="1378" customWidth="1"/>
    <col min="1304" max="1304" width="8.140625" style="1378" customWidth="1"/>
    <col min="1305" max="1305" width="10.42578125" style="1378" customWidth="1"/>
    <col min="1306" max="1306" width="9.140625" style="1378"/>
    <col min="1307" max="1307" width="19.42578125" style="1378" customWidth="1"/>
    <col min="1308" max="1308" width="16.42578125" style="1378" bestFit="1" customWidth="1"/>
    <col min="1309" max="1536" width="9.140625" style="1378"/>
    <col min="1537" max="1537" width="7.42578125" style="1378" customWidth="1"/>
    <col min="1538" max="1538" width="11.140625" style="1378" customWidth="1"/>
    <col min="1539" max="1539" width="7" style="1378" bestFit="1" customWidth="1"/>
    <col min="1540" max="1540" width="7.5703125" style="1378" bestFit="1" customWidth="1"/>
    <col min="1541" max="1541" width="7.7109375" style="1378" bestFit="1" customWidth="1"/>
    <col min="1542" max="1542" width="9.42578125" style="1378" bestFit="1" customWidth="1"/>
    <col min="1543" max="1543" width="10" style="1378" bestFit="1" customWidth="1"/>
    <col min="1544" max="1544" width="8.28515625" style="1378" customWidth="1"/>
    <col min="1545" max="1545" width="7.140625" style="1378" customWidth="1"/>
    <col min="1546" max="1546" width="10.7109375" style="1378" customWidth="1"/>
    <col min="1547" max="1547" width="8.5703125" style="1378" customWidth="1"/>
    <col min="1548" max="1549" width="8.85546875" style="1378" bestFit="1" customWidth="1"/>
    <col min="1550" max="1550" width="9.42578125" style="1378" customWidth="1"/>
    <col min="1551" max="1559" width="8.28515625" style="1378" customWidth="1"/>
    <col min="1560" max="1560" width="8.140625" style="1378" customWidth="1"/>
    <col min="1561" max="1561" width="10.42578125" style="1378" customWidth="1"/>
    <col min="1562" max="1562" width="9.140625" style="1378"/>
    <col min="1563" max="1563" width="19.42578125" style="1378" customWidth="1"/>
    <col min="1564" max="1564" width="16.42578125" style="1378" bestFit="1" customWidth="1"/>
    <col min="1565" max="1792" width="9.140625" style="1378"/>
    <col min="1793" max="1793" width="7.42578125" style="1378" customWidth="1"/>
    <col min="1794" max="1794" width="11.140625" style="1378" customWidth="1"/>
    <col min="1795" max="1795" width="7" style="1378" bestFit="1" customWidth="1"/>
    <col min="1796" max="1796" width="7.5703125" style="1378" bestFit="1" customWidth="1"/>
    <col min="1797" max="1797" width="7.7109375" style="1378" bestFit="1" customWidth="1"/>
    <col min="1798" max="1798" width="9.42578125" style="1378" bestFit="1" customWidth="1"/>
    <col min="1799" max="1799" width="10" style="1378" bestFit="1" customWidth="1"/>
    <col min="1800" max="1800" width="8.28515625" style="1378" customWidth="1"/>
    <col min="1801" max="1801" width="7.140625" style="1378" customWidth="1"/>
    <col min="1802" max="1802" width="10.7109375" style="1378" customWidth="1"/>
    <col min="1803" max="1803" width="8.5703125" style="1378" customWidth="1"/>
    <col min="1804" max="1805" width="8.85546875" style="1378" bestFit="1" customWidth="1"/>
    <col min="1806" max="1806" width="9.42578125" style="1378" customWidth="1"/>
    <col min="1807" max="1815" width="8.28515625" style="1378" customWidth="1"/>
    <col min="1816" max="1816" width="8.140625" style="1378" customWidth="1"/>
    <col min="1817" max="1817" width="10.42578125" style="1378" customWidth="1"/>
    <col min="1818" max="1818" width="9.140625" style="1378"/>
    <col min="1819" max="1819" width="19.42578125" style="1378" customWidth="1"/>
    <col min="1820" max="1820" width="16.42578125" style="1378" bestFit="1" customWidth="1"/>
    <col min="1821" max="2048" width="9.140625" style="1378"/>
    <col min="2049" max="2049" width="7.42578125" style="1378" customWidth="1"/>
    <col min="2050" max="2050" width="11.140625" style="1378" customWidth="1"/>
    <col min="2051" max="2051" width="7" style="1378" bestFit="1" customWidth="1"/>
    <col min="2052" max="2052" width="7.5703125" style="1378" bestFit="1" customWidth="1"/>
    <col min="2053" max="2053" width="7.7109375" style="1378" bestFit="1" customWidth="1"/>
    <col min="2054" max="2054" width="9.42578125" style="1378" bestFit="1" customWidth="1"/>
    <col min="2055" max="2055" width="10" style="1378" bestFit="1" customWidth="1"/>
    <col min="2056" max="2056" width="8.28515625" style="1378" customWidth="1"/>
    <col min="2057" max="2057" width="7.140625" style="1378" customWidth="1"/>
    <col min="2058" max="2058" width="10.7109375" style="1378" customWidth="1"/>
    <col min="2059" max="2059" width="8.5703125" style="1378" customWidth="1"/>
    <col min="2060" max="2061" width="8.85546875" style="1378" bestFit="1" customWidth="1"/>
    <col min="2062" max="2062" width="9.42578125" style="1378" customWidth="1"/>
    <col min="2063" max="2071" width="8.28515625" style="1378" customWidth="1"/>
    <col min="2072" max="2072" width="8.140625" style="1378" customWidth="1"/>
    <col min="2073" max="2073" width="10.42578125" style="1378" customWidth="1"/>
    <col min="2074" max="2074" width="9.140625" style="1378"/>
    <col min="2075" max="2075" width="19.42578125" style="1378" customWidth="1"/>
    <col min="2076" max="2076" width="16.42578125" style="1378" bestFit="1" customWidth="1"/>
    <col min="2077" max="2304" width="9.140625" style="1378"/>
    <col min="2305" max="2305" width="7.42578125" style="1378" customWidth="1"/>
    <col min="2306" max="2306" width="11.140625" style="1378" customWidth="1"/>
    <col min="2307" max="2307" width="7" style="1378" bestFit="1" customWidth="1"/>
    <col min="2308" max="2308" width="7.5703125" style="1378" bestFit="1" customWidth="1"/>
    <col min="2309" max="2309" width="7.7109375" style="1378" bestFit="1" customWidth="1"/>
    <col min="2310" max="2310" width="9.42578125" style="1378" bestFit="1" customWidth="1"/>
    <col min="2311" max="2311" width="10" style="1378" bestFit="1" customWidth="1"/>
    <col min="2312" max="2312" width="8.28515625" style="1378" customWidth="1"/>
    <col min="2313" max="2313" width="7.140625" style="1378" customWidth="1"/>
    <col min="2314" max="2314" width="10.7109375" style="1378" customWidth="1"/>
    <col min="2315" max="2315" width="8.5703125" style="1378" customWidth="1"/>
    <col min="2316" max="2317" width="8.85546875" style="1378" bestFit="1" customWidth="1"/>
    <col min="2318" max="2318" width="9.42578125" style="1378" customWidth="1"/>
    <col min="2319" max="2327" width="8.28515625" style="1378" customWidth="1"/>
    <col min="2328" max="2328" width="8.140625" style="1378" customWidth="1"/>
    <col min="2329" max="2329" width="10.42578125" style="1378" customWidth="1"/>
    <col min="2330" max="2330" width="9.140625" style="1378"/>
    <col min="2331" max="2331" width="19.42578125" style="1378" customWidth="1"/>
    <col min="2332" max="2332" width="16.42578125" style="1378" bestFit="1" customWidth="1"/>
    <col min="2333" max="2560" width="9.140625" style="1378"/>
    <col min="2561" max="2561" width="7.42578125" style="1378" customWidth="1"/>
    <col min="2562" max="2562" width="11.140625" style="1378" customWidth="1"/>
    <col min="2563" max="2563" width="7" style="1378" bestFit="1" customWidth="1"/>
    <col min="2564" max="2564" width="7.5703125" style="1378" bestFit="1" customWidth="1"/>
    <col min="2565" max="2565" width="7.7109375" style="1378" bestFit="1" customWidth="1"/>
    <col min="2566" max="2566" width="9.42578125" style="1378" bestFit="1" customWidth="1"/>
    <col min="2567" max="2567" width="10" style="1378" bestFit="1" customWidth="1"/>
    <col min="2568" max="2568" width="8.28515625" style="1378" customWidth="1"/>
    <col min="2569" max="2569" width="7.140625" style="1378" customWidth="1"/>
    <col min="2570" max="2570" width="10.7109375" style="1378" customWidth="1"/>
    <col min="2571" max="2571" width="8.5703125" style="1378" customWidth="1"/>
    <col min="2572" max="2573" width="8.85546875" style="1378" bestFit="1" customWidth="1"/>
    <col min="2574" max="2574" width="9.42578125" style="1378" customWidth="1"/>
    <col min="2575" max="2583" width="8.28515625" style="1378" customWidth="1"/>
    <col min="2584" max="2584" width="8.140625" style="1378" customWidth="1"/>
    <col min="2585" max="2585" width="10.42578125" style="1378" customWidth="1"/>
    <col min="2586" max="2586" width="9.140625" style="1378"/>
    <col min="2587" max="2587" width="19.42578125" style="1378" customWidth="1"/>
    <col min="2588" max="2588" width="16.42578125" style="1378" bestFit="1" customWidth="1"/>
    <col min="2589" max="2816" width="9.140625" style="1378"/>
    <col min="2817" max="2817" width="7.42578125" style="1378" customWidth="1"/>
    <col min="2818" max="2818" width="11.140625" style="1378" customWidth="1"/>
    <col min="2819" max="2819" width="7" style="1378" bestFit="1" customWidth="1"/>
    <col min="2820" max="2820" width="7.5703125" style="1378" bestFit="1" customWidth="1"/>
    <col min="2821" max="2821" width="7.7109375" style="1378" bestFit="1" customWidth="1"/>
    <col min="2822" max="2822" width="9.42578125" style="1378" bestFit="1" customWidth="1"/>
    <col min="2823" max="2823" width="10" style="1378" bestFit="1" customWidth="1"/>
    <col min="2824" max="2824" width="8.28515625" style="1378" customWidth="1"/>
    <col min="2825" max="2825" width="7.140625" style="1378" customWidth="1"/>
    <col min="2826" max="2826" width="10.7109375" style="1378" customWidth="1"/>
    <col min="2827" max="2827" width="8.5703125" style="1378" customWidth="1"/>
    <col min="2828" max="2829" width="8.85546875" style="1378" bestFit="1" customWidth="1"/>
    <col min="2830" max="2830" width="9.42578125" style="1378" customWidth="1"/>
    <col min="2831" max="2839" width="8.28515625" style="1378" customWidth="1"/>
    <col min="2840" max="2840" width="8.140625" style="1378" customWidth="1"/>
    <col min="2841" max="2841" width="10.42578125" style="1378" customWidth="1"/>
    <col min="2842" max="2842" width="9.140625" style="1378"/>
    <col min="2843" max="2843" width="19.42578125" style="1378" customWidth="1"/>
    <col min="2844" max="2844" width="16.42578125" style="1378" bestFit="1" customWidth="1"/>
    <col min="2845" max="3072" width="9.140625" style="1378"/>
    <col min="3073" max="3073" width="7.42578125" style="1378" customWidth="1"/>
    <col min="3074" max="3074" width="11.140625" style="1378" customWidth="1"/>
    <col min="3075" max="3075" width="7" style="1378" bestFit="1" customWidth="1"/>
    <col min="3076" max="3076" width="7.5703125" style="1378" bestFit="1" customWidth="1"/>
    <col min="3077" max="3077" width="7.7109375" style="1378" bestFit="1" customWidth="1"/>
    <col min="3078" max="3078" width="9.42578125" style="1378" bestFit="1" customWidth="1"/>
    <col min="3079" max="3079" width="10" style="1378" bestFit="1" customWidth="1"/>
    <col min="3080" max="3080" width="8.28515625" style="1378" customWidth="1"/>
    <col min="3081" max="3081" width="7.140625" style="1378" customWidth="1"/>
    <col min="3082" max="3082" width="10.7109375" style="1378" customWidth="1"/>
    <col min="3083" max="3083" width="8.5703125" style="1378" customWidth="1"/>
    <col min="3084" max="3085" width="8.85546875" style="1378" bestFit="1" customWidth="1"/>
    <col min="3086" max="3086" width="9.42578125" style="1378" customWidth="1"/>
    <col min="3087" max="3095" width="8.28515625" style="1378" customWidth="1"/>
    <col min="3096" max="3096" width="8.140625" style="1378" customWidth="1"/>
    <col min="3097" max="3097" width="10.42578125" style="1378" customWidth="1"/>
    <col min="3098" max="3098" width="9.140625" style="1378"/>
    <col min="3099" max="3099" width="19.42578125" style="1378" customWidth="1"/>
    <col min="3100" max="3100" width="16.42578125" style="1378" bestFit="1" customWidth="1"/>
    <col min="3101" max="3328" width="9.140625" style="1378"/>
    <col min="3329" max="3329" width="7.42578125" style="1378" customWidth="1"/>
    <col min="3330" max="3330" width="11.140625" style="1378" customWidth="1"/>
    <col min="3331" max="3331" width="7" style="1378" bestFit="1" customWidth="1"/>
    <col min="3332" max="3332" width="7.5703125" style="1378" bestFit="1" customWidth="1"/>
    <col min="3333" max="3333" width="7.7109375" style="1378" bestFit="1" customWidth="1"/>
    <col min="3334" max="3334" width="9.42578125" style="1378" bestFit="1" customWidth="1"/>
    <col min="3335" max="3335" width="10" style="1378" bestFit="1" customWidth="1"/>
    <col min="3336" max="3336" width="8.28515625" style="1378" customWidth="1"/>
    <col min="3337" max="3337" width="7.140625" style="1378" customWidth="1"/>
    <col min="3338" max="3338" width="10.7109375" style="1378" customWidth="1"/>
    <col min="3339" max="3339" width="8.5703125" style="1378" customWidth="1"/>
    <col min="3340" max="3341" width="8.85546875" style="1378" bestFit="1" customWidth="1"/>
    <col min="3342" max="3342" width="9.42578125" style="1378" customWidth="1"/>
    <col min="3343" max="3351" width="8.28515625" style="1378" customWidth="1"/>
    <col min="3352" max="3352" width="8.140625" style="1378" customWidth="1"/>
    <col min="3353" max="3353" width="10.42578125" style="1378" customWidth="1"/>
    <col min="3354" max="3354" width="9.140625" style="1378"/>
    <col min="3355" max="3355" width="19.42578125" style="1378" customWidth="1"/>
    <col min="3356" max="3356" width="16.42578125" style="1378" bestFit="1" customWidth="1"/>
    <col min="3357" max="3584" width="9.140625" style="1378"/>
    <col min="3585" max="3585" width="7.42578125" style="1378" customWidth="1"/>
    <col min="3586" max="3586" width="11.140625" style="1378" customWidth="1"/>
    <col min="3587" max="3587" width="7" style="1378" bestFit="1" customWidth="1"/>
    <col min="3588" max="3588" width="7.5703125" style="1378" bestFit="1" customWidth="1"/>
    <col min="3589" max="3589" width="7.7109375" style="1378" bestFit="1" customWidth="1"/>
    <col min="3590" max="3590" width="9.42578125" style="1378" bestFit="1" customWidth="1"/>
    <col min="3591" max="3591" width="10" style="1378" bestFit="1" customWidth="1"/>
    <col min="3592" max="3592" width="8.28515625" style="1378" customWidth="1"/>
    <col min="3593" max="3593" width="7.140625" style="1378" customWidth="1"/>
    <col min="3594" max="3594" width="10.7109375" style="1378" customWidth="1"/>
    <col min="3595" max="3595" width="8.5703125" style="1378" customWidth="1"/>
    <col min="3596" max="3597" width="8.85546875" style="1378" bestFit="1" customWidth="1"/>
    <col min="3598" max="3598" width="9.42578125" style="1378" customWidth="1"/>
    <col min="3599" max="3607" width="8.28515625" style="1378" customWidth="1"/>
    <col min="3608" max="3608" width="8.140625" style="1378" customWidth="1"/>
    <col min="3609" max="3609" width="10.42578125" style="1378" customWidth="1"/>
    <col min="3610" max="3610" width="9.140625" style="1378"/>
    <col min="3611" max="3611" width="19.42578125" style="1378" customWidth="1"/>
    <col min="3612" max="3612" width="16.42578125" style="1378" bestFit="1" customWidth="1"/>
    <col min="3613" max="3840" width="9.140625" style="1378"/>
    <col min="3841" max="3841" width="7.42578125" style="1378" customWidth="1"/>
    <col min="3842" max="3842" width="11.140625" style="1378" customWidth="1"/>
    <col min="3843" max="3843" width="7" style="1378" bestFit="1" customWidth="1"/>
    <col min="3844" max="3844" width="7.5703125" style="1378" bestFit="1" customWidth="1"/>
    <col min="3845" max="3845" width="7.7109375" style="1378" bestFit="1" customWidth="1"/>
    <col min="3846" max="3846" width="9.42578125" style="1378" bestFit="1" customWidth="1"/>
    <col min="3847" max="3847" width="10" style="1378" bestFit="1" customWidth="1"/>
    <col min="3848" max="3848" width="8.28515625" style="1378" customWidth="1"/>
    <col min="3849" max="3849" width="7.140625" style="1378" customWidth="1"/>
    <col min="3850" max="3850" width="10.7109375" style="1378" customWidth="1"/>
    <col min="3851" max="3851" width="8.5703125" style="1378" customWidth="1"/>
    <col min="3852" max="3853" width="8.85546875" style="1378" bestFit="1" customWidth="1"/>
    <col min="3854" max="3854" width="9.42578125" style="1378" customWidth="1"/>
    <col min="3855" max="3863" width="8.28515625" style="1378" customWidth="1"/>
    <col min="3864" max="3864" width="8.140625" style="1378" customWidth="1"/>
    <col min="3865" max="3865" width="10.42578125" style="1378" customWidth="1"/>
    <col min="3866" max="3866" width="9.140625" style="1378"/>
    <col min="3867" max="3867" width="19.42578125" style="1378" customWidth="1"/>
    <col min="3868" max="3868" width="16.42578125" style="1378" bestFit="1" customWidth="1"/>
    <col min="3869" max="4096" width="9.140625" style="1378"/>
    <col min="4097" max="4097" width="7.42578125" style="1378" customWidth="1"/>
    <col min="4098" max="4098" width="11.140625" style="1378" customWidth="1"/>
    <col min="4099" max="4099" width="7" style="1378" bestFit="1" customWidth="1"/>
    <col min="4100" max="4100" width="7.5703125" style="1378" bestFit="1" customWidth="1"/>
    <col min="4101" max="4101" width="7.7109375" style="1378" bestFit="1" customWidth="1"/>
    <col min="4102" max="4102" width="9.42578125" style="1378" bestFit="1" customWidth="1"/>
    <col min="4103" max="4103" width="10" style="1378" bestFit="1" customWidth="1"/>
    <col min="4104" max="4104" width="8.28515625" style="1378" customWidth="1"/>
    <col min="4105" max="4105" width="7.140625" style="1378" customWidth="1"/>
    <col min="4106" max="4106" width="10.7109375" style="1378" customWidth="1"/>
    <col min="4107" max="4107" width="8.5703125" style="1378" customWidth="1"/>
    <col min="4108" max="4109" width="8.85546875" style="1378" bestFit="1" customWidth="1"/>
    <col min="4110" max="4110" width="9.42578125" style="1378" customWidth="1"/>
    <col min="4111" max="4119" width="8.28515625" style="1378" customWidth="1"/>
    <col min="4120" max="4120" width="8.140625" style="1378" customWidth="1"/>
    <col min="4121" max="4121" width="10.42578125" style="1378" customWidth="1"/>
    <col min="4122" max="4122" width="9.140625" style="1378"/>
    <col min="4123" max="4123" width="19.42578125" style="1378" customWidth="1"/>
    <col min="4124" max="4124" width="16.42578125" style="1378" bestFit="1" customWidth="1"/>
    <col min="4125" max="4352" width="9.140625" style="1378"/>
    <col min="4353" max="4353" width="7.42578125" style="1378" customWidth="1"/>
    <col min="4354" max="4354" width="11.140625" style="1378" customWidth="1"/>
    <col min="4355" max="4355" width="7" style="1378" bestFit="1" customWidth="1"/>
    <col min="4356" max="4356" width="7.5703125" style="1378" bestFit="1" customWidth="1"/>
    <col min="4357" max="4357" width="7.7109375" style="1378" bestFit="1" customWidth="1"/>
    <col min="4358" max="4358" width="9.42578125" style="1378" bestFit="1" customWidth="1"/>
    <col min="4359" max="4359" width="10" style="1378" bestFit="1" customWidth="1"/>
    <col min="4360" max="4360" width="8.28515625" style="1378" customWidth="1"/>
    <col min="4361" max="4361" width="7.140625" style="1378" customWidth="1"/>
    <col min="4362" max="4362" width="10.7109375" style="1378" customWidth="1"/>
    <col min="4363" max="4363" width="8.5703125" style="1378" customWidth="1"/>
    <col min="4364" max="4365" width="8.85546875" style="1378" bestFit="1" customWidth="1"/>
    <col min="4366" max="4366" width="9.42578125" style="1378" customWidth="1"/>
    <col min="4367" max="4375" width="8.28515625" style="1378" customWidth="1"/>
    <col min="4376" max="4376" width="8.140625" style="1378" customWidth="1"/>
    <col min="4377" max="4377" width="10.42578125" style="1378" customWidth="1"/>
    <col min="4378" max="4378" width="9.140625" style="1378"/>
    <col min="4379" max="4379" width="19.42578125" style="1378" customWidth="1"/>
    <col min="4380" max="4380" width="16.42578125" style="1378" bestFit="1" customWidth="1"/>
    <col min="4381" max="4608" width="9.140625" style="1378"/>
    <col min="4609" max="4609" width="7.42578125" style="1378" customWidth="1"/>
    <col min="4610" max="4610" width="11.140625" style="1378" customWidth="1"/>
    <col min="4611" max="4611" width="7" style="1378" bestFit="1" customWidth="1"/>
    <col min="4612" max="4612" width="7.5703125" style="1378" bestFit="1" customWidth="1"/>
    <col min="4613" max="4613" width="7.7109375" style="1378" bestFit="1" customWidth="1"/>
    <col min="4614" max="4614" width="9.42578125" style="1378" bestFit="1" customWidth="1"/>
    <col min="4615" max="4615" width="10" style="1378" bestFit="1" customWidth="1"/>
    <col min="4616" max="4616" width="8.28515625" style="1378" customWidth="1"/>
    <col min="4617" max="4617" width="7.140625" style="1378" customWidth="1"/>
    <col min="4618" max="4618" width="10.7109375" style="1378" customWidth="1"/>
    <col min="4619" max="4619" width="8.5703125" style="1378" customWidth="1"/>
    <col min="4620" max="4621" width="8.85546875" style="1378" bestFit="1" customWidth="1"/>
    <col min="4622" max="4622" width="9.42578125" style="1378" customWidth="1"/>
    <col min="4623" max="4631" width="8.28515625" style="1378" customWidth="1"/>
    <col min="4632" max="4632" width="8.140625" style="1378" customWidth="1"/>
    <col min="4633" max="4633" width="10.42578125" style="1378" customWidth="1"/>
    <col min="4634" max="4634" width="9.140625" style="1378"/>
    <col min="4635" max="4635" width="19.42578125" style="1378" customWidth="1"/>
    <col min="4636" max="4636" width="16.42578125" style="1378" bestFit="1" customWidth="1"/>
    <col min="4637" max="4864" width="9.140625" style="1378"/>
    <col min="4865" max="4865" width="7.42578125" style="1378" customWidth="1"/>
    <col min="4866" max="4866" width="11.140625" style="1378" customWidth="1"/>
    <col min="4867" max="4867" width="7" style="1378" bestFit="1" customWidth="1"/>
    <col min="4868" max="4868" width="7.5703125" style="1378" bestFit="1" customWidth="1"/>
    <col min="4869" max="4869" width="7.7109375" style="1378" bestFit="1" customWidth="1"/>
    <col min="4870" max="4870" width="9.42578125" style="1378" bestFit="1" customWidth="1"/>
    <col min="4871" max="4871" width="10" style="1378" bestFit="1" customWidth="1"/>
    <col min="4872" max="4872" width="8.28515625" style="1378" customWidth="1"/>
    <col min="4873" max="4873" width="7.140625" style="1378" customWidth="1"/>
    <col min="4874" max="4874" width="10.7109375" style="1378" customWidth="1"/>
    <col min="4875" max="4875" width="8.5703125" style="1378" customWidth="1"/>
    <col min="4876" max="4877" width="8.85546875" style="1378" bestFit="1" customWidth="1"/>
    <col min="4878" max="4878" width="9.42578125" style="1378" customWidth="1"/>
    <col min="4879" max="4887" width="8.28515625" style="1378" customWidth="1"/>
    <col min="4888" max="4888" width="8.140625" style="1378" customWidth="1"/>
    <col min="4889" max="4889" width="10.42578125" style="1378" customWidth="1"/>
    <col min="4890" max="4890" width="9.140625" style="1378"/>
    <col min="4891" max="4891" width="19.42578125" style="1378" customWidth="1"/>
    <col min="4892" max="4892" width="16.42578125" style="1378" bestFit="1" customWidth="1"/>
    <col min="4893" max="5120" width="9.140625" style="1378"/>
    <col min="5121" max="5121" width="7.42578125" style="1378" customWidth="1"/>
    <col min="5122" max="5122" width="11.140625" style="1378" customWidth="1"/>
    <col min="5123" max="5123" width="7" style="1378" bestFit="1" customWidth="1"/>
    <col min="5124" max="5124" width="7.5703125" style="1378" bestFit="1" customWidth="1"/>
    <col min="5125" max="5125" width="7.7109375" style="1378" bestFit="1" customWidth="1"/>
    <col min="5126" max="5126" width="9.42578125" style="1378" bestFit="1" customWidth="1"/>
    <col min="5127" max="5127" width="10" style="1378" bestFit="1" customWidth="1"/>
    <col min="5128" max="5128" width="8.28515625" style="1378" customWidth="1"/>
    <col min="5129" max="5129" width="7.140625" style="1378" customWidth="1"/>
    <col min="5130" max="5130" width="10.7109375" style="1378" customWidth="1"/>
    <col min="5131" max="5131" width="8.5703125" style="1378" customWidth="1"/>
    <col min="5132" max="5133" width="8.85546875" style="1378" bestFit="1" customWidth="1"/>
    <col min="5134" max="5134" width="9.42578125" style="1378" customWidth="1"/>
    <col min="5135" max="5143" width="8.28515625" style="1378" customWidth="1"/>
    <col min="5144" max="5144" width="8.140625" style="1378" customWidth="1"/>
    <col min="5145" max="5145" width="10.42578125" style="1378" customWidth="1"/>
    <col min="5146" max="5146" width="9.140625" style="1378"/>
    <col min="5147" max="5147" width="19.42578125" style="1378" customWidth="1"/>
    <col min="5148" max="5148" width="16.42578125" style="1378" bestFit="1" customWidth="1"/>
    <col min="5149" max="5376" width="9.140625" style="1378"/>
    <col min="5377" max="5377" width="7.42578125" style="1378" customWidth="1"/>
    <col min="5378" max="5378" width="11.140625" style="1378" customWidth="1"/>
    <col min="5379" max="5379" width="7" style="1378" bestFit="1" customWidth="1"/>
    <col min="5380" max="5380" width="7.5703125" style="1378" bestFit="1" customWidth="1"/>
    <col min="5381" max="5381" width="7.7109375" style="1378" bestFit="1" customWidth="1"/>
    <col min="5382" max="5382" width="9.42578125" style="1378" bestFit="1" customWidth="1"/>
    <col min="5383" max="5383" width="10" style="1378" bestFit="1" customWidth="1"/>
    <col min="5384" max="5384" width="8.28515625" style="1378" customWidth="1"/>
    <col min="5385" max="5385" width="7.140625" style="1378" customWidth="1"/>
    <col min="5386" max="5386" width="10.7109375" style="1378" customWidth="1"/>
    <col min="5387" max="5387" width="8.5703125" style="1378" customWidth="1"/>
    <col min="5388" max="5389" width="8.85546875" style="1378" bestFit="1" customWidth="1"/>
    <col min="5390" max="5390" width="9.42578125" style="1378" customWidth="1"/>
    <col min="5391" max="5399" width="8.28515625" style="1378" customWidth="1"/>
    <col min="5400" max="5400" width="8.140625" style="1378" customWidth="1"/>
    <col min="5401" max="5401" width="10.42578125" style="1378" customWidth="1"/>
    <col min="5402" max="5402" width="9.140625" style="1378"/>
    <col min="5403" max="5403" width="19.42578125" style="1378" customWidth="1"/>
    <col min="5404" max="5404" width="16.42578125" style="1378" bestFit="1" customWidth="1"/>
    <col min="5405" max="5632" width="9.140625" style="1378"/>
    <col min="5633" max="5633" width="7.42578125" style="1378" customWidth="1"/>
    <col min="5634" max="5634" width="11.140625" style="1378" customWidth="1"/>
    <col min="5635" max="5635" width="7" style="1378" bestFit="1" customWidth="1"/>
    <col min="5636" max="5636" width="7.5703125" style="1378" bestFit="1" customWidth="1"/>
    <col min="5637" max="5637" width="7.7109375" style="1378" bestFit="1" customWidth="1"/>
    <col min="5638" max="5638" width="9.42578125" style="1378" bestFit="1" customWidth="1"/>
    <col min="5639" max="5639" width="10" style="1378" bestFit="1" customWidth="1"/>
    <col min="5640" max="5640" width="8.28515625" style="1378" customWidth="1"/>
    <col min="5641" max="5641" width="7.140625" style="1378" customWidth="1"/>
    <col min="5642" max="5642" width="10.7109375" style="1378" customWidth="1"/>
    <col min="5643" max="5643" width="8.5703125" style="1378" customWidth="1"/>
    <col min="5644" max="5645" width="8.85546875" style="1378" bestFit="1" customWidth="1"/>
    <col min="5646" max="5646" width="9.42578125" style="1378" customWidth="1"/>
    <col min="5647" max="5655" width="8.28515625" style="1378" customWidth="1"/>
    <col min="5656" max="5656" width="8.140625" style="1378" customWidth="1"/>
    <col min="5657" max="5657" width="10.42578125" style="1378" customWidth="1"/>
    <col min="5658" max="5658" width="9.140625" style="1378"/>
    <col min="5659" max="5659" width="19.42578125" style="1378" customWidth="1"/>
    <col min="5660" max="5660" width="16.42578125" style="1378" bestFit="1" customWidth="1"/>
    <col min="5661" max="5888" width="9.140625" style="1378"/>
    <col min="5889" max="5889" width="7.42578125" style="1378" customWidth="1"/>
    <col min="5890" max="5890" width="11.140625" style="1378" customWidth="1"/>
    <col min="5891" max="5891" width="7" style="1378" bestFit="1" customWidth="1"/>
    <col min="5892" max="5892" width="7.5703125" style="1378" bestFit="1" customWidth="1"/>
    <col min="5893" max="5893" width="7.7109375" style="1378" bestFit="1" customWidth="1"/>
    <col min="5894" max="5894" width="9.42578125" style="1378" bestFit="1" customWidth="1"/>
    <col min="5895" max="5895" width="10" style="1378" bestFit="1" customWidth="1"/>
    <col min="5896" max="5896" width="8.28515625" style="1378" customWidth="1"/>
    <col min="5897" max="5897" width="7.140625" style="1378" customWidth="1"/>
    <col min="5898" max="5898" width="10.7109375" style="1378" customWidth="1"/>
    <col min="5899" max="5899" width="8.5703125" style="1378" customWidth="1"/>
    <col min="5900" max="5901" width="8.85546875" style="1378" bestFit="1" customWidth="1"/>
    <col min="5902" max="5902" width="9.42578125" style="1378" customWidth="1"/>
    <col min="5903" max="5911" width="8.28515625" style="1378" customWidth="1"/>
    <col min="5912" max="5912" width="8.140625" style="1378" customWidth="1"/>
    <col min="5913" max="5913" width="10.42578125" style="1378" customWidth="1"/>
    <col min="5914" max="5914" width="9.140625" style="1378"/>
    <col min="5915" max="5915" width="19.42578125" style="1378" customWidth="1"/>
    <col min="5916" max="5916" width="16.42578125" style="1378" bestFit="1" customWidth="1"/>
    <col min="5917" max="6144" width="9.140625" style="1378"/>
    <col min="6145" max="6145" width="7.42578125" style="1378" customWidth="1"/>
    <col min="6146" max="6146" width="11.140625" style="1378" customWidth="1"/>
    <col min="6147" max="6147" width="7" style="1378" bestFit="1" customWidth="1"/>
    <col min="6148" max="6148" width="7.5703125" style="1378" bestFit="1" customWidth="1"/>
    <col min="6149" max="6149" width="7.7109375" style="1378" bestFit="1" customWidth="1"/>
    <col min="6150" max="6150" width="9.42578125" style="1378" bestFit="1" customWidth="1"/>
    <col min="6151" max="6151" width="10" style="1378" bestFit="1" customWidth="1"/>
    <col min="6152" max="6152" width="8.28515625" style="1378" customWidth="1"/>
    <col min="6153" max="6153" width="7.140625" style="1378" customWidth="1"/>
    <col min="6154" max="6154" width="10.7109375" style="1378" customWidth="1"/>
    <col min="6155" max="6155" width="8.5703125" style="1378" customWidth="1"/>
    <col min="6156" max="6157" width="8.85546875" style="1378" bestFit="1" customWidth="1"/>
    <col min="6158" max="6158" width="9.42578125" style="1378" customWidth="1"/>
    <col min="6159" max="6167" width="8.28515625" style="1378" customWidth="1"/>
    <col min="6168" max="6168" width="8.140625" style="1378" customWidth="1"/>
    <col min="6169" max="6169" width="10.42578125" style="1378" customWidth="1"/>
    <col min="6170" max="6170" width="9.140625" style="1378"/>
    <col min="6171" max="6171" width="19.42578125" style="1378" customWidth="1"/>
    <col min="6172" max="6172" width="16.42578125" style="1378" bestFit="1" customWidth="1"/>
    <col min="6173" max="6400" width="9.140625" style="1378"/>
    <col min="6401" max="6401" width="7.42578125" style="1378" customWidth="1"/>
    <col min="6402" max="6402" width="11.140625" style="1378" customWidth="1"/>
    <col min="6403" max="6403" width="7" style="1378" bestFit="1" customWidth="1"/>
    <col min="6404" max="6404" width="7.5703125" style="1378" bestFit="1" customWidth="1"/>
    <col min="6405" max="6405" width="7.7109375" style="1378" bestFit="1" customWidth="1"/>
    <col min="6406" max="6406" width="9.42578125" style="1378" bestFit="1" customWidth="1"/>
    <col min="6407" max="6407" width="10" style="1378" bestFit="1" customWidth="1"/>
    <col min="6408" max="6408" width="8.28515625" style="1378" customWidth="1"/>
    <col min="6409" max="6409" width="7.140625" style="1378" customWidth="1"/>
    <col min="6410" max="6410" width="10.7109375" style="1378" customWidth="1"/>
    <col min="6411" max="6411" width="8.5703125" style="1378" customWidth="1"/>
    <col min="6412" max="6413" width="8.85546875" style="1378" bestFit="1" customWidth="1"/>
    <col min="6414" max="6414" width="9.42578125" style="1378" customWidth="1"/>
    <col min="6415" max="6423" width="8.28515625" style="1378" customWidth="1"/>
    <col min="6424" max="6424" width="8.140625" style="1378" customWidth="1"/>
    <col min="6425" max="6425" width="10.42578125" style="1378" customWidth="1"/>
    <col min="6426" max="6426" width="9.140625" style="1378"/>
    <col min="6427" max="6427" width="19.42578125" style="1378" customWidth="1"/>
    <col min="6428" max="6428" width="16.42578125" style="1378" bestFit="1" customWidth="1"/>
    <col min="6429" max="6656" width="9.140625" style="1378"/>
    <col min="6657" max="6657" width="7.42578125" style="1378" customWidth="1"/>
    <col min="6658" max="6658" width="11.140625" style="1378" customWidth="1"/>
    <col min="6659" max="6659" width="7" style="1378" bestFit="1" customWidth="1"/>
    <col min="6660" max="6660" width="7.5703125" style="1378" bestFit="1" customWidth="1"/>
    <col min="6661" max="6661" width="7.7109375" style="1378" bestFit="1" customWidth="1"/>
    <col min="6662" max="6662" width="9.42578125" style="1378" bestFit="1" customWidth="1"/>
    <col min="6663" max="6663" width="10" style="1378" bestFit="1" customWidth="1"/>
    <col min="6664" max="6664" width="8.28515625" style="1378" customWidth="1"/>
    <col min="6665" max="6665" width="7.140625" style="1378" customWidth="1"/>
    <col min="6666" max="6666" width="10.7109375" style="1378" customWidth="1"/>
    <col min="6667" max="6667" width="8.5703125" style="1378" customWidth="1"/>
    <col min="6668" max="6669" width="8.85546875" style="1378" bestFit="1" customWidth="1"/>
    <col min="6670" max="6670" width="9.42578125" style="1378" customWidth="1"/>
    <col min="6671" max="6679" width="8.28515625" style="1378" customWidth="1"/>
    <col min="6680" max="6680" width="8.140625" style="1378" customWidth="1"/>
    <col min="6681" max="6681" width="10.42578125" style="1378" customWidth="1"/>
    <col min="6682" max="6682" width="9.140625" style="1378"/>
    <col min="6683" max="6683" width="19.42578125" style="1378" customWidth="1"/>
    <col min="6684" max="6684" width="16.42578125" style="1378" bestFit="1" customWidth="1"/>
    <col min="6685" max="6912" width="9.140625" style="1378"/>
    <col min="6913" max="6913" width="7.42578125" style="1378" customWidth="1"/>
    <col min="6914" max="6914" width="11.140625" style="1378" customWidth="1"/>
    <col min="6915" max="6915" width="7" style="1378" bestFit="1" customWidth="1"/>
    <col min="6916" max="6916" width="7.5703125" style="1378" bestFit="1" customWidth="1"/>
    <col min="6917" max="6917" width="7.7109375" style="1378" bestFit="1" customWidth="1"/>
    <col min="6918" max="6918" width="9.42578125" style="1378" bestFit="1" customWidth="1"/>
    <col min="6919" max="6919" width="10" style="1378" bestFit="1" customWidth="1"/>
    <col min="6920" max="6920" width="8.28515625" style="1378" customWidth="1"/>
    <col min="6921" max="6921" width="7.140625" style="1378" customWidth="1"/>
    <col min="6922" max="6922" width="10.7109375" style="1378" customWidth="1"/>
    <col min="6923" max="6923" width="8.5703125" style="1378" customWidth="1"/>
    <col min="6924" max="6925" width="8.85546875" style="1378" bestFit="1" customWidth="1"/>
    <col min="6926" max="6926" width="9.42578125" style="1378" customWidth="1"/>
    <col min="6927" max="6935" width="8.28515625" style="1378" customWidth="1"/>
    <col min="6936" max="6936" width="8.140625" style="1378" customWidth="1"/>
    <col min="6937" max="6937" width="10.42578125" style="1378" customWidth="1"/>
    <col min="6938" max="6938" width="9.140625" style="1378"/>
    <col min="6939" max="6939" width="19.42578125" style="1378" customWidth="1"/>
    <col min="6940" max="6940" width="16.42578125" style="1378" bestFit="1" customWidth="1"/>
    <col min="6941" max="7168" width="9.140625" style="1378"/>
    <col min="7169" max="7169" width="7.42578125" style="1378" customWidth="1"/>
    <col min="7170" max="7170" width="11.140625" style="1378" customWidth="1"/>
    <col min="7171" max="7171" width="7" style="1378" bestFit="1" customWidth="1"/>
    <col min="7172" max="7172" width="7.5703125" style="1378" bestFit="1" customWidth="1"/>
    <col min="7173" max="7173" width="7.7109375" style="1378" bestFit="1" customWidth="1"/>
    <col min="7174" max="7174" width="9.42578125" style="1378" bestFit="1" customWidth="1"/>
    <col min="7175" max="7175" width="10" style="1378" bestFit="1" customWidth="1"/>
    <col min="7176" max="7176" width="8.28515625" style="1378" customWidth="1"/>
    <col min="7177" max="7177" width="7.140625" style="1378" customWidth="1"/>
    <col min="7178" max="7178" width="10.7109375" style="1378" customWidth="1"/>
    <col min="7179" max="7179" width="8.5703125" style="1378" customWidth="1"/>
    <col min="7180" max="7181" width="8.85546875" style="1378" bestFit="1" customWidth="1"/>
    <col min="7182" max="7182" width="9.42578125" style="1378" customWidth="1"/>
    <col min="7183" max="7191" width="8.28515625" style="1378" customWidth="1"/>
    <col min="7192" max="7192" width="8.140625" style="1378" customWidth="1"/>
    <col min="7193" max="7193" width="10.42578125" style="1378" customWidth="1"/>
    <col min="7194" max="7194" width="9.140625" style="1378"/>
    <col min="7195" max="7195" width="19.42578125" style="1378" customWidth="1"/>
    <col min="7196" max="7196" width="16.42578125" style="1378" bestFit="1" customWidth="1"/>
    <col min="7197" max="7424" width="9.140625" style="1378"/>
    <col min="7425" max="7425" width="7.42578125" style="1378" customWidth="1"/>
    <col min="7426" max="7426" width="11.140625" style="1378" customWidth="1"/>
    <col min="7427" max="7427" width="7" style="1378" bestFit="1" customWidth="1"/>
    <col min="7428" max="7428" width="7.5703125" style="1378" bestFit="1" customWidth="1"/>
    <col min="7429" max="7429" width="7.7109375" style="1378" bestFit="1" customWidth="1"/>
    <col min="7430" max="7430" width="9.42578125" style="1378" bestFit="1" customWidth="1"/>
    <col min="7431" max="7431" width="10" style="1378" bestFit="1" customWidth="1"/>
    <col min="7432" max="7432" width="8.28515625" style="1378" customWidth="1"/>
    <col min="7433" max="7433" width="7.140625" style="1378" customWidth="1"/>
    <col min="7434" max="7434" width="10.7109375" style="1378" customWidth="1"/>
    <col min="7435" max="7435" width="8.5703125" style="1378" customWidth="1"/>
    <col min="7436" max="7437" width="8.85546875" style="1378" bestFit="1" customWidth="1"/>
    <col min="7438" max="7438" width="9.42578125" style="1378" customWidth="1"/>
    <col min="7439" max="7447" width="8.28515625" style="1378" customWidth="1"/>
    <col min="7448" max="7448" width="8.140625" style="1378" customWidth="1"/>
    <col min="7449" max="7449" width="10.42578125" style="1378" customWidth="1"/>
    <col min="7450" max="7450" width="9.140625" style="1378"/>
    <col min="7451" max="7451" width="19.42578125" style="1378" customWidth="1"/>
    <col min="7452" max="7452" width="16.42578125" style="1378" bestFit="1" customWidth="1"/>
    <col min="7453" max="7680" width="9.140625" style="1378"/>
    <col min="7681" max="7681" width="7.42578125" style="1378" customWidth="1"/>
    <col min="7682" max="7682" width="11.140625" style="1378" customWidth="1"/>
    <col min="7683" max="7683" width="7" style="1378" bestFit="1" customWidth="1"/>
    <col min="7684" max="7684" width="7.5703125" style="1378" bestFit="1" customWidth="1"/>
    <col min="7685" max="7685" width="7.7109375" style="1378" bestFit="1" customWidth="1"/>
    <col min="7686" max="7686" width="9.42578125" style="1378" bestFit="1" customWidth="1"/>
    <col min="7687" max="7687" width="10" style="1378" bestFit="1" customWidth="1"/>
    <col min="7688" max="7688" width="8.28515625" style="1378" customWidth="1"/>
    <col min="7689" max="7689" width="7.140625" style="1378" customWidth="1"/>
    <col min="7690" max="7690" width="10.7109375" style="1378" customWidth="1"/>
    <col min="7691" max="7691" width="8.5703125" style="1378" customWidth="1"/>
    <col min="7692" max="7693" width="8.85546875" style="1378" bestFit="1" customWidth="1"/>
    <col min="7694" max="7694" width="9.42578125" style="1378" customWidth="1"/>
    <col min="7695" max="7703" width="8.28515625" style="1378" customWidth="1"/>
    <col min="7704" max="7704" width="8.140625" style="1378" customWidth="1"/>
    <col min="7705" max="7705" width="10.42578125" style="1378" customWidth="1"/>
    <col min="7706" max="7706" width="9.140625" style="1378"/>
    <col min="7707" max="7707" width="19.42578125" style="1378" customWidth="1"/>
    <col min="7708" max="7708" width="16.42578125" style="1378" bestFit="1" customWidth="1"/>
    <col min="7709" max="7936" width="9.140625" style="1378"/>
    <col min="7937" max="7937" width="7.42578125" style="1378" customWidth="1"/>
    <col min="7938" max="7938" width="11.140625" style="1378" customWidth="1"/>
    <col min="7939" max="7939" width="7" style="1378" bestFit="1" customWidth="1"/>
    <col min="7940" max="7940" width="7.5703125" style="1378" bestFit="1" customWidth="1"/>
    <col min="7941" max="7941" width="7.7109375" style="1378" bestFit="1" customWidth="1"/>
    <col min="7942" max="7942" width="9.42578125" style="1378" bestFit="1" customWidth="1"/>
    <col min="7943" max="7943" width="10" style="1378" bestFit="1" customWidth="1"/>
    <col min="7944" max="7944" width="8.28515625" style="1378" customWidth="1"/>
    <col min="7945" max="7945" width="7.140625" style="1378" customWidth="1"/>
    <col min="7946" max="7946" width="10.7109375" style="1378" customWidth="1"/>
    <col min="7947" max="7947" width="8.5703125" style="1378" customWidth="1"/>
    <col min="7948" max="7949" width="8.85546875" style="1378" bestFit="1" customWidth="1"/>
    <col min="7950" max="7950" width="9.42578125" style="1378" customWidth="1"/>
    <col min="7951" max="7959" width="8.28515625" style="1378" customWidth="1"/>
    <col min="7960" max="7960" width="8.140625" style="1378" customWidth="1"/>
    <col min="7961" max="7961" width="10.42578125" style="1378" customWidth="1"/>
    <col min="7962" max="7962" width="9.140625" style="1378"/>
    <col min="7963" max="7963" width="19.42578125" style="1378" customWidth="1"/>
    <col min="7964" max="7964" width="16.42578125" style="1378" bestFit="1" customWidth="1"/>
    <col min="7965" max="8192" width="9.140625" style="1378"/>
    <col min="8193" max="8193" width="7.42578125" style="1378" customWidth="1"/>
    <col min="8194" max="8194" width="11.140625" style="1378" customWidth="1"/>
    <col min="8195" max="8195" width="7" style="1378" bestFit="1" customWidth="1"/>
    <col min="8196" max="8196" width="7.5703125" style="1378" bestFit="1" customWidth="1"/>
    <col min="8197" max="8197" width="7.7109375" style="1378" bestFit="1" customWidth="1"/>
    <col min="8198" max="8198" width="9.42578125" style="1378" bestFit="1" customWidth="1"/>
    <col min="8199" max="8199" width="10" style="1378" bestFit="1" customWidth="1"/>
    <col min="8200" max="8200" width="8.28515625" style="1378" customWidth="1"/>
    <col min="8201" max="8201" width="7.140625" style="1378" customWidth="1"/>
    <col min="8202" max="8202" width="10.7109375" style="1378" customWidth="1"/>
    <col min="8203" max="8203" width="8.5703125" style="1378" customWidth="1"/>
    <col min="8204" max="8205" width="8.85546875" style="1378" bestFit="1" customWidth="1"/>
    <col min="8206" max="8206" width="9.42578125" style="1378" customWidth="1"/>
    <col min="8207" max="8215" width="8.28515625" style="1378" customWidth="1"/>
    <col min="8216" max="8216" width="8.140625" style="1378" customWidth="1"/>
    <col min="8217" max="8217" width="10.42578125" style="1378" customWidth="1"/>
    <col min="8218" max="8218" width="9.140625" style="1378"/>
    <col min="8219" max="8219" width="19.42578125" style="1378" customWidth="1"/>
    <col min="8220" max="8220" width="16.42578125" style="1378" bestFit="1" customWidth="1"/>
    <col min="8221" max="8448" width="9.140625" style="1378"/>
    <col min="8449" max="8449" width="7.42578125" style="1378" customWidth="1"/>
    <col min="8450" max="8450" width="11.140625" style="1378" customWidth="1"/>
    <col min="8451" max="8451" width="7" style="1378" bestFit="1" customWidth="1"/>
    <col min="8452" max="8452" width="7.5703125" style="1378" bestFit="1" customWidth="1"/>
    <col min="8453" max="8453" width="7.7109375" style="1378" bestFit="1" customWidth="1"/>
    <col min="8454" max="8454" width="9.42578125" style="1378" bestFit="1" customWidth="1"/>
    <col min="8455" max="8455" width="10" style="1378" bestFit="1" customWidth="1"/>
    <col min="8456" max="8456" width="8.28515625" style="1378" customWidth="1"/>
    <col min="8457" max="8457" width="7.140625" style="1378" customWidth="1"/>
    <col min="8458" max="8458" width="10.7109375" style="1378" customWidth="1"/>
    <col min="8459" max="8459" width="8.5703125" style="1378" customWidth="1"/>
    <col min="8460" max="8461" width="8.85546875" style="1378" bestFit="1" customWidth="1"/>
    <col min="8462" max="8462" width="9.42578125" style="1378" customWidth="1"/>
    <col min="8463" max="8471" width="8.28515625" style="1378" customWidth="1"/>
    <col min="8472" max="8472" width="8.140625" style="1378" customWidth="1"/>
    <col min="8473" max="8473" width="10.42578125" style="1378" customWidth="1"/>
    <col min="8474" max="8474" width="9.140625" style="1378"/>
    <col min="8475" max="8475" width="19.42578125" style="1378" customWidth="1"/>
    <col min="8476" max="8476" width="16.42578125" style="1378" bestFit="1" customWidth="1"/>
    <col min="8477" max="8704" width="9.140625" style="1378"/>
    <col min="8705" max="8705" width="7.42578125" style="1378" customWidth="1"/>
    <col min="8706" max="8706" width="11.140625" style="1378" customWidth="1"/>
    <col min="8707" max="8707" width="7" style="1378" bestFit="1" customWidth="1"/>
    <col min="8708" max="8708" width="7.5703125" style="1378" bestFit="1" customWidth="1"/>
    <col min="8709" max="8709" width="7.7109375" style="1378" bestFit="1" customWidth="1"/>
    <col min="8710" max="8710" width="9.42578125" style="1378" bestFit="1" customWidth="1"/>
    <col min="8711" max="8711" width="10" style="1378" bestFit="1" customWidth="1"/>
    <col min="8712" max="8712" width="8.28515625" style="1378" customWidth="1"/>
    <col min="8713" max="8713" width="7.140625" style="1378" customWidth="1"/>
    <col min="8714" max="8714" width="10.7109375" style="1378" customWidth="1"/>
    <col min="8715" max="8715" width="8.5703125" style="1378" customWidth="1"/>
    <col min="8716" max="8717" width="8.85546875" style="1378" bestFit="1" customWidth="1"/>
    <col min="8718" max="8718" width="9.42578125" style="1378" customWidth="1"/>
    <col min="8719" max="8727" width="8.28515625" style="1378" customWidth="1"/>
    <col min="8728" max="8728" width="8.140625" style="1378" customWidth="1"/>
    <col min="8729" max="8729" width="10.42578125" style="1378" customWidth="1"/>
    <col min="8730" max="8730" width="9.140625" style="1378"/>
    <col min="8731" max="8731" width="19.42578125" style="1378" customWidth="1"/>
    <col min="8732" max="8732" width="16.42578125" style="1378" bestFit="1" customWidth="1"/>
    <col min="8733" max="8960" width="9.140625" style="1378"/>
    <col min="8961" max="8961" width="7.42578125" style="1378" customWidth="1"/>
    <col min="8962" max="8962" width="11.140625" style="1378" customWidth="1"/>
    <col min="8963" max="8963" width="7" style="1378" bestFit="1" customWidth="1"/>
    <col min="8964" max="8964" width="7.5703125" style="1378" bestFit="1" customWidth="1"/>
    <col min="8965" max="8965" width="7.7109375" style="1378" bestFit="1" customWidth="1"/>
    <col min="8966" max="8966" width="9.42578125" style="1378" bestFit="1" customWidth="1"/>
    <col min="8967" max="8967" width="10" style="1378" bestFit="1" customWidth="1"/>
    <col min="8968" max="8968" width="8.28515625" style="1378" customWidth="1"/>
    <col min="8969" max="8969" width="7.140625" style="1378" customWidth="1"/>
    <col min="8970" max="8970" width="10.7109375" style="1378" customWidth="1"/>
    <col min="8971" max="8971" width="8.5703125" style="1378" customWidth="1"/>
    <col min="8972" max="8973" width="8.85546875" style="1378" bestFit="1" customWidth="1"/>
    <col min="8974" max="8974" width="9.42578125" style="1378" customWidth="1"/>
    <col min="8975" max="8983" width="8.28515625" style="1378" customWidth="1"/>
    <col min="8984" max="8984" width="8.140625" style="1378" customWidth="1"/>
    <col min="8985" max="8985" width="10.42578125" style="1378" customWidth="1"/>
    <col min="8986" max="8986" width="9.140625" style="1378"/>
    <col min="8987" max="8987" width="19.42578125" style="1378" customWidth="1"/>
    <col min="8988" max="8988" width="16.42578125" style="1378" bestFit="1" customWidth="1"/>
    <col min="8989" max="9216" width="9.140625" style="1378"/>
    <col min="9217" max="9217" width="7.42578125" style="1378" customWidth="1"/>
    <col min="9218" max="9218" width="11.140625" style="1378" customWidth="1"/>
    <col min="9219" max="9219" width="7" style="1378" bestFit="1" customWidth="1"/>
    <col min="9220" max="9220" width="7.5703125" style="1378" bestFit="1" customWidth="1"/>
    <col min="9221" max="9221" width="7.7109375" style="1378" bestFit="1" customWidth="1"/>
    <col min="9222" max="9222" width="9.42578125" style="1378" bestFit="1" customWidth="1"/>
    <col min="9223" max="9223" width="10" style="1378" bestFit="1" customWidth="1"/>
    <col min="9224" max="9224" width="8.28515625" style="1378" customWidth="1"/>
    <col min="9225" max="9225" width="7.140625" style="1378" customWidth="1"/>
    <col min="9226" max="9226" width="10.7109375" style="1378" customWidth="1"/>
    <col min="9227" max="9227" width="8.5703125" style="1378" customWidth="1"/>
    <col min="9228" max="9229" width="8.85546875" style="1378" bestFit="1" customWidth="1"/>
    <col min="9230" max="9230" width="9.42578125" style="1378" customWidth="1"/>
    <col min="9231" max="9239" width="8.28515625" style="1378" customWidth="1"/>
    <col min="9240" max="9240" width="8.140625" style="1378" customWidth="1"/>
    <col min="9241" max="9241" width="10.42578125" style="1378" customWidth="1"/>
    <col min="9242" max="9242" width="9.140625" style="1378"/>
    <col min="9243" max="9243" width="19.42578125" style="1378" customWidth="1"/>
    <col min="9244" max="9244" width="16.42578125" style="1378" bestFit="1" customWidth="1"/>
    <col min="9245" max="9472" width="9.140625" style="1378"/>
    <col min="9473" max="9473" width="7.42578125" style="1378" customWidth="1"/>
    <col min="9474" max="9474" width="11.140625" style="1378" customWidth="1"/>
    <col min="9475" max="9475" width="7" style="1378" bestFit="1" customWidth="1"/>
    <col min="9476" max="9476" width="7.5703125" style="1378" bestFit="1" customWidth="1"/>
    <col min="9477" max="9477" width="7.7109375" style="1378" bestFit="1" customWidth="1"/>
    <col min="9478" max="9478" width="9.42578125" style="1378" bestFit="1" customWidth="1"/>
    <col min="9479" max="9479" width="10" style="1378" bestFit="1" customWidth="1"/>
    <col min="9480" max="9480" width="8.28515625" style="1378" customWidth="1"/>
    <col min="9481" max="9481" width="7.140625" style="1378" customWidth="1"/>
    <col min="9482" max="9482" width="10.7109375" style="1378" customWidth="1"/>
    <col min="9483" max="9483" width="8.5703125" style="1378" customWidth="1"/>
    <col min="9484" max="9485" width="8.85546875" style="1378" bestFit="1" customWidth="1"/>
    <col min="9486" max="9486" width="9.42578125" style="1378" customWidth="1"/>
    <col min="9487" max="9495" width="8.28515625" style="1378" customWidth="1"/>
    <col min="9496" max="9496" width="8.140625" style="1378" customWidth="1"/>
    <col min="9497" max="9497" width="10.42578125" style="1378" customWidth="1"/>
    <col min="9498" max="9498" width="9.140625" style="1378"/>
    <col min="9499" max="9499" width="19.42578125" style="1378" customWidth="1"/>
    <col min="9500" max="9500" width="16.42578125" style="1378" bestFit="1" customWidth="1"/>
    <col min="9501" max="9728" width="9.140625" style="1378"/>
    <col min="9729" max="9729" width="7.42578125" style="1378" customWidth="1"/>
    <col min="9730" max="9730" width="11.140625" style="1378" customWidth="1"/>
    <col min="9731" max="9731" width="7" style="1378" bestFit="1" customWidth="1"/>
    <col min="9732" max="9732" width="7.5703125" style="1378" bestFit="1" customWidth="1"/>
    <col min="9733" max="9733" width="7.7109375" style="1378" bestFit="1" customWidth="1"/>
    <col min="9734" max="9734" width="9.42578125" style="1378" bestFit="1" customWidth="1"/>
    <col min="9735" max="9735" width="10" style="1378" bestFit="1" customWidth="1"/>
    <col min="9736" max="9736" width="8.28515625" style="1378" customWidth="1"/>
    <col min="9737" max="9737" width="7.140625" style="1378" customWidth="1"/>
    <col min="9738" max="9738" width="10.7109375" style="1378" customWidth="1"/>
    <col min="9739" max="9739" width="8.5703125" style="1378" customWidth="1"/>
    <col min="9740" max="9741" width="8.85546875" style="1378" bestFit="1" customWidth="1"/>
    <col min="9742" max="9742" width="9.42578125" style="1378" customWidth="1"/>
    <col min="9743" max="9751" width="8.28515625" style="1378" customWidth="1"/>
    <col min="9752" max="9752" width="8.140625" style="1378" customWidth="1"/>
    <col min="9753" max="9753" width="10.42578125" style="1378" customWidth="1"/>
    <col min="9754" max="9754" width="9.140625" style="1378"/>
    <col min="9755" max="9755" width="19.42578125" style="1378" customWidth="1"/>
    <col min="9756" max="9756" width="16.42578125" style="1378" bestFit="1" customWidth="1"/>
    <col min="9757" max="9984" width="9.140625" style="1378"/>
    <col min="9985" max="9985" width="7.42578125" style="1378" customWidth="1"/>
    <col min="9986" max="9986" width="11.140625" style="1378" customWidth="1"/>
    <col min="9987" max="9987" width="7" style="1378" bestFit="1" customWidth="1"/>
    <col min="9988" max="9988" width="7.5703125" style="1378" bestFit="1" customWidth="1"/>
    <col min="9989" max="9989" width="7.7109375" style="1378" bestFit="1" customWidth="1"/>
    <col min="9990" max="9990" width="9.42578125" style="1378" bestFit="1" customWidth="1"/>
    <col min="9991" max="9991" width="10" style="1378" bestFit="1" customWidth="1"/>
    <col min="9992" max="9992" width="8.28515625" style="1378" customWidth="1"/>
    <col min="9993" max="9993" width="7.140625" style="1378" customWidth="1"/>
    <col min="9994" max="9994" width="10.7109375" style="1378" customWidth="1"/>
    <col min="9995" max="9995" width="8.5703125" style="1378" customWidth="1"/>
    <col min="9996" max="9997" width="8.85546875" style="1378" bestFit="1" customWidth="1"/>
    <col min="9998" max="9998" width="9.42578125" style="1378" customWidth="1"/>
    <col min="9999" max="10007" width="8.28515625" style="1378" customWidth="1"/>
    <col min="10008" max="10008" width="8.140625" style="1378" customWidth="1"/>
    <col min="10009" max="10009" width="10.42578125" style="1378" customWidth="1"/>
    <col min="10010" max="10010" width="9.140625" style="1378"/>
    <col min="10011" max="10011" width="19.42578125" style="1378" customWidth="1"/>
    <col min="10012" max="10012" width="16.42578125" style="1378" bestFit="1" customWidth="1"/>
    <col min="10013" max="10240" width="9.140625" style="1378"/>
    <col min="10241" max="10241" width="7.42578125" style="1378" customWidth="1"/>
    <col min="10242" max="10242" width="11.140625" style="1378" customWidth="1"/>
    <col min="10243" max="10243" width="7" style="1378" bestFit="1" customWidth="1"/>
    <col min="10244" max="10244" width="7.5703125" style="1378" bestFit="1" customWidth="1"/>
    <col min="10245" max="10245" width="7.7109375" style="1378" bestFit="1" customWidth="1"/>
    <col min="10246" max="10246" width="9.42578125" style="1378" bestFit="1" customWidth="1"/>
    <col min="10247" max="10247" width="10" style="1378" bestFit="1" customWidth="1"/>
    <col min="10248" max="10248" width="8.28515625" style="1378" customWidth="1"/>
    <col min="10249" max="10249" width="7.140625" style="1378" customWidth="1"/>
    <col min="10250" max="10250" width="10.7109375" style="1378" customWidth="1"/>
    <col min="10251" max="10251" width="8.5703125" style="1378" customWidth="1"/>
    <col min="10252" max="10253" width="8.85546875" style="1378" bestFit="1" customWidth="1"/>
    <col min="10254" max="10254" width="9.42578125" style="1378" customWidth="1"/>
    <col min="10255" max="10263" width="8.28515625" style="1378" customWidth="1"/>
    <col min="10264" max="10264" width="8.140625" style="1378" customWidth="1"/>
    <col min="10265" max="10265" width="10.42578125" style="1378" customWidth="1"/>
    <col min="10266" max="10266" width="9.140625" style="1378"/>
    <col min="10267" max="10267" width="19.42578125" style="1378" customWidth="1"/>
    <col min="10268" max="10268" width="16.42578125" style="1378" bestFit="1" customWidth="1"/>
    <col min="10269" max="10496" width="9.140625" style="1378"/>
    <col min="10497" max="10497" width="7.42578125" style="1378" customWidth="1"/>
    <col min="10498" max="10498" width="11.140625" style="1378" customWidth="1"/>
    <col min="10499" max="10499" width="7" style="1378" bestFit="1" customWidth="1"/>
    <col min="10500" max="10500" width="7.5703125" style="1378" bestFit="1" customWidth="1"/>
    <col min="10501" max="10501" width="7.7109375" style="1378" bestFit="1" customWidth="1"/>
    <col min="10502" max="10502" width="9.42578125" style="1378" bestFit="1" customWidth="1"/>
    <col min="10503" max="10503" width="10" style="1378" bestFit="1" customWidth="1"/>
    <col min="10504" max="10504" width="8.28515625" style="1378" customWidth="1"/>
    <col min="10505" max="10505" width="7.140625" style="1378" customWidth="1"/>
    <col min="10506" max="10506" width="10.7109375" style="1378" customWidth="1"/>
    <col min="10507" max="10507" width="8.5703125" style="1378" customWidth="1"/>
    <col min="10508" max="10509" width="8.85546875" style="1378" bestFit="1" customWidth="1"/>
    <col min="10510" max="10510" width="9.42578125" style="1378" customWidth="1"/>
    <col min="10511" max="10519" width="8.28515625" style="1378" customWidth="1"/>
    <col min="10520" max="10520" width="8.140625" style="1378" customWidth="1"/>
    <col min="10521" max="10521" width="10.42578125" style="1378" customWidth="1"/>
    <col min="10522" max="10522" width="9.140625" style="1378"/>
    <col min="10523" max="10523" width="19.42578125" style="1378" customWidth="1"/>
    <col min="10524" max="10524" width="16.42578125" style="1378" bestFit="1" customWidth="1"/>
    <col min="10525" max="10752" width="9.140625" style="1378"/>
    <col min="10753" max="10753" width="7.42578125" style="1378" customWidth="1"/>
    <col min="10754" max="10754" width="11.140625" style="1378" customWidth="1"/>
    <col min="10755" max="10755" width="7" style="1378" bestFit="1" customWidth="1"/>
    <col min="10756" max="10756" width="7.5703125" style="1378" bestFit="1" customWidth="1"/>
    <col min="10757" max="10757" width="7.7109375" style="1378" bestFit="1" customWidth="1"/>
    <col min="10758" max="10758" width="9.42578125" style="1378" bestFit="1" customWidth="1"/>
    <col min="10759" max="10759" width="10" style="1378" bestFit="1" customWidth="1"/>
    <col min="10760" max="10760" width="8.28515625" style="1378" customWidth="1"/>
    <col min="10761" max="10761" width="7.140625" style="1378" customWidth="1"/>
    <col min="10762" max="10762" width="10.7109375" style="1378" customWidth="1"/>
    <col min="10763" max="10763" width="8.5703125" style="1378" customWidth="1"/>
    <col min="10764" max="10765" width="8.85546875" style="1378" bestFit="1" customWidth="1"/>
    <col min="10766" max="10766" width="9.42578125" style="1378" customWidth="1"/>
    <col min="10767" max="10775" width="8.28515625" style="1378" customWidth="1"/>
    <col min="10776" max="10776" width="8.140625" style="1378" customWidth="1"/>
    <col min="10777" max="10777" width="10.42578125" style="1378" customWidth="1"/>
    <col min="10778" max="10778" width="9.140625" style="1378"/>
    <col min="10779" max="10779" width="19.42578125" style="1378" customWidth="1"/>
    <col min="10780" max="10780" width="16.42578125" style="1378" bestFit="1" customWidth="1"/>
    <col min="10781" max="11008" width="9.140625" style="1378"/>
    <col min="11009" max="11009" width="7.42578125" style="1378" customWidth="1"/>
    <col min="11010" max="11010" width="11.140625" style="1378" customWidth="1"/>
    <col min="11011" max="11011" width="7" style="1378" bestFit="1" customWidth="1"/>
    <col min="11012" max="11012" width="7.5703125" style="1378" bestFit="1" customWidth="1"/>
    <col min="11013" max="11013" width="7.7109375" style="1378" bestFit="1" customWidth="1"/>
    <col min="11014" max="11014" width="9.42578125" style="1378" bestFit="1" customWidth="1"/>
    <col min="11015" max="11015" width="10" style="1378" bestFit="1" customWidth="1"/>
    <col min="11016" max="11016" width="8.28515625" style="1378" customWidth="1"/>
    <col min="11017" max="11017" width="7.140625" style="1378" customWidth="1"/>
    <col min="11018" max="11018" width="10.7109375" style="1378" customWidth="1"/>
    <col min="11019" max="11019" width="8.5703125" style="1378" customWidth="1"/>
    <col min="11020" max="11021" width="8.85546875" style="1378" bestFit="1" customWidth="1"/>
    <col min="11022" max="11022" width="9.42578125" style="1378" customWidth="1"/>
    <col min="11023" max="11031" width="8.28515625" style="1378" customWidth="1"/>
    <col min="11032" max="11032" width="8.140625" style="1378" customWidth="1"/>
    <col min="11033" max="11033" width="10.42578125" style="1378" customWidth="1"/>
    <col min="11034" max="11034" width="9.140625" style="1378"/>
    <col min="11035" max="11035" width="19.42578125" style="1378" customWidth="1"/>
    <col min="11036" max="11036" width="16.42578125" style="1378" bestFit="1" customWidth="1"/>
    <col min="11037" max="11264" width="9.140625" style="1378"/>
    <col min="11265" max="11265" width="7.42578125" style="1378" customWidth="1"/>
    <col min="11266" max="11266" width="11.140625" style="1378" customWidth="1"/>
    <col min="11267" max="11267" width="7" style="1378" bestFit="1" customWidth="1"/>
    <col min="11268" max="11268" width="7.5703125" style="1378" bestFit="1" customWidth="1"/>
    <col min="11269" max="11269" width="7.7109375" style="1378" bestFit="1" customWidth="1"/>
    <col min="11270" max="11270" width="9.42578125" style="1378" bestFit="1" customWidth="1"/>
    <col min="11271" max="11271" width="10" style="1378" bestFit="1" customWidth="1"/>
    <col min="11272" max="11272" width="8.28515625" style="1378" customWidth="1"/>
    <col min="11273" max="11273" width="7.140625" style="1378" customWidth="1"/>
    <col min="11274" max="11274" width="10.7109375" style="1378" customWidth="1"/>
    <col min="11275" max="11275" width="8.5703125" style="1378" customWidth="1"/>
    <col min="11276" max="11277" width="8.85546875" style="1378" bestFit="1" customWidth="1"/>
    <col min="11278" max="11278" width="9.42578125" style="1378" customWidth="1"/>
    <col min="11279" max="11287" width="8.28515625" style="1378" customWidth="1"/>
    <col min="11288" max="11288" width="8.140625" style="1378" customWidth="1"/>
    <col min="11289" max="11289" width="10.42578125" style="1378" customWidth="1"/>
    <col min="11290" max="11290" width="9.140625" style="1378"/>
    <col min="11291" max="11291" width="19.42578125" style="1378" customWidth="1"/>
    <col min="11292" max="11292" width="16.42578125" style="1378" bestFit="1" customWidth="1"/>
    <col min="11293" max="11520" width="9.140625" style="1378"/>
    <col min="11521" max="11521" width="7.42578125" style="1378" customWidth="1"/>
    <col min="11522" max="11522" width="11.140625" style="1378" customWidth="1"/>
    <col min="11523" max="11523" width="7" style="1378" bestFit="1" customWidth="1"/>
    <col min="11524" max="11524" width="7.5703125" style="1378" bestFit="1" customWidth="1"/>
    <col min="11525" max="11525" width="7.7109375" style="1378" bestFit="1" customWidth="1"/>
    <col min="11526" max="11526" width="9.42578125" style="1378" bestFit="1" customWidth="1"/>
    <col min="11527" max="11527" width="10" style="1378" bestFit="1" customWidth="1"/>
    <col min="11528" max="11528" width="8.28515625" style="1378" customWidth="1"/>
    <col min="11529" max="11529" width="7.140625" style="1378" customWidth="1"/>
    <col min="11530" max="11530" width="10.7109375" style="1378" customWidth="1"/>
    <col min="11531" max="11531" width="8.5703125" style="1378" customWidth="1"/>
    <col min="11532" max="11533" width="8.85546875" style="1378" bestFit="1" customWidth="1"/>
    <col min="11534" max="11534" width="9.42578125" style="1378" customWidth="1"/>
    <col min="11535" max="11543" width="8.28515625" style="1378" customWidth="1"/>
    <col min="11544" max="11544" width="8.140625" style="1378" customWidth="1"/>
    <col min="11545" max="11545" width="10.42578125" style="1378" customWidth="1"/>
    <col min="11546" max="11546" width="9.140625" style="1378"/>
    <col min="11547" max="11547" width="19.42578125" style="1378" customWidth="1"/>
    <col min="11548" max="11548" width="16.42578125" style="1378" bestFit="1" customWidth="1"/>
    <col min="11549" max="11776" width="9.140625" style="1378"/>
    <col min="11777" max="11777" width="7.42578125" style="1378" customWidth="1"/>
    <col min="11778" max="11778" width="11.140625" style="1378" customWidth="1"/>
    <col min="11779" max="11779" width="7" style="1378" bestFit="1" customWidth="1"/>
    <col min="11780" max="11780" width="7.5703125" style="1378" bestFit="1" customWidth="1"/>
    <col min="11781" max="11781" width="7.7109375" style="1378" bestFit="1" customWidth="1"/>
    <col min="11782" max="11782" width="9.42578125" style="1378" bestFit="1" customWidth="1"/>
    <col min="11783" max="11783" width="10" style="1378" bestFit="1" customWidth="1"/>
    <col min="11784" max="11784" width="8.28515625" style="1378" customWidth="1"/>
    <col min="11785" max="11785" width="7.140625" style="1378" customWidth="1"/>
    <col min="11786" max="11786" width="10.7109375" style="1378" customWidth="1"/>
    <col min="11787" max="11787" width="8.5703125" style="1378" customWidth="1"/>
    <col min="11788" max="11789" width="8.85546875" style="1378" bestFit="1" customWidth="1"/>
    <col min="11790" max="11790" width="9.42578125" style="1378" customWidth="1"/>
    <col min="11791" max="11799" width="8.28515625" style="1378" customWidth="1"/>
    <col min="11800" max="11800" width="8.140625" style="1378" customWidth="1"/>
    <col min="11801" max="11801" width="10.42578125" style="1378" customWidth="1"/>
    <col min="11802" max="11802" width="9.140625" style="1378"/>
    <col min="11803" max="11803" width="19.42578125" style="1378" customWidth="1"/>
    <col min="11804" max="11804" width="16.42578125" style="1378" bestFit="1" customWidth="1"/>
    <col min="11805" max="12032" width="9.140625" style="1378"/>
    <col min="12033" max="12033" width="7.42578125" style="1378" customWidth="1"/>
    <col min="12034" max="12034" width="11.140625" style="1378" customWidth="1"/>
    <col min="12035" max="12035" width="7" style="1378" bestFit="1" customWidth="1"/>
    <col min="12036" max="12036" width="7.5703125" style="1378" bestFit="1" customWidth="1"/>
    <col min="12037" max="12037" width="7.7109375" style="1378" bestFit="1" customWidth="1"/>
    <col min="12038" max="12038" width="9.42578125" style="1378" bestFit="1" customWidth="1"/>
    <col min="12039" max="12039" width="10" style="1378" bestFit="1" customWidth="1"/>
    <col min="12040" max="12040" width="8.28515625" style="1378" customWidth="1"/>
    <col min="12041" max="12041" width="7.140625" style="1378" customWidth="1"/>
    <col min="12042" max="12042" width="10.7109375" style="1378" customWidth="1"/>
    <col min="12043" max="12043" width="8.5703125" style="1378" customWidth="1"/>
    <col min="12044" max="12045" width="8.85546875" style="1378" bestFit="1" customWidth="1"/>
    <col min="12046" max="12046" width="9.42578125" style="1378" customWidth="1"/>
    <col min="12047" max="12055" width="8.28515625" style="1378" customWidth="1"/>
    <col min="12056" max="12056" width="8.140625" style="1378" customWidth="1"/>
    <col min="12057" max="12057" width="10.42578125" style="1378" customWidth="1"/>
    <col min="12058" max="12058" width="9.140625" style="1378"/>
    <col min="12059" max="12059" width="19.42578125" style="1378" customWidth="1"/>
    <col min="12060" max="12060" width="16.42578125" style="1378" bestFit="1" customWidth="1"/>
    <col min="12061" max="12288" width="9.140625" style="1378"/>
    <col min="12289" max="12289" width="7.42578125" style="1378" customWidth="1"/>
    <col min="12290" max="12290" width="11.140625" style="1378" customWidth="1"/>
    <col min="12291" max="12291" width="7" style="1378" bestFit="1" customWidth="1"/>
    <col min="12292" max="12292" width="7.5703125" style="1378" bestFit="1" customWidth="1"/>
    <col min="12293" max="12293" width="7.7109375" style="1378" bestFit="1" customWidth="1"/>
    <col min="12294" max="12294" width="9.42578125" style="1378" bestFit="1" customWidth="1"/>
    <col min="12295" max="12295" width="10" style="1378" bestFit="1" customWidth="1"/>
    <col min="12296" max="12296" width="8.28515625" style="1378" customWidth="1"/>
    <col min="12297" max="12297" width="7.140625" style="1378" customWidth="1"/>
    <col min="12298" max="12298" width="10.7109375" style="1378" customWidth="1"/>
    <col min="12299" max="12299" width="8.5703125" style="1378" customWidth="1"/>
    <col min="12300" max="12301" width="8.85546875" style="1378" bestFit="1" customWidth="1"/>
    <col min="12302" max="12302" width="9.42578125" style="1378" customWidth="1"/>
    <col min="12303" max="12311" width="8.28515625" style="1378" customWidth="1"/>
    <col min="12312" max="12312" width="8.140625" style="1378" customWidth="1"/>
    <col min="12313" max="12313" width="10.42578125" style="1378" customWidth="1"/>
    <col min="12314" max="12314" width="9.140625" style="1378"/>
    <col min="12315" max="12315" width="19.42578125" style="1378" customWidth="1"/>
    <col min="12316" max="12316" width="16.42578125" style="1378" bestFit="1" customWidth="1"/>
    <col min="12317" max="12544" width="9.140625" style="1378"/>
    <col min="12545" max="12545" width="7.42578125" style="1378" customWidth="1"/>
    <col min="12546" max="12546" width="11.140625" style="1378" customWidth="1"/>
    <col min="12547" max="12547" width="7" style="1378" bestFit="1" customWidth="1"/>
    <col min="12548" max="12548" width="7.5703125" style="1378" bestFit="1" customWidth="1"/>
    <col min="12549" max="12549" width="7.7109375" style="1378" bestFit="1" customWidth="1"/>
    <col min="12550" max="12550" width="9.42578125" style="1378" bestFit="1" customWidth="1"/>
    <col min="12551" max="12551" width="10" style="1378" bestFit="1" customWidth="1"/>
    <col min="12552" max="12552" width="8.28515625" style="1378" customWidth="1"/>
    <col min="12553" max="12553" width="7.140625" style="1378" customWidth="1"/>
    <col min="12554" max="12554" width="10.7109375" style="1378" customWidth="1"/>
    <col min="12555" max="12555" width="8.5703125" style="1378" customWidth="1"/>
    <col min="12556" max="12557" width="8.85546875" style="1378" bestFit="1" customWidth="1"/>
    <col min="12558" max="12558" width="9.42578125" style="1378" customWidth="1"/>
    <col min="12559" max="12567" width="8.28515625" style="1378" customWidth="1"/>
    <col min="12568" max="12568" width="8.140625" style="1378" customWidth="1"/>
    <col min="12569" max="12569" width="10.42578125" style="1378" customWidth="1"/>
    <col min="12570" max="12570" width="9.140625" style="1378"/>
    <col min="12571" max="12571" width="19.42578125" style="1378" customWidth="1"/>
    <col min="12572" max="12572" width="16.42578125" style="1378" bestFit="1" customWidth="1"/>
    <col min="12573" max="12800" width="9.140625" style="1378"/>
    <col min="12801" max="12801" width="7.42578125" style="1378" customWidth="1"/>
    <col min="12802" max="12802" width="11.140625" style="1378" customWidth="1"/>
    <col min="12803" max="12803" width="7" style="1378" bestFit="1" customWidth="1"/>
    <col min="12804" max="12804" width="7.5703125" style="1378" bestFit="1" customWidth="1"/>
    <col min="12805" max="12805" width="7.7109375" style="1378" bestFit="1" customWidth="1"/>
    <col min="12806" max="12806" width="9.42578125" style="1378" bestFit="1" customWidth="1"/>
    <col min="12807" max="12807" width="10" style="1378" bestFit="1" customWidth="1"/>
    <col min="12808" max="12808" width="8.28515625" style="1378" customWidth="1"/>
    <col min="12809" max="12809" width="7.140625" style="1378" customWidth="1"/>
    <col min="12810" max="12810" width="10.7109375" style="1378" customWidth="1"/>
    <col min="12811" max="12811" width="8.5703125" style="1378" customWidth="1"/>
    <col min="12812" max="12813" width="8.85546875" style="1378" bestFit="1" customWidth="1"/>
    <col min="12814" max="12814" width="9.42578125" style="1378" customWidth="1"/>
    <col min="12815" max="12823" width="8.28515625" style="1378" customWidth="1"/>
    <col min="12824" max="12824" width="8.140625" style="1378" customWidth="1"/>
    <col min="12825" max="12825" width="10.42578125" style="1378" customWidth="1"/>
    <col min="12826" max="12826" width="9.140625" style="1378"/>
    <col min="12827" max="12827" width="19.42578125" style="1378" customWidth="1"/>
    <col min="12828" max="12828" width="16.42578125" style="1378" bestFit="1" customWidth="1"/>
    <col min="12829" max="13056" width="9.140625" style="1378"/>
    <col min="13057" max="13057" width="7.42578125" style="1378" customWidth="1"/>
    <col min="13058" max="13058" width="11.140625" style="1378" customWidth="1"/>
    <col min="13059" max="13059" width="7" style="1378" bestFit="1" customWidth="1"/>
    <col min="13060" max="13060" width="7.5703125" style="1378" bestFit="1" customWidth="1"/>
    <col min="13061" max="13061" width="7.7109375" style="1378" bestFit="1" customWidth="1"/>
    <col min="13062" max="13062" width="9.42578125" style="1378" bestFit="1" customWidth="1"/>
    <col min="13063" max="13063" width="10" style="1378" bestFit="1" customWidth="1"/>
    <col min="13064" max="13064" width="8.28515625" style="1378" customWidth="1"/>
    <col min="13065" max="13065" width="7.140625" style="1378" customWidth="1"/>
    <col min="13066" max="13066" width="10.7109375" style="1378" customWidth="1"/>
    <col min="13067" max="13067" width="8.5703125" style="1378" customWidth="1"/>
    <col min="13068" max="13069" width="8.85546875" style="1378" bestFit="1" customWidth="1"/>
    <col min="13070" max="13070" width="9.42578125" style="1378" customWidth="1"/>
    <col min="13071" max="13079" width="8.28515625" style="1378" customWidth="1"/>
    <col min="13080" max="13080" width="8.140625" style="1378" customWidth="1"/>
    <col min="13081" max="13081" width="10.42578125" style="1378" customWidth="1"/>
    <col min="13082" max="13082" width="9.140625" style="1378"/>
    <col min="13083" max="13083" width="19.42578125" style="1378" customWidth="1"/>
    <col min="13084" max="13084" width="16.42578125" style="1378" bestFit="1" customWidth="1"/>
    <col min="13085" max="13312" width="9.140625" style="1378"/>
    <col min="13313" max="13313" width="7.42578125" style="1378" customWidth="1"/>
    <col min="13314" max="13314" width="11.140625" style="1378" customWidth="1"/>
    <col min="13315" max="13315" width="7" style="1378" bestFit="1" customWidth="1"/>
    <col min="13316" max="13316" width="7.5703125" style="1378" bestFit="1" customWidth="1"/>
    <col min="13317" max="13317" width="7.7109375" style="1378" bestFit="1" customWidth="1"/>
    <col min="13318" max="13318" width="9.42578125" style="1378" bestFit="1" customWidth="1"/>
    <col min="13319" max="13319" width="10" style="1378" bestFit="1" customWidth="1"/>
    <col min="13320" max="13320" width="8.28515625" style="1378" customWidth="1"/>
    <col min="13321" max="13321" width="7.140625" style="1378" customWidth="1"/>
    <col min="13322" max="13322" width="10.7109375" style="1378" customWidth="1"/>
    <col min="13323" max="13323" width="8.5703125" style="1378" customWidth="1"/>
    <col min="13324" max="13325" width="8.85546875" style="1378" bestFit="1" customWidth="1"/>
    <col min="13326" max="13326" width="9.42578125" style="1378" customWidth="1"/>
    <col min="13327" max="13335" width="8.28515625" style="1378" customWidth="1"/>
    <col min="13336" max="13336" width="8.140625" style="1378" customWidth="1"/>
    <col min="13337" max="13337" width="10.42578125" style="1378" customWidth="1"/>
    <col min="13338" max="13338" width="9.140625" style="1378"/>
    <col min="13339" max="13339" width="19.42578125" style="1378" customWidth="1"/>
    <col min="13340" max="13340" width="16.42578125" style="1378" bestFit="1" customWidth="1"/>
    <col min="13341" max="13568" width="9.140625" style="1378"/>
    <col min="13569" max="13569" width="7.42578125" style="1378" customWidth="1"/>
    <col min="13570" max="13570" width="11.140625" style="1378" customWidth="1"/>
    <col min="13571" max="13571" width="7" style="1378" bestFit="1" customWidth="1"/>
    <col min="13572" max="13572" width="7.5703125" style="1378" bestFit="1" customWidth="1"/>
    <col min="13573" max="13573" width="7.7109375" style="1378" bestFit="1" customWidth="1"/>
    <col min="13574" max="13574" width="9.42578125" style="1378" bestFit="1" customWidth="1"/>
    <col min="13575" max="13575" width="10" style="1378" bestFit="1" customWidth="1"/>
    <col min="13576" max="13576" width="8.28515625" style="1378" customWidth="1"/>
    <col min="13577" max="13577" width="7.140625" style="1378" customWidth="1"/>
    <col min="13578" max="13578" width="10.7109375" style="1378" customWidth="1"/>
    <col min="13579" max="13579" width="8.5703125" style="1378" customWidth="1"/>
    <col min="13580" max="13581" width="8.85546875" style="1378" bestFit="1" customWidth="1"/>
    <col min="13582" max="13582" width="9.42578125" style="1378" customWidth="1"/>
    <col min="13583" max="13591" width="8.28515625" style="1378" customWidth="1"/>
    <col min="13592" max="13592" width="8.140625" style="1378" customWidth="1"/>
    <col min="13593" max="13593" width="10.42578125" style="1378" customWidth="1"/>
    <col min="13594" max="13594" width="9.140625" style="1378"/>
    <col min="13595" max="13595" width="19.42578125" style="1378" customWidth="1"/>
    <col min="13596" max="13596" width="16.42578125" style="1378" bestFit="1" customWidth="1"/>
    <col min="13597" max="13824" width="9.140625" style="1378"/>
    <col min="13825" max="13825" width="7.42578125" style="1378" customWidth="1"/>
    <col min="13826" max="13826" width="11.140625" style="1378" customWidth="1"/>
    <col min="13827" max="13827" width="7" style="1378" bestFit="1" customWidth="1"/>
    <col min="13828" max="13828" width="7.5703125" style="1378" bestFit="1" customWidth="1"/>
    <col min="13829" max="13829" width="7.7109375" style="1378" bestFit="1" customWidth="1"/>
    <col min="13830" max="13830" width="9.42578125" style="1378" bestFit="1" customWidth="1"/>
    <col min="13831" max="13831" width="10" style="1378" bestFit="1" customWidth="1"/>
    <col min="13832" max="13832" width="8.28515625" style="1378" customWidth="1"/>
    <col min="13833" max="13833" width="7.140625" style="1378" customWidth="1"/>
    <col min="13834" max="13834" width="10.7109375" style="1378" customWidth="1"/>
    <col min="13835" max="13835" width="8.5703125" style="1378" customWidth="1"/>
    <col min="13836" max="13837" width="8.85546875" style="1378" bestFit="1" customWidth="1"/>
    <col min="13838" max="13838" width="9.42578125" style="1378" customWidth="1"/>
    <col min="13839" max="13847" width="8.28515625" style="1378" customWidth="1"/>
    <col min="13848" max="13848" width="8.140625" style="1378" customWidth="1"/>
    <col min="13849" max="13849" width="10.42578125" style="1378" customWidth="1"/>
    <col min="13850" max="13850" width="9.140625" style="1378"/>
    <col min="13851" max="13851" width="19.42578125" style="1378" customWidth="1"/>
    <col min="13852" max="13852" width="16.42578125" style="1378" bestFit="1" customWidth="1"/>
    <col min="13853" max="14080" width="9.140625" style="1378"/>
    <col min="14081" max="14081" width="7.42578125" style="1378" customWidth="1"/>
    <col min="14082" max="14082" width="11.140625" style="1378" customWidth="1"/>
    <col min="14083" max="14083" width="7" style="1378" bestFit="1" customWidth="1"/>
    <col min="14084" max="14084" width="7.5703125" style="1378" bestFit="1" customWidth="1"/>
    <col min="14085" max="14085" width="7.7109375" style="1378" bestFit="1" customWidth="1"/>
    <col min="14086" max="14086" width="9.42578125" style="1378" bestFit="1" customWidth="1"/>
    <col min="14087" max="14087" width="10" style="1378" bestFit="1" customWidth="1"/>
    <col min="14088" max="14088" width="8.28515625" style="1378" customWidth="1"/>
    <col min="14089" max="14089" width="7.140625" style="1378" customWidth="1"/>
    <col min="14090" max="14090" width="10.7109375" style="1378" customWidth="1"/>
    <col min="14091" max="14091" width="8.5703125" style="1378" customWidth="1"/>
    <col min="14092" max="14093" width="8.85546875" style="1378" bestFit="1" customWidth="1"/>
    <col min="14094" max="14094" width="9.42578125" style="1378" customWidth="1"/>
    <col min="14095" max="14103" width="8.28515625" style="1378" customWidth="1"/>
    <col min="14104" max="14104" width="8.140625" style="1378" customWidth="1"/>
    <col min="14105" max="14105" width="10.42578125" style="1378" customWidth="1"/>
    <col min="14106" max="14106" width="9.140625" style="1378"/>
    <col min="14107" max="14107" width="19.42578125" style="1378" customWidth="1"/>
    <col min="14108" max="14108" width="16.42578125" style="1378" bestFit="1" customWidth="1"/>
    <col min="14109" max="14336" width="9.140625" style="1378"/>
    <col min="14337" max="14337" width="7.42578125" style="1378" customWidth="1"/>
    <col min="14338" max="14338" width="11.140625" style="1378" customWidth="1"/>
    <col min="14339" max="14339" width="7" style="1378" bestFit="1" customWidth="1"/>
    <col min="14340" max="14340" width="7.5703125" style="1378" bestFit="1" customWidth="1"/>
    <col min="14341" max="14341" width="7.7109375" style="1378" bestFit="1" customWidth="1"/>
    <col min="14342" max="14342" width="9.42578125" style="1378" bestFit="1" customWidth="1"/>
    <col min="14343" max="14343" width="10" style="1378" bestFit="1" customWidth="1"/>
    <col min="14344" max="14344" width="8.28515625" style="1378" customWidth="1"/>
    <col min="14345" max="14345" width="7.140625" style="1378" customWidth="1"/>
    <col min="14346" max="14346" width="10.7109375" style="1378" customWidth="1"/>
    <col min="14347" max="14347" width="8.5703125" style="1378" customWidth="1"/>
    <col min="14348" max="14349" width="8.85546875" style="1378" bestFit="1" customWidth="1"/>
    <col min="14350" max="14350" width="9.42578125" style="1378" customWidth="1"/>
    <col min="14351" max="14359" width="8.28515625" style="1378" customWidth="1"/>
    <col min="14360" max="14360" width="8.140625" style="1378" customWidth="1"/>
    <col min="14361" max="14361" width="10.42578125" style="1378" customWidth="1"/>
    <col min="14362" max="14362" width="9.140625" style="1378"/>
    <col min="14363" max="14363" width="19.42578125" style="1378" customWidth="1"/>
    <col min="14364" max="14364" width="16.42578125" style="1378" bestFit="1" customWidth="1"/>
    <col min="14365" max="14592" width="9.140625" style="1378"/>
    <col min="14593" max="14593" width="7.42578125" style="1378" customWidth="1"/>
    <col min="14594" max="14594" width="11.140625" style="1378" customWidth="1"/>
    <col min="14595" max="14595" width="7" style="1378" bestFit="1" customWidth="1"/>
    <col min="14596" max="14596" width="7.5703125" style="1378" bestFit="1" customWidth="1"/>
    <col min="14597" max="14597" width="7.7109375" style="1378" bestFit="1" customWidth="1"/>
    <col min="14598" max="14598" width="9.42578125" style="1378" bestFit="1" customWidth="1"/>
    <col min="14599" max="14599" width="10" style="1378" bestFit="1" customWidth="1"/>
    <col min="14600" max="14600" width="8.28515625" style="1378" customWidth="1"/>
    <col min="14601" max="14601" width="7.140625" style="1378" customWidth="1"/>
    <col min="14602" max="14602" width="10.7109375" style="1378" customWidth="1"/>
    <col min="14603" max="14603" width="8.5703125" style="1378" customWidth="1"/>
    <col min="14604" max="14605" width="8.85546875" style="1378" bestFit="1" customWidth="1"/>
    <col min="14606" max="14606" width="9.42578125" style="1378" customWidth="1"/>
    <col min="14607" max="14615" width="8.28515625" style="1378" customWidth="1"/>
    <col min="14616" max="14616" width="8.140625" style="1378" customWidth="1"/>
    <col min="14617" max="14617" width="10.42578125" style="1378" customWidth="1"/>
    <col min="14618" max="14618" width="9.140625" style="1378"/>
    <col min="14619" max="14619" width="19.42578125" style="1378" customWidth="1"/>
    <col min="14620" max="14620" width="16.42578125" style="1378" bestFit="1" customWidth="1"/>
    <col min="14621" max="14848" width="9.140625" style="1378"/>
    <col min="14849" max="14849" width="7.42578125" style="1378" customWidth="1"/>
    <col min="14850" max="14850" width="11.140625" style="1378" customWidth="1"/>
    <col min="14851" max="14851" width="7" style="1378" bestFit="1" customWidth="1"/>
    <col min="14852" max="14852" width="7.5703125" style="1378" bestFit="1" customWidth="1"/>
    <col min="14853" max="14853" width="7.7109375" style="1378" bestFit="1" customWidth="1"/>
    <col min="14854" max="14854" width="9.42578125" style="1378" bestFit="1" customWidth="1"/>
    <col min="14855" max="14855" width="10" style="1378" bestFit="1" customWidth="1"/>
    <col min="14856" max="14856" width="8.28515625" style="1378" customWidth="1"/>
    <col min="14857" max="14857" width="7.140625" style="1378" customWidth="1"/>
    <col min="14858" max="14858" width="10.7109375" style="1378" customWidth="1"/>
    <col min="14859" max="14859" width="8.5703125" style="1378" customWidth="1"/>
    <col min="14860" max="14861" width="8.85546875" style="1378" bestFit="1" customWidth="1"/>
    <col min="14862" max="14862" width="9.42578125" style="1378" customWidth="1"/>
    <col min="14863" max="14871" width="8.28515625" style="1378" customWidth="1"/>
    <col min="14872" max="14872" width="8.140625" style="1378" customWidth="1"/>
    <col min="14873" max="14873" width="10.42578125" style="1378" customWidth="1"/>
    <col min="14874" max="14874" width="9.140625" style="1378"/>
    <col min="14875" max="14875" width="19.42578125" style="1378" customWidth="1"/>
    <col min="14876" max="14876" width="16.42578125" style="1378" bestFit="1" customWidth="1"/>
    <col min="14877" max="15104" width="9.140625" style="1378"/>
    <col min="15105" max="15105" width="7.42578125" style="1378" customWidth="1"/>
    <col min="15106" max="15106" width="11.140625" style="1378" customWidth="1"/>
    <col min="15107" max="15107" width="7" style="1378" bestFit="1" customWidth="1"/>
    <col min="15108" max="15108" width="7.5703125" style="1378" bestFit="1" customWidth="1"/>
    <col min="15109" max="15109" width="7.7109375" style="1378" bestFit="1" customWidth="1"/>
    <col min="15110" max="15110" width="9.42578125" style="1378" bestFit="1" customWidth="1"/>
    <col min="15111" max="15111" width="10" style="1378" bestFit="1" customWidth="1"/>
    <col min="15112" max="15112" width="8.28515625" style="1378" customWidth="1"/>
    <col min="15113" max="15113" width="7.140625" style="1378" customWidth="1"/>
    <col min="15114" max="15114" width="10.7109375" style="1378" customWidth="1"/>
    <col min="15115" max="15115" width="8.5703125" style="1378" customWidth="1"/>
    <col min="15116" max="15117" width="8.85546875" style="1378" bestFit="1" customWidth="1"/>
    <col min="15118" max="15118" width="9.42578125" style="1378" customWidth="1"/>
    <col min="15119" max="15127" width="8.28515625" style="1378" customWidth="1"/>
    <col min="15128" max="15128" width="8.140625" style="1378" customWidth="1"/>
    <col min="15129" max="15129" width="10.42578125" style="1378" customWidth="1"/>
    <col min="15130" max="15130" width="9.140625" style="1378"/>
    <col min="15131" max="15131" width="19.42578125" style="1378" customWidth="1"/>
    <col min="15132" max="15132" width="16.42578125" style="1378" bestFit="1" customWidth="1"/>
    <col min="15133" max="15360" width="9.140625" style="1378"/>
    <col min="15361" max="15361" width="7.42578125" style="1378" customWidth="1"/>
    <col min="15362" max="15362" width="11.140625" style="1378" customWidth="1"/>
    <col min="15363" max="15363" width="7" style="1378" bestFit="1" customWidth="1"/>
    <col min="15364" max="15364" width="7.5703125" style="1378" bestFit="1" customWidth="1"/>
    <col min="15365" max="15365" width="7.7109375" style="1378" bestFit="1" customWidth="1"/>
    <col min="15366" max="15366" width="9.42578125" style="1378" bestFit="1" customWidth="1"/>
    <col min="15367" max="15367" width="10" style="1378" bestFit="1" customWidth="1"/>
    <col min="15368" max="15368" width="8.28515625" style="1378" customWidth="1"/>
    <col min="15369" max="15369" width="7.140625" style="1378" customWidth="1"/>
    <col min="15370" max="15370" width="10.7109375" style="1378" customWidth="1"/>
    <col min="15371" max="15371" width="8.5703125" style="1378" customWidth="1"/>
    <col min="15372" max="15373" width="8.85546875" style="1378" bestFit="1" customWidth="1"/>
    <col min="15374" max="15374" width="9.42578125" style="1378" customWidth="1"/>
    <col min="15375" max="15383" width="8.28515625" style="1378" customWidth="1"/>
    <col min="15384" max="15384" width="8.140625" style="1378" customWidth="1"/>
    <col min="15385" max="15385" width="10.42578125" style="1378" customWidth="1"/>
    <col min="15386" max="15386" width="9.140625" style="1378"/>
    <col min="15387" max="15387" width="19.42578125" style="1378" customWidth="1"/>
    <col min="15388" max="15388" width="16.42578125" style="1378" bestFit="1" customWidth="1"/>
    <col min="15389" max="15616" width="9.140625" style="1378"/>
    <col min="15617" max="15617" width="7.42578125" style="1378" customWidth="1"/>
    <col min="15618" max="15618" width="11.140625" style="1378" customWidth="1"/>
    <col min="15619" max="15619" width="7" style="1378" bestFit="1" customWidth="1"/>
    <col min="15620" max="15620" width="7.5703125" style="1378" bestFit="1" customWidth="1"/>
    <col min="15621" max="15621" width="7.7109375" style="1378" bestFit="1" customWidth="1"/>
    <col min="15622" max="15622" width="9.42578125" style="1378" bestFit="1" customWidth="1"/>
    <col min="15623" max="15623" width="10" style="1378" bestFit="1" customWidth="1"/>
    <col min="15624" max="15624" width="8.28515625" style="1378" customWidth="1"/>
    <col min="15625" max="15625" width="7.140625" style="1378" customWidth="1"/>
    <col min="15626" max="15626" width="10.7109375" style="1378" customWidth="1"/>
    <col min="15627" max="15627" width="8.5703125" style="1378" customWidth="1"/>
    <col min="15628" max="15629" width="8.85546875" style="1378" bestFit="1" customWidth="1"/>
    <col min="15630" max="15630" width="9.42578125" style="1378" customWidth="1"/>
    <col min="15631" max="15639" width="8.28515625" style="1378" customWidth="1"/>
    <col min="15640" max="15640" width="8.140625" style="1378" customWidth="1"/>
    <col min="15641" max="15641" width="10.42578125" style="1378" customWidth="1"/>
    <col min="15642" max="15642" width="9.140625" style="1378"/>
    <col min="15643" max="15643" width="19.42578125" style="1378" customWidth="1"/>
    <col min="15644" max="15644" width="16.42578125" style="1378" bestFit="1" customWidth="1"/>
    <col min="15645" max="15872" width="9.140625" style="1378"/>
    <col min="15873" max="15873" width="7.42578125" style="1378" customWidth="1"/>
    <col min="15874" max="15874" width="11.140625" style="1378" customWidth="1"/>
    <col min="15875" max="15875" width="7" style="1378" bestFit="1" customWidth="1"/>
    <col min="15876" max="15876" width="7.5703125" style="1378" bestFit="1" customWidth="1"/>
    <col min="15877" max="15877" width="7.7109375" style="1378" bestFit="1" customWidth="1"/>
    <col min="15878" max="15878" width="9.42578125" style="1378" bestFit="1" customWidth="1"/>
    <col min="15879" max="15879" width="10" style="1378" bestFit="1" customWidth="1"/>
    <col min="15880" max="15880" width="8.28515625" style="1378" customWidth="1"/>
    <col min="15881" max="15881" width="7.140625" style="1378" customWidth="1"/>
    <col min="15882" max="15882" width="10.7109375" style="1378" customWidth="1"/>
    <col min="15883" max="15883" width="8.5703125" style="1378" customWidth="1"/>
    <col min="15884" max="15885" width="8.85546875" style="1378" bestFit="1" customWidth="1"/>
    <col min="15886" max="15886" width="9.42578125" style="1378" customWidth="1"/>
    <col min="15887" max="15895" width="8.28515625" style="1378" customWidth="1"/>
    <col min="15896" max="15896" width="8.140625" style="1378" customWidth="1"/>
    <col min="15897" max="15897" width="10.42578125" style="1378" customWidth="1"/>
    <col min="15898" max="15898" width="9.140625" style="1378"/>
    <col min="15899" max="15899" width="19.42578125" style="1378" customWidth="1"/>
    <col min="15900" max="15900" width="16.42578125" style="1378" bestFit="1" customWidth="1"/>
    <col min="15901" max="16128" width="9.140625" style="1378"/>
    <col min="16129" max="16129" width="7.42578125" style="1378" customWidth="1"/>
    <col min="16130" max="16130" width="11.140625" style="1378" customWidth="1"/>
    <col min="16131" max="16131" width="7" style="1378" bestFit="1" customWidth="1"/>
    <col min="16132" max="16132" width="7.5703125" style="1378" bestFit="1" customWidth="1"/>
    <col min="16133" max="16133" width="7.7109375" style="1378" bestFit="1" customWidth="1"/>
    <col min="16134" max="16134" width="9.42578125" style="1378" bestFit="1" customWidth="1"/>
    <col min="16135" max="16135" width="10" style="1378" bestFit="1" customWidth="1"/>
    <col min="16136" max="16136" width="8.28515625" style="1378" customWidth="1"/>
    <col min="16137" max="16137" width="7.140625" style="1378" customWidth="1"/>
    <col min="16138" max="16138" width="10.7109375" style="1378" customWidth="1"/>
    <col min="16139" max="16139" width="8.5703125" style="1378" customWidth="1"/>
    <col min="16140" max="16141" width="8.85546875" style="1378" bestFit="1" customWidth="1"/>
    <col min="16142" max="16142" width="9.42578125" style="1378" customWidth="1"/>
    <col min="16143" max="16151" width="8.28515625" style="1378" customWidth="1"/>
    <col min="16152" max="16152" width="8.140625" style="1378" customWidth="1"/>
    <col min="16153" max="16153" width="10.42578125" style="1378" customWidth="1"/>
    <col min="16154" max="16154" width="9.140625" style="1378"/>
    <col min="16155" max="16155" width="19.42578125" style="1378" customWidth="1"/>
    <col min="16156" max="16156" width="16.42578125" style="1378" bestFit="1" customWidth="1"/>
    <col min="16157" max="16384" width="9.140625" style="1378"/>
  </cols>
  <sheetData>
    <row r="1" spans="1:29" ht="32.25" customHeight="1" x14ac:dyDescent="0.25">
      <c r="A1" s="1373" t="s">
        <v>3399</v>
      </c>
      <c r="B1" s="1374"/>
      <c r="C1" s="1374"/>
      <c r="D1" s="1375"/>
      <c r="E1" s="1374"/>
      <c r="F1" s="1374"/>
      <c r="G1" s="1374"/>
      <c r="H1" s="1376"/>
      <c r="I1" s="1376"/>
      <c r="J1" s="1376"/>
      <c r="K1" s="1376"/>
      <c r="L1" s="1374"/>
      <c r="M1" s="1374"/>
      <c r="N1" s="1374"/>
      <c r="O1" s="1374"/>
      <c r="P1" s="1374"/>
      <c r="Q1" s="1374"/>
      <c r="R1" s="1374"/>
      <c r="S1" s="1377"/>
      <c r="T1" s="1374"/>
      <c r="U1" s="1374"/>
      <c r="V1" s="1374"/>
      <c r="W1" s="1374"/>
      <c r="X1" s="1376"/>
      <c r="Z1" s="147"/>
    </row>
    <row r="2" spans="1:29" ht="16.5" customHeight="1" thickBot="1" x14ac:dyDescent="0.3">
      <c r="A2" s="1379"/>
      <c r="B2" s="1374"/>
      <c r="C2" s="1374"/>
      <c r="D2" s="1375"/>
      <c r="E2" s="1374"/>
      <c r="F2" s="1374"/>
      <c r="G2" s="1374"/>
      <c r="H2" s="1376"/>
      <c r="I2" s="1376"/>
      <c r="J2" s="1376"/>
      <c r="K2" s="1376"/>
      <c r="L2" s="1374"/>
      <c r="M2" s="1374"/>
      <c r="N2" s="1374"/>
      <c r="O2" s="1374"/>
      <c r="P2" s="1374"/>
      <c r="Q2" s="1374"/>
      <c r="R2" s="1374"/>
      <c r="S2" s="1377"/>
      <c r="T2" s="1374"/>
      <c r="U2" s="1374"/>
      <c r="V2" s="1374"/>
      <c r="W2" s="1374"/>
      <c r="X2" s="1376"/>
      <c r="Y2" s="1380" t="s">
        <v>8</v>
      </c>
      <c r="Z2" s="147"/>
    </row>
    <row r="3" spans="1:29" ht="30.75" customHeight="1" thickTop="1" thickBot="1" x14ac:dyDescent="0.3">
      <c r="A3" s="3747" t="s">
        <v>3400</v>
      </c>
      <c r="B3" s="3749" t="s">
        <v>3401</v>
      </c>
      <c r="C3" s="3749"/>
      <c r="D3" s="3749"/>
      <c r="E3" s="3749"/>
      <c r="F3" s="3749"/>
      <c r="G3" s="3749"/>
      <c r="H3" s="3749"/>
      <c r="I3" s="3749"/>
      <c r="J3" s="1381"/>
      <c r="K3" s="3750" t="s">
        <v>3402</v>
      </c>
      <c r="L3" s="3750"/>
      <c r="M3" s="3750"/>
      <c r="N3" s="3750"/>
      <c r="O3" s="3750"/>
      <c r="P3" s="3750"/>
      <c r="Q3" s="3750"/>
      <c r="R3" s="3750"/>
      <c r="S3" s="3750"/>
      <c r="T3" s="3750"/>
      <c r="U3" s="3750"/>
      <c r="V3" s="3750"/>
      <c r="W3" s="3750"/>
      <c r="X3" s="1381"/>
      <c r="Y3" s="1381" t="s">
        <v>274</v>
      </c>
      <c r="Z3" s="147"/>
    </row>
    <row r="4" spans="1:29" x14ac:dyDescent="0.25">
      <c r="A4" s="3748"/>
      <c r="B4" s="1382" t="s">
        <v>3403</v>
      </c>
      <c r="C4" s="1383"/>
      <c r="D4" s="1383"/>
      <c r="E4" s="1384"/>
      <c r="F4" s="1383"/>
      <c r="G4" s="1383"/>
      <c r="H4" s="1383"/>
      <c r="I4" s="1383"/>
      <c r="J4" s="1385"/>
      <c r="K4" s="3751" t="s">
        <v>3404</v>
      </c>
      <c r="L4" s="1383" t="s">
        <v>3405</v>
      </c>
      <c r="M4" s="1383"/>
      <c r="N4" s="1383"/>
      <c r="O4" s="1383"/>
      <c r="P4" s="1383"/>
      <c r="Q4" s="1383"/>
      <c r="R4" s="1383"/>
      <c r="S4" s="1383"/>
      <c r="T4" s="1383"/>
      <c r="U4" s="1383"/>
      <c r="V4" s="1383"/>
      <c r="W4" s="1383"/>
      <c r="X4" s="1385"/>
      <c r="Y4" s="1386" t="s">
        <v>3406</v>
      </c>
      <c r="Z4" s="147"/>
    </row>
    <row r="5" spans="1:29" x14ac:dyDescent="0.25">
      <c r="A5" s="3748"/>
      <c r="B5" s="1387" t="s">
        <v>173</v>
      </c>
      <c r="C5" s="1388" t="s">
        <v>3407</v>
      </c>
      <c r="D5" s="1388" t="s">
        <v>3408</v>
      </c>
      <c r="E5" s="1389" t="s">
        <v>3409</v>
      </c>
      <c r="F5" s="1388" t="s">
        <v>3410</v>
      </c>
      <c r="G5" s="1388" t="s">
        <v>3411</v>
      </c>
      <c r="H5" s="1388" t="s">
        <v>3412</v>
      </c>
      <c r="I5" s="1388" t="s">
        <v>3413</v>
      </c>
      <c r="J5" s="1390" t="s">
        <v>114</v>
      </c>
      <c r="K5" s="3752"/>
      <c r="L5" s="1388" t="s">
        <v>3414</v>
      </c>
      <c r="M5" s="1388" t="s">
        <v>3415</v>
      </c>
      <c r="N5" s="1388" t="s">
        <v>3416</v>
      </c>
      <c r="O5" s="1388" t="s">
        <v>3417</v>
      </c>
      <c r="P5" s="1388" t="s">
        <v>3418</v>
      </c>
      <c r="Q5" s="1388" t="s">
        <v>3419</v>
      </c>
      <c r="R5" s="1388" t="s">
        <v>3420</v>
      </c>
      <c r="S5" s="1388" t="s">
        <v>3421</v>
      </c>
      <c r="T5" s="1388" t="s">
        <v>3422</v>
      </c>
      <c r="U5" s="1388" t="s">
        <v>3423</v>
      </c>
      <c r="V5" s="1388" t="s">
        <v>3424</v>
      </c>
      <c r="W5" s="1388" t="s">
        <v>3425</v>
      </c>
      <c r="X5" s="1390" t="s">
        <v>114</v>
      </c>
      <c r="Y5" s="1386" t="s">
        <v>3426</v>
      </c>
      <c r="Z5" s="147"/>
    </row>
    <row r="6" spans="1:29" ht="17.25" thickBot="1" x14ac:dyDescent="0.3">
      <c r="A6" s="1391"/>
      <c r="B6" s="1392" t="s">
        <v>3427</v>
      </c>
      <c r="C6" s="1393"/>
      <c r="D6" s="1393"/>
      <c r="E6" s="1394"/>
      <c r="F6" s="1393"/>
      <c r="G6" s="1393"/>
      <c r="H6" s="1393"/>
      <c r="I6" s="1393"/>
      <c r="J6" s="1395"/>
      <c r="K6" s="1392" t="s">
        <v>3428</v>
      </c>
      <c r="L6" s="1393" t="s">
        <v>3428</v>
      </c>
      <c r="M6" s="1393"/>
      <c r="N6" s="1393"/>
      <c r="O6" s="1393"/>
      <c r="P6" s="1393"/>
      <c r="Q6" s="1393"/>
      <c r="R6" s="1393"/>
      <c r="S6" s="1393"/>
      <c r="T6" s="1393" t="s">
        <v>3429</v>
      </c>
      <c r="U6" s="1393"/>
      <c r="V6" s="1393"/>
      <c r="W6" s="1393"/>
      <c r="X6" s="1395"/>
      <c r="Y6" s="1396" t="s">
        <v>3402</v>
      </c>
      <c r="Z6" s="147"/>
    </row>
    <row r="7" spans="1:29" ht="3.75" hidden="1" customHeight="1" x14ac:dyDescent="0.25">
      <c r="A7" s="1397"/>
      <c r="B7" s="1398"/>
      <c r="C7" s="1399"/>
      <c r="D7" s="1399"/>
      <c r="E7" s="1400"/>
      <c r="F7" s="1399"/>
      <c r="G7" s="1399"/>
      <c r="H7" s="1399"/>
      <c r="I7" s="1399"/>
      <c r="J7" s="1401"/>
      <c r="K7" s="1398"/>
      <c r="L7" s="1402"/>
      <c r="M7" s="1402"/>
      <c r="N7" s="1402"/>
      <c r="O7" s="1402"/>
      <c r="P7" s="1402"/>
      <c r="Q7" s="1402"/>
      <c r="R7" s="1402"/>
      <c r="S7" s="1402"/>
      <c r="T7" s="1402"/>
      <c r="U7" s="1402"/>
      <c r="V7" s="1399"/>
      <c r="W7" s="1399"/>
      <c r="X7" s="1401"/>
      <c r="Y7" s="1403"/>
      <c r="Z7" s="147"/>
    </row>
    <row r="8" spans="1:29" ht="28.5" hidden="1" customHeight="1" x14ac:dyDescent="0.25">
      <c r="A8" s="1404">
        <v>35947</v>
      </c>
      <c r="B8" s="1405">
        <v>21.8</v>
      </c>
      <c r="C8" s="1406">
        <v>0</v>
      </c>
      <c r="D8" s="1406">
        <v>179.5</v>
      </c>
      <c r="E8" s="1406">
        <v>846</v>
      </c>
      <c r="F8" s="1406">
        <v>860.5</v>
      </c>
      <c r="G8" s="1406">
        <v>1426.8</v>
      </c>
      <c r="H8" s="1406">
        <v>2330.3000000000002</v>
      </c>
      <c r="I8" s="1406">
        <v>0</v>
      </c>
      <c r="J8" s="1407">
        <v>5835.4929099999999</v>
      </c>
      <c r="K8" s="1405">
        <v>6.6</v>
      </c>
      <c r="L8" s="1406">
        <v>11.7</v>
      </c>
      <c r="M8" s="1406"/>
      <c r="N8" s="1406">
        <v>17.8</v>
      </c>
      <c r="O8" s="1406">
        <v>53.5</v>
      </c>
      <c r="P8" s="1406">
        <v>66.3</v>
      </c>
      <c r="Q8" s="1406">
        <v>15.1</v>
      </c>
      <c r="R8" s="1406">
        <v>6.5</v>
      </c>
      <c r="S8" s="1406">
        <v>15.7</v>
      </c>
      <c r="T8" s="1406">
        <v>2.5</v>
      </c>
      <c r="U8" s="1406">
        <v>3.7</v>
      </c>
      <c r="V8" s="1406">
        <v>0.3</v>
      </c>
      <c r="W8" s="1406">
        <v>0.2</v>
      </c>
      <c r="X8" s="1407">
        <v>199.9</v>
      </c>
      <c r="Y8" s="1408">
        <v>6035.3929099999996</v>
      </c>
      <c r="Z8" s="1409"/>
    </row>
    <row r="9" spans="1:29" ht="28.5" hidden="1" customHeight="1" x14ac:dyDescent="0.25">
      <c r="A9" s="1404">
        <v>36039</v>
      </c>
      <c r="B9" s="1405">
        <v>21.7</v>
      </c>
      <c r="C9" s="1406">
        <v>0</v>
      </c>
      <c r="D9" s="1406">
        <v>184.7</v>
      </c>
      <c r="E9" s="1406">
        <v>877.3</v>
      </c>
      <c r="F9" s="1406">
        <v>933</v>
      </c>
      <c r="G9" s="1406">
        <v>1518.8</v>
      </c>
      <c r="H9" s="1406">
        <v>2356.9</v>
      </c>
      <c r="I9" s="1406">
        <v>0</v>
      </c>
      <c r="J9" s="1407">
        <v>6056.2</v>
      </c>
      <c r="K9" s="1405">
        <v>6.6</v>
      </c>
      <c r="L9" s="1406">
        <v>11.7</v>
      </c>
      <c r="M9" s="1406"/>
      <c r="N9" s="1406">
        <v>26.9</v>
      </c>
      <c r="O9" s="1406">
        <v>55.2</v>
      </c>
      <c r="P9" s="1406">
        <v>66.8</v>
      </c>
      <c r="Q9" s="1406">
        <v>15.5</v>
      </c>
      <c r="R9" s="1406">
        <v>6.4</v>
      </c>
      <c r="S9" s="1406">
        <v>16.100000000000001</v>
      </c>
      <c r="T9" s="1406">
        <v>2.5</v>
      </c>
      <c r="U9" s="1406">
        <v>3.8</v>
      </c>
      <c r="V9" s="1406">
        <v>0.3</v>
      </c>
      <c r="W9" s="1406">
        <v>0.2</v>
      </c>
      <c r="X9" s="1407">
        <v>212.1</v>
      </c>
      <c r="Y9" s="1408">
        <v>6268.3</v>
      </c>
      <c r="Z9" s="147"/>
    </row>
    <row r="10" spans="1:29" ht="28.5" hidden="1" customHeight="1" x14ac:dyDescent="0.25">
      <c r="A10" s="1404">
        <v>36130</v>
      </c>
      <c r="B10" s="1405">
        <v>21.6</v>
      </c>
      <c r="C10" s="1406">
        <v>21.6</v>
      </c>
      <c r="D10" s="1406">
        <v>208.5</v>
      </c>
      <c r="E10" s="1406">
        <v>1063.0999999999999</v>
      </c>
      <c r="F10" s="1406">
        <v>1173.4000000000001</v>
      </c>
      <c r="G10" s="1406">
        <v>1841.1</v>
      </c>
      <c r="H10" s="1406">
        <v>3145.8</v>
      </c>
      <c r="I10" s="1406">
        <v>196.1</v>
      </c>
      <c r="J10" s="1407">
        <v>7814.4</v>
      </c>
      <c r="K10" s="1405">
        <v>6.6</v>
      </c>
      <c r="L10" s="1406">
        <v>11.8</v>
      </c>
      <c r="M10" s="1406"/>
      <c r="N10" s="1406">
        <v>51.8</v>
      </c>
      <c r="O10" s="1406">
        <v>58.9</v>
      </c>
      <c r="P10" s="1406">
        <v>69.3</v>
      </c>
      <c r="Q10" s="1406">
        <v>15.9</v>
      </c>
      <c r="R10" s="1406">
        <v>6.4</v>
      </c>
      <c r="S10" s="1406">
        <v>16.600000000000001</v>
      </c>
      <c r="T10" s="1406">
        <v>2.5</v>
      </c>
      <c r="U10" s="1406">
        <v>3.9</v>
      </c>
      <c r="V10" s="1406">
        <v>0.3</v>
      </c>
      <c r="W10" s="1406">
        <v>0.2</v>
      </c>
      <c r="X10" s="1407">
        <v>244.3</v>
      </c>
      <c r="Y10" s="1408">
        <v>8058.7</v>
      </c>
      <c r="Z10" s="1409"/>
    </row>
    <row r="11" spans="1:29" ht="28.5" hidden="1" customHeight="1" x14ac:dyDescent="0.25">
      <c r="A11" s="1404">
        <v>36220</v>
      </c>
      <c r="B11" s="1405">
        <v>21.6</v>
      </c>
      <c r="C11" s="1406">
        <v>23.5</v>
      </c>
      <c r="D11" s="1406">
        <v>185</v>
      </c>
      <c r="E11" s="1406">
        <v>906.5</v>
      </c>
      <c r="F11" s="1406">
        <v>1022.4</v>
      </c>
      <c r="G11" s="1406">
        <v>1441.8</v>
      </c>
      <c r="H11" s="1406">
        <v>2565.5</v>
      </c>
      <c r="I11" s="1406">
        <v>213.9</v>
      </c>
      <c r="J11" s="1407">
        <v>6498.1</v>
      </c>
      <c r="K11" s="1405">
        <v>6.7</v>
      </c>
      <c r="L11" s="1406">
        <v>12</v>
      </c>
      <c r="M11" s="1406"/>
      <c r="N11" s="1406">
        <v>64.599999999999994</v>
      </c>
      <c r="O11" s="1406">
        <v>55.3</v>
      </c>
      <c r="P11" s="1406">
        <v>68.8</v>
      </c>
      <c r="Q11" s="1406">
        <v>16.100000000000001</v>
      </c>
      <c r="R11" s="1406">
        <v>6.4</v>
      </c>
      <c r="S11" s="1406">
        <v>16.899999999999999</v>
      </c>
      <c r="T11" s="1406">
        <v>2.4</v>
      </c>
      <c r="U11" s="1406">
        <v>3.9</v>
      </c>
      <c r="V11" s="1406">
        <v>0.3</v>
      </c>
      <c r="W11" s="1406">
        <v>0.2</v>
      </c>
      <c r="X11" s="1407">
        <v>253.6</v>
      </c>
      <c r="Y11" s="1408">
        <v>6751.7</v>
      </c>
      <c r="Z11" s="1409"/>
    </row>
    <row r="12" spans="1:29" ht="28.5" hidden="1" customHeight="1" x14ac:dyDescent="0.25">
      <c r="A12" s="1404">
        <v>39448</v>
      </c>
      <c r="B12" s="1405">
        <v>228.1</v>
      </c>
      <c r="C12" s="1406">
        <v>166.9</v>
      </c>
      <c r="D12" s="1406">
        <v>231.3</v>
      </c>
      <c r="E12" s="1406">
        <v>923.4</v>
      </c>
      <c r="F12" s="1406">
        <v>1294.4000000000001</v>
      </c>
      <c r="G12" s="1406">
        <v>2078.1999999999998</v>
      </c>
      <c r="H12" s="1406">
        <v>9790</v>
      </c>
      <c r="I12" s="1406">
        <v>724.3</v>
      </c>
      <c r="J12" s="1407">
        <v>15436.616595</v>
      </c>
      <c r="K12" s="1405">
        <v>7</v>
      </c>
      <c r="L12" s="1406">
        <v>12.8</v>
      </c>
      <c r="M12" s="1406">
        <v>4.0999999999999996</v>
      </c>
      <c r="N12" s="1406">
        <v>203.6</v>
      </c>
      <c r="O12" s="1406">
        <v>86.2</v>
      </c>
      <c r="P12" s="1406">
        <v>103.3</v>
      </c>
      <c r="Q12" s="1406">
        <v>24.5</v>
      </c>
      <c r="R12" s="1406">
        <v>6.4</v>
      </c>
      <c r="S12" s="1406">
        <v>31</v>
      </c>
      <c r="T12" s="1406">
        <v>2.4</v>
      </c>
      <c r="U12" s="1406">
        <v>7.1</v>
      </c>
      <c r="V12" s="1406">
        <v>0.3</v>
      </c>
      <c r="W12" s="1406">
        <v>0.2</v>
      </c>
      <c r="X12" s="1407">
        <v>488.9</v>
      </c>
      <c r="Y12" s="1408">
        <v>15925.516594999999</v>
      </c>
      <c r="Z12" s="1409"/>
      <c r="AA12" s="1410"/>
      <c r="AB12" s="1410"/>
      <c r="AC12" s="1410"/>
    </row>
    <row r="13" spans="1:29" ht="28.5" hidden="1" customHeight="1" x14ac:dyDescent="0.25">
      <c r="A13" s="1404">
        <v>39479</v>
      </c>
      <c r="B13" s="1405">
        <v>228.09999999999854</v>
      </c>
      <c r="C13" s="1406">
        <v>162.30000000000001</v>
      </c>
      <c r="D13" s="1406">
        <v>225.4</v>
      </c>
      <c r="E13" s="1406">
        <v>913.2</v>
      </c>
      <c r="F13" s="1406">
        <v>1229.7</v>
      </c>
      <c r="G13" s="1406">
        <v>1964.2</v>
      </c>
      <c r="H13" s="1406">
        <v>9538.1</v>
      </c>
      <c r="I13" s="1406">
        <v>703.6</v>
      </c>
      <c r="J13" s="1407">
        <v>14964.575835</v>
      </c>
      <c r="K13" s="1405">
        <v>7</v>
      </c>
      <c r="L13" s="1406">
        <v>12.8</v>
      </c>
      <c r="M13" s="1406">
        <v>8.8000000000000007</v>
      </c>
      <c r="N13" s="1406">
        <v>203.4</v>
      </c>
      <c r="O13" s="1406">
        <v>86.3</v>
      </c>
      <c r="P13" s="1406">
        <v>104</v>
      </c>
      <c r="Q13" s="1406">
        <v>24.6</v>
      </c>
      <c r="R13" s="1406">
        <v>6.4</v>
      </c>
      <c r="S13" s="1406">
        <v>31.1</v>
      </c>
      <c r="T13" s="1406">
        <v>2.4</v>
      </c>
      <c r="U13" s="1406">
        <v>7.2</v>
      </c>
      <c r="V13" s="1406">
        <v>0.3</v>
      </c>
      <c r="W13" s="1406">
        <v>0.2</v>
      </c>
      <c r="X13" s="1407">
        <v>494.5</v>
      </c>
      <c r="Y13" s="1408">
        <v>15458.975834999999</v>
      </c>
      <c r="Z13" s="1409"/>
      <c r="AA13" s="1410"/>
      <c r="AB13" s="1410"/>
      <c r="AC13" s="1410"/>
    </row>
    <row r="14" spans="1:29" ht="28.5" hidden="1" customHeight="1" x14ac:dyDescent="0.25">
      <c r="A14" s="1404">
        <v>39508</v>
      </c>
      <c r="B14" s="1405">
        <v>228</v>
      </c>
      <c r="C14" s="1406">
        <v>155.6</v>
      </c>
      <c r="D14" s="1406">
        <v>224.1</v>
      </c>
      <c r="E14" s="1406">
        <v>885.2</v>
      </c>
      <c r="F14" s="1406">
        <v>1220.4000000000001</v>
      </c>
      <c r="G14" s="1406">
        <v>1878.9</v>
      </c>
      <c r="H14" s="1406">
        <v>9399.7999999999993</v>
      </c>
      <c r="I14" s="1406">
        <v>693.3</v>
      </c>
      <c r="J14" s="1407">
        <v>14685.322885</v>
      </c>
      <c r="K14" s="1405">
        <v>7</v>
      </c>
      <c r="L14" s="1406">
        <v>12.8</v>
      </c>
      <c r="M14" s="1406">
        <v>13.47024</v>
      </c>
      <c r="N14" s="1406">
        <v>203.34013999999999</v>
      </c>
      <c r="O14" s="1406">
        <v>86.178015000000002</v>
      </c>
      <c r="P14" s="1406">
        <v>104.259045</v>
      </c>
      <c r="Q14" s="1406">
        <v>24.6116755</v>
      </c>
      <c r="R14" s="1406">
        <v>6.3554042500000003</v>
      </c>
      <c r="S14" s="1406">
        <v>31.303156600000001</v>
      </c>
      <c r="T14" s="1406">
        <v>2.4</v>
      </c>
      <c r="U14" s="1406">
        <v>7.2</v>
      </c>
      <c r="V14" s="1406">
        <v>0.3</v>
      </c>
      <c r="W14" s="1406">
        <v>0.2</v>
      </c>
      <c r="X14" s="1407">
        <v>499.51767634999999</v>
      </c>
      <c r="Y14" s="1408">
        <v>15184.84056135</v>
      </c>
      <c r="Z14" s="1409"/>
      <c r="AA14" s="1410"/>
      <c r="AB14" s="1410"/>
      <c r="AC14" s="1410"/>
    </row>
    <row r="15" spans="1:29" ht="28.5" hidden="1" customHeight="1" x14ac:dyDescent="0.25">
      <c r="A15" s="1404">
        <v>39539</v>
      </c>
      <c r="B15" s="1405">
        <v>228</v>
      </c>
      <c r="C15" s="1406">
        <v>150.5</v>
      </c>
      <c r="D15" s="1406">
        <v>224.1</v>
      </c>
      <c r="E15" s="1406">
        <v>899.9</v>
      </c>
      <c r="F15" s="1406">
        <v>1213.2</v>
      </c>
      <c r="G15" s="1406">
        <v>1911.1</v>
      </c>
      <c r="H15" s="1406">
        <v>9330.1</v>
      </c>
      <c r="I15" s="1406">
        <v>733.2</v>
      </c>
      <c r="J15" s="1407">
        <v>14690.1</v>
      </c>
      <c r="K15" s="1405">
        <v>7</v>
      </c>
      <c r="L15" s="1406">
        <v>12.8</v>
      </c>
      <c r="M15" s="1406">
        <v>21</v>
      </c>
      <c r="N15" s="1406">
        <v>201.7</v>
      </c>
      <c r="O15" s="1406">
        <v>85.9</v>
      </c>
      <c r="P15" s="1406">
        <v>104.7</v>
      </c>
      <c r="Q15" s="1406">
        <v>24.6</v>
      </c>
      <c r="R15" s="1406">
        <v>6.4</v>
      </c>
      <c r="S15" s="1406">
        <v>31.3</v>
      </c>
      <c r="T15" s="1406">
        <v>2.4</v>
      </c>
      <c r="U15" s="1406">
        <v>7.3</v>
      </c>
      <c r="V15" s="1406">
        <v>0.3</v>
      </c>
      <c r="W15" s="1406">
        <v>0.2</v>
      </c>
      <c r="X15" s="1407">
        <v>505.6</v>
      </c>
      <c r="Y15" s="1408">
        <v>15195.7</v>
      </c>
      <c r="Z15" s="1409"/>
      <c r="AA15" s="1410"/>
      <c r="AB15" s="1410"/>
      <c r="AC15" s="1410"/>
    </row>
    <row r="16" spans="1:29" ht="28.5" hidden="1" customHeight="1" x14ac:dyDescent="0.25">
      <c r="A16" s="1404">
        <v>39569</v>
      </c>
      <c r="B16" s="1405">
        <v>228.1</v>
      </c>
      <c r="C16" s="1406">
        <v>145.9</v>
      </c>
      <c r="D16" s="1406">
        <v>223.7</v>
      </c>
      <c r="E16" s="1406">
        <v>875.2</v>
      </c>
      <c r="F16" s="1406">
        <v>1216.2</v>
      </c>
      <c r="G16" s="1406">
        <v>1857.7</v>
      </c>
      <c r="H16" s="1406">
        <v>9339</v>
      </c>
      <c r="I16" s="1406">
        <v>746.8</v>
      </c>
      <c r="J16" s="1407">
        <v>14632.557210000001</v>
      </c>
      <c r="K16" s="1405">
        <v>7</v>
      </c>
      <c r="L16" s="1406">
        <v>12.8</v>
      </c>
      <c r="M16" s="1406">
        <v>27.58</v>
      </c>
      <c r="N16" s="1406">
        <v>201.1</v>
      </c>
      <c r="O16" s="1406">
        <v>85.8</v>
      </c>
      <c r="P16" s="1406">
        <v>105</v>
      </c>
      <c r="Q16" s="1406">
        <v>24.7</v>
      </c>
      <c r="R16" s="1406">
        <v>6.4</v>
      </c>
      <c r="S16" s="1406">
        <v>31.4</v>
      </c>
      <c r="T16" s="1406">
        <v>2.4</v>
      </c>
      <c r="U16" s="1406">
        <v>7.3</v>
      </c>
      <c r="V16" s="1406">
        <v>0.3</v>
      </c>
      <c r="W16" s="1406">
        <v>0.2</v>
      </c>
      <c r="X16" s="1407">
        <v>511.98</v>
      </c>
      <c r="Y16" s="1408">
        <v>15144.53721</v>
      </c>
      <c r="Z16" s="1409"/>
      <c r="AA16" s="1410"/>
      <c r="AB16" s="1410"/>
      <c r="AC16" s="1410"/>
    </row>
    <row r="17" spans="1:29" ht="28.5" hidden="1" customHeight="1" x14ac:dyDescent="0.25">
      <c r="A17" s="1404">
        <v>39600</v>
      </c>
      <c r="B17" s="1405">
        <v>227.70000000000073</v>
      </c>
      <c r="C17" s="1406">
        <v>141.6</v>
      </c>
      <c r="D17" s="1406">
        <v>222.5</v>
      </c>
      <c r="E17" s="1406">
        <v>867.9</v>
      </c>
      <c r="F17" s="1406">
        <v>1198.5999999999999</v>
      </c>
      <c r="G17" s="1406">
        <v>1875.2</v>
      </c>
      <c r="H17" s="1406">
        <v>9259.2999999999993</v>
      </c>
      <c r="I17" s="1406">
        <v>776.1</v>
      </c>
      <c r="J17" s="1407">
        <v>14568.9</v>
      </c>
      <c r="K17" s="1405">
        <v>7.056</v>
      </c>
      <c r="L17" s="1406">
        <v>12.8</v>
      </c>
      <c r="M17" s="1406">
        <v>34.090000000000003</v>
      </c>
      <c r="N17" s="1406">
        <v>200.8</v>
      </c>
      <c r="O17" s="1406">
        <v>85.6</v>
      </c>
      <c r="P17" s="1406">
        <v>105.4</v>
      </c>
      <c r="Q17" s="1406">
        <v>24.86</v>
      </c>
      <c r="R17" s="1406">
        <v>6.3498999999999999</v>
      </c>
      <c r="S17" s="1406">
        <v>31.54</v>
      </c>
      <c r="T17" s="1406">
        <v>2.4302999999999999</v>
      </c>
      <c r="U17" s="1406">
        <v>7.39</v>
      </c>
      <c r="V17" s="1406">
        <v>0.33</v>
      </c>
      <c r="W17" s="1406">
        <v>0.22</v>
      </c>
      <c r="X17" s="1407">
        <v>518.79999999999995</v>
      </c>
      <c r="Y17" s="1408">
        <v>15087.699999999999</v>
      </c>
      <c r="Z17" s="1409"/>
      <c r="AA17" s="1410"/>
      <c r="AB17" s="1410"/>
      <c r="AC17" s="1410"/>
    </row>
    <row r="18" spans="1:29" ht="28.5" hidden="1" customHeight="1" x14ac:dyDescent="0.25">
      <c r="A18" s="1404">
        <v>39630</v>
      </c>
      <c r="B18" s="1405">
        <v>227.29999999999927</v>
      </c>
      <c r="C18" s="1406">
        <v>139.5</v>
      </c>
      <c r="D18" s="1406">
        <v>226</v>
      </c>
      <c r="E18" s="1406">
        <v>879.6</v>
      </c>
      <c r="F18" s="1406">
        <v>1238</v>
      </c>
      <c r="G18" s="1406">
        <v>1944</v>
      </c>
      <c r="H18" s="1406">
        <v>9572</v>
      </c>
      <c r="I18" s="1406">
        <v>865.7</v>
      </c>
      <c r="J18" s="1407">
        <v>15092.113185</v>
      </c>
      <c r="K18" s="1405">
        <v>7.1</v>
      </c>
      <c r="L18" s="1406">
        <v>12.8</v>
      </c>
      <c r="M18" s="1406">
        <v>40.47</v>
      </c>
      <c r="N18" s="1406">
        <v>200.6</v>
      </c>
      <c r="O18" s="1406">
        <v>85.7</v>
      </c>
      <c r="P18" s="1406">
        <v>105.7</v>
      </c>
      <c r="Q18" s="1406">
        <v>25</v>
      </c>
      <c r="R18" s="1406">
        <v>6.3</v>
      </c>
      <c r="S18" s="1406">
        <v>31.8</v>
      </c>
      <c r="T18" s="1406">
        <v>2.4</v>
      </c>
      <c r="U18" s="1406">
        <v>7.5</v>
      </c>
      <c r="V18" s="1406">
        <v>0.3</v>
      </c>
      <c r="W18" s="1406">
        <v>0.2</v>
      </c>
      <c r="X18" s="1407">
        <v>525.87</v>
      </c>
      <c r="Y18" s="1408">
        <v>15617.983185000001</v>
      </c>
      <c r="Z18" s="1409"/>
      <c r="AA18" s="1410"/>
      <c r="AB18" s="1410"/>
      <c r="AC18" s="1410"/>
    </row>
    <row r="19" spans="1:29" ht="28.5" hidden="1" customHeight="1" x14ac:dyDescent="0.25">
      <c r="A19" s="1404">
        <v>39661</v>
      </c>
      <c r="B19" s="1405">
        <v>227.18999999999869</v>
      </c>
      <c r="C19" s="1406">
        <v>138.6</v>
      </c>
      <c r="D19" s="1406">
        <v>232.2</v>
      </c>
      <c r="E19" s="1406">
        <v>898.1</v>
      </c>
      <c r="F19" s="1406">
        <v>1234.3</v>
      </c>
      <c r="G19" s="1406">
        <v>1932.9</v>
      </c>
      <c r="H19" s="1406">
        <v>9622.1</v>
      </c>
      <c r="I19" s="1406">
        <v>921.01</v>
      </c>
      <c r="J19" s="1407">
        <v>15206.3951</v>
      </c>
      <c r="K19" s="1405">
        <v>7.0739999999999998</v>
      </c>
      <c r="L19" s="1406">
        <v>12.831</v>
      </c>
      <c r="M19" s="1406">
        <v>47.2</v>
      </c>
      <c r="N19" s="1406">
        <v>200.4</v>
      </c>
      <c r="O19" s="1406">
        <v>85.8</v>
      </c>
      <c r="P19" s="1406">
        <v>106</v>
      </c>
      <c r="Q19" s="1406">
        <v>25.1</v>
      </c>
      <c r="R19" s="1406">
        <v>6.3</v>
      </c>
      <c r="S19" s="1406">
        <v>32</v>
      </c>
      <c r="T19" s="1406">
        <v>2.4</v>
      </c>
      <c r="U19" s="1406">
        <v>7.5</v>
      </c>
      <c r="V19" s="1406">
        <v>0.3</v>
      </c>
      <c r="W19" s="1406">
        <v>0.2</v>
      </c>
      <c r="X19" s="1407">
        <v>533.20500000000004</v>
      </c>
      <c r="Y19" s="1408">
        <v>15739.6001</v>
      </c>
      <c r="Z19" s="1409"/>
      <c r="AA19" s="1410"/>
      <c r="AB19" s="1410"/>
      <c r="AC19" s="1410"/>
    </row>
    <row r="20" spans="1:29" ht="28.5" hidden="1" customHeight="1" x14ac:dyDescent="0.25">
      <c r="A20" s="1404">
        <v>39692</v>
      </c>
      <c r="B20" s="1405">
        <v>226.59999999999854</v>
      </c>
      <c r="C20" s="1406">
        <v>140.1</v>
      </c>
      <c r="D20" s="1406">
        <v>240.3</v>
      </c>
      <c r="E20" s="1406">
        <v>892.4</v>
      </c>
      <c r="F20" s="1406">
        <v>1250.7</v>
      </c>
      <c r="G20" s="1406">
        <v>1966.4</v>
      </c>
      <c r="H20" s="1406">
        <v>9647.7000000000007</v>
      </c>
      <c r="I20" s="1406">
        <v>951.6</v>
      </c>
      <c r="J20" s="1407">
        <v>15315.8</v>
      </c>
      <c r="K20" s="1405">
        <v>8</v>
      </c>
      <c r="L20" s="1406">
        <v>12.831</v>
      </c>
      <c r="M20" s="1406">
        <v>56.2</v>
      </c>
      <c r="N20" s="1406">
        <v>203.8</v>
      </c>
      <c r="O20" s="1406">
        <v>86.3</v>
      </c>
      <c r="P20" s="1406">
        <v>106.2</v>
      </c>
      <c r="Q20" s="1406">
        <v>25.3</v>
      </c>
      <c r="R20" s="1406">
        <v>6.3</v>
      </c>
      <c r="S20" s="1406">
        <v>32.200000000000003</v>
      </c>
      <c r="T20" s="1406">
        <v>2.4</v>
      </c>
      <c r="U20" s="1406">
        <v>7.6</v>
      </c>
      <c r="V20" s="1406">
        <v>0.3</v>
      </c>
      <c r="W20" s="1406">
        <v>0.2</v>
      </c>
      <c r="X20" s="1407">
        <v>547.70000000000005</v>
      </c>
      <c r="Y20" s="1408">
        <v>15863.5</v>
      </c>
      <c r="Z20" s="1409"/>
      <c r="AA20" s="1410"/>
      <c r="AB20" s="1410"/>
      <c r="AC20" s="1410"/>
    </row>
    <row r="21" spans="1:29" ht="28.5" hidden="1" customHeight="1" x14ac:dyDescent="0.25">
      <c r="A21" s="1404">
        <v>39722</v>
      </c>
      <c r="B21" s="1405">
        <v>226.6</v>
      </c>
      <c r="C21" s="1406">
        <v>145.19999999999999</v>
      </c>
      <c r="D21" s="1406">
        <v>227</v>
      </c>
      <c r="E21" s="1406">
        <v>913.5</v>
      </c>
      <c r="F21" s="1406">
        <v>1271.7</v>
      </c>
      <c r="G21" s="1406">
        <v>1996.8</v>
      </c>
      <c r="H21" s="1406">
        <v>9826.2999999999993</v>
      </c>
      <c r="I21" s="1406">
        <v>1016.8</v>
      </c>
      <c r="J21" s="1407">
        <v>15623.885180000001</v>
      </c>
      <c r="K21" s="1405">
        <v>8.0610079700000004</v>
      </c>
      <c r="L21" s="1406">
        <v>12.827</v>
      </c>
      <c r="M21" s="1406">
        <v>65.2</v>
      </c>
      <c r="N21" s="1406">
        <v>206.2</v>
      </c>
      <c r="O21" s="1406">
        <v>87.1</v>
      </c>
      <c r="P21" s="1406">
        <v>106.2</v>
      </c>
      <c r="Q21" s="1406">
        <v>25.4</v>
      </c>
      <c r="R21" s="1406">
        <v>6.3</v>
      </c>
      <c r="S21" s="1406">
        <v>32.4</v>
      </c>
      <c r="T21" s="1406">
        <v>2.4</v>
      </c>
      <c r="U21" s="1406">
        <v>7.6</v>
      </c>
      <c r="V21" s="1406">
        <v>0.3</v>
      </c>
      <c r="W21" s="1406">
        <v>0.2</v>
      </c>
      <c r="X21" s="1407">
        <v>560.18800796999994</v>
      </c>
      <c r="Y21" s="1408">
        <v>16184.073187970002</v>
      </c>
      <c r="Z21" s="1409"/>
      <c r="AA21" s="1410"/>
      <c r="AB21" s="1410"/>
      <c r="AC21" s="1410"/>
    </row>
    <row r="22" spans="1:29" ht="28.5" hidden="1" customHeight="1" x14ac:dyDescent="0.25">
      <c r="A22" s="1404">
        <v>39753</v>
      </c>
      <c r="B22" s="1405">
        <v>226.6</v>
      </c>
      <c r="C22" s="1406">
        <v>146.19999999999999</v>
      </c>
      <c r="D22" s="1406">
        <v>220.6</v>
      </c>
      <c r="E22" s="1406">
        <v>913</v>
      </c>
      <c r="F22" s="1406">
        <v>1281.3</v>
      </c>
      <c r="G22" s="1406">
        <v>2053.8000000000002</v>
      </c>
      <c r="H22" s="1406">
        <v>10084.6</v>
      </c>
      <c r="I22" s="1406">
        <v>1052.9000000000001</v>
      </c>
      <c r="J22" s="1407">
        <v>15979</v>
      </c>
      <c r="K22" s="1405">
        <v>8.0632180000000009</v>
      </c>
      <c r="L22" s="1406">
        <v>12.839</v>
      </c>
      <c r="M22" s="1406">
        <v>72.73</v>
      </c>
      <c r="N22" s="1406">
        <v>208.4</v>
      </c>
      <c r="O22" s="1406">
        <v>87.7</v>
      </c>
      <c r="P22" s="1406">
        <v>106.5</v>
      </c>
      <c r="Q22" s="1406">
        <v>25.5</v>
      </c>
      <c r="R22" s="1406">
        <v>6.3</v>
      </c>
      <c r="S22" s="1406">
        <v>32.6</v>
      </c>
      <c r="T22" s="1406">
        <v>2.4</v>
      </c>
      <c r="U22" s="1406">
        <v>7.7</v>
      </c>
      <c r="V22" s="1406">
        <v>0.3</v>
      </c>
      <c r="W22" s="1406">
        <v>0.2</v>
      </c>
      <c r="X22" s="1407">
        <v>571.33221800000001</v>
      </c>
      <c r="Y22" s="1408">
        <v>16550.332218</v>
      </c>
      <c r="Z22" s="1409"/>
      <c r="AA22" s="1410"/>
      <c r="AB22" s="1410"/>
      <c r="AC22" s="1410"/>
    </row>
    <row r="23" spans="1:29" ht="28.5" hidden="1" customHeight="1" x14ac:dyDescent="0.25">
      <c r="A23" s="1404">
        <v>39783</v>
      </c>
      <c r="B23" s="1405">
        <v>226.59999999999854</v>
      </c>
      <c r="C23" s="1406">
        <v>165.5</v>
      </c>
      <c r="D23" s="1406">
        <v>229</v>
      </c>
      <c r="E23" s="1406">
        <v>1113</v>
      </c>
      <c r="F23" s="1406">
        <v>1573.8</v>
      </c>
      <c r="G23" s="1406">
        <v>2547.3000000000002</v>
      </c>
      <c r="H23" s="1406">
        <v>12585.3</v>
      </c>
      <c r="I23" s="1406">
        <v>1155.3</v>
      </c>
      <c r="J23" s="1407">
        <v>19595.8</v>
      </c>
      <c r="K23" s="1405">
        <v>8.0632180000000009</v>
      </c>
      <c r="L23" s="1406">
        <v>12.9</v>
      </c>
      <c r="M23" s="1406">
        <v>86.8</v>
      </c>
      <c r="N23" s="1406">
        <v>213.1</v>
      </c>
      <c r="O23" s="1406">
        <v>89.2</v>
      </c>
      <c r="P23" s="1406">
        <v>109</v>
      </c>
      <c r="Q23" s="1406">
        <v>26</v>
      </c>
      <c r="R23" s="1406">
        <v>6.3</v>
      </c>
      <c r="S23" s="1406">
        <v>32.9</v>
      </c>
      <c r="T23" s="1406">
        <v>2.4</v>
      </c>
      <c r="U23" s="1406">
        <v>7.7</v>
      </c>
      <c r="V23" s="1406">
        <v>0.3</v>
      </c>
      <c r="W23" s="1406">
        <v>0.2</v>
      </c>
      <c r="X23" s="1407">
        <v>595</v>
      </c>
      <c r="Y23" s="1408">
        <v>20190.8</v>
      </c>
      <c r="Z23" s="1409"/>
      <c r="AA23" s="1410"/>
      <c r="AB23" s="1410"/>
      <c r="AC23" s="1410"/>
    </row>
    <row r="24" spans="1:29" ht="28.5" hidden="1" customHeight="1" x14ac:dyDescent="0.25">
      <c r="A24" s="1404">
        <v>39814</v>
      </c>
      <c r="B24" s="1405">
        <v>226.60000000000218</v>
      </c>
      <c r="C24" s="1406">
        <v>166.6</v>
      </c>
      <c r="D24" s="1406">
        <v>226.2</v>
      </c>
      <c r="E24" s="1406">
        <v>990.3</v>
      </c>
      <c r="F24" s="1406">
        <v>1352.6</v>
      </c>
      <c r="G24" s="1406">
        <v>2162.3000000000002</v>
      </c>
      <c r="H24" s="1406">
        <v>11224.3</v>
      </c>
      <c r="I24" s="1406">
        <v>1116.8</v>
      </c>
      <c r="J24" s="1407">
        <v>17465.7</v>
      </c>
      <c r="K24" s="1405">
        <v>8.1</v>
      </c>
      <c r="L24" s="1406">
        <v>12.9</v>
      </c>
      <c r="M24" s="1406">
        <v>89.4</v>
      </c>
      <c r="N24" s="1406">
        <v>213.5</v>
      </c>
      <c r="O24" s="1406">
        <v>89.3</v>
      </c>
      <c r="P24" s="1406">
        <v>109.2</v>
      </c>
      <c r="Q24" s="1406">
        <v>26.1</v>
      </c>
      <c r="R24" s="1406">
        <v>6.3</v>
      </c>
      <c r="S24" s="1406">
        <v>33</v>
      </c>
      <c r="T24" s="1406">
        <v>2.4</v>
      </c>
      <c r="U24" s="1406">
        <v>7.8</v>
      </c>
      <c r="V24" s="1406">
        <v>0.3</v>
      </c>
      <c r="W24" s="1406">
        <v>0.2</v>
      </c>
      <c r="X24" s="1407">
        <v>598.4</v>
      </c>
      <c r="Y24" s="1408">
        <v>18064.2</v>
      </c>
      <c r="Z24" s="1409"/>
      <c r="AA24" s="1410"/>
      <c r="AB24" s="1410"/>
      <c r="AC24" s="1410"/>
    </row>
    <row r="25" spans="1:29" ht="28.5" hidden="1" customHeight="1" x14ac:dyDescent="0.25">
      <c r="A25" s="1404">
        <v>39845</v>
      </c>
      <c r="B25" s="1405">
        <v>225.5</v>
      </c>
      <c r="C25" s="1406">
        <v>161.69999999999999</v>
      </c>
      <c r="D25" s="1406">
        <v>219.1</v>
      </c>
      <c r="E25" s="1406">
        <v>979.6</v>
      </c>
      <c r="F25" s="1406">
        <v>1315</v>
      </c>
      <c r="G25" s="1406">
        <v>2087.9</v>
      </c>
      <c r="H25" s="1406">
        <v>10977.6</v>
      </c>
      <c r="I25" s="1406">
        <v>1089.0999999999999</v>
      </c>
      <c r="J25" s="1407">
        <v>17055.5</v>
      </c>
      <c r="K25" s="1405">
        <v>8.1</v>
      </c>
      <c r="L25" s="1406">
        <v>12.9</v>
      </c>
      <c r="M25" s="1406">
        <v>90.1</v>
      </c>
      <c r="N25" s="1406">
        <v>213</v>
      </c>
      <c r="O25" s="1406">
        <v>89.3</v>
      </c>
      <c r="P25" s="1406">
        <v>109.3</v>
      </c>
      <c r="Q25" s="1406">
        <v>26.1</v>
      </c>
      <c r="R25" s="1406">
        <v>6.3</v>
      </c>
      <c r="S25" s="1406">
        <v>33.200000000000003</v>
      </c>
      <c r="T25" s="1406">
        <v>2.4</v>
      </c>
      <c r="U25" s="1406">
        <v>7.8</v>
      </c>
      <c r="V25" s="1406">
        <v>0.3</v>
      </c>
      <c r="W25" s="1406">
        <v>0.2</v>
      </c>
      <c r="X25" s="1407">
        <v>599.1</v>
      </c>
      <c r="Y25" s="1408">
        <v>17654.7</v>
      </c>
      <c r="Z25" s="1409"/>
      <c r="AA25" s="1410"/>
      <c r="AB25" s="1410"/>
      <c r="AC25" s="1410"/>
    </row>
    <row r="26" spans="1:29" ht="28.5" hidden="1" customHeight="1" x14ac:dyDescent="0.25">
      <c r="A26" s="1404">
        <v>39873</v>
      </c>
      <c r="B26" s="1405">
        <v>225.10000000000218</v>
      </c>
      <c r="C26" s="1406">
        <v>157.9</v>
      </c>
      <c r="D26" s="1406">
        <v>217.8</v>
      </c>
      <c r="E26" s="1406">
        <v>936.1</v>
      </c>
      <c r="F26" s="1406">
        <v>1294</v>
      </c>
      <c r="G26" s="1406">
        <v>2027.5</v>
      </c>
      <c r="H26" s="1406">
        <v>10783.8</v>
      </c>
      <c r="I26" s="1406">
        <v>1069</v>
      </c>
      <c r="J26" s="1407">
        <v>16711.2</v>
      </c>
      <c r="K26" s="1405">
        <v>8.1</v>
      </c>
      <c r="L26" s="1406">
        <v>12.9</v>
      </c>
      <c r="M26" s="1406">
        <v>91.1</v>
      </c>
      <c r="N26" s="1406">
        <v>212.3</v>
      </c>
      <c r="O26" s="1406">
        <v>89.2</v>
      </c>
      <c r="P26" s="1406">
        <v>110.2</v>
      </c>
      <c r="Q26" s="1406">
        <v>26.2</v>
      </c>
      <c r="R26" s="1406">
        <v>6.3</v>
      </c>
      <c r="S26" s="1406">
        <v>33.299999999999997</v>
      </c>
      <c r="T26" s="1406">
        <v>2.4</v>
      </c>
      <c r="U26" s="1406">
        <v>7.9</v>
      </c>
      <c r="V26" s="1406">
        <v>0.3</v>
      </c>
      <c r="W26" s="1406">
        <v>0.2</v>
      </c>
      <c r="X26" s="1407">
        <v>600.5</v>
      </c>
      <c r="Y26" s="1408">
        <v>17311.599999999999</v>
      </c>
      <c r="Z26" s="1409"/>
      <c r="AA26" s="1410"/>
      <c r="AB26" s="1410"/>
      <c r="AC26" s="1410"/>
    </row>
    <row r="27" spans="1:29" ht="28.5" hidden="1" customHeight="1" x14ac:dyDescent="0.25">
      <c r="A27" s="1404">
        <v>39904</v>
      </c>
      <c r="B27" s="1405">
        <v>225.09999999999854</v>
      </c>
      <c r="C27" s="1406">
        <v>154.30000000000001</v>
      </c>
      <c r="D27" s="1406">
        <v>213.1</v>
      </c>
      <c r="E27" s="1406">
        <v>929.7</v>
      </c>
      <c r="F27" s="1406">
        <v>1292.2</v>
      </c>
      <c r="G27" s="1406">
        <v>2044.1</v>
      </c>
      <c r="H27" s="1406">
        <v>10979.6</v>
      </c>
      <c r="I27" s="1406">
        <v>1064.2</v>
      </c>
      <c r="J27" s="1407">
        <v>16902.316824999998</v>
      </c>
      <c r="K27" s="1405">
        <v>8.1</v>
      </c>
      <c r="L27" s="1406">
        <v>12.9</v>
      </c>
      <c r="M27" s="1406">
        <v>93.9</v>
      </c>
      <c r="N27" s="1406">
        <v>210.6</v>
      </c>
      <c r="O27" s="1406">
        <v>89</v>
      </c>
      <c r="P27" s="1406">
        <v>110.6</v>
      </c>
      <c r="Q27" s="1406">
        <v>26.2</v>
      </c>
      <c r="R27" s="1406">
        <v>6.3</v>
      </c>
      <c r="S27" s="1406">
        <v>33.340000000000003</v>
      </c>
      <c r="T27" s="1406">
        <v>2.4</v>
      </c>
      <c r="U27" s="1406">
        <v>7.9</v>
      </c>
      <c r="V27" s="1406">
        <v>0.3</v>
      </c>
      <c r="W27" s="1406">
        <v>0.2</v>
      </c>
      <c r="X27" s="1407">
        <v>601.74</v>
      </c>
      <c r="Y27" s="1408">
        <v>17504</v>
      </c>
      <c r="Z27" s="1409"/>
      <c r="AA27" s="1410"/>
      <c r="AB27" s="1410"/>
      <c r="AC27" s="1410"/>
    </row>
    <row r="28" spans="1:29" ht="28.5" hidden="1" customHeight="1" x14ac:dyDescent="0.25">
      <c r="A28" s="1404">
        <v>39934</v>
      </c>
      <c r="B28" s="1405">
        <v>224.90000000000146</v>
      </c>
      <c r="C28" s="1406">
        <v>149.5</v>
      </c>
      <c r="D28" s="1406">
        <v>208.1</v>
      </c>
      <c r="E28" s="1406">
        <v>930.1</v>
      </c>
      <c r="F28" s="1406">
        <v>1251.9000000000001</v>
      </c>
      <c r="G28" s="1406">
        <v>2038.3</v>
      </c>
      <c r="H28" s="1406">
        <v>10857.6</v>
      </c>
      <c r="I28" s="1406">
        <v>1074.8</v>
      </c>
      <c r="J28" s="1407">
        <v>16735.169044999999</v>
      </c>
      <c r="K28" s="1405">
        <v>8.1</v>
      </c>
      <c r="L28" s="1406">
        <v>12.9</v>
      </c>
      <c r="M28" s="1406">
        <v>94.8</v>
      </c>
      <c r="N28" s="1406">
        <v>209.1</v>
      </c>
      <c r="O28" s="1406">
        <v>89.12</v>
      </c>
      <c r="P28" s="1406">
        <v>110.7</v>
      </c>
      <c r="Q28" s="1406">
        <v>26.16</v>
      </c>
      <c r="R28" s="1406">
        <v>6.3</v>
      </c>
      <c r="S28" s="1406">
        <v>33.53</v>
      </c>
      <c r="T28" s="1406">
        <v>2.4288059999999998</v>
      </c>
      <c r="U28" s="1406">
        <v>7.9450000000000003</v>
      </c>
      <c r="V28" s="1406">
        <v>0.33050000000000002</v>
      </c>
      <c r="W28" s="1406">
        <v>0.222</v>
      </c>
      <c r="X28" s="1407">
        <v>601.68630600000006</v>
      </c>
      <c r="Y28" s="1408">
        <v>17336.855350999998</v>
      </c>
      <c r="Z28" s="1409"/>
      <c r="AA28" s="1410"/>
      <c r="AB28" s="1410"/>
      <c r="AC28" s="1410"/>
    </row>
    <row r="29" spans="1:29" ht="28.5" hidden="1" customHeight="1" x14ac:dyDescent="0.25">
      <c r="A29" s="1404">
        <v>39965</v>
      </c>
      <c r="B29" s="1405">
        <v>223.8600000000024</v>
      </c>
      <c r="C29" s="1406">
        <v>144.30000000000001</v>
      </c>
      <c r="D29" s="1406">
        <v>203.24</v>
      </c>
      <c r="E29" s="1406">
        <v>928.1</v>
      </c>
      <c r="F29" s="1406">
        <v>1243.5</v>
      </c>
      <c r="G29" s="1406">
        <v>1990.7</v>
      </c>
      <c r="H29" s="1406">
        <v>10762.8</v>
      </c>
      <c r="I29" s="1406">
        <v>1086.4000000000001</v>
      </c>
      <c r="J29" s="1407">
        <v>16582.900000000001</v>
      </c>
      <c r="K29" s="1405">
        <v>8.1</v>
      </c>
      <c r="L29" s="1406">
        <v>12.9</v>
      </c>
      <c r="M29" s="1406">
        <v>95.2</v>
      </c>
      <c r="N29" s="1406">
        <v>209</v>
      </c>
      <c r="O29" s="1406">
        <v>89.1</v>
      </c>
      <c r="P29" s="1406">
        <v>110.8</v>
      </c>
      <c r="Q29" s="1406">
        <v>26.2</v>
      </c>
      <c r="R29" s="1406">
        <v>6.3</v>
      </c>
      <c r="S29" s="1406">
        <v>33.56</v>
      </c>
      <c r="T29" s="1406">
        <v>2.4</v>
      </c>
      <c r="U29" s="1406">
        <v>8</v>
      </c>
      <c r="V29" s="1406">
        <v>0.3</v>
      </c>
      <c r="W29" s="1406">
        <v>0.2</v>
      </c>
      <c r="X29" s="1407">
        <v>602.16</v>
      </c>
      <c r="Y29" s="1408">
        <v>17185.060000000001</v>
      </c>
      <c r="Z29" s="1409"/>
      <c r="AA29" s="1410"/>
      <c r="AB29" s="1410"/>
      <c r="AC29" s="1410"/>
    </row>
    <row r="30" spans="1:29" ht="28.5" hidden="1" customHeight="1" x14ac:dyDescent="0.25">
      <c r="A30" s="1404">
        <v>39995</v>
      </c>
      <c r="B30" s="1405">
        <v>224</v>
      </c>
      <c r="C30" s="1406">
        <v>142.69999999999999</v>
      </c>
      <c r="D30" s="1406">
        <v>202.2</v>
      </c>
      <c r="E30" s="1406">
        <v>922.7</v>
      </c>
      <c r="F30" s="1406">
        <v>1283.3</v>
      </c>
      <c r="G30" s="1406">
        <v>2090.8000000000002</v>
      </c>
      <c r="H30" s="1406">
        <v>11081.6</v>
      </c>
      <c r="I30" s="1406">
        <v>1112.2</v>
      </c>
      <c r="J30" s="1407">
        <v>17059.5</v>
      </c>
      <c r="K30" s="1405">
        <v>8.1</v>
      </c>
      <c r="L30" s="1406">
        <v>12.9</v>
      </c>
      <c r="M30" s="1406">
        <v>100.5</v>
      </c>
      <c r="N30" s="1406">
        <v>209.2</v>
      </c>
      <c r="O30" s="1406">
        <v>89.1</v>
      </c>
      <c r="P30" s="1406">
        <v>110.9</v>
      </c>
      <c r="Q30" s="1406">
        <v>26.3</v>
      </c>
      <c r="R30" s="1406">
        <v>6.3</v>
      </c>
      <c r="S30" s="1406">
        <v>33.56</v>
      </c>
      <c r="T30" s="1406">
        <v>2.4</v>
      </c>
      <c r="U30" s="1406">
        <v>8</v>
      </c>
      <c r="V30" s="1406">
        <v>0.3</v>
      </c>
      <c r="W30" s="1406">
        <v>0.2</v>
      </c>
      <c r="X30" s="1407">
        <v>607.8599999999999</v>
      </c>
      <c r="Y30" s="1408">
        <v>17667.36</v>
      </c>
      <c r="Z30" s="1409"/>
      <c r="AA30" s="1410"/>
      <c r="AB30" s="1410"/>
      <c r="AC30" s="1410"/>
    </row>
    <row r="31" spans="1:29" ht="28.5" hidden="1" customHeight="1" x14ac:dyDescent="0.25">
      <c r="A31" s="1404">
        <v>40026</v>
      </c>
      <c r="B31" s="1405">
        <v>223.9</v>
      </c>
      <c r="C31" s="1406">
        <v>142.69999999999999</v>
      </c>
      <c r="D31" s="1406">
        <v>201.1</v>
      </c>
      <c r="E31" s="1406">
        <v>931.1</v>
      </c>
      <c r="F31" s="1406">
        <v>1288.4000000000001</v>
      </c>
      <c r="G31" s="1406">
        <v>2081.8000000000002</v>
      </c>
      <c r="H31" s="1406">
        <v>11138.7</v>
      </c>
      <c r="I31" s="1406">
        <v>1113.7</v>
      </c>
      <c r="J31" s="1407">
        <v>17121.400000000001</v>
      </c>
      <c r="K31" s="1405">
        <v>8.1</v>
      </c>
      <c r="L31" s="1406">
        <v>12.9</v>
      </c>
      <c r="M31" s="1406">
        <v>107.3</v>
      </c>
      <c r="N31" s="1406">
        <v>209</v>
      </c>
      <c r="O31" s="1406">
        <v>89.2</v>
      </c>
      <c r="P31" s="1406">
        <v>111.1</v>
      </c>
      <c r="Q31" s="1406">
        <v>26.5</v>
      </c>
      <c r="R31" s="1406">
        <v>6.3</v>
      </c>
      <c r="S31" s="1406">
        <v>33.700000000000003</v>
      </c>
      <c r="T31" s="1406">
        <v>2.4</v>
      </c>
      <c r="U31" s="1406">
        <v>8</v>
      </c>
      <c r="V31" s="1406">
        <v>0.3</v>
      </c>
      <c r="W31" s="1406">
        <v>0.2</v>
      </c>
      <c r="X31" s="1407">
        <v>615.1</v>
      </c>
      <c r="Y31" s="1408">
        <v>17736.5</v>
      </c>
      <c r="Z31" s="1409"/>
      <c r="AA31" s="1410"/>
      <c r="AB31" s="1410"/>
      <c r="AC31" s="1410"/>
    </row>
    <row r="32" spans="1:29" ht="28.5" hidden="1" customHeight="1" x14ac:dyDescent="0.25">
      <c r="A32" s="1404">
        <v>40057</v>
      </c>
      <c r="B32" s="1405">
        <v>223.8</v>
      </c>
      <c r="C32" s="1406">
        <v>148.5</v>
      </c>
      <c r="D32" s="1406">
        <v>200.5</v>
      </c>
      <c r="E32" s="1406">
        <v>939.9</v>
      </c>
      <c r="F32" s="1406">
        <v>1303.0999999999999</v>
      </c>
      <c r="G32" s="1406">
        <v>2058.9</v>
      </c>
      <c r="H32" s="1406">
        <v>10927.5</v>
      </c>
      <c r="I32" s="1406">
        <v>1104.5</v>
      </c>
      <c r="J32" s="1407">
        <v>16906.7</v>
      </c>
      <c r="K32" s="1405">
        <v>8.1</v>
      </c>
      <c r="L32" s="1406">
        <v>12.9</v>
      </c>
      <c r="M32" s="1406">
        <v>113.8</v>
      </c>
      <c r="N32" s="1406">
        <v>209.3</v>
      </c>
      <c r="O32" s="1406">
        <v>89.2</v>
      </c>
      <c r="P32" s="1406">
        <v>111.7</v>
      </c>
      <c r="Q32" s="1406">
        <v>26.6</v>
      </c>
      <c r="R32" s="1406">
        <v>6.3</v>
      </c>
      <c r="S32" s="1406">
        <v>34</v>
      </c>
      <c r="T32" s="1406">
        <v>2.4</v>
      </c>
      <c r="U32" s="1406">
        <v>8.1</v>
      </c>
      <c r="V32" s="1406">
        <v>0.3</v>
      </c>
      <c r="W32" s="1406">
        <v>0.2</v>
      </c>
      <c r="X32" s="1407">
        <v>623.04499999999996</v>
      </c>
      <c r="Y32" s="1408">
        <v>17529.7</v>
      </c>
      <c r="Z32" s="1409"/>
      <c r="AA32" s="1410"/>
      <c r="AB32" s="1410"/>
      <c r="AC32" s="1410"/>
    </row>
    <row r="33" spans="1:29" ht="28.5" hidden="1" customHeight="1" x14ac:dyDescent="0.25">
      <c r="A33" s="1404">
        <v>40087</v>
      </c>
      <c r="B33" s="1405">
        <v>223.65862500000003</v>
      </c>
      <c r="C33" s="1406">
        <v>154.61484999999999</v>
      </c>
      <c r="D33" s="1406">
        <v>199.25479999999999</v>
      </c>
      <c r="E33" s="1406">
        <v>951.44920000000002</v>
      </c>
      <c r="F33" s="1406">
        <v>1307.9898000000001</v>
      </c>
      <c r="G33" s="1406">
        <v>2127.0259999999998</v>
      </c>
      <c r="H33" s="1406">
        <v>11263.867</v>
      </c>
      <c r="I33" s="1406">
        <v>1113.374</v>
      </c>
      <c r="J33" s="1407">
        <v>17341.234274999999</v>
      </c>
      <c r="K33" s="1405">
        <v>8.1999999999999993</v>
      </c>
      <c r="L33" s="1406">
        <v>12.9</v>
      </c>
      <c r="M33" s="1406">
        <v>118.3</v>
      </c>
      <c r="N33" s="1406">
        <v>209.3</v>
      </c>
      <c r="O33" s="1406">
        <v>89.27</v>
      </c>
      <c r="P33" s="1406">
        <v>112</v>
      </c>
      <c r="Q33" s="1406">
        <v>26.71</v>
      </c>
      <c r="R33" s="1406">
        <v>6.3</v>
      </c>
      <c r="S33" s="1406">
        <v>34.25</v>
      </c>
      <c r="T33" s="1406">
        <v>2.4</v>
      </c>
      <c r="U33" s="1406">
        <v>8.1</v>
      </c>
      <c r="V33" s="1406">
        <v>0.3</v>
      </c>
      <c r="W33" s="1406">
        <v>0.2</v>
      </c>
      <c r="X33" s="1407">
        <v>628.33000000000004</v>
      </c>
      <c r="Y33" s="1408">
        <v>17969.564275000001</v>
      </c>
      <c r="Z33" s="1409"/>
      <c r="AA33" s="1410"/>
      <c r="AB33" s="1410"/>
      <c r="AC33" s="1410"/>
    </row>
    <row r="34" spans="1:29" ht="28.5" hidden="1" customHeight="1" x14ac:dyDescent="0.25">
      <c r="A34" s="1404">
        <v>40118</v>
      </c>
      <c r="B34" s="1405">
        <v>223.6</v>
      </c>
      <c r="C34" s="1406">
        <v>153.30000000000001</v>
      </c>
      <c r="D34" s="1406">
        <v>197.7</v>
      </c>
      <c r="E34" s="1406">
        <v>964.86</v>
      </c>
      <c r="F34" s="1406">
        <v>1333.5</v>
      </c>
      <c r="G34" s="1406">
        <v>2126.8000000000002</v>
      </c>
      <c r="H34" s="1406">
        <v>11465</v>
      </c>
      <c r="I34" s="1406">
        <v>1107.7</v>
      </c>
      <c r="J34" s="1407">
        <v>17572.460000000003</v>
      </c>
      <c r="K34" s="1405">
        <v>8.5</v>
      </c>
      <c r="L34" s="1406">
        <v>13</v>
      </c>
      <c r="M34" s="1406">
        <v>122.9</v>
      </c>
      <c r="N34" s="1406">
        <v>210.9</v>
      </c>
      <c r="O34" s="1406">
        <v>89.7</v>
      </c>
      <c r="P34" s="1406">
        <v>113.2</v>
      </c>
      <c r="Q34" s="1406">
        <v>27.2</v>
      </c>
      <c r="R34" s="1406">
        <v>6.3</v>
      </c>
      <c r="S34" s="1406">
        <v>34.5</v>
      </c>
      <c r="T34" s="1406">
        <v>2.4</v>
      </c>
      <c r="U34" s="1406">
        <v>8.1999999999999993</v>
      </c>
      <c r="V34" s="1406">
        <v>0.3</v>
      </c>
      <c r="W34" s="1406">
        <v>0.2</v>
      </c>
      <c r="X34" s="1407">
        <v>637.30000000000007</v>
      </c>
      <c r="Y34" s="1408">
        <v>18209.760000000002</v>
      </c>
      <c r="Z34" s="1409"/>
      <c r="AA34" s="1410"/>
      <c r="AB34" s="1410"/>
      <c r="AC34" s="1410"/>
    </row>
    <row r="35" spans="1:29" ht="28.5" hidden="1" customHeight="1" x14ac:dyDescent="0.25">
      <c r="A35" s="1404">
        <v>40148</v>
      </c>
      <c r="B35" s="1405">
        <v>223.5</v>
      </c>
      <c r="C35" s="1406">
        <v>157.11632499999999</v>
      </c>
      <c r="D35" s="1406">
        <v>207.54839999999999</v>
      </c>
      <c r="E35" s="1406">
        <v>1103.7596000000001</v>
      </c>
      <c r="F35" s="1406">
        <v>1611.6784</v>
      </c>
      <c r="G35" s="1406">
        <v>2578.212</v>
      </c>
      <c r="H35" s="1406">
        <v>13609.625</v>
      </c>
      <c r="I35" s="1406">
        <v>1163.1199999999999</v>
      </c>
      <c r="J35" s="1407">
        <v>20654.559724999999</v>
      </c>
      <c r="K35" s="1405">
        <v>8.5850000000000009</v>
      </c>
      <c r="L35" s="1406">
        <v>12.955</v>
      </c>
      <c r="M35" s="1406">
        <v>133.39807999999999</v>
      </c>
      <c r="N35" s="1406">
        <v>216.40622999999999</v>
      </c>
      <c r="O35" s="1411">
        <v>93.355885000000001</v>
      </c>
      <c r="P35" s="1411">
        <v>114.90643</v>
      </c>
      <c r="Q35" s="1406">
        <v>27.515757000000001</v>
      </c>
      <c r="R35" s="1406">
        <v>6.3474992500000003</v>
      </c>
      <c r="S35" s="1406">
        <v>34.670226199999995</v>
      </c>
      <c r="T35" s="1406">
        <v>2.4285654999999999</v>
      </c>
      <c r="U35" s="1406">
        <v>8.2286047</v>
      </c>
      <c r="V35" s="1406">
        <v>0.33051676000000002</v>
      </c>
      <c r="W35" s="1406">
        <v>0.22206902000000001</v>
      </c>
      <c r="X35" s="1407">
        <v>659.34986343000003</v>
      </c>
      <c r="Y35" s="1408">
        <v>21313.90958843</v>
      </c>
      <c r="Z35" s="1409"/>
      <c r="AA35" s="1410"/>
      <c r="AB35" s="1410"/>
      <c r="AC35" s="1410"/>
    </row>
    <row r="36" spans="1:29" ht="28.5" hidden="1" customHeight="1" x14ac:dyDescent="0.25">
      <c r="A36" s="1404">
        <v>40179</v>
      </c>
      <c r="B36" s="1405">
        <v>223.4</v>
      </c>
      <c r="C36" s="1406">
        <v>163.1</v>
      </c>
      <c r="D36" s="1406">
        <v>206.7</v>
      </c>
      <c r="E36" s="1406">
        <v>1000.4</v>
      </c>
      <c r="F36" s="1406">
        <v>1380.6</v>
      </c>
      <c r="G36" s="1406">
        <v>2232</v>
      </c>
      <c r="H36" s="1406">
        <v>12193.1</v>
      </c>
      <c r="I36" s="1406">
        <v>1132</v>
      </c>
      <c r="J36" s="1407">
        <v>18531.3</v>
      </c>
      <c r="K36" s="1405">
        <v>8.6</v>
      </c>
      <c r="L36" s="1406">
        <v>12.9621</v>
      </c>
      <c r="M36" s="1406">
        <v>136.4</v>
      </c>
      <c r="N36" s="1406">
        <v>218.57</v>
      </c>
      <c r="O36" s="1411">
        <v>93.36</v>
      </c>
      <c r="P36" s="1411">
        <v>116.24</v>
      </c>
      <c r="Q36" s="1406">
        <v>27.76</v>
      </c>
      <c r="R36" s="1406">
        <v>6.3474992500000003</v>
      </c>
      <c r="S36" s="1406">
        <v>34.700000000000003</v>
      </c>
      <c r="T36" s="1406">
        <v>2.4</v>
      </c>
      <c r="U36" s="1406">
        <v>8.1999999999999993</v>
      </c>
      <c r="V36" s="1406">
        <v>0.3</v>
      </c>
      <c r="W36" s="1406">
        <v>0.2</v>
      </c>
      <c r="X36" s="1407">
        <v>666.03959925000015</v>
      </c>
      <c r="Y36" s="1408">
        <v>19197.339599250001</v>
      </c>
      <c r="Z36" s="1409"/>
      <c r="AA36" s="1410"/>
      <c r="AB36" s="1410"/>
      <c r="AC36" s="1410"/>
    </row>
    <row r="37" spans="1:29" ht="28.5" hidden="1" customHeight="1" x14ac:dyDescent="0.25">
      <c r="A37" s="1404">
        <v>40210</v>
      </c>
      <c r="B37" s="1405">
        <v>223.3</v>
      </c>
      <c r="C37" s="1406">
        <v>161.252725</v>
      </c>
      <c r="D37" s="1406">
        <v>206.64425</v>
      </c>
      <c r="E37" s="1406">
        <v>979.74149999999997</v>
      </c>
      <c r="F37" s="1406">
        <v>1375.3363999999999</v>
      </c>
      <c r="G37" s="1406">
        <v>2160.5745000000002</v>
      </c>
      <c r="H37" s="1406">
        <v>11993.867</v>
      </c>
      <c r="I37" s="1406">
        <v>1119.5519999999999</v>
      </c>
      <c r="J37" s="1407">
        <v>18220.268375</v>
      </c>
      <c r="K37" s="1405">
        <v>8.6</v>
      </c>
      <c r="L37" s="1406">
        <v>13</v>
      </c>
      <c r="M37" s="1406">
        <v>134.91</v>
      </c>
      <c r="N37" s="1406">
        <v>218.6</v>
      </c>
      <c r="O37" s="1411">
        <v>93.4</v>
      </c>
      <c r="P37" s="1411">
        <v>116.99</v>
      </c>
      <c r="Q37" s="1406">
        <v>27.76</v>
      </c>
      <c r="R37" s="1406">
        <v>6.3474992500000003</v>
      </c>
      <c r="S37" s="1406">
        <v>34.799999999999997</v>
      </c>
      <c r="T37" s="1406">
        <v>2.4</v>
      </c>
      <c r="U37" s="1406">
        <v>8.25</v>
      </c>
      <c r="V37" s="1406">
        <v>0.33</v>
      </c>
      <c r="W37" s="1406">
        <v>0.2</v>
      </c>
      <c r="X37" s="1407">
        <v>665.59</v>
      </c>
      <c r="Y37" s="1408">
        <v>18885.858375</v>
      </c>
      <c r="Z37" s="1409"/>
      <c r="AA37" s="1410"/>
      <c r="AB37" s="1410"/>
      <c r="AC37" s="1410"/>
    </row>
    <row r="38" spans="1:29" ht="28.5" hidden="1" customHeight="1" x14ac:dyDescent="0.25">
      <c r="A38" s="1404">
        <v>40238</v>
      </c>
      <c r="B38" s="1405">
        <v>223.3</v>
      </c>
      <c r="C38" s="1406">
        <v>162.4</v>
      </c>
      <c r="D38" s="1406">
        <v>203.1</v>
      </c>
      <c r="E38" s="1406">
        <v>980.83</v>
      </c>
      <c r="F38" s="1406">
        <v>1372.3</v>
      </c>
      <c r="G38" s="1406">
        <v>2229.5</v>
      </c>
      <c r="H38" s="1406">
        <v>12056.4</v>
      </c>
      <c r="I38" s="1406">
        <v>1097.7</v>
      </c>
      <c r="J38" s="1407">
        <v>18325.53</v>
      </c>
      <c r="K38" s="1405">
        <v>8.61</v>
      </c>
      <c r="L38" s="1406">
        <v>12.967000000000001</v>
      </c>
      <c r="M38" s="1406">
        <v>130.96</v>
      </c>
      <c r="N38" s="1406">
        <v>218.20168000000001</v>
      </c>
      <c r="O38" s="1411">
        <v>94.12</v>
      </c>
      <c r="P38" s="1411">
        <v>117.398</v>
      </c>
      <c r="Q38" s="1406">
        <v>27.76</v>
      </c>
      <c r="R38" s="1406">
        <v>6.3470000000000004</v>
      </c>
      <c r="S38" s="1406">
        <v>35.049999999999997</v>
      </c>
      <c r="T38" s="1406">
        <v>2.4300000000000002</v>
      </c>
      <c r="U38" s="1406">
        <v>8.2606000000000002</v>
      </c>
      <c r="V38" s="1406">
        <v>0.33</v>
      </c>
      <c r="W38" s="1406">
        <v>0.2</v>
      </c>
      <c r="X38" s="1407">
        <v>662.63427999999999</v>
      </c>
      <c r="Y38" s="1408">
        <v>18988.164280000001</v>
      </c>
      <c r="Z38" s="1409"/>
      <c r="AA38" s="1410"/>
      <c r="AB38" s="1410"/>
      <c r="AC38" s="1410"/>
    </row>
    <row r="39" spans="1:29" ht="28.5" hidden="1" customHeight="1" x14ac:dyDescent="0.25">
      <c r="A39" s="1404">
        <v>40269</v>
      </c>
      <c r="B39" s="1405">
        <v>223.2</v>
      </c>
      <c r="C39" s="1406">
        <v>170.58</v>
      </c>
      <c r="D39" s="1406">
        <v>220.6797</v>
      </c>
      <c r="E39" s="1406">
        <v>970.68</v>
      </c>
      <c r="F39" s="1406">
        <v>1337.58</v>
      </c>
      <c r="G39" s="1406">
        <v>2183.1799999999998</v>
      </c>
      <c r="H39" s="1406">
        <v>12143.69</v>
      </c>
      <c r="I39" s="1406">
        <v>1082.3499999999999</v>
      </c>
      <c r="J39" s="1407">
        <v>18331.939699999999</v>
      </c>
      <c r="K39" s="1405">
        <v>8.6</v>
      </c>
      <c r="L39" s="1406">
        <v>12.97</v>
      </c>
      <c r="M39" s="1406">
        <v>131.37</v>
      </c>
      <c r="N39" s="1406">
        <v>218.35</v>
      </c>
      <c r="O39" s="1411">
        <v>95.01</v>
      </c>
      <c r="P39" s="1411">
        <v>117.64</v>
      </c>
      <c r="Q39" s="1406">
        <v>27.75</v>
      </c>
      <c r="R39" s="1406">
        <v>6.34</v>
      </c>
      <c r="S39" s="1406">
        <v>35.17</v>
      </c>
      <c r="T39" s="1406">
        <v>2.42</v>
      </c>
      <c r="U39" s="1406">
        <v>8.26</v>
      </c>
      <c r="V39" s="1406">
        <v>0.33</v>
      </c>
      <c r="W39" s="1406">
        <v>0.22</v>
      </c>
      <c r="X39" s="1407">
        <v>664.43</v>
      </c>
      <c r="Y39" s="1408">
        <v>18996.369699999999</v>
      </c>
      <c r="Z39" s="1409"/>
      <c r="AA39" s="1410"/>
      <c r="AB39" s="1410"/>
      <c r="AC39" s="1410"/>
    </row>
    <row r="40" spans="1:29" ht="28.5" hidden="1" customHeight="1" x14ac:dyDescent="0.25">
      <c r="A40" s="1404">
        <v>40299</v>
      </c>
      <c r="B40" s="1405">
        <v>219.7</v>
      </c>
      <c r="C40" s="1406">
        <v>173.1</v>
      </c>
      <c r="D40" s="1406">
        <v>233</v>
      </c>
      <c r="E40" s="1406">
        <v>978.9</v>
      </c>
      <c r="F40" s="1406">
        <v>1364.79</v>
      </c>
      <c r="G40" s="1406">
        <v>2189.9</v>
      </c>
      <c r="H40" s="1406">
        <v>12249.4</v>
      </c>
      <c r="I40" s="1406">
        <v>1080.0999999999999</v>
      </c>
      <c r="J40" s="1407">
        <v>18488.89</v>
      </c>
      <c r="K40" s="1405">
        <v>8.6</v>
      </c>
      <c r="L40" s="1406">
        <v>12.98</v>
      </c>
      <c r="M40" s="1406">
        <v>129.77000000000001</v>
      </c>
      <c r="N40" s="1412">
        <v>218.63</v>
      </c>
      <c r="O40" s="1412">
        <v>95.18</v>
      </c>
      <c r="P40" s="1412">
        <v>117.85</v>
      </c>
      <c r="Q40" s="1412">
        <v>27.8</v>
      </c>
      <c r="R40" s="1406">
        <v>6.3</v>
      </c>
      <c r="S40" s="1406">
        <v>35.25</v>
      </c>
      <c r="T40" s="1406">
        <v>2.4300000000000002</v>
      </c>
      <c r="U40" s="1406">
        <v>8.33</v>
      </c>
      <c r="V40" s="1406">
        <v>0.33</v>
      </c>
      <c r="W40" s="1406">
        <v>0.22</v>
      </c>
      <c r="X40" s="1407">
        <v>663.67</v>
      </c>
      <c r="Y40" s="1408">
        <v>19152.559999999998</v>
      </c>
      <c r="Z40" s="1409"/>
      <c r="AA40" s="1410"/>
      <c r="AB40" s="1410"/>
      <c r="AC40" s="1410"/>
    </row>
    <row r="41" spans="1:29" ht="28.5" hidden="1" customHeight="1" x14ac:dyDescent="0.25">
      <c r="A41" s="1404">
        <v>40330</v>
      </c>
      <c r="B41" s="1405">
        <v>219.6</v>
      </c>
      <c r="C41" s="1406">
        <v>174.9</v>
      </c>
      <c r="D41" s="1406">
        <v>236.9</v>
      </c>
      <c r="E41" s="1406">
        <v>957.7</v>
      </c>
      <c r="F41" s="1406">
        <v>1316</v>
      </c>
      <c r="G41" s="1406">
        <v>2155.4</v>
      </c>
      <c r="H41" s="1406">
        <v>12099.4</v>
      </c>
      <c r="I41" s="1406">
        <v>1068.5</v>
      </c>
      <c r="J41" s="1407">
        <v>18228.400000000001</v>
      </c>
      <c r="K41" s="1405">
        <v>8.6</v>
      </c>
      <c r="L41" s="1406">
        <v>12.98</v>
      </c>
      <c r="M41" s="1406">
        <v>128.6</v>
      </c>
      <c r="N41" s="1412">
        <v>217.07</v>
      </c>
      <c r="O41" s="1412">
        <v>95.27</v>
      </c>
      <c r="P41" s="1412">
        <v>118.08</v>
      </c>
      <c r="Q41" s="1412">
        <v>27.83</v>
      </c>
      <c r="R41" s="1406">
        <v>6.3</v>
      </c>
      <c r="S41" s="1406">
        <v>35.54</v>
      </c>
      <c r="T41" s="1406">
        <v>2.4300000000000002</v>
      </c>
      <c r="U41" s="1406">
        <v>8.41</v>
      </c>
      <c r="V41" s="1406">
        <v>0.33</v>
      </c>
      <c r="W41" s="1406">
        <v>0.22</v>
      </c>
      <c r="X41" s="1407">
        <v>661.66</v>
      </c>
      <c r="Y41" s="1408">
        <v>18890.060000000001</v>
      </c>
      <c r="Z41" s="1409"/>
      <c r="AA41" s="1410"/>
      <c r="AB41" s="1410"/>
      <c r="AC41" s="1410"/>
    </row>
    <row r="42" spans="1:29" ht="28.5" hidden="1" customHeight="1" x14ac:dyDescent="0.25">
      <c r="A42" s="1404">
        <v>40360</v>
      </c>
      <c r="B42" s="1405">
        <v>219.56</v>
      </c>
      <c r="C42" s="1406">
        <v>175.46</v>
      </c>
      <c r="D42" s="1406">
        <v>242.4</v>
      </c>
      <c r="E42" s="1406">
        <v>973.4</v>
      </c>
      <c r="F42" s="1406">
        <v>1327</v>
      </c>
      <c r="G42" s="1406">
        <v>2207</v>
      </c>
      <c r="H42" s="1406">
        <v>12337.3</v>
      </c>
      <c r="I42" s="1406">
        <v>1059.5999999999999</v>
      </c>
      <c r="J42" s="1407">
        <v>18541.72</v>
      </c>
      <c r="K42" s="1405">
        <v>8.6</v>
      </c>
      <c r="L42" s="1406">
        <v>12.98</v>
      </c>
      <c r="M42" s="1406">
        <v>126.51</v>
      </c>
      <c r="N42" s="1412">
        <v>215.95</v>
      </c>
      <c r="O42" s="1412">
        <v>95.09</v>
      </c>
      <c r="P42" s="1412">
        <v>118.4</v>
      </c>
      <c r="Q42" s="1412">
        <v>27.9</v>
      </c>
      <c r="R42" s="1406">
        <v>6.3460000000000001</v>
      </c>
      <c r="S42" s="1406">
        <v>35.64</v>
      </c>
      <c r="T42" s="1406">
        <v>2.4300000000000002</v>
      </c>
      <c r="U42" s="1406">
        <v>8.4600000000000009</v>
      </c>
      <c r="V42" s="1406">
        <v>0.33</v>
      </c>
      <c r="W42" s="1406">
        <v>0.22</v>
      </c>
      <c r="X42" s="1407">
        <v>658.85599999999999</v>
      </c>
      <c r="Y42" s="1408">
        <v>19200.575999999997</v>
      </c>
      <c r="Z42" s="1409"/>
      <c r="AA42" s="1410"/>
      <c r="AB42" s="1410"/>
      <c r="AC42" s="1410"/>
    </row>
    <row r="43" spans="1:29" ht="28.5" hidden="1" customHeight="1" x14ac:dyDescent="0.25">
      <c r="A43" s="1404">
        <v>40391</v>
      </c>
      <c r="B43" s="1405">
        <v>219.5</v>
      </c>
      <c r="C43" s="1406">
        <v>179.6</v>
      </c>
      <c r="D43" s="1406">
        <v>251.75</v>
      </c>
      <c r="E43" s="1406">
        <v>972.95</v>
      </c>
      <c r="F43" s="1406">
        <v>1361.1</v>
      </c>
      <c r="G43" s="1406">
        <v>2211.4899999999998</v>
      </c>
      <c r="H43" s="1406">
        <v>12434.69</v>
      </c>
      <c r="I43" s="1406">
        <v>1049.9000000000001</v>
      </c>
      <c r="J43" s="1407">
        <v>18680.98</v>
      </c>
      <c r="K43" s="1405">
        <v>8.6300000000000008</v>
      </c>
      <c r="L43" s="1406">
        <v>12.99</v>
      </c>
      <c r="M43" s="1406">
        <v>126.58</v>
      </c>
      <c r="N43" s="1412">
        <v>215.91</v>
      </c>
      <c r="O43" s="1412">
        <v>95.42</v>
      </c>
      <c r="P43" s="1412">
        <v>118.66</v>
      </c>
      <c r="Q43" s="1412">
        <v>28</v>
      </c>
      <c r="R43" s="1406">
        <v>6.3460000000000001</v>
      </c>
      <c r="S43" s="1406">
        <v>35.89</v>
      </c>
      <c r="T43" s="1406">
        <v>2.4</v>
      </c>
      <c r="U43" s="1406">
        <v>8.5030000000000001</v>
      </c>
      <c r="V43" s="1406">
        <v>0.33</v>
      </c>
      <c r="W43" s="1406">
        <v>0.22</v>
      </c>
      <c r="X43" s="1407">
        <v>659.87900000000013</v>
      </c>
      <c r="Y43" s="1408">
        <v>19340.859000000004</v>
      </c>
      <c r="Z43" s="1409"/>
      <c r="AA43" s="1410"/>
      <c r="AB43" s="1410"/>
      <c r="AC43" s="1410"/>
    </row>
    <row r="44" spans="1:29" ht="28.5" hidden="1" customHeight="1" x14ac:dyDescent="0.25">
      <c r="A44" s="1404">
        <v>40422</v>
      </c>
      <c r="B44" s="1405">
        <v>219.44</v>
      </c>
      <c r="C44" s="1406">
        <v>182.4</v>
      </c>
      <c r="D44" s="1406">
        <v>255.9</v>
      </c>
      <c r="E44" s="1406">
        <v>1013.9</v>
      </c>
      <c r="F44" s="1406">
        <v>1350.8</v>
      </c>
      <c r="G44" s="1406">
        <v>2246.6999999999998</v>
      </c>
      <c r="H44" s="1406">
        <v>12363.3</v>
      </c>
      <c r="I44" s="1406">
        <v>1044.5999999999999</v>
      </c>
      <c r="J44" s="1407">
        <v>18677.039999999997</v>
      </c>
      <c r="K44" s="1405">
        <v>8.6</v>
      </c>
      <c r="L44" s="1406">
        <v>12.99</v>
      </c>
      <c r="M44" s="1406">
        <v>126.69</v>
      </c>
      <c r="N44" s="1412">
        <v>215.62</v>
      </c>
      <c r="O44" s="1412">
        <v>95.63</v>
      </c>
      <c r="P44" s="1412">
        <v>118.81</v>
      </c>
      <c r="Q44" s="1412">
        <v>28.06</v>
      </c>
      <c r="R44" s="1406">
        <v>6.3</v>
      </c>
      <c r="S44" s="1406">
        <v>35.93</v>
      </c>
      <c r="T44" s="1406">
        <v>2.4300000000000002</v>
      </c>
      <c r="U44" s="1406">
        <v>8.5500000000000007</v>
      </c>
      <c r="V44" s="1406">
        <v>0.33</v>
      </c>
      <c r="W44" s="1406">
        <v>0.2</v>
      </c>
      <c r="X44" s="1407">
        <v>660.14999999999975</v>
      </c>
      <c r="Y44" s="1408">
        <v>19337.189999999999</v>
      </c>
      <c r="Z44" s="1409"/>
      <c r="AA44" s="1410"/>
      <c r="AB44" s="1410"/>
      <c r="AC44" s="1410"/>
    </row>
    <row r="45" spans="1:29" ht="28.5" hidden="1" customHeight="1" x14ac:dyDescent="0.25">
      <c r="A45" s="1404">
        <v>40452</v>
      </c>
      <c r="B45" s="1405">
        <v>219.39</v>
      </c>
      <c r="C45" s="1406">
        <v>180.07</v>
      </c>
      <c r="D45" s="1406">
        <v>252.2</v>
      </c>
      <c r="E45" s="1406">
        <v>1009.1</v>
      </c>
      <c r="F45" s="1406">
        <v>1357.59</v>
      </c>
      <c r="G45" s="1406">
        <v>2233.25</v>
      </c>
      <c r="H45" s="1406">
        <v>12536.1</v>
      </c>
      <c r="I45" s="1406">
        <v>1034.5999999999999</v>
      </c>
      <c r="J45" s="1407">
        <v>18822.3</v>
      </c>
      <c r="K45" s="1405">
        <v>8.6</v>
      </c>
      <c r="L45" s="1406">
        <v>12.996</v>
      </c>
      <c r="M45" s="1406">
        <v>127.81</v>
      </c>
      <c r="N45" s="1412">
        <v>216.33</v>
      </c>
      <c r="O45" s="1412">
        <v>95.79</v>
      </c>
      <c r="P45" s="1412">
        <v>119.03</v>
      </c>
      <c r="Q45" s="1412">
        <v>28.06</v>
      </c>
      <c r="R45" s="1406">
        <v>6.3460000000000001</v>
      </c>
      <c r="S45" s="1406">
        <v>35.9</v>
      </c>
      <c r="T45" s="1406">
        <v>2.4300000000000002</v>
      </c>
      <c r="U45" s="1406">
        <v>8.59</v>
      </c>
      <c r="V45" s="1406">
        <v>0.33</v>
      </c>
      <c r="W45" s="1406">
        <v>0.22</v>
      </c>
      <c r="X45" s="1407">
        <v>662.43200000000002</v>
      </c>
      <c r="Y45" s="1408">
        <v>19484.732</v>
      </c>
      <c r="Z45" s="1409"/>
      <c r="AA45" s="1410"/>
      <c r="AB45" s="1410"/>
      <c r="AC45" s="1410"/>
    </row>
    <row r="46" spans="1:29" ht="28.5" hidden="1" customHeight="1" x14ac:dyDescent="0.25">
      <c r="A46" s="1404">
        <v>40483</v>
      </c>
      <c r="B46" s="1405">
        <v>219.3</v>
      </c>
      <c r="C46" s="1406">
        <v>179.85</v>
      </c>
      <c r="D46" s="1406">
        <v>260.08</v>
      </c>
      <c r="E46" s="1406">
        <v>1018.2</v>
      </c>
      <c r="F46" s="1406">
        <v>1363</v>
      </c>
      <c r="G46" s="1406">
        <v>2250.25</v>
      </c>
      <c r="H46" s="1406">
        <v>12720.4</v>
      </c>
      <c r="I46" s="1406">
        <v>1079.26</v>
      </c>
      <c r="J46" s="1407">
        <v>19090.34</v>
      </c>
      <c r="K46" s="1405">
        <v>8.6</v>
      </c>
      <c r="L46" s="1406">
        <v>13.003</v>
      </c>
      <c r="M46" s="1406">
        <v>128.13</v>
      </c>
      <c r="N46" s="1406">
        <v>217.26</v>
      </c>
      <c r="O46" s="1406">
        <v>96.89</v>
      </c>
      <c r="P46" s="1406">
        <v>119.64</v>
      </c>
      <c r="Q46" s="1406">
        <v>28.09</v>
      </c>
      <c r="R46" s="1406">
        <v>6.3460000000000001</v>
      </c>
      <c r="S46" s="1406">
        <v>36.25</v>
      </c>
      <c r="T46" s="1406">
        <v>2.4300000000000002</v>
      </c>
      <c r="U46" s="1406">
        <v>8.64</v>
      </c>
      <c r="V46" s="1406">
        <v>0.33</v>
      </c>
      <c r="W46" s="1406">
        <v>0.22</v>
      </c>
      <c r="X46" s="1407">
        <v>665.82900000000006</v>
      </c>
      <c r="Y46" s="1408">
        <v>19756.169000000002</v>
      </c>
      <c r="Z46" s="1409"/>
      <c r="AA46" s="1410"/>
      <c r="AB46" s="1410"/>
      <c r="AC46" s="1410"/>
    </row>
    <row r="47" spans="1:29" ht="28.5" hidden="1" customHeight="1" x14ac:dyDescent="0.25">
      <c r="A47" s="1404">
        <v>40513</v>
      </c>
      <c r="B47" s="1405">
        <v>219.26900000000001</v>
      </c>
      <c r="C47" s="1406">
        <v>196.5</v>
      </c>
      <c r="D47" s="1406">
        <v>289.39999999999998</v>
      </c>
      <c r="E47" s="1406">
        <v>1112.6300000000001</v>
      </c>
      <c r="F47" s="1406">
        <v>1563.9</v>
      </c>
      <c r="G47" s="1406">
        <v>2688.13</v>
      </c>
      <c r="H47" s="1406">
        <v>14930.42</v>
      </c>
      <c r="I47" s="1406">
        <v>1154.04</v>
      </c>
      <c r="J47" s="1407">
        <v>22154.289000000001</v>
      </c>
      <c r="K47" s="1405">
        <v>8.82</v>
      </c>
      <c r="L47" s="1406">
        <v>13.009</v>
      </c>
      <c r="M47" s="1406">
        <v>131.69999999999999</v>
      </c>
      <c r="N47" s="1406">
        <v>221.75</v>
      </c>
      <c r="O47" s="1406">
        <v>99.16</v>
      </c>
      <c r="P47" s="1406">
        <v>121.23</v>
      </c>
      <c r="Q47" s="1406">
        <v>28.18</v>
      </c>
      <c r="R47" s="1406">
        <v>6.3460000000000001</v>
      </c>
      <c r="S47" s="1406">
        <v>36.700000000000003</v>
      </c>
      <c r="T47" s="1406">
        <v>2.4300000000000002</v>
      </c>
      <c r="U47" s="1406">
        <v>8.7200000000000006</v>
      </c>
      <c r="V47" s="1406">
        <v>0.33</v>
      </c>
      <c r="W47" s="1406">
        <v>0.22</v>
      </c>
      <c r="X47" s="1407">
        <v>678.59500000000003</v>
      </c>
      <c r="Y47" s="1408">
        <v>22832.884000000002</v>
      </c>
      <c r="Z47" s="1409"/>
      <c r="AA47" s="1410"/>
      <c r="AB47" s="1410"/>
      <c r="AC47" s="1410"/>
    </row>
    <row r="48" spans="1:29" ht="28.5" hidden="1" customHeight="1" x14ac:dyDescent="0.25">
      <c r="A48" s="1404">
        <v>40544</v>
      </c>
      <c r="B48" s="1405">
        <v>219.2</v>
      </c>
      <c r="C48" s="1406">
        <v>189.8</v>
      </c>
      <c r="D48" s="1406">
        <v>275</v>
      </c>
      <c r="E48" s="1406">
        <v>1033.4000000000001</v>
      </c>
      <c r="F48" s="1406">
        <v>1434.5</v>
      </c>
      <c r="G48" s="1406">
        <v>2496.1999999999998</v>
      </c>
      <c r="H48" s="1406">
        <v>14004.6</v>
      </c>
      <c r="I48" s="1406">
        <v>1129.5999999999999</v>
      </c>
      <c r="J48" s="1407">
        <v>20782.3</v>
      </c>
      <c r="K48" s="1405">
        <v>8.82</v>
      </c>
      <c r="L48" s="1406">
        <v>13</v>
      </c>
      <c r="M48" s="1406">
        <v>131.9</v>
      </c>
      <c r="N48" s="1406">
        <v>223.65</v>
      </c>
      <c r="O48" s="1406">
        <v>100.82</v>
      </c>
      <c r="P48" s="1406">
        <v>122.25</v>
      </c>
      <c r="Q48" s="1406">
        <v>28.28</v>
      </c>
      <c r="R48" s="1406">
        <v>6.3460000000000001</v>
      </c>
      <c r="S48" s="1406">
        <v>36.880000000000003</v>
      </c>
      <c r="T48" s="1406">
        <v>2.4300000000000002</v>
      </c>
      <c r="U48" s="1406">
        <v>8.76</v>
      </c>
      <c r="V48" s="1406">
        <v>0.33</v>
      </c>
      <c r="W48" s="1406">
        <v>0.2</v>
      </c>
      <c r="X48" s="1407">
        <v>683.66600000000005</v>
      </c>
      <c r="Y48" s="1408">
        <v>21466.016</v>
      </c>
      <c r="Z48" s="1409"/>
      <c r="AA48" s="1410"/>
      <c r="AB48" s="1410"/>
      <c r="AC48" s="1410"/>
    </row>
    <row r="49" spans="1:29" ht="28.5" hidden="1" customHeight="1" x14ac:dyDescent="0.25">
      <c r="A49" s="1404">
        <v>40575</v>
      </c>
      <c r="B49" s="1405">
        <v>219.2</v>
      </c>
      <c r="C49" s="1406">
        <v>178.8</v>
      </c>
      <c r="D49" s="1406">
        <v>260.92</v>
      </c>
      <c r="E49" s="1406">
        <v>1008.72</v>
      </c>
      <c r="F49" s="1406">
        <v>1393.11</v>
      </c>
      <c r="G49" s="1406">
        <v>2357.5</v>
      </c>
      <c r="H49" s="1406">
        <v>13570.2</v>
      </c>
      <c r="I49" s="1406">
        <v>1107</v>
      </c>
      <c r="J49" s="1407">
        <v>20095.45</v>
      </c>
      <c r="K49" s="1405">
        <v>8.83</v>
      </c>
      <c r="L49" s="1406">
        <v>13.015000000000001</v>
      </c>
      <c r="M49" s="1406">
        <v>131.87</v>
      </c>
      <c r="N49" s="1406">
        <v>223.57</v>
      </c>
      <c r="O49" s="1406">
        <v>101.03</v>
      </c>
      <c r="P49" s="1406">
        <v>122.74</v>
      </c>
      <c r="Q49" s="1406">
        <v>28.32</v>
      </c>
      <c r="R49" s="1406">
        <v>6.3</v>
      </c>
      <c r="S49" s="1406">
        <v>37</v>
      </c>
      <c r="T49" s="1406">
        <v>2.4</v>
      </c>
      <c r="U49" s="1406">
        <v>8.7799999999999994</v>
      </c>
      <c r="V49" s="1406">
        <v>0.33</v>
      </c>
      <c r="W49" s="1406">
        <v>0.22</v>
      </c>
      <c r="X49" s="1407">
        <v>684.40499999999997</v>
      </c>
      <c r="Y49" s="1408">
        <v>20779.855</v>
      </c>
      <c r="Z49" s="1409"/>
      <c r="AA49" s="1410"/>
      <c r="AB49" s="1413"/>
      <c r="AC49" s="1410"/>
    </row>
    <row r="50" spans="1:29" ht="28.5" hidden="1" customHeight="1" x14ac:dyDescent="0.25">
      <c r="A50" s="1404">
        <v>40603</v>
      </c>
      <c r="B50" s="1405">
        <v>219.1</v>
      </c>
      <c r="C50" s="1406">
        <v>175.44</v>
      </c>
      <c r="D50" s="1406">
        <v>257.2</v>
      </c>
      <c r="E50" s="1406">
        <v>1024</v>
      </c>
      <c r="F50" s="1406">
        <v>1410.8</v>
      </c>
      <c r="G50" s="1406">
        <v>2354.1999999999998</v>
      </c>
      <c r="H50" s="1406">
        <v>13547.2</v>
      </c>
      <c r="I50" s="1406">
        <v>1123.7</v>
      </c>
      <c r="J50" s="1407">
        <v>20111.64</v>
      </c>
      <c r="K50" s="1405">
        <v>8.8000000000000007</v>
      </c>
      <c r="L50" s="1406">
        <v>13.021000000000001</v>
      </c>
      <c r="M50" s="1406">
        <v>131.93</v>
      </c>
      <c r="N50" s="1406">
        <v>223.68</v>
      </c>
      <c r="O50" s="1406">
        <v>101.09</v>
      </c>
      <c r="P50" s="1406">
        <v>123.83</v>
      </c>
      <c r="Q50" s="1406">
        <v>28.5</v>
      </c>
      <c r="R50" s="1406">
        <v>6.3460000000000001</v>
      </c>
      <c r="S50" s="1406">
        <v>37.229999999999997</v>
      </c>
      <c r="T50" s="1406">
        <v>2.4300000000000002</v>
      </c>
      <c r="U50" s="1406">
        <v>8.85</v>
      </c>
      <c r="V50" s="1406">
        <v>0.33</v>
      </c>
      <c r="W50" s="1406">
        <v>0.22</v>
      </c>
      <c r="X50" s="1407">
        <v>686.25700000000018</v>
      </c>
      <c r="Y50" s="1408">
        <v>20797.897000000004</v>
      </c>
      <c r="Z50" s="1409"/>
      <c r="AB50" s="1413"/>
      <c r="AC50" s="1410"/>
    </row>
    <row r="51" spans="1:29" ht="28.5" hidden="1" customHeight="1" x14ac:dyDescent="0.25">
      <c r="A51" s="1404">
        <v>40634</v>
      </c>
      <c r="B51" s="1405">
        <v>219.06</v>
      </c>
      <c r="C51" s="1406">
        <v>172.1</v>
      </c>
      <c r="D51" s="1406">
        <v>253.6</v>
      </c>
      <c r="E51" s="1406">
        <v>1007.86</v>
      </c>
      <c r="F51" s="1406">
        <v>1364.3</v>
      </c>
      <c r="G51" s="1406">
        <v>2308</v>
      </c>
      <c r="H51" s="1406">
        <v>13462.2</v>
      </c>
      <c r="I51" s="1406">
        <v>1120</v>
      </c>
      <c r="J51" s="1407">
        <v>19907.12</v>
      </c>
      <c r="K51" s="1405">
        <v>8.84</v>
      </c>
      <c r="L51" s="1406">
        <v>13</v>
      </c>
      <c r="M51" s="1406">
        <v>132.1</v>
      </c>
      <c r="N51" s="1406">
        <v>223.71</v>
      </c>
      <c r="O51" s="1406">
        <v>100.77</v>
      </c>
      <c r="P51" s="1406">
        <v>124.1</v>
      </c>
      <c r="Q51" s="1406">
        <v>28.65</v>
      </c>
      <c r="R51" s="1406">
        <v>6.34</v>
      </c>
      <c r="S51" s="1406">
        <v>37.270000000000003</v>
      </c>
      <c r="T51" s="1406">
        <v>2.4300000000000002</v>
      </c>
      <c r="U51" s="1406">
        <v>8.8699999999999992</v>
      </c>
      <c r="V51" s="1406">
        <v>0.33</v>
      </c>
      <c r="W51" s="1406">
        <v>0.22</v>
      </c>
      <c r="X51" s="1407">
        <v>686.63</v>
      </c>
      <c r="Y51" s="1408">
        <v>20593.75</v>
      </c>
      <c r="Z51" s="1409"/>
      <c r="AA51" s="1410"/>
      <c r="AB51" s="1413"/>
      <c r="AC51" s="1410"/>
    </row>
    <row r="52" spans="1:29" ht="28.5" hidden="1" customHeight="1" x14ac:dyDescent="0.25">
      <c r="A52" s="1404">
        <v>40664</v>
      </c>
      <c r="B52" s="1405">
        <v>219</v>
      </c>
      <c r="C52" s="1406">
        <v>172.35</v>
      </c>
      <c r="D52" s="1406">
        <v>253.16</v>
      </c>
      <c r="E52" s="1406">
        <v>989.89</v>
      </c>
      <c r="F52" s="1406">
        <v>1360.39</v>
      </c>
      <c r="G52" s="1406">
        <v>2339.66</v>
      </c>
      <c r="H52" s="1406">
        <v>13699.36</v>
      </c>
      <c r="I52" s="1406">
        <v>1115.7</v>
      </c>
      <c r="J52" s="1407">
        <v>20149.509999999998</v>
      </c>
      <c r="K52" s="1405">
        <v>8.8000000000000007</v>
      </c>
      <c r="L52" s="1406">
        <v>13</v>
      </c>
      <c r="M52" s="1406">
        <v>131.5</v>
      </c>
      <c r="N52" s="1406">
        <v>223.8</v>
      </c>
      <c r="O52" s="1406">
        <v>100.61</v>
      </c>
      <c r="P52" s="1406">
        <v>124.5</v>
      </c>
      <c r="Q52" s="1406">
        <v>28.84</v>
      </c>
      <c r="R52" s="1406">
        <v>6.3460000000000001</v>
      </c>
      <c r="S52" s="1406">
        <v>37.4</v>
      </c>
      <c r="T52" s="1406">
        <v>2.4300000000000002</v>
      </c>
      <c r="U52" s="1406">
        <v>8.91</v>
      </c>
      <c r="V52" s="1406">
        <v>0.33</v>
      </c>
      <c r="W52" s="1406">
        <v>0.22</v>
      </c>
      <c r="X52" s="1407">
        <v>686.68600000000004</v>
      </c>
      <c r="Y52" s="1408">
        <v>20836.196000000004</v>
      </c>
      <c r="Z52" s="1409"/>
      <c r="AA52" s="1414"/>
      <c r="AB52" s="1413"/>
      <c r="AC52" s="1410"/>
    </row>
    <row r="53" spans="1:29" ht="28.5" hidden="1" customHeight="1" x14ac:dyDescent="0.25">
      <c r="A53" s="1404">
        <v>40695</v>
      </c>
      <c r="B53" s="1405">
        <v>218.97</v>
      </c>
      <c r="C53" s="1406">
        <v>169.75</v>
      </c>
      <c r="D53" s="1406">
        <v>246.4</v>
      </c>
      <c r="E53" s="1406">
        <v>1009.8</v>
      </c>
      <c r="F53" s="1406">
        <v>1367.5</v>
      </c>
      <c r="G53" s="1406">
        <v>2285.1</v>
      </c>
      <c r="H53" s="1406">
        <v>13573.6</v>
      </c>
      <c r="I53" s="1406">
        <v>1136.5</v>
      </c>
      <c r="J53" s="1407">
        <v>20007.620000000003</v>
      </c>
      <c r="K53" s="1405">
        <v>8.8699999999999992</v>
      </c>
      <c r="L53" s="1406">
        <v>13.037000000000001</v>
      </c>
      <c r="M53" s="1406">
        <v>131.57</v>
      </c>
      <c r="N53" s="1406">
        <v>223.79</v>
      </c>
      <c r="O53" s="1406">
        <v>100.63</v>
      </c>
      <c r="P53" s="1406">
        <v>124.68</v>
      </c>
      <c r="Q53" s="1406">
        <v>28.9</v>
      </c>
      <c r="R53" s="1406">
        <v>6.3440000000000003</v>
      </c>
      <c r="S53" s="1406">
        <v>37.43</v>
      </c>
      <c r="T53" s="1406">
        <v>2.4</v>
      </c>
      <c r="U53" s="1406">
        <v>8.94</v>
      </c>
      <c r="V53" s="1406">
        <v>0.3</v>
      </c>
      <c r="W53" s="1406">
        <v>0.22</v>
      </c>
      <c r="X53" s="1407">
        <v>687.11099999999999</v>
      </c>
      <c r="Y53" s="1408">
        <v>20694.731000000003</v>
      </c>
      <c r="Z53" s="1409"/>
      <c r="AA53" s="1410"/>
      <c r="AB53" s="1413"/>
      <c r="AC53" s="1410"/>
    </row>
    <row r="54" spans="1:29" ht="28.5" hidden="1" customHeight="1" x14ac:dyDescent="0.25">
      <c r="A54" s="1404">
        <v>40725</v>
      </c>
      <c r="B54" s="1405">
        <v>218.94</v>
      </c>
      <c r="C54" s="1406">
        <v>167.62</v>
      </c>
      <c r="D54" s="1406">
        <v>243</v>
      </c>
      <c r="E54" s="1406">
        <v>1019.7</v>
      </c>
      <c r="F54" s="1406">
        <v>1377.32</v>
      </c>
      <c r="G54" s="1406">
        <v>2376.34</v>
      </c>
      <c r="H54" s="1406">
        <v>13889.93</v>
      </c>
      <c r="I54" s="1406">
        <v>1164.0999999999999</v>
      </c>
      <c r="J54" s="1407">
        <v>20456.949999999997</v>
      </c>
      <c r="K54" s="1405">
        <v>8.9</v>
      </c>
      <c r="L54" s="1406">
        <v>13.04</v>
      </c>
      <c r="M54" s="1406">
        <v>132.18</v>
      </c>
      <c r="N54" s="1406">
        <v>224.36</v>
      </c>
      <c r="O54" s="1406">
        <v>101.29</v>
      </c>
      <c r="P54" s="1406">
        <v>125.03</v>
      </c>
      <c r="Q54" s="1406">
        <v>29</v>
      </c>
      <c r="R54" s="1406">
        <v>6.34</v>
      </c>
      <c r="S54" s="1406">
        <v>37.51</v>
      </c>
      <c r="T54" s="1406">
        <v>2.4300000000000002</v>
      </c>
      <c r="U54" s="1406">
        <v>9</v>
      </c>
      <c r="V54" s="1406">
        <v>0.33</v>
      </c>
      <c r="W54" s="1406">
        <v>0.22</v>
      </c>
      <c r="X54" s="1407">
        <v>689.63000000000011</v>
      </c>
      <c r="Y54" s="1408">
        <v>21146.579999999998</v>
      </c>
      <c r="Z54" s="1409"/>
      <c r="AA54" s="1410"/>
      <c r="AB54" s="1413"/>
      <c r="AC54" s="1410"/>
    </row>
    <row r="55" spans="1:29" ht="28.5" hidden="1" customHeight="1" x14ac:dyDescent="0.25">
      <c r="A55" s="1404">
        <v>40756</v>
      </c>
      <c r="B55" s="1405">
        <v>218.9</v>
      </c>
      <c r="C55" s="1406">
        <v>172.7</v>
      </c>
      <c r="D55" s="1406">
        <v>249.2</v>
      </c>
      <c r="E55" s="1406">
        <v>1035.5999999999999</v>
      </c>
      <c r="F55" s="1406">
        <v>1424.9</v>
      </c>
      <c r="G55" s="1406">
        <v>2468.1</v>
      </c>
      <c r="H55" s="1406">
        <v>14458.4</v>
      </c>
      <c r="I55" s="1406">
        <v>1160.0999999999999</v>
      </c>
      <c r="J55" s="1407">
        <v>21187.9</v>
      </c>
      <c r="K55" s="1405">
        <v>8.89</v>
      </c>
      <c r="L55" s="1406">
        <v>13.04</v>
      </c>
      <c r="M55" s="1406">
        <v>137.16</v>
      </c>
      <c r="N55" s="1406">
        <v>227.17</v>
      </c>
      <c r="O55" s="1406">
        <v>101.93</v>
      </c>
      <c r="P55" s="1406">
        <v>125.26</v>
      </c>
      <c r="Q55" s="1406">
        <v>29.03</v>
      </c>
      <c r="R55" s="1406">
        <v>6.34</v>
      </c>
      <c r="S55" s="1406">
        <v>37.58</v>
      </c>
      <c r="T55" s="1406">
        <v>2.4300000000000002</v>
      </c>
      <c r="U55" s="1406">
        <v>8.98</v>
      </c>
      <c r="V55" s="1406">
        <v>0.33</v>
      </c>
      <c r="W55" s="1406">
        <v>0.22</v>
      </c>
      <c r="X55" s="1407">
        <v>698.36000000000013</v>
      </c>
      <c r="Y55" s="1408">
        <v>21886.260000000002</v>
      </c>
      <c r="Z55" s="1409"/>
      <c r="AA55" s="1410"/>
      <c r="AB55" s="1413"/>
      <c r="AC55" s="1410"/>
    </row>
    <row r="56" spans="1:29" ht="28.5" hidden="1" customHeight="1" x14ac:dyDescent="0.25">
      <c r="A56" s="1404">
        <v>40787</v>
      </c>
      <c r="B56" s="1405">
        <v>218.8</v>
      </c>
      <c r="C56" s="1406">
        <v>172.3</v>
      </c>
      <c r="D56" s="1406">
        <v>248.8</v>
      </c>
      <c r="E56" s="1406">
        <v>1029.3</v>
      </c>
      <c r="F56" s="1406">
        <v>1425.3</v>
      </c>
      <c r="G56" s="1406">
        <v>2392.4</v>
      </c>
      <c r="H56" s="1406">
        <v>13982.3</v>
      </c>
      <c r="I56" s="1406">
        <v>1222.4000000000001</v>
      </c>
      <c r="J56" s="1407">
        <v>20691.599999999999</v>
      </c>
      <c r="K56" s="1405">
        <v>8.89</v>
      </c>
      <c r="L56" s="1406">
        <v>13</v>
      </c>
      <c r="M56" s="1406">
        <v>141.16</v>
      </c>
      <c r="N56" s="1406">
        <v>229.9</v>
      </c>
      <c r="O56" s="1406">
        <v>102.1</v>
      </c>
      <c r="P56" s="1406">
        <v>125.6</v>
      </c>
      <c r="Q56" s="1406">
        <v>29.09</v>
      </c>
      <c r="R56" s="1406">
        <v>6.3</v>
      </c>
      <c r="S56" s="1406">
        <v>37.6</v>
      </c>
      <c r="T56" s="1406">
        <v>2.4</v>
      </c>
      <c r="U56" s="1406">
        <v>9</v>
      </c>
      <c r="V56" s="1406">
        <v>0.3</v>
      </c>
      <c r="W56" s="1406">
        <v>0.2</v>
      </c>
      <c r="X56" s="1407">
        <v>705.95</v>
      </c>
      <c r="Y56" s="1408">
        <v>21397.55</v>
      </c>
      <c r="Z56" s="1409"/>
      <c r="AA56" s="1410"/>
      <c r="AB56" s="1413"/>
      <c r="AC56" s="1410"/>
    </row>
    <row r="57" spans="1:29" ht="28.5" hidden="1" customHeight="1" x14ac:dyDescent="0.25">
      <c r="A57" s="1404">
        <v>40817</v>
      </c>
      <c r="B57" s="1405">
        <v>218.8</v>
      </c>
      <c r="C57" s="1406">
        <v>173.4</v>
      </c>
      <c r="D57" s="1406">
        <v>247.7</v>
      </c>
      <c r="E57" s="1406">
        <v>1062.0999999999999</v>
      </c>
      <c r="F57" s="1406">
        <v>1507.1</v>
      </c>
      <c r="G57" s="1406">
        <v>2517.1</v>
      </c>
      <c r="H57" s="1406">
        <v>14456.7</v>
      </c>
      <c r="I57" s="1406">
        <v>1182.2</v>
      </c>
      <c r="J57" s="1407">
        <v>21365.1</v>
      </c>
      <c r="K57" s="1405">
        <v>8.9</v>
      </c>
      <c r="L57" s="1406">
        <v>13</v>
      </c>
      <c r="M57" s="1406">
        <v>145.9</v>
      </c>
      <c r="N57" s="1406">
        <v>231.6</v>
      </c>
      <c r="O57" s="1406">
        <v>102.6</v>
      </c>
      <c r="P57" s="1406">
        <v>126.29</v>
      </c>
      <c r="Q57" s="1406">
        <v>29.19</v>
      </c>
      <c r="R57" s="1406">
        <v>6.34</v>
      </c>
      <c r="S57" s="1406">
        <v>37.82</v>
      </c>
      <c r="T57" s="1406">
        <v>2.4300000000000002</v>
      </c>
      <c r="U57" s="1406">
        <v>9.0500000000000007</v>
      </c>
      <c r="V57" s="1406">
        <v>0.33</v>
      </c>
      <c r="W57" s="1406">
        <v>0.22</v>
      </c>
      <c r="X57" s="1407">
        <v>713.74</v>
      </c>
      <c r="Y57" s="1408">
        <v>22078.880000000001</v>
      </c>
      <c r="Z57" s="1409"/>
      <c r="AA57" s="1415"/>
      <c r="AB57" s="1413"/>
      <c r="AC57" s="1410"/>
    </row>
    <row r="58" spans="1:29" ht="28.5" hidden="1" customHeight="1" x14ac:dyDescent="0.25">
      <c r="A58" s="1404">
        <v>40848</v>
      </c>
      <c r="B58" s="1405">
        <v>218.636</v>
      </c>
      <c r="C58" s="1406">
        <v>174.2</v>
      </c>
      <c r="D58" s="1406">
        <v>247</v>
      </c>
      <c r="E58" s="1406">
        <v>1046.0999999999999</v>
      </c>
      <c r="F58" s="1406">
        <v>1454.2</v>
      </c>
      <c r="G58" s="1406">
        <v>2421.4</v>
      </c>
      <c r="H58" s="1406">
        <v>14170.8</v>
      </c>
      <c r="I58" s="1406">
        <v>1200.5999999999999</v>
      </c>
      <c r="J58" s="1407">
        <v>20932.900000000001</v>
      </c>
      <c r="K58" s="1405">
        <v>8.9</v>
      </c>
      <c r="L58" s="1406">
        <v>13.067</v>
      </c>
      <c r="M58" s="1406">
        <v>150.71</v>
      </c>
      <c r="N58" s="1406">
        <v>233.7</v>
      </c>
      <c r="O58" s="1406">
        <v>102.9</v>
      </c>
      <c r="P58" s="1406">
        <v>127.5</v>
      </c>
      <c r="Q58" s="1406">
        <v>29.4</v>
      </c>
      <c r="R58" s="1406">
        <v>6.34</v>
      </c>
      <c r="S58" s="1406">
        <v>38.07</v>
      </c>
      <c r="T58" s="1406">
        <v>2.4300000000000002</v>
      </c>
      <c r="U58" s="1406">
        <v>9.1</v>
      </c>
      <c r="V58" s="1406">
        <v>0.33</v>
      </c>
      <c r="W58" s="1406">
        <v>0.22</v>
      </c>
      <c r="X58" s="1407">
        <v>722.7</v>
      </c>
      <c r="Y58" s="1408">
        <v>21655.599999999999</v>
      </c>
      <c r="Z58" s="1409"/>
      <c r="AA58" s="1410"/>
      <c r="AB58" s="1413"/>
      <c r="AC58" s="1410"/>
    </row>
    <row r="59" spans="1:29" ht="28.5" hidden="1" customHeight="1" x14ac:dyDescent="0.25">
      <c r="A59" s="1404">
        <v>40878</v>
      </c>
      <c r="B59" s="1405">
        <v>218.59</v>
      </c>
      <c r="C59" s="1406">
        <v>183.45</v>
      </c>
      <c r="D59" s="1406">
        <v>275.99</v>
      </c>
      <c r="E59" s="1406">
        <v>1125.3</v>
      </c>
      <c r="F59" s="1406">
        <v>1675.97</v>
      </c>
      <c r="G59" s="1406">
        <v>2849.27</v>
      </c>
      <c r="H59" s="1406">
        <v>16484.45</v>
      </c>
      <c r="I59" s="1406">
        <v>1163.2</v>
      </c>
      <c r="J59" s="1407">
        <v>23976.22</v>
      </c>
      <c r="K59" s="1405">
        <v>9</v>
      </c>
      <c r="L59" s="1406">
        <v>13.08</v>
      </c>
      <c r="M59" s="1406">
        <v>156.13999999999999</v>
      </c>
      <c r="N59" s="1406">
        <v>236.47</v>
      </c>
      <c r="O59" s="1406">
        <v>104.04</v>
      </c>
      <c r="P59" s="1406">
        <v>128.97999999999999</v>
      </c>
      <c r="Q59" s="1406">
        <v>29.53</v>
      </c>
      <c r="R59" s="1406">
        <v>6.3419999999999996</v>
      </c>
      <c r="S59" s="1406">
        <v>38.43</v>
      </c>
      <c r="T59" s="1406">
        <v>2.4300000000000002</v>
      </c>
      <c r="U59" s="1406">
        <v>9.19</v>
      </c>
      <c r="V59" s="1406">
        <v>0.33</v>
      </c>
      <c r="W59" s="1406">
        <v>0.22</v>
      </c>
      <c r="X59" s="1407">
        <v>734.1819999999999</v>
      </c>
      <c r="Y59" s="1408">
        <v>24710.402000000002</v>
      </c>
      <c r="Z59" s="1409"/>
      <c r="AA59" s="1410"/>
      <c r="AB59" s="1413"/>
      <c r="AC59" s="1410"/>
    </row>
    <row r="60" spans="1:29" ht="28.5" hidden="1" customHeight="1" x14ac:dyDescent="0.25">
      <c r="A60" s="1404">
        <v>40909</v>
      </c>
      <c r="B60" s="1405">
        <v>218.56</v>
      </c>
      <c r="C60" s="1406">
        <v>180.8</v>
      </c>
      <c r="D60" s="1406">
        <v>268.7</v>
      </c>
      <c r="E60" s="1406">
        <v>1057.3900000000001</v>
      </c>
      <c r="F60" s="1406">
        <v>1551.45</v>
      </c>
      <c r="G60" s="1406">
        <v>2575.5</v>
      </c>
      <c r="H60" s="1406">
        <v>15069.3</v>
      </c>
      <c r="I60" s="1406">
        <v>1171.0999999999999</v>
      </c>
      <c r="J60" s="1407">
        <v>22092.799999999996</v>
      </c>
      <c r="K60" s="1405">
        <v>8.9749999999999996</v>
      </c>
      <c r="L60" s="1406">
        <v>13.083</v>
      </c>
      <c r="M60" s="1406">
        <v>156.6</v>
      </c>
      <c r="N60" s="1406">
        <v>237.54</v>
      </c>
      <c r="O60" s="1406">
        <v>104.11</v>
      </c>
      <c r="P60" s="1406">
        <v>129.03</v>
      </c>
      <c r="Q60" s="1406">
        <v>29.56</v>
      </c>
      <c r="R60" s="1406">
        <v>6.34</v>
      </c>
      <c r="S60" s="1406">
        <v>38.5</v>
      </c>
      <c r="T60" s="1406">
        <v>2.4300000000000002</v>
      </c>
      <c r="U60" s="1406">
        <v>9.1999999999999993</v>
      </c>
      <c r="V60" s="1406">
        <v>0.3</v>
      </c>
      <c r="W60" s="1406">
        <v>0.2</v>
      </c>
      <c r="X60" s="1407">
        <v>735.86799999999994</v>
      </c>
      <c r="Y60" s="1408">
        <v>22828.7</v>
      </c>
      <c r="Z60" s="1409"/>
      <c r="AA60" s="1410"/>
      <c r="AB60" s="1413"/>
      <c r="AC60" s="1410"/>
    </row>
    <row r="61" spans="1:29" ht="28.5" hidden="1" customHeight="1" x14ac:dyDescent="0.25">
      <c r="A61" s="1404">
        <v>40940</v>
      </c>
      <c r="B61" s="1405">
        <v>218.48</v>
      </c>
      <c r="C61" s="1406">
        <v>177.5</v>
      </c>
      <c r="D61" s="1406">
        <v>263.3</v>
      </c>
      <c r="E61" s="1406">
        <v>1046.0999999999999</v>
      </c>
      <c r="F61" s="1406">
        <v>1474.1</v>
      </c>
      <c r="G61" s="1406">
        <v>2504.8000000000002</v>
      </c>
      <c r="H61" s="1406">
        <v>14837.2</v>
      </c>
      <c r="I61" s="1406">
        <v>1159.4000000000001</v>
      </c>
      <c r="J61" s="1407">
        <v>21680.9</v>
      </c>
      <c r="K61" s="1405">
        <v>8.98</v>
      </c>
      <c r="L61" s="1406">
        <v>13.08</v>
      </c>
      <c r="M61" s="1406">
        <v>151.87</v>
      </c>
      <c r="N61" s="1406">
        <v>237.04</v>
      </c>
      <c r="O61" s="1406">
        <v>104.13</v>
      </c>
      <c r="P61" s="1406">
        <v>129.08000000000001</v>
      </c>
      <c r="Q61" s="1406">
        <v>29.61</v>
      </c>
      <c r="R61" s="1406">
        <v>6.34</v>
      </c>
      <c r="S61" s="1406">
        <v>38.57</v>
      </c>
      <c r="T61" s="1406">
        <v>2.4</v>
      </c>
      <c r="U61" s="1406">
        <v>9.1999999999999993</v>
      </c>
      <c r="V61" s="1406">
        <v>0.33</v>
      </c>
      <c r="W61" s="1406">
        <v>0.22</v>
      </c>
      <c r="X61" s="1407">
        <v>730.9</v>
      </c>
      <c r="Y61" s="1408">
        <v>22411.8</v>
      </c>
      <c r="Z61" s="1409"/>
      <c r="AA61" s="1410"/>
      <c r="AB61" s="1413"/>
      <c r="AC61" s="1410"/>
    </row>
    <row r="62" spans="1:29" ht="28.5" hidden="1" customHeight="1" x14ac:dyDescent="0.25">
      <c r="A62" s="1404">
        <v>40969</v>
      </c>
      <c r="B62" s="1405">
        <v>218.44</v>
      </c>
      <c r="C62" s="1406">
        <v>176.9</v>
      </c>
      <c r="D62" s="1406">
        <v>262.43</v>
      </c>
      <c r="E62" s="1406">
        <v>1034.5</v>
      </c>
      <c r="F62" s="1406">
        <v>1453.9</v>
      </c>
      <c r="G62" s="1406">
        <v>2412.9</v>
      </c>
      <c r="H62" s="1406">
        <v>14691.1</v>
      </c>
      <c r="I62" s="1406">
        <v>1123.4000000000001</v>
      </c>
      <c r="J62" s="1407">
        <v>21373.55</v>
      </c>
      <c r="K62" s="1405">
        <v>9</v>
      </c>
      <c r="L62" s="1406">
        <v>13.086</v>
      </c>
      <c r="M62" s="1406">
        <v>149.37</v>
      </c>
      <c r="N62" s="1406">
        <v>237.2</v>
      </c>
      <c r="O62" s="1406">
        <v>104.13</v>
      </c>
      <c r="P62" s="1406">
        <v>129.15</v>
      </c>
      <c r="Q62" s="1406">
        <v>29.861000000000001</v>
      </c>
      <c r="R62" s="1406">
        <v>6.3419999999999996</v>
      </c>
      <c r="S62" s="1406">
        <v>38.68</v>
      </c>
      <c r="T62" s="1406">
        <v>2.4300000000000002</v>
      </c>
      <c r="U62" s="1406">
        <v>9.2330000000000005</v>
      </c>
      <c r="V62" s="1406">
        <v>0.33</v>
      </c>
      <c r="W62" s="1406">
        <v>0.22</v>
      </c>
      <c r="X62" s="1407">
        <v>729.03199999999993</v>
      </c>
      <c r="Y62" s="1408">
        <v>22102.581999999999</v>
      </c>
      <c r="Z62" s="1409"/>
      <c r="AA62" s="1410"/>
      <c r="AB62" s="1413"/>
      <c r="AC62" s="1410"/>
    </row>
    <row r="63" spans="1:29" ht="28.5" hidden="1" customHeight="1" x14ac:dyDescent="0.25">
      <c r="A63" s="1404">
        <v>41000</v>
      </c>
      <c r="B63" s="1405">
        <v>218.4</v>
      </c>
      <c r="C63" s="1406">
        <v>175.53</v>
      </c>
      <c r="D63" s="1406">
        <v>261.39</v>
      </c>
      <c r="E63" s="1406">
        <v>1000.98</v>
      </c>
      <c r="F63" s="1406">
        <v>1462.26</v>
      </c>
      <c r="G63" s="1406">
        <v>2422.4</v>
      </c>
      <c r="H63" s="1406">
        <v>14778.4</v>
      </c>
      <c r="I63" s="1406">
        <v>1131.8</v>
      </c>
      <c r="J63" s="1407">
        <v>21451.16</v>
      </c>
      <c r="K63" s="1405">
        <v>9</v>
      </c>
      <c r="L63" s="1406">
        <v>13.1</v>
      </c>
      <c r="M63" s="1406">
        <v>148.83000000000001</v>
      </c>
      <c r="N63" s="1406">
        <v>237.2</v>
      </c>
      <c r="O63" s="1406">
        <v>104.1</v>
      </c>
      <c r="P63" s="1406">
        <v>129.16</v>
      </c>
      <c r="Q63" s="1406">
        <v>30.01</v>
      </c>
      <c r="R63" s="1406">
        <v>6.3</v>
      </c>
      <c r="S63" s="1406">
        <v>38.79</v>
      </c>
      <c r="T63" s="1406">
        <v>2.4300000000000002</v>
      </c>
      <c r="U63" s="1406">
        <v>9.24</v>
      </c>
      <c r="V63" s="1406">
        <v>0.33</v>
      </c>
      <c r="W63" s="1406">
        <v>0.2</v>
      </c>
      <c r="X63" s="1407">
        <v>728.69</v>
      </c>
      <c r="Y63" s="1408">
        <v>22179.85</v>
      </c>
      <c r="Z63" s="1409"/>
      <c r="AA63" s="1410"/>
      <c r="AB63" s="1413"/>
      <c r="AC63" s="1410"/>
    </row>
    <row r="64" spans="1:29" ht="28.5" hidden="1" customHeight="1" x14ac:dyDescent="0.25">
      <c r="A64" s="1404">
        <v>41030</v>
      </c>
      <c r="B64" s="1405">
        <v>218.25</v>
      </c>
      <c r="C64" s="1406">
        <v>175.9</v>
      </c>
      <c r="D64" s="1406">
        <v>259.77999999999997</v>
      </c>
      <c r="E64" s="1406">
        <v>996.6</v>
      </c>
      <c r="F64" s="1406">
        <v>1464.59</v>
      </c>
      <c r="G64" s="1406">
        <v>2443.9</v>
      </c>
      <c r="H64" s="1406">
        <v>14911.7</v>
      </c>
      <c r="I64" s="1406">
        <v>1126.4000000000001</v>
      </c>
      <c r="J64" s="1407">
        <v>21597.09</v>
      </c>
      <c r="K64" s="1405">
        <v>9</v>
      </c>
      <c r="L64" s="1406">
        <v>13.1</v>
      </c>
      <c r="M64" s="1406">
        <v>146.6</v>
      </c>
      <c r="N64" s="1406">
        <v>235.8</v>
      </c>
      <c r="O64" s="1406">
        <v>104.14</v>
      </c>
      <c r="P64" s="1406">
        <v>129.21</v>
      </c>
      <c r="Q64" s="1406">
        <v>30.09</v>
      </c>
      <c r="R64" s="1406">
        <v>6.34</v>
      </c>
      <c r="S64" s="1406">
        <v>38.9</v>
      </c>
      <c r="T64" s="1406">
        <v>2.4</v>
      </c>
      <c r="U64" s="1406">
        <v>9.25</v>
      </c>
      <c r="V64" s="1406">
        <v>0.33</v>
      </c>
      <c r="W64" s="1406">
        <v>0.2</v>
      </c>
      <c r="X64" s="1407">
        <v>725.36000000000013</v>
      </c>
      <c r="Y64" s="1408">
        <v>22322.45</v>
      </c>
      <c r="Z64" s="1409"/>
      <c r="AA64" s="1410"/>
      <c r="AB64" s="1413"/>
      <c r="AC64" s="1410"/>
    </row>
    <row r="65" spans="1:29" ht="28.5" hidden="1" customHeight="1" x14ac:dyDescent="0.25">
      <c r="A65" s="1404">
        <v>41061</v>
      </c>
      <c r="B65" s="1405">
        <v>218.22</v>
      </c>
      <c r="C65" s="1406">
        <v>176.76</v>
      </c>
      <c r="D65" s="1406">
        <v>258.8</v>
      </c>
      <c r="E65" s="1406">
        <v>996.95</v>
      </c>
      <c r="F65" s="1406">
        <v>1446.05</v>
      </c>
      <c r="G65" s="1406">
        <v>2381.3000000000002</v>
      </c>
      <c r="H65" s="1406">
        <v>14668.3</v>
      </c>
      <c r="I65" s="1406">
        <v>1113.0899999999999</v>
      </c>
      <c r="J65" s="1407">
        <v>21259.47</v>
      </c>
      <c r="K65" s="1405">
        <v>9</v>
      </c>
      <c r="L65" s="1406">
        <v>13.1</v>
      </c>
      <c r="M65" s="1406">
        <v>147.6</v>
      </c>
      <c r="N65" s="1406">
        <v>235.82</v>
      </c>
      <c r="O65" s="1406">
        <v>104.13</v>
      </c>
      <c r="P65" s="1406">
        <v>129.15</v>
      </c>
      <c r="Q65" s="1406">
        <v>30.2</v>
      </c>
      <c r="R65" s="1406">
        <v>6.34</v>
      </c>
      <c r="S65" s="1406">
        <v>38.94</v>
      </c>
      <c r="T65" s="1406">
        <v>2.4300000000000002</v>
      </c>
      <c r="U65" s="1406">
        <v>9.25</v>
      </c>
      <c r="V65" s="1406">
        <v>0.3</v>
      </c>
      <c r="W65" s="1406">
        <v>0.2</v>
      </c>
      <c r="X65" s="1407">
        <v>726.45999999999992</v>
      </c>
      <c r="Y65" s="1408">
        <v>21985.93</v>
      </c>
      <c r="Z65" s="1409"/>
      <c r="AA65" s="1410"/>
      <c r="AB65" s="1413"/>
      <c r="AC65" s="1410"/>
    </row>
    <row r="66" spans="1:29" ht="28.5" hidden="1" customHeight="1" x14ac:dyDescent="0.25">
      <c r="A66" s="1404">
        <v>41091</v>
      </c>
      <c r="B66" s="1405">
        <v>217.9</v>
      </c>
      <c r="C66" s="1406">
        <v>177.9</v>
      </c>
      <c r="D66" s="1406">
        <v>259.82</v>
      </c>
      <c r="E66" s="1406">
        <v>1005.9</v>
      </c>
      <c r="F66" s="1406">
        <v>1430.6</v>
      </c>
      <c r="G66" s="1406">
        <v>2469.42</v>
      </c>
      <c r="H66" s="1406">
        <v>14993.64</v>
      </c>
      <c r="I66" s="1406">
        <v>1105.24</v>
      </c>
      <c r="J66" s="1407">
        <v>21660.400000000001</v>
      </c>
      <c r="K66" s="1405">
        <v>8.99</v>
      </c>
      <c r="L66" s="1406">
        <v>13.1</v>
      </c>
      <c r="M66" s="1406">
        <v>150.05000000000001</v>
      </c>
      <c r="N66" s="1406">
        <v>235.9</v>
      </c>
      <c r="O66" s="1406">
        <v>104.14</v>
      </c>
      <c r="P66" s="1406">
        <v>129.19999999999999</v>
      </c>
      <c r="Q66" s="1406">
        <v>30.41</v>
      </c>
      <c r="R66" s="1406">
        <v>6.34</v>
      </c>
      <c r="S66" s="1406">
        <v>38.97</v>
      </c>
      <c r="T66" s="1406">
        <v>2.4300000000000002</v>
      </c>
      <c r="U66" s="1406">
        <v>9.3000000000000007</v>
      </c>
      <c r="V66" s="1406">
        <v>0.3</v>
      </c>
      <c r="W66" s="1406">
        <v>0.2</v>
      </c>
      <c r="X66" s="1407">
        <v>729.3</v>
      </c>
      <c r="Y66" s="1408">
        <v>22389.7</v>
      </c>
      <c r="Z66" s="1409"/>
      <c r="AA66" s="1410"/>
      <c r="AB66" s="1413"/>
      <c r="AC66" s="1410"/>
    </row>
    <row r="67" spans="1:29" ht="28.5" hidden="1" customHeight="1" x14ac:dyDescent="0.25">
      <c r="A67" s="1404">
        <v>41122</v>
      </c>
      <c r="B67" s="1405">
        <v>217.76</v>
      </c>
      <c r="C67" s="1406">
        <v>183.5</v>
      </c>
      <c r="D67" s="1406">
        <v>266.66000000000003</v>
      </c>
      <c r="E67" s="1406">
        <v>1021.68</v>
      </c>
      <c r="F67" s="1406">
        <v>1446.14</v>
      </c>
      <c r="G67" s="1406">
        <v>2482.6</v>
      </c>
      <c r="H67" s="1406">
        <v>15152.7</v>
      </c>
      <c r="I67" s="1406">
        <v>1304.97</v>
      </c>
      <c r="J67" s="1407">
        <v>22076.010000000002</v>
      </c>
      <c r="K67" s="1405">
        <v>8.99</v>
      </c>
      <c r="L67" s="1406">
        <v>13.1</v>
      </c>
      <c r="M67" s="1406">
        <v>154.34</v>
      </c>
      <c r="N67" s="1406">
        <v>238.45</v>
      </c>
      <c r="O67" s="1406">
        <v>104.26</v>
      </c>
      <c r="P67" s="1406">
        <v>129.19999999999999</v>
      </c>
      <c r="Q67" s="1406">
        <v>30.51</v>
      </c>
      <c r="R67" s="1406">
        <v>6.34</v>
      </c>
      <c r="S67" s="1406">
        <v>38.99</v>
      </c>
      <c r="T67" s="1406">
        <v>2.4300000000000002</v>
      </c>
      <c r="U67" s="1406">
        <v>9.3000000000000007</v>
      </c>
      <c r="V67" s="1406">
        <v>0.33</v>
      </c>
      <c r="W67" s="1406">
        <v>0.2</v>
      </c>
      <c r="X67" s="1407">
        <v>736.4</v>
      </c>
      <c r="Y67" s="1408">
        <v>22812.410000000003</v>
      </c>
      <c r="Z67" s="1409"/>
      <c r="AA67" s="1410"/>
      <c r="AB67" s="1413"/>
      <c r="AC67" s="1410"/>
    </row>
    <row r="68" spans="1:29" ht="28.5" hidden="1" customHeight="1" x14ac:dyDescent="0.25">
      <c r="A68" s="1404">
        <v>41153</v>
      </c>
      <c r="B68" s="1405">
        <v>217.63</v>
      </c>
      <c r="C68" s="1406">
        <v>183.4</v>
      </c>
      <c r="D68" s="1406">
        <v>268.3</v>
      </c>
      <c r="E68" s="1406">
        <v>1047</v>
      </c>
      <c r="F68" s="1406">
        <v>1444.9</v>
      </c>
      <c r="G68" s="1406">
        <v>2460.04</v>
      </c>
      <c r="H68" s="1406">
        <v>14838.55</v>
      </c>
      <c r="I68" s="1406">
        <v>1495.14</v>
      </c>
      <c r="J68" s="1407">
        <v>21954.959999999999</v>
      </c>
      <c r="K68" s="1405">
        <v>8.99</v>
      </c>
      <c r="L68" s="1406">
        <v>13.1</v>
      </c>
      <c r="M68" s="1406">
        <v>154.88</v>
      </c>
      <c r="N68" s="1406">
        <v>239</v>
      </c>
      <c r="O68" s="1406">
        <v>104.3</v>
      </c>
      <c r="P68" s="1406">
        <v>129.19999999999999</v>
      </c>
      <c r="Q68" s="1406">
        <v>30.55</v>
      </c>
      <c r="R68" s="1406">
        <v>6.34</v>
      </c>
      <c r="S68" s="1406">
        <v>39</v>
      </c>
      <c r="T68" s="1406">
        <v>2.42</v>
      </c>
      <c r="U68" s="1406">
        <v>9.3000000000000007</v>
      </c>
      <c r="V68" s="1406">
        <v>0.33</v>
      </c>
      <c r="W68" s="1406">
        <v>0.22</v>
      </c>
      <c r="X68" s="1407">
        <v>737.63</v>
      </c>
      <c r="Y68" s="1408">
        <v>22692.59</v>
      </c>
      <c r="Z68" s="1409"/>
      <c r="AA68" s="1410"/>
      <c r="AB68" s="1413"/>
      <c r="AC68" s="1410"/>
    </row>
    <row r="69" spans="1:29" ht="28.5" hidden="1" customHeight="1" x14ac:dyDescent="0.25">
      <c r="A69" s="1404">
        <v>41183</v>
      </c>
      <c r="B69" s="1405">
        <v>217.49</v>
      </c>
      <c r="C69" s="1406">
        <v>195.87</v>
      </c>
      <c r="D69" s="1406">
        <v>314.95999999999998</v>
      </c>
      <c r="E69" s="1406">
        <v>1059.5</v>
      </c>
      <c r="F69" s="1406">
        <v>1415.9</v>
      </c>
      <c r="G69" s="1406">
        <v>2464.96</v>
      </c>
      <c r="H69" s="1406">
        <v>15104.4</v>
      </c>
      <c r="I69" s="1406">
        <v>1759.53</v>
      </c>
      <c r="J69" s="1407">
        <v>22532.61</v>
      </c>
      <c r="K69" s="1405">
        <v>8.99</v>
      </c>
      <c r="L69" s="1406">
        <v>13.1</v>
      </c>
      <c r="M69" s="1406">
        <v>156.93</v>
      </c>
      <c r="N69" s="1406">
        <v>238.97</v>
      </c>
      <c r="O69" s="1406">
        <v>104.24</v>
      </c>
      <c r="P69" s="1406">
        <v>129.5</v>
      </c>
      <c r="Q69" s="1406">
        <v>30.61</v>
      </c>
      <c r="R69" s="1406">
        <v>6.34</v>
      </c>
      <c r="S69" s="1406">
        <v>39.06</v>
      </c>
      <c r="T69" s="1406">
        <v>2.42</v>
      </c>
      <c r="U69" s="1406">
        <v>9.2799999999999994</v>
      </c>
      <c r="V69" s="1406">
        <v>0.33</v>
      </c>
      <c r="W69" s="1406">
        <v>0.22</v>
      </c>
      <c r="X69" s="1407">
        <v>739.99</v>
      </c>
      <c r="Y69" s="1408">
        <v>23272.600000000002</v>
      </c>
      <c r="Z69" s="1409"/>
      <c r="AA69" s="1410"/>
      <c r="AB69" s="1413"/>
      <c r="AC69" s="1410"/>
    </row>
    <row r="70" spans="1:29" ht="26.25" hidden="1" customHeight="1" x14ac:dyDescent="0.25">
      <c r="A70" s="1404">
        <v>41214</v>
      </c>
      <c r="B70" s="1405">
        <v>217.45</v>
      </c>
      <c r="C70" s="1406">
        <v>193.43</v>
      </c>
      <c r="D70" s="1406">
        <v>310.89999999999998</v>
      </c>
      <c r="E70" s="1406">
        <v>1115.9100000000001</v>
      </c>
      <c r="F70" s="1406">
        <v>1394.5</v>
      </c>
      <c r="G70" s="1406">
        <v>2489.6</v>
      </c>
      <c r="H70" s="1406">
        <v>15041</v>
      </c>
      <c r="I70" s="1406">
        <v>1945.3</v>
      </c>
      <c r="J70" s="1407">
        <v>22708.09</v>
      </c>
      <c r="K70" s="1405">
        <v>9.0009829999999997</v>
      </c>
      <c r="L70" s="1406">
        <v>13.1</v>
      </c>
      <c r="M70" s="1406">
        <v>159.49</v>
      </c>
      <c r="N70" s="1406">
        <v>241.42</v>
      </c>
      <c r="O70" s="1406">
        <v>105.42</v>
      </c>
      <c r="P70" s="1406">
        <v>130.72</v>
      </c>
      <c r="Q70" s="1406">
        <v>30.63</v>
      </c>
      <c r="R70" s="1406">
        <v>6.3390000000000004</v>
      </c>
      <c r="S70" s="1406">
        <v>39.31</v>
      </c>
      <c r="T70" s="1406">
        <v>2.42</v>
      </c>
      <c r="U70" s="1406">
        <v>9.34</v>
      </c>
      <c r="V70" s="1406">
        <v>0.33</v>
      </c>
      <c r="W70" s="1406">
        <v>0.22</v>
      </c>
      <c r="X70" s="1407">
        <v>747.73998300000005</v>
      </c>
      <c r="Y70" s="1408">
        <v>23455.829983</v>
      </c>
      <c r="Z70" s="1409"/>
      <c r="AA70" s="1410"/>
      <c r="AB70" s="1413"/>
      <c r="AC70" s="1410"/>
    </row>
    <row r="71" spans="1:29" ht="28.5" hidden="1" customHeight="1" x14ac:dyDescent="0.25">
      <c r="A71" s="1404">
        <v>41244</v>
      </c>
      <c r="B71" s="1405">
        <v>217.39</v>
      </c>
      <c r="C71" s="1406">
        <v>194.03</v>
      </c>
      <c r="D71" s="1406">
        <v>306.7</v>
      </c>
      <c r="E71" s="1406">
        <v>1284.2</v>
      </c>
      <c r="F71" s="1406">
        <v>1559.5</v>
      </c>
      <c r="G71" s="1406">
        <v>2948.7</v>
      </c>
      <c r="H71" s="1406">
        <v>17722.5</v>
      </c>
      <c r="I71" s="1406">
        <v>2206.34</v>
      </c>
      <c r="J71" s="1407">
        <v>26439.360000000001</v>
      </c>
      <c r="K71" s="1405">
        <v>9</v>
      </c>
      <c r="L71" s="1406">
        <v>13.1</v>
      </c>
      <c r="M71" s="1406">
        <v>165.54</v>
      </c>
      <c r="N71" s="1406">
        <v>245.15</v>
      </c>
      <c r="O71" s="1406">
        <v>107.89</v>
      </c>
      <c r="P71" s="1406">
        <v>131.78</v>
      </c>
      <c r="Q71" s="1406">
        <v>30.89</v>
      </c>
      <c r="R71" s="1406">
        <v>6.33</v>
      </c>
      <c r="S71" s="1406">
        <v>39.54</v>
      </c>
      <c r="T71" s="1406">
        <v>2.42</v>
      </c>
      <c r="U71" s="1406">
        <v>9.3699999999999992</v>
      </c>
      <c r="V71" s="1406">
        <v>0.33</v>
      </c>
      <c r="W71" s="1406">
        <v>0.22</v>
      </c>
      <c r="X71" s="1407">
        <v>761.56</v>
      </c>
      <c r="Y71" s="1408">
        <v>27200.920000000002</v>
      </c>
      <c r="Z71" s="1409"/>
      <c r="AA71" s="1410"/>
      <c r="AB71" s="1413"/>
      <c r="AC71" s="1410"/>
    </row>
    <row r="72" spans="1:29" ht="28.5" hidden="1" customHeight="1" x14ac:dyDescent="0.25">
      <c r="A72" s="1404">
        <v>41275</v>
      </c>
      <c r="B72" s="1405">
        <v>217.32</v>
      </c>
      <c r="C72" s="1406">
        <v>190.4</v>
      </c>
      <c r="D72" s="1406">
        <v>293.81</v>
      </c>
      <c r="E72" s="1406">
        <v>1151.3</v>
      </c>
      <c r="F72" s="1406">
        <v>1448</v>
      </c>
      <c r="G72" s="1406">
        <v>2664.6</v>
      </c>
      <c r="H72" s="1406">
        <v>16403.5</v>
      </c>
      <c r="I72" s="1406">
        <v>2264</v>
      </c>
      <c r="J72" s="1407">
        <v>24632.93</v>
      </c>
      <c r="K72" s="1405">
        <v>9</v>
      </c>
      <c r="L72" s="1406">
        <v>13.1</v>
      </c>
      <c r="M72" s="1406">
        <v>168.79</v>
      </c>
      <c r="N72" s="1406">
        <v>247.32</v>
      </c>
      <c r="O72" s="1406">
        <v>109.34</v>
      </c>
      <c r="P72" s="1406">
        <v>132.81</v>
      </c>
      <c r="Q72" s="1406">
        <v>30.96</v>
      </c>
      <c r="R72" s="1406">
        <v>6.34</v>
      </c>
      <c r="S72" s="1406">
        <v>39.71</v>
      </c>
      <c r="T72" s="1406">
        <v>2.42</v>
      </c>
      <c r="U72" s="1406">
        <v>9.39</v>
      </c>
      <c r="V72" s="1406">
        <v>0.33</v>
      </c>
      <c r="W72" s="1406">
        <v>0.2</v>
      </c>
      <c r="X72" s="1407">
        <v>769.71</v>
      </c>
      <c r="Y72" s="1408">
        <v>25402.639999999999</v>
      </c>
      <c r="Z72" s="1409"/>
      <c r="AA72" s="1410"/>
      <c r="AB72" s="1413"/>
      <c r="AC72" s="1410"/>
    </row>
    <row r="73" spans="1:29" ht="28.5" hidden="1" customHeight="1" x14ac:dyDescent="0.25">
      <c r="A73" s="1404">
        <v>41306</v>
      </c>
      <c r="B73" s="1405">
        <v>217.19</v>
      </c>
      <c r="C73" s="1406">
        <v>187.92</v>
      </c>
      <c r="D73" s="1406">
        <v>288.66000000000003</v>
      </c>
      <c r="E73" s="1406">
        <v>1168.05</v>
      </c>
      <c r="F73" s="1406">
        <v>1391.75</v>
      </c>
      <c r="G73" s="1406">
        <v>2511.4899999999998</v>
      </c>
      <c r="H73" s="1406">
        <v>15837.7</v>
      </c>
      <c r="I73" s="1406">
        <v>2361.6999999999998</v>
      </c>
      <c r="J73" s="1407">
        <v>23964.460000000003</v>
      </c>
      <c r="K73" s="1405">
        <v>9</v>
      </c>
      <c r="L73" s="1406">
        <v>13.1</v>
      </c>
      <c r="M73" s="1406">
        <v>170.14</v>
      </c>
      <c r="N73" s="1406">
        <v>247.42500000000001</v>
      </c>
      <c r="O73" s="1406">
        <v>110.86499999999999</v>
      </c>
      <c r="P73" s="1406">
        <v>133.58000000000001</v>
      </c>
      <c r="Q73" s="1406">
        <v>31.02</v>
      </c>
      <c r="R73" s="1406">
        <v>6.3390000000000004</v>
      </c>
      <c r="S73" s="1406">
        <v>39.85</v>
      </c>
      <c r="T73" s="1406">
        <v>2.42</v>
      </c>
      <c r="U73" s="1406">
        <v>9.41</v>
      </c>
      <c r="V73" s="1406">
        <v>0.33</v>
      </c>
      <c r="W73" s="1406">
        <v>0.22</v>
      </c>
      <c r="X73" s="1407">
        <v>773.69900000000007</v>
      </c>
      <c r="Y73" s="1408">
        <v>24738.159000000003</v>
      </c>
      <c r="Z73" s="1409"/>
      <c r="AA73" s="1413"/>
      <c r="AB73" s="1413"/>
      <c r="AC73" s="1410"/>
    </row>
    <row r="74" spans="1:29" ht="28.5" hidden="1" customHeight="1" x14ac:dyDescent="0.25">
      <c r="A74" s="1404">
        <v>41334</v>
      </c>
      <c r="B74" s="1405">
        <v>217.14</v>
      </c>
      <c r="C74" s="1406">
        <v>188.9</v>
      </c>
      <c r="D74" s="1406">
        <v>287.89999999999998</v>
      </c>
      <c r="E74" s="1406">
        <v>1159.3</v>
      </c>
      <c r="F74" s="1406">
        <v>1383.7</v>
      </c>
      <c r="G74" s="1406">
        <v>2528.1</v>
      </c>
      <c r="H74" s="1406">
        <v>16082.1</v>
      </c>
      <c r="I74" s="1406">
        <v>2572.8000000000002</v>
      </c>
      <c r="J74" s="1407">
        <v>24419.94</v>
      </c>
      <c r="K74" s="1405">
        <v>9</v>
      </c>
      <c r="L74" s="1406">
        <v>13.1</v>
      </c>
      <c r="M74" s="1406">
        <v>169.59</v>
      </c>
      <c r="N74" s="1406">
        <v>247.14</v>
      </c>
      <c r="O74" s="1406">
        <v>111.5</v>
      </c>
      <c r="P74" s="1406">
        <v>134.4</v>
      </c>
      <c r="Q74" s="1406">
        <v>31.03</v>
      </c>
      <c r="R74" s="1406">
        <v>6.3390000000000004</v>
      </c>
      <c r="S74" s="1406">
        <v>39.97</v>
      </c>
      <c r="T74" s="1406">
        <v>2.42</v>
      </c>
      <c r="U74" s="1406">
        <v>9.4499999999999993</v>
      </c>
      <c r="V74" s="1406">
        <v>0.33</v>
      </c>
      <c r="W74" s="1406">
        <v>0.22</v>
      </c>
      <c r="X74" s="1407">
        <v>774.48900000000003</v>
      </c>
      <c r="Y74" s="1408">
        <v>25194.429</v>
      </c>
      <c r="Z74" s="1409"/>
      <c r="AA74" s="1410"/>
      <c r="AB74" s="1413"/>
      <c r="AC74" s="1410"/>
    </row>
    <row r="75" spans="1:29" ht="28.5" hidden="1" customHeight="1" x14ac:dyDescent="0.25">
      <c r="A75" s="1404">
        <v>41365</v>
      </c>
      <c r="B75" s="1405">
        <v>217.04</v>
      </c>
      <c r="C75" s="1406">
        <v>188.8</v>
      </c>
      <c r="D75" s="1406">
        <v>286.5</v>
      </c>
      <c r="E75" s="1406">
        <v>1132.3</v>
      </c>
      <c r="F75" s="1406">
        <v>1370.4</v>
      </c>
      <c r="G75" s="1406">
        <v>2529.9</v>
      </c>
      <c r="H75" s="1406">
        <v>15968.7</v>
      </c>
      <c r="I75" s="1406">
        <v>2683.2</v>
      </c>
      <c r="J75" s="1407">
        <v>24376.84</v>
      </c>
      <c r="K75" s="1405">
        <v>9</v>
      </c>
      <c r="L75" s="1406">
        <v>13.1</v>
      </c>
      <c r="M75" s="1406">
        <v>174.18</v>
      </c>
      <c r="N75" s="1406">
        <v>249.04</v>
      </c>
      <c r="O75" s="1406">
        <v>111.62</v>
      </c>
      <c r="P75" s="1406">
        <v>135.13999999999999</v>
      </c>
      <c r="Q75" s="1406">
        <v>31.04</v>
      </c>
      <c r="R75" s="1406">
        <v>6.34</v>
      </c>
      <c r="S75" s="1406">
        <v>40.119999999999997</v>
      </c>
      <c r="T75" s="1406">
        <v>2.4</v>
      </c>
      <c r="U75" s="1406">
        <v>9.4700000000000006</v>
      </c>
      <c r="V75" s="1406">
        <v>0.33</v>
      </c>
      <c r="W75" s="1406">
        <v>0.22</v>
      </c>
      <c r="X75" s="1407">
        <v>782.00000000000011</v>
      </c>
      <c r="Y75" s="1408">
        <v>25158.84</v>
      </c>
      <c r="Z75" s="1409"/>
      <c r="AA75" s="1410"/>
      <c r="AB75" s="1413"/>
      <c r="AC75" s="1410"/>
    </row>
    <row r="76" spans="1:29" ht="28.5" hidden="1" customHeight="1" x14ac:dyDescent="0.25">
      <c r="A76" s="1404">
        <v>41395</v>
      </c>
      <c r="B76" s="1405">
        <v>217</v>
      </c>
      <c r="C76" s="1406">
        <v>187.1</v>
      </c>
      <c r="D76" s="1406">
        <v>273</v>
      </c>
      <c r="E76" s="1406">
        <v>1155.7</v>
      </c>
      <c r="F76" s="1406">
        <v>1279.6600000000001</v>
      </c>
      <c r="G76" s="1406">
        <v>2435.8000000000002</v>
      </c>
      <c r="H76" s="1406">
        <v>15705.8</v>
      </c>
      <c r="I76" s="1406">
        <v>2788.04</v>
      </c>
      <c r="J76" s="1407">
        <v>24042.1</v>
      </c>
      <c r="K76" s="1405">
        <v>9</v>
      </c>
      <c r="L76" s="1406">
        <v>13.12</v>
      </c>
      <c r="M76" s="1406">
        <v>175.44</v>
      </c>
      <c r="N76" s="1406">
        <v>249.35</v>
      </c>
      <c r="O76" s="1406">
        <v>112.4</v>
      </c>
      <c r="P76" s="1406">
        <v>135.77000000000001</v>
      </c>
      <c r="Q76" s="1406">
        <v>31.04</v>
      </c>
      <c r="R76" s="1406">
        <v>6.33</v>
      </c>
      <c r="S76" s="1406">
        <v>40.270000000000003</v>
      </c>
      <c r="T76" s="1406">
        <v>2.42</v>
      </c>
      <c r="U76" s="1406">
        <v>9.49</v>
      </c>
      <c r="V76" s="1406">
        <v>0.33</v>
      </c>
      <c r="W76" s="1406">
        <v>0.2</v>
      </c>
      <c r="X76" s="1407">
        <v>785.16</v>
      </c>
      <c r="Y76" s="1408">
        <v>24827.26</v>
      </c>
      <c r="Z76" s="1409"/>
      <c r="AA76" s="1410"/>
      <c r="AB76" s="1413"/>
      <c r="AC76" s="1410"/>
    </row>
    <row r="77" spans="1:29" ht="28.5" hidden="1" customHeight="1" x14ac:dyDescent="0.25">
      <c r="A77" s="1404">
        <v>41426</v>
      </c>
      <c r="B77" s="1405">
        <v>216.73</v>
      </c>
      <c r="C77" s="1406">
        <v>185.3</v>
      </c>
      <c r="D77" s="1406">
        <v>275.7</v>
      </c>
      <c r="E77" s="1406">
        <v>1119.3</v>
      </c>
      <c r="F77" s="1406">
        <v>1241.4000000000001</v>
      </c>
      <c r="G77" s="1406">
        <v>2417.9</v>
      </c>
      <c r="H77" s="1406">
        <v>15537.8</v>
      </c>
      <c r="I77" s="1406">
        <v>2861.2</v>
      </c>
      <c r="J77" s="1407">
        <v>23855.329999999998</v>
      </c>
      <c r="K77" s="1405">
        <v>9</v>
      </c>
      <c r="L77" s="1406">
        <v>13.1</v>
      </c>
      <c r="M77" s="1406">
        <v>177.63</v>
      </c>
      <c r="N77" s="1406">
        <v>249.49</v>
      </c>
      <c r="O77" s="1406">
        <v>112.83</v>
      </c>
      <c r="P77" s="1406">
        <v>136.38999999999999</v>
      </c>
      <c r="Q77" s="1406">
        <v>31.06</v>
      </c>
      <c r="R77" s="1406">
        <v>6.33</v>
      </c>
      <c r="S77" s="1406">
        <v>40.4</v>
      </c>
      <c r="T77" s="1406">
        <v>2.4</v>
      </c>
      <c r="U77" s="1406">
        <v>9.5</v>
      </c>
      <c r="V77" s="1406">
        <v>0.3</v>
      </c>
      <c r="W77" s="1406">
        <v>0.22</v>
      </c>
      <c r="X77" s="1407">
        <v>788.65</v>
      </c>
      <c r="Y77" s="1408">
        <v>24643.98</v>
      </c>
      <c r="Z77" s="1409"/>
      <c r="AA77" s="1410"/>
      <c r="AB77" s="1413"/>
      <c r="AC77" s="1410"/>
    </row>
    <row r="78" spans="1:29" ht="28.5" hidden="1" customHeight="1" x14ac:dyDescent="0.25">
      <c r="A78" s="1404">
        <v>41456</v>
      </c>
      <c r="B78" s="1405">
        <v>216.7</v>
      </c>
      <c r="C78" s="1406">
        <v>184.3</v>
      </c>
      <c r="D78" s="1406">
        <v>285.8</v>
      </c>
      <c r="E78" s="1406">
        <v>1182.2</v>
      </c>
      <c r="F78" s="1406">
        <v>1248.74</v>
      </c>
      <c r="G78" s="1406">
        <v>2543.02</v>
      </c>
      <c r="H78" s="1406">
        <v>16147.8</v>
      </c>
      <c r="I78" s="1406">
        <v>2858.21</v>
      </c>
      <c r="J78" s="1407">
        <v>24666.769999999997</v>
      </c>
      <c r="K78" s="1405">
        <v>9</v>
      </c>
      <c r="L78" s="1406">
        <v>13.1</v>
      </c>
      <c r="M78" s="1406">
        <v>180.1</v>
      </c>
      <c r="N78" s="1406">
        <v>249.92</v>
      </c>
      <c r="O78" s="1406">
        <v>113</v>
      </c>
      <c r="P78" s="1406">
        <v>137.30000000000001</v>
      </c>
      <c r="Q78" s="1406">
        <v>31.07</v>
      </c>
      <c r="R78" s="1406">
        <v>6.33</v>
      </c>
      <c r="S78" s="1406">
        <v>40.630000000000003</v>
      </c>
      <c r="T78" s="1406">
        <v>2.4</v>
      </c>
      <c r="U78" s="1406">
        <v>9.5500000000000007</v>
      </c>
      <c r="V78" s="1406">
        <v>0.3</v>
      </c>
      <c r="W78" s="1406">
        <v>0.22</v>
      </c>
      <c r="X78" s="1407">
        <v>792.92000000000007</v>
      </c>
      <c r="Y78" s="1408">
        <v>25459.689999999995</v>
      </c>
      <c r="Z78" s="1409"/>
      <c r="AA78" s="1410"/>
      <c r="AB78" s="1413"/>
      <c r="AC78" s="1410"/>
    </row>
    <row r="79" spans="1:29" ht="28.5" hidden="1" customHeight="1" x14ac:dyDescent="0.25">
      <c r="A79" s="1404">
        <v>41487</v>
      </c>
      <c r="B79" s="1405">
        <v>216.7</v>
      </c>
      <c r="C79" s="1406">
        <v>187.18</v>
      </c>
      <c r="D79" s="1406">
        <v>297.89999999999998</v>
      </c>
      <c r="E79" s="1406">
        <v>1198</v>
      </c>
      <c r="F79" s="1406">
        <v>1344.75</v>
      </c>
      <c r="G79" s="1406">
        <v>2691.3</v>
      </c>
      <c r="H79" s="1406">
        <v>15862.32</v>
      </c>
      <c r="I79" s="1406">
        <v>2956.46</v>
      </c>
      <c r="J79" s="1407">
        <v>24754.61</v>
      </c>
      <c r="K79" s="1405">
        <v>9</v>
      </c>
      <c r="L79" s="1406">
        <v>13.13</v>
      </c>
      <c r="M79" s="1406">
        <v>185.49</v>
      </c>
      <c r="N79" s="1406">
        <v>252.23</v>
      </c>
      <c r="O79" s="1406">
        <v>113.3</v>
      </c>
      <c r="P79" s="1406">
        <v>137.69</v>
      </c>
      <c r="Q79" s="1406">
        <v>31.09</v>
      </c>
      <c r="R79" s="1406">
        <v>6.33</v>
      </c>
      <c r="S79" s="1406">
        <v>40.770000000000003</v>
      </c>
      <c r="T79" s="1406">
        <v>2.42</v>
      </c>
      <c r="U79" s="1406">
        <v>9.58</v>
      </c>
      <c r="V79" s="1406">
        <v>0.33</v>
      </c>
      <c r="W79" s="1406">
        <v>0.2</v>
      </c>
      <c r="X79" s="1407">
        <v>801.56000000000006</v>
      </c>
      <c r="Y79" s="1408">
        <v>25556.170000000002</v>
      </c>
      <c r="Z79" s="1409"/>
      <c r="AA79" s="1410"/>
      <c r="AB79" s="1413"/>
      <c r="AC79" s="1410"/>
    </row>
    <row r="80" spans="1:29" ht="28.5" hidden="1" customHeight="1" x14ac:dyDescent="0.25">
      <c r="A80" s="1404">
        <v>41518</v>
      </c>
      <c r="B80" s="1405">
        <v>216.6</v>
      </c>
      <c r="C80" s="1406">
        <v>191.66</v>
      </c>
      <c r="D80" s="1406">
        <v>301.35000000000002</v>
      </c>
      <c r="E80" s="1406">
        <v>1171</v>
      </c>
      <c r="F80" s="1406">
        <v>1301.67</v>
      </c>
      <c r="G80" s="1406">
        <v>2676.1</v>
      </c>
      <c r="H80" s="1406">
        <v>15481.5</v>
      </c>
      <c r="I80" s="1406">
        <v>3000.4</v>
      </c>
      <c r="J80" s="1407">
        <v>24340.280000000002</v>
      </c>
      <c r="K80" s="1405">
        <v>9</v>
      </c>
      <c r="L80" s="1406">
        <v>13.1</v>
      </c>
      <c r="M80" s="1406">
        <v>185.8</v>
      </c>
      <c r="N80" s="1406">
        <v>254.6</v>
      </c>
      <c r="O80" s="1406">
        <v>113.43</v>
      </c>
      <c r="P80" s="1406">
        <v>137.9</v>
      </c>
      <c r="Q80" s="1406">
        <v>31.2</v>
      </c>
      <c r="R80" s="1406">
        <v>6.3</v>
      </c>
      <c r="S80" s="1406">
        <v>40.97</v>
      </c>
      <c r="T80" s="1406">
        <v>2.4</v>
      </c>
      <c r="U80" s="1406">
        <v>9.6199999999999992</v>
      </c>
      <c r="V80" s="1406">
        <v>0.33</v>
      </c>
      <c r="W80" s="1406">
        <v>0.22</v>
      </c>
      <c r="X80" s="1407">
        <v>804.87000000000012</v>
      </c>
      <c r="Y80" s="1408">
        <v>25145.15</v>
      </c>
      <c r="Z80" s="1409"/>
      <c r="AA80" s="1410"/>
      <c r="AB80" s="1413"/>
      <c r="AC80" s="1410"/>
    </row>
    <row r="81" spans="1:29" ht="28.5" hidden="1" customHeight="1" x14ac:dyDescent="0.25">
      <c r="A81" s="1404">
        <v>41548</v>
      </c>
      <c r="B81" s="1405">
        <v>216.59</v>
      </c>
      <c r="C81" s="1406">
        <v>200.39</v>
      </c>
      <c r="D81" s="1406">
        <v>303.49</v>
      </c>
      <c r="E81" s="1406">
        <v>1232.4000000000001</v>
      </c>
      <c r="F81" s="1406">
        <v>1295.586</v>
      </c>
      <c r="G81" s="1406">
        <v>2784.4</v>
      </c>
      <c r="H81" s="1406">
        <v>15740.6</v>
      </c>
      <c r="I81" s="1406">
        <v>3172.1</v>
      </c>
      <c r="J81" s="1407">
        <v>24945.555999999997</v>
      </c>
      <c r="K81" s="1405">
        <v>9</v>
      </c>
      <c r="L81" s="1406">
        <v>13.13</v>
      </c>
      <c r="M81" s="1406">
        <v>186.82</v>
      </c>
      <c r="N81" s="1406">
        <v>254.99</v>
      </c>
      <c r="O81" s="1406">
        <v>113.76</v>
      </c>
      <c r="P81" s="1406">
        <v>139.25</v>
      </c>
      <c r="Q81" s="1406">
        <v>31.17</v>
      </c>
      <c r="R81" s="1406">
        <v>6.3319999999999999</v>
      </c>
      <c r="S81" s="1406">
        <v>41.17</v>
      </c>
      <c r="T81" s="1406">
        <v>2.4</v>
      </c>
      <c r="U81" s="1406">
        <v>9.66</v>
      </c>
      <c r="V81" s="1406">
        <v>0.33</v>
      </c>
      <c r="W81" s="1406">
        <v>0.22</v>
      </c>
      <c r="X81" s="1407">
        <v>808.23199999999997</v>
      </c>
      <c r="Y81" s="1408">
        <v>25753.787999999997</v>
      </c>
      <c r="Z81" s="1409"/>
      <c r="AA81" s="1410"/>
      <c r="AB81" s="1413"/>
      <c r="AC81" s="1410"/>
    </row>
    <row r="82" spans="1:29" ht="28.5" hidden="1" customHeight="1" x14ac:dyDescent="0.25">
      <c r="A82" s="1404">
        <v>41579</v>
      </c>
      <c r="B82" s="1405">
        <v>216.54</v>
      </c>
      <c r="C82" s="1406">
        <v>207.7</v>
      </c>
      <c r="D82" s="1406">
        <v>302.2</v>
      </c>
      <c r="E82" s="1406">
        <v>1211.0999999999999</v>
      </c>
      <c r="F82" s="1406">
        <v>1310.2</v>
      </c>
      <c r="G82" s="1406">
        <v>2846.9</v>
      </c>
      <c r="H82" s="1406">
        <v>15425.9</v>
      </c>
      <c r="I82" s="1406">
        <v>3258.4</v>
      </c>
      <c r="J82" s="1407">
        <v>24778.940000000002</v>
      </c>
      <c r="K82" s="1405">
        <v>9.0079999999999991</v>
      </c>
      <c r="L82" s="1406">
        <v>13.13</v>
      </c>
      <c r="M82" s="1406">
        <v>188.9</v>
      </c>
      <c r="N82" s="1406">
        <v>257.10000000000002</v>
      </c>
      <c r="O82" s="1406">
        <v>115.03</v>
      </c>
      <c r="P82" s="1406">
        <v>140.91</v>
      </c>
      <c r="Q82" s="1406">
        <v>31.47</v>
      </c>
      <c r="R82" s="1406">
        <v>6.33</v>
      </c>
      <c r="S82" s="1406">
        <v>41.4</v>
      </c>
      <c r="T82" s="1406">
        <v>2.42</v>
      </c>
      <c r="U82" s="1406">
        <v>9.7100000000000009</v>
      </c>
      <c r="V82" s="1406">
        <v>0.3</v>
      </c>
      <c r="W82" s="1406">
        <v>0.2</v>
      </c>
      <c r="X82" s="1407">
        <v>815.90800000000002</v>
      </c>
      <c r="Y82" s="1408">
        <v>25594.848000000002</v>
      </c>
      <c r="Z82" s="1409"/>
      <c r="AA82" s="1410"/>
      <c r="AB82" s="1413"/>
      <c r="AC82" s="1410"/>
    </row>
    <row r="83" spans="1:29" ht="28.5" hidden="1" customHeight="1" x14ac:dyDescent="0.25">
      <c r="A83" s="1404">
        <v>41609</v>
      </c>
      <c r="B83" s="1405">
        <v>216.5</v>
      </c>
      <c r="C83" s="1406">
        <v>225.7</v>
      </c>
      <c r="D83" s="1406">
        <v>331.6</v>
      </c>
      <c r="E83" s="1406">
        <v>1373.1</v>
      </c>
      <c r="F83" s="1406">
        <v>1596</v>
      </c>
      <c r="G83" s="1406">
        <v>3535</v>
      </c>
      <c r="H83" s="1406">
        <v>18480.2</v>
      </c>
      <c r="I83" s="1406">
        <v>3778.6</v>
      </c>
      <c r="J83" s="1407">
        <v>29536.699999999997</v>
      </c>
      <c r="K83" s="1405">
        <v>9</v>
      </c>
      <c r="L83" s="1406">
        <v>13.13</v>
      </c>
      <c r="M83" s="1406">
        <v>195.7</v>
      </c>
      <c r="N83" s="1406">
        <v>260.76</v>
      </c>
      <c r="O83" s="1406">
        <v>116.66</v>
      </c>
      <c r="P83" s="1406">
        <v>142.16999999999999</v>
      </c>
      <c r="Q83" s="1406">
        <v>31.7</v>
      </c>
      <c r="R83" s="1406">
        <v>6.3</v>
      </c>
      <c r="S83" s="1406">
        <v>41.6</v>
      </c>
      <c r="T83" s="1406">
        <v>2.4</v>
      </c>
      <c r="U83" s="1406">
        <v>9.8000000000000007</v>
      </c>
      <c r="V83" s="1406">
        <v>0.3</v>
      </c>
      <c r="W83" s="1406">
        <v>0.2</v>
      </c>
      <c r="X83" s="1407">
        <v>829.71999999999991</v>
      </c>
      <c r="Y83" s="1408">
        <v>30366.42</v>
      </c>
      <c r="Z83" s="1409"/>
      <c r="AA83" s="1410"/>
      <c r="AB83" s="1413"/>
      <c r="AC83" s="1410"/>
    </row>
    <row r="84" spans="1:29" ht="28.5" hidden="1" customHeight="1" x14ac:dyDescent="0.25">
      <c r="A84" s="1404">
        <v>41640</v>
      </c>
      <c r="B84" s="1405">
        <v>216.49</v>
      </c>
      <c r="C84" s="1406">
        <v>222.4</v>
      </c>
      <c r="D84" s="1406">
        <v>322.3</v>
      </c>
      <c r="E84" s="1406">
        <v>1255.5</v>
      </c>
      <c r="F84" s="1406">
        <v>1353.2</v>
      </c>
      <c r="G84" s="1406">
        <v>2984.3</v>
      </c>
      <c r="H84" s="1406">
        <v>16470.3</v>
      </c>
      <c r="I84" s="1406">
        <v>3915.1</v>
      </c>
      <c r="J84" s="1407">
        <v>26739.589999999997</v>
      </c>
      <c r="K84" s="1405">
        <v>9.02</v>
      </c>
      <c r="L84" s="1406">
        <v>13.1</v>
      </c>
      <c r="M84" s="1406">
        <v>197.81</v>
      </c>
      <c r="N84" s="1406">
        <v>263.2</v>
      </c>
      <c r="O84" s="1406">
        <v>116.7</v>
      </c>
      <c r="P84" s="1406">
        <v>142.54</v>
      </c>
      <c r="Q84" s="1406">
        <v>31.82</v>
      </c>
      <c r="R84" s="1406">
        <v>6.33</v>
      </c>
      <c r="S84" s="1406">
        <v>41.73</v>
      </c>
      <c r="T84" s="1406">
        <v>2.42</v>
      </c>
      <c r="U84" s="1406">
        <v>9.77</v>
      </c>
      <c r="V84" s="1406">
        <v>0.3</v>
      </c>
      <c r="W84" s="1406">
        <v>0.2</v>
      </c>
      <c r="X84" s="1407">
        <v>834.94</v>
      </c>
      <c r="Y84" s="1408">
        <v>27574.529999999995</v>
      </c>
      <c r="Z84" s="1409"/>
      <c r="AA84" s="1410"/>
      <c r="AB84" s="1413"/>
      <c r="AC84" s="1410"/>
    </row>
    <row r="85" spans="1:29" ht="28.5" hidden="1" customHeight="1" x14ac:dyDescent="0.25">
      <c r="A85" s="1404">
        <v>41671</v>
      </c>
      <c r="B85" s="1405">
        <v>216.47</v>
      </c>
      <c r="C85" s="1406">
        <v>221.1</v>
      </c>
      <c r="D85" s="1406">
        <v>321.39999999999998</v>
      </c>
      <c r="E85" s="1406">
        <v>1268.8</v>
      </c>
      <c r="F85" s="1406">
        <v>1350.3</v>
      </c>
      <c r="G85" s="1406">
        <v>2963.5</v>
      </c>
      <c r="H85" s="1406">
        <v>15923.1</v>
      </c>
      <c r="I85" s="1406">
        <v>4074.2</v>
      </c>
      <c r="J85" s="1407">
        <v>26338.87</v>
      </c>
      <c r="K85" s="1405">
        <v>9.02</v>
      </c>
      <c r="L85" s="1406">
        <v>13.14</v>
      </c>
      <c r="M85" s="1406">
        <v>198.45</v>
      </c>
      <c r="N85" s="1406">
        <v>263.13</v>
      </c>
      <c r="O85" s="1406">
        <v>117.6</v>
      </c>
      <c r="P85" s="1406">
        <v>143.19999999999999</v>
      </c>
      <c r="Q85" s="1406">
        <v>31.92</v>
      </c>
      <c r="R85" s="1406">
        <v>6.33</v>
      </c>
      <c r="S85" s="1406">
        <v>41.83</v>
      </c>
      <c r="T85" s="1406">
        <v>2.42</v>
      </c>
      <c r="U85" s="1406">
        <v>9.8000000000000007</v>
      </c>
      <c r="V85" s="1406">
        <v>0.33</v>
      </c>
      <c r="W85" s="1406">
        <v>0.22</v>
      </c>
      <c r="X85" s="1407">
        <v>837.39</v>
      </c>
      <c r="Y85" s="1408">
        <v>27176.26</v>
      </c>
      <c r="Z85" s="1409"/>
      <c r="AA85" s="1413"/>
      <c r="AB85" s="1413"/>
      <c r="AC85" s="1410"/>
    </row>
    <row r="86" spans="1:29" ht="28.5" hidden="1" customHeight="1" x14ac:dyDescent="0.25">
      <c r="A86" s="1404">
        <v>41699</v>
      </c>
      <c r="B86" s="1405">
        <v>216.4</v>
      </c>
      <c r="C86" s="1406">
        <v>221.1</v>
      </c>
      <c r="D86" s="1406">
        <v>317.66000000000003</v>
      </c>
      <c r="E86" s="1406">
        <v>1249.8499999999999</v>
      </c>
      <c r="F86" s="1406">
        <v>1345</v>
      </c>
      <c r="G86" s="1406">
        <v>2928.45</v>
      </c>
      <c r="H86" s="1406">
        <v>15660.1</v>
      </c>
      <c r="I86" s="1406">
        <v>4229.26</v>
      </c>
      <c r="J86" s="1407">
        <v>26167.82</v>
      </c>
      <c r="K86" s="1405">
        <v>9.02</v>
      </c>
      <c r="L86" s="1406">
        <v>13.14</v>
      </c>
      <c r="M86" s="1406">
        <v>199.7</v>
      </c>
      <c r="N86" s="1406">
        <v>263.33</v>
      </c>
      <c r="O86" s="1406">
        <v>117.73</v>
      </c>
      <c r="P86" s="1406">
        <v>143.87</v>
      </c>
      <c r="Q86" s="1406">
        <v>32.020000000000003</v>
      </c>
      <c r="R86" s="1406">
        <v>6.33</v>
      </c>
      <c r="S86" s="1406">
        <v>41.95</v>
      </c>
      <c r="T86" s="1406">
        <v>2.42</v>
      </c>
      <c r="U86" s="1406">
        <v>9.82</v>
      </c>
      <c r="V86" s="1406">
        <v>0.33</v>
      </c>
      <c r="W86" s="1406">
        <v>0.2</v>
      </c>
      <c r="X86" s="1407">
        <v>839.86000000000013</v>
      </c>
      <c r="Y86" s="1408">
        <v>27007.68</v>
      </c>
      <c r="Z86" s="1409"/>
      <c r="AA86" s="1413"/>
      <c r="AB86" s="1413"/>
      <c r="AC86" s="1410"/>
    </row>
    <row r="87" spans="1:29" ht="28.5" hidden="1" customHeight="1" x14ac:dyDescent="0.25">
      <c r="A87" s="1404">
        <v>41730</v>
      </c>
      <c r="B87" s="1405">
        <v>216.36</v>
      </c>
      <c r="C87" s="1406">
        <v>219.9</v>
      </c>
      <c r="D87" s="1406">
        <v>313.60000000000002</v>
      </c>
      <c r="E87" s="1406">
        <v>1251.98</v>
      </c>
      <c r="F87" s="1406">
        <v>1325.4</v>
      </c>
      <c r="G87" s="1406">
        <v>2877.1</v>
      </c>
      <c r="H87" s="1406">
        <v>15524.2</v>
      </c>
      <c r="I87" s="1406">
        <v>4389.1000000000004</v>
      </c>
      <c r="J87" s="1407">
        <v>26117.64</v>
      </c>
      <c r="K87" s="1405">
        <v>9</v>
      </c>
      <c r="L87" s="1406">
        <v>13.1</v>
      </c>
      <c r="M87" s="1406">
        <v>199.9</v>
      </c>
      <c r="N87" s="1406">
        <v>263.89999999999998</v>
      </c>
      <c r="O87" s="1406">
        <v>118.4</v>
      </c>
      <c r="P87" s="1406">
        <v>144.5</v>
      </c>
      <c r="Q87" s="1406">
        <v>32.200000000000003</v>
      </c>
      <c r="R87" s="1406">
        <v>6.33</v>
      </c>
      <c r="S87" s="1406">
        <v>42.03</v>
      </c>
      <c r="T87" s="1406">
        <v>2.42</v>
      </c>
      <c r="U87" s="1406">
        <v>9.86</v>
      </c>
      <c r="V87" s="1406">
        <v>0.33</v>
      </c>
      <c r="W87" s="1406">
        <v>0.2</v>
      </c>
      <c r="X87" s="1407">
        <v>842.17000000000007</v>
      </c>
      <c r="Y87" s="1408">
        <v>26959.809999999998</v>
      </c>
      <c r="Z87" s="1409"/>
      <c r="AA87" s="1413"/>
      <c r="AB87" s="1413"/>
      <c r="AC87" s="1410"/>
    </row>
    <row r="88" spans="1:29" ht="28.5" hidden="1" customHeight="1" x14ac:dyDescent="0.25">
      <c r="A88" s="1404">
        <v>41760</v>
      </c>
      <c r="B88" s="1405">
        <v>216.3</v>
      </c>
      <c r="C88" s="1406">
        <v>217.9</v>
      </c>
      <c r="D88" s="1406">
        <v>311.89999999999998</v>
      </c>
      <c r="E88" s="1406">
        <v>1213.92</v>
      </c>
      <c r="F88" s="1406">
        <v>1268.71</v>
      </c>
      <c r="G88" s="1406">
        <v>2866.19</v>
      </c>
      <c r="H88" s="1406">
        <v>14803.5</v>
      </c>
      <c r="I88" s="1406">
        <v>4518</v>
      </c>
      <c r="J88" s="1407">
        <v>25416.42</v>
      </c>
      <c r="K88" s="1405">
        <v>9.0229999999999997</v>
      </c>
      <c r="L88" s="1406">
        <v>13.14</v>
      </c>
      <c r="M88" s="1406">
        <v>200.2</v>
      </c>
      <c r="N88" s="1406">
        <v>265.02999999999997</v>
      </c>
      <c r="O88" s="1406">
        <v>118.7</v>
      </c>
      <c r="P88" s="1406">
        <v>144.9</v>
      </c>
      <c r="Q88" s="1406">
        <v>32.299999999999997</v>
      </c>
      <c r="R88" s="1406">
        <v>6.33</v>
      </c>
      <c r="S88" s="1406">
        <v>42</v>
      </c>
      <c r="T88" s="1406">
        <v>2.42</v>
      </c>
      <c r="U88" s="1406">
        <v>9.9</v>
      </c>
      <c r="V88" s="1406">
        <v>0.33</v>
      </c>
      <c r="W88" s="1406">
        <v>0.22</v>
      </c>
      <c r="X88" s="1407">
        <v>844.49299999999994</v>
      </c>
      <c r="Y88" s="1408">
        <v>26260.912999999997</v>
      </c>
      <c r="Z88" s="1409"/>
      <c r="AA88" s="1413"/>
      <c r="AB88" s="1413"/>
      <c r="AC88" s="1410"/>
    </row>
    <row r="89" spans="1:29" ht="28.5" hidden="1" customHeight="1" x14ac:dyDescent="0.25">
      <c r="A89" s="1404">
        <v>41791</v>
      </c>
      <c r="B89" s="1405">
        <v>216.26</v>
      </c>
      <c r="C89" s="1406">
        <v>218.5</v>
      </c>
      <c r="D89" s="1406">
        <v>314.39999999999998</v>
      </c>
      <c r="E89" s="1406">
        <v>1236.5999999999999</v>
      </c>
      <c r="F89" s="1406">
        <v>1282.9000000000001</v>
      </c>
      <c r="G89" s="1406">
        <v>2870.9</v>
      </c>
      <c r="H89" s="1406">
        <v>15064.12</v>
      </c>
      <c r="I89" s="1406">
        <v>4532</v>
      </c>
      <c r="J89" s="1407">
        <v>25735.68</v>
      </c>
      <c r="K89" s="1405">
        <v>9.0239999999999991</v>
      </c>
      <c r="L89" s="1406">
        <v>13.14</v>
      </c>
      <c r="M89" s="1406">
        <v>201</v>
      </c>
      <c r="N89" s="1406">
        <v>266.10000000000002</v>
      </c>
      <c r="O89" s="1406">
        <v>119.4</v>
      </c>
      <c r="P89" s="1406">
        <v>145.4</v>
      </c>
      <c r="Q89" s="1406">
        <v>32.4</v>
      </c>
      <c r="R89" s="1406">
        <v>6.33</v>
      </c>
      <c r="S89" s="1406">
        <v>42.15</v>
      </c>
      <c r="T89" s="1406">
        <v>2.4</v>
      </c>
      <c r="U89" s="1406">
        <v>9.9</v>
      </c>
      <c r="V89" s="1406">
        <v>0.3</v>
      </c>
      <c r="W89" s="1406">
        <v>0.22</v>
      </c>
      <c r="X89" s="1407">
        <v>847.7639999999999</v>
      </c>
      <c r="Y89" s="1408">
        <v>26583.444</v>
      </c>
      <c r="Z89" s="1409"/>
      <c r="AA89" s="1413"/>
      <c r="AB89" s="1413"/>
      <c r="AC89" s="1410"/>
    </row>
    <row r="90" spans="1:29" ht="28.5" hidden="1" customHeight="1" x14ac:dyDescent="0.25">
      <c r="A90" s="1404">
        <v>41821</v>
      </c>
      <c r="B90" s="1405">
        <v>216.25</v>
      </c>
      <c r="C90" s="1406">
        <v>223.36</v>
      </c>
      <c r="D90" s="1406">
        <v>321.7</v>
      </c>
      <c r="E90" s="1406">
        <v>1267.75</v>
      </c>
      <c r="F90" s="1406">
        <v>1342.8</v>
      </c>
      <c r="G90" s="1406">
        <v>2978.2</v>
      </c>
      <c r="H90" s="1406">
        <v>15851</v>
      </c>
      <c r="I90" s="1406">
        <v>4526.1000000000004</v>
      </c>
      <c r="J90" s="1407">
        <v>26727.159999999996</v>
      </c>
      <c r="K90" s="1405">
        <v>9.0239999999999991</v>
      </c>
      <c r="L90" s="1406">
        <v>13.14</v>
      </c>
      <c r="M90" s="1406">
        <v>201.4</v>
      </c>
      <c r="N90" s="1406">
        <v>266.62</v>
      </c>
      <c r="O90" s="1406">
        <v>119.89</v>
      </c>
      <c r="P90" s="1406">
        <v>145.87</v>
      </c>
      <c r="Q90" s="1406">
        <v>32.549999999999997</v>
      </c>
      <c r="R90" s="1406">
        <v>6.3319999999999999</v>
      </c>
      <c r="S90" s="1406">
        <v>42.38</v>
      </c>
      <c r="T90" s="1406">
        <v>2.42</v>
      </c>
      <c r="U90" s="1406">
        <v>9.9499999999999993</v>
      </c>
      <c r="V90" s="1406">
        <v>0.33</v>
      </c>
      <c r="W90" s="1406">
        <v>0.22</v>
      </c>
      <c r="X90" s="1407">
        <v>850.12600000000009</v>
      </c>
      <c r="Y90" s="1408">
        <v>27577.285999999996</v>
      </c>
      <c r="Z90" s="1409"/>
      <c r="AA90" s="1413"/>
      <c r="AB90" s="1413"/>
      <c r="AC90" s="1410"/>
    </row>
    <row r="91" spans="1:29" ht="28.5" hidden="1" customHeight="1" x14ac:dyDescent="0.25">
      <c r="A91" s="1404">
        <v>41852</v>
      </c>
      <c r="B91" s="1405">
        <v>216.16</v>
      </c>
      <c r="C91" s="1406">
        <v>224.6</v>
      </c>
      <c r="D91" s="1406">
        <v>322.8</v>
      </c>
      <c r="E91" s="1406">
        <v>1282.0999999999999</v>
      </c>
      <c r="F91" s="1406">
        <v>1320.78</v>
      </c>
      <c r="G91" s="1406">
        <v>2971.4</v>
      </c>
      <c r="H91" s="1406">
        <v>15351.9</v>
      </c>
      <c r="I91" s="1406">
        <v>4675.2</v>
      </c>
      <c r="J91" s="1407">
        <v>26364.94</v>
      </c>
      <c r="K91" s="1405">
        <v>9</v>
      </c>
      <c r="L91" s="1406">
        <v>13.1</v>
      </c>
      <c r="M91" s="1406">
        <v>201.7</v>
      </c>
      <c r="N91" s="1406">
        <v>268.60000000000002</v>
      </c>
      <c r="O91" s="1406">
        <v>120.26</v>
      </c>
      <c r="P91" s="1406">
        <v>146.5</v>
      </c>
      <c r="Q91" s="1406">
        <v>32.69</v>
      </c>
      <c r="R91" s="1406">
        <v>6.33</v>
      </c>
      <c r="S91" s="1406">
        <v>42.57</v>
      </c>
      <c r="T91" s="1406">
        <v>2.42</v>
      </c>
      <c r="U91" s="1406">
        <v>10</v>
      </c>
      <c r="V91" s="1406">
        <v>0.33</v>
      </c>
      <c r="W91" s="1406">
        <v>0.22</v>
      </c>
      <c r="X91" s="1407">
        <v>853.72</v>
      </c>
      <c r="Y91" s="1408">
        <v>27218.66</v>
      </c>
      <c r="Z91" s="1409"/>
      <c r="AA91" s="1413"/>
      <c r="AB91" s="1413"/>
      <c r="AC91" s="1410"/>
    </row>
    <row r="92" spans="1:29" ht="28.5" hidden="1" customHeight="1" x14ac:dyDescent="0.25">
      <c r="A92" s="1404">
        <v>41883</v>
      </c>
      <c r="B92" s="1405">
        <v>216.13</v>
      </c>
      <c r="C92" s="1406">
        <v>224.86</v>
      </c>
      <c r="D92" s="1406">
        <v>321.60000000000002</v>
      </c>
      <c r="E92" s="1406">
        <v>1271.0999999999999</v>
      </c>
      <c r="F92" s="1406">
        <v>1287.3800000000001</v>
      </c>
      <c r="G92" s="1406">
        <v>2907.6</v>
      </c>
      <c r="H92" s="1406">
        <v>14951.9</v>
      </c>
      <c r="I92" s="1406">
        <v>4771</v>
      </c>
      <c r="J92" s="1407">
        <v>25951.57</v>
      </c>
      <c r="K92" s="1405">
        <v>9.0280000000000005</v>
      </c>
      <c r="L92" s="1406">
        <v>13.15</v>
      </c>
      <c r="M92" s="1406">
        <v>201.9</v>
      </c>
      <c r="N92" s="1406">
        <v>271.05</v>
      </c>
      <c r="O92" s="1406">
        <v>120.68</v>
      </c>
      <c r="P92" s="1406">
        <v>147.1</v>
      </c>
      <c r="Q92" s="1406">
        <v>32.81</v>
      </c>
      <c r="R92" s="1406">
        <v>6.3310000000000004</v>
      </c>
      <c r="S92" s="1406">
        <v>42.74</v>
      </c>
      <c r="T92" s="1406">
        <v>2.4</v>
      </c>
      <c r="U92" s="1406">
        <v>10.02</v>
      </c>
      <c r="V92" s="1406">
        <v>0.33</v>
      </c>
      <c r="W92" s="1406">
        <v>0.2</v>
      </c>
      <c r="X92" s="1407">
        <v>857.73900000000015</v>
      </c>
      <c r="Y92" s="1408">
        <v>26809.309000000001</v>
      </c>
      <c r="Z92" s="1409"/>
      <c r="AA92" s="1413"/>
      <c r="AB92" s="1413"/>
      <c r="AC92" s="1410"/>
    </row>
    <row r="93" spans="1:29" ht="28.5" hidden="1" customHeight="1" x14ac:dyDescent="0.25">
      <c r="A93" s="1404">
        <v>41913</v>
      </c>
      <c r="B93" s="1405">
        <v>216.06</v>
      </c>
      <c r="C93" s="1406">
        <v>224.3</v>
      </c>
      <c r="D93" s="1406">
        <v>324.7</v>
      </c>
      <c r="E93" s="1406">
        <v>1247.7</v>
      </c>
      <c r="F93" s="1406">
        <v>1345.6</v>
      </c>
      <c r="G93" s="1406">
        <v>2995.9</v>
      </c>
      <c r="H93" s="1406">
        <v>14860.54</v>
      </c>
      <c r="I93" s="1406">
        <v>4759.3999999999996</v>
      </c>
      <c r="J93" s="1407">
        <v>25974.200000000004</v>
      </c>
      <c r="K93" s="1405">
        <v>9</v>
      </c>
      <c r="L93" s="1406">
        <v>13.15</v>
      </c>
      <c r="M93" s="1406">
        <v>201.91</v>
      </c>
      <c r="N93" s="1406">
        <v>271.5</v>
      </c>
      <c r="O93" s="1406">
        <v>121.5</v>
      </c>
      <c r="P93" s="1406">
        <v>147.80000000000001</v>
      </c>
      <c r="Q93" s="1406">
        <v>33.04</v>
      </c>
      <c r="R93" s="1406">
        <v>6.3</v>
      </c>
      <c r="S93" s="1406">
        <v>43.03</v>
      </c>
      <c r="T93" s="1406">
        <v>2.4</v>
      </c>
      <c r="U93" s="1406">
        <v>10</v>
      </c>
      <c r="V93" s="1406">
        <v>0.33</v>
      </c>
      <c r="W93" s="1406">
        <v>0.22</v>
      </c>
      <c r="X93" s="1407">
        <v>860.17999999999984</v>
      </c>
      <c r="Y93" s="1408">
        <v>26834.380000000005</v>
      </c>
      <c r="Z93" s="1409"/>
      <c r="AA93" s="1413"/>
      <c r="AB93" s="1413"/>
      <c r="AC93" s="1410"/>
    </row>
    <row r="94" spans="1:29" ht="28.5" hidden="1" customHeight="1" x14ac:dyDescent="0.25">
      <c r="A94" s="1404">
        <v>41944</v>
      </c>
      <c r="B94" s="1405">
        <v>216.04</v>
      </c>
      <c r="C94" s="1406">
        <v>225.24</v>
      </c>
      <c r="D94" s="1406">
        <v>328.6</v>
      </c>
      <c r="E94" s="1406">
        <v>1295.4000000000001</v>
      </c>
      <c r="F94" s="1406">
        <v>1361.3</v>
      </c>
      <c r="G94" s="1406">
        <v>2954.6</v>
      </c>
      <c r="H94" s="1406">
        <v>15290.52</v>
      </c>
      <c r="I94" s="1406">
        <v>4934.2</v>
      </c>
      <c r="J94" s="1407">
        <v>26605.9</v>
      </c>
      <c r="K94" s="1405">
        <v>9</v>
      </c>
      <c r="L94" s="1406">
        <v>13.16</v>
      </c>
      <c r="M94" s="1406">
        <v>202</v>
      </c>
      <c r="N94" s="1406">
        <v>273.3</v>
      </c>
      <c r="O94" s="1406">
        <v>122.14</v>
      </c>
      <c r="P94" s="1406">
        <v>149</v>
      </c>
      <c r="Q94" s="1406">
        <v>33.229999999999997</v>
      </c>
      <c r="R94" s="1406">
        <v>6.3</v>
      </c>
      <c r="S94" s="1406">
        <v>43.24</v>
      </c>
      <c r="T94" s="1406">
        <v>2.4</v>
      </c>
      <c r="U94" s="1406">
        <v>10.119999999999999</v>
      </c>
      <c r="V94" s="1406">
        <v>0.3</v>
      </c>
      <c r="W94" s="1406">
        <v>0.2</v>
      </c>
      <c r="X94" s="1407">
        <v>864.39</v>
      </c>
      <c r="Y94" s="1408">
        <v>27470.29</v>
      </c>
      <c r="Z94" s="1409"/>
      <c r="AA94" s="1413"/>
      <c r="AB94" s="1413"/>
      <c r="AC94" s="1410"/>
    </row>
    <row r="95" spans="1:29" ht="28.5" hidden="1" customHeight="1" x14ac:dyDescent="0.25">
      <c r="A95" s="1404">
        <v>41974</v>
      </c>
      <c r="B95" s="1405">
        <v>216</v>
      </c>
      <c r="C95" s="1406">
        <v>240.88</v>
      </c>
      <c r="D95" s="1406">
        <v>347.45</v>
      </c>
      <c r="E95" s="1406">
        <v>1485.8</v>
      </c>
      <c r="F95" s="1406">
        <v>1647</v>
      </c>
      <c r="G95" s="1406">
        <v>3745.43</v>
      </c>
      <c r="H95" s="1406">
        <v>18829.7</v>
      </c>
      <c r="I95" s="1406">
        <v>5385</v>
      </c>
      <c r="J95" s="1407">
        <v>31897.260000000002</v>
      </c>
      <c r="K95" s="1405">
        <v>9</v>
      </c>
      <c r="L95" s="1406">
        <v>13.16</v>
      </c>
      <c r="M95" s="1406">
        <v>203.1</v>
      </c>
      <c r="N95" s="1406">
        <v>277.3</v>
      </c>
      <c r="O95" s="1406">
        <v>123.26</v>
      </c>
      <c r="P95" s="1406">
        <v>149.97</v>
      </c>
      <c r="Q95" s="1406">
        <v>33.380000000000003</v>
      </c>
      <c r="R95" s="1406">
        <v>6.33</v>
      </c>
      <c r="S95" s="1406">
        <v>43.4</v>
      </c>
      <c r="T95" s="1406">
        <v>2.4</v>
      </c>
      <c r="U95" s="1406">
        <v>10.15</v>
      </c>
      <c r="V95" s="1406">
        <v>0.3</v>
      </c>
      <c r="W95" s="1406">
        <v>0.22</v>
      </c>
      <c r="X95" s="1407">
        <v>871.97</v>
      </c>
      <c r="Y95" s="1408">
        <v>32769.230000000003</v>
      </c>
      <c r="Z95" s="1409"/>
      <c r="AA95" s="1413"/>
      <c r="AB95" s="1413"/>
      <c r="AC95" s="1410"/>
    </row>
    <row r="96" spans="1:29" ht="28.5" hidden="1" customHeight="1" x14ac:dyDescent="0.25">
      <c r="A96" s="1404">
        <v>42005</v>
      </c>
      <c r="B96" s="1405">
        <v>215.9</v>
      </c>
      <c r="C96" s="1406">
        <v>240.8</v>
      </c>
      <c r="D96" s="1406">
        <v>346.8</v>
      </c>
      <c r="E96" s="1406">
        <v>1403.2</v>
      </c>
      <c r="F96" s="1406">
        <v>1482.7</v>
      </c>
      <c r="G96" s="1406">
        <v>3148.18</v>
      </c>
      <c r="H96" s="1406">
        <v>16294.91</v>
      </c>
      <c r="I96" s="1406">
        <v>4918.5600000000004</v>
      </c>
      <c r="J96" s="1407">
        <v>28051.05</v>
      </c>
      <c r="K96" s="1405">
        <v>9</v>
      </c>
      <c r="L96" s="1406">
        <v>13.16</v>
      </c>
      <c r="M96" s="1406">
        <v>203.22</v>
      </c>
      <c r="N96" s="1406">
        <v>281.89999999999998</v>
      </c>
      <c r="O96" s="1406">
        <v>125.6</v>
      </c>
      <c r="P96" s="1406">
        <v>151.4</v>
      </c>
      <c r="Q96" s="1406">
        <v>33.5</v>
      </c>
      <c r="R96" s="1406">
        <v>6.33</v>
      </c>
      <c r="S96" s="1406">
        <v>43.5</v>
      </c>
      <c r="T96" s="1406">
        <v>2.42</v>
      </c>
      <c r="U96" s="1406">
        <v>10.199999999999999</v>
      </c>
      <c r="V96" s="1406">
        <v>0.33</v>
      </c>
      <c r="W96" s="1406">
        <v>0.22</v>
      </c>
      <c r="X96" s="1407">
        <v>880.78000000000009</v>
      </c>
      <c r="Y96" s="1408">
        <v>28931.829999999998</v>
      </c>
      <c r="Z96" s="1409"/>
      <c r="AA96" s="1413"/>
      <c r="AB96" s="1413"/>
      <c r="AC96" s="1410"/>
    </row>
    <row r="97" spans="1:29" ht="28.5" hidden="1" customHeight="1" x14ac:dyDescent="0.25">
      <c r="A97" s="1404">
        <v>42036</v>
      </c>
      <c r="B97" s="1405">
        <v>215.84</v>
      </c>
      <c r="C97" s="1406">
        <v>239.92</v>
      </c>
      <c r="D97" s="1406">
        <v>346</v>
      </c>
      <c r="E97" s="1406">
        <v>1379.7</v>
      </c>
      <c r="F97" s="1406">
        <v>1439.7</v>
      </c>
      <c r="G97" s="1406">
        <v>3206.2</v>
      </c>
      <c r="H97" s="1406">
        <v>16165</v>
      </c>
      <c r="I97" s="1406">
        <v>4901</v>
      </c>
      <c r="J97" s="1407">
        <v>27893.360000000001</v>
      </c>
      <c r="K97" s="1405">
        <v>9.0500000000000007</v>
      </c>
      <c r="L97" s="1406">
        <v>13.2</v>
      </c>
      <c r="M97" s="1406">
        <v>203.21</v>
      </c>
      <c r="N97" s="1406">
        <v>282</v>
      </c>
      <c r="O97" s="1406">
        <v>126.1</v>
      </c>
      <c r="P97" s="1406">
        <v>151.80000000000001</v>
      </c>
      <c r="Q97" s="1406">
        <v>33.64</v>
      </c>
      <c r="R97" s="1406">
        <v>6.3</v>
      </c>
      <c r="S97" s="1406">
        <v>43.7</v>
      </c>
      <c r="T97" s="1406">
        <v>2.4</v>
      </c>
      <c r="U97" s="1406">
        <v>10.199999999999999</v>
      </c>
      <c r="V97" s="1406">
        <v>0.3</v>
      </c>
      <c r="W97" s="1406">
        <v>0.2</v>
      </c>
      <c r="X97" s="1407">
        <v>882.10000000000014</v>
      </c>
      <c r="Y97" s="1408">
        <v>28775.46</v>
      </c>
      <c r="Z97" s="1409"/>
      <c r="AA97" s="1413"/>
      <c r="AB97" s="1413"/>
      <c r="AC97" s="1410"/>
    </row>
    <row r="98" spans="1:29" ht="28.5" hidden="1" customHeight="1" x14ac:dyDescent="0.25">
      <c r="A98" s="1404">
        <v>42064</v>
      </c>
      <c r="B98" s="1405">
        <v>215.84</v>
      </c>
      <c r="C98" s="1406">
        <v>236.6</v>
      </c>
      <c r="D98" s="1406">
        <v>344.05</v>
      </c>
      <c r="E98" s="1406">
        <v>1358.2</v>
      </c>
      <c r="F98" s="1406">
        <v>1387.65</v>
      </c>
      <c r="G98" s="1406">
        <v>3199.3</v>
      </c>
      <c r="H98" s="1406">
        <v>15847.75</v>
      </c>
      <c r="I98" s="1406">
        <v>5000.46</v>
      </c>
      <c r="J98" s="1407">
        <v>27589.85</v>
      </c>
      <c r="K98" s="1405">
        <v>9.1</v>
      </c>
      <c r="L98" s="1406">
        <v>13.2</v>
      </c>
      <c r="M98" s="1406">
        <v>203.21</v>
      </c>
      <c r="N98" s="1406">
        <v>282.5</v>
      </c>
      <c r="O98" s="1406">
        <v>126.6</v>
      </c>
      <c r="P98" s="1406">
        <v>152.35</v>
      </c>
      <c r="Q98" s="1406">
        <v>33.799999999999997</v>
      </c>
      <c r="R98" s="1406">
        <v>6.3</v>
      </c>
      <c r="S98" s="1406">
        <v>43.8</v>
      </c>
      <c r="T98" s="1406">
        <v>2.4</v>
      </c>
      <c r="U98" s="1406">
        <v>10.3</v>
      </c>
      <c r="V98" s="1406">
        <v>0.3</v>
      </c>
      <c r="W98" s="1406">
        <v>0.2</v>
      </c>
      <c r="X98" s="1407">
        <v>884.05999999999983</v>
      </c>
      <c r="Y98" s="1408">
        <v>28473.91</v>
      </c>
      <c r="Z98" s="1409"/>
      <c r="AA98" s="1413"/>
      <c r="AB98" s="1413"/>
      <c r="AC98" s="1410"/>
    </row>
    <row r="99" spans="1:29" ht="28.5" hidden="1" customHeight="1" x14ac:dyDescent="0.25">
      <c r="A99" s="1404">
        <v>42095</v>
      </c>
      <c r="B99" s="1405">
        <v>215.76</v>
      </c>
      <c r="C99" s="1406">
        <v>240.4</v>
      </c>
      <c r="D99" s="1406">
        <v>345.55</v>
      </c>
      <c r="E99" s="1406">
        <v>1343.56</v>
      </c>
      <c r="F99" s="1406">
        <v>1438.8</v>
      </c>
      <c r="G99" s="1406">
        <v>3251.4</v>
      </c>
      <c r="H99" s="1406">
        <v>16328.9</v>
      </c>
      <c r="I99" s="1406">
        <v>5078.8</v>
      </c>
      <c r="J99" s="1407">
        <v>28243.17</v>
      </c>
      <c r="K99" s="1405">
        <v>9.06</v>
      </c>
      <c r="L99" s="1406">
        <v>13.2</v>
      </c>
      <c r="M99" s="1406">
        <v>203.3</v>
      </c>
      <c r="N99" s="1406">
        <v>283.10000000000002</v>
      </c>
      <c r="O99" s="1406">
        <v>127.1</v>
      </c>
      <c r="P99" s="1406">
        <v>153.30000000000001</v>
      </c>
      <c r="Q99" s="1406">
        <v>33.96</v>
      </c>
      <c r="R99" s="1406">
        <v>6.3</v>
      </c>
      <c r="S99" s="1406">
        <v>44</v>
      </c>
      <c r="T99" s="1406">
        <v>2.4</v>
      </c>
      <c r="U99" s="1406">
        <v>10.28</v>
      </c>
      <c r="V99" s="1406">
        <v>0.33</v>
      </c>
      <c r="W99" s="1406">
        <v>0.22</v>
      </c>
      <c r="X99" s="1407">
        <v>886.55</v>
      </c>
      <c r="Y99" s="1408">
        <v>29129.719999999998</v>
      </c>
      <c r="Z99" s="1409"/>
      <c r="AA99" s="1413"/>
      <c r="AB99" s="1413"/>
      <c r="AC99" s="1410"/>
    </row>
    <row r="100" spans="1:29" ht="28.5" hidden="1" customHeight="1" x14ac:dyDescent="0.25">
      <c r="A100" s="1404">
        <v>42125</v>
      </c>
      <c r="B100" s="1405">
        <v>215.7</v>
      </c>
      <c r="C100" s="1406">
        <v>240.5</v>
      </c>
      <c r="D100" s="1406">
        <v>346.1</v>
      </c>
      <c r="E100" s="1406">
        <v>1302.2</v>
      </c>
      <c r="F100" s="1406">
        <v>1403.8</v>
      </c>
      <c r="G100" s="1406">
        <v>3195.7</v>
      </c>
      <c r="H100" s="1406">
        <v>15871.8</v>
      </c>
      <c r="I100" s="1406">
        <v>5157.3</v>
      </c>
      <c r="J100" s="1407">
        <v>27733.1</v>
      </c>
      <c r="K100" s="1405">
        <v>9.1</v>
      </c>
      <c r="L100" s="1406">
        <v>13.18</v>
      </c>
      <c r="M100" s="1406">
        <v>201.45</v>
      </c>
      <c r="N100" s="1406">
        <v>283.5</v>
      </c>
      <c r="O100" s="1406">
        <v>127.7</v>
      </c>
      <c r="P100" s="1406">
        <v>153.80000000000001</v>
      </c>
      <c r="Q100" s="1406">
        <v>34.200000000000003</v>
      </c>
      <c r="R100" s="1406">
        <v>6.3</v>
      </c>
      <c r="S100" s="1406">
        <v>44.16</v>
      </c>
      <c r="T100" s="1406">
        <v>2.4</v>
      </c>
      <c r="U100" s="1406">
        <v>10.3</v>
      </c>
      <c r="V100" s="1406">
        <v>0.3</v>
      </c>
      <c r="W100" s="1406">
        <v>0.2</v>
      </c>
      <c r="X100" s="1407">
        <v>886.58999999999992</v>
      </c>
      <c r="Y100" s="1408">
        <v>28619.69</v>
      </c>
      <c r="Z100" s="1409"/>
      <c r="AA100" s="1413"/>
      <c r="AB100" s="1413"/>
      <c r="AC100" s="1410"/>
    </row>
    <row r="101" spans="1:29" ht="28.5" hidden="1" customHeight="1" x14ac:dyDescent="0.25">
      <c r="A101" s="1404">
        <v>42156</v>
      </c>
      <c r="B101" s="1405">
        <v>215.7</v>
      </c>
      <c r="C101" s="1406">
        <v>242.18</v>
      </c>
      <c r="D101" s="1406">
        <v>345.26</v>
      </c>
      <c r="E101" s="1406">
        <v>1304.3499999999999</v>
      </c>
      <c r="F101" s="1406">
        <v>1384.85</v>
      </c>
      <c r="G101" s="1406">
        <v>3211.89</v>
      </c>
      <c r="H101" s="1406">
        <v>15797.78</v>
      </c>
      <c r="I101" s="1406">
        <v>5248.58</v>
      </c>
      <c r="J101" s="1407">
        <v>27750.590000000004</v>
      </c>
      <c r="K101" s="1405">
        <v>9.08</v>
      </c>
      <c r="L101" s="1406">
        <v>13.18</v>
      </c>
      <c r="M101" s="1406">
        <v>201.5</v>
      </c>
      <c r="N101" s="1406">
        <v>284.08999999999997</v>
      </c>
      <c r="O101" s="1406">
        <v>128.47</v>
      </c>
      <c r="P101" s="1406">
        <v>154.08000000000001</v>
      </c>
      <c r="Q101" s="1406">
        <v>34.32</v>
      </c>
      <c r="R101" s="1406">
        <v>6.33</v>
      </c>
      <c r="S101" s="1406">
        <v>44.27</v>
      </c>
      <c r="T101" s="1406">
        <v>2.4</v>
      </c>
      <c r="U101" s="1406">
        <v>10.34</v>
      </c>
      <c r="V101" s="1406">
        <v>0.3</v>
      </c>
      <c r="W101" s="1406">
        <v>0.2</v>
      </c>
      <c r="X101" s="1407">
        <v>888.56000000000006</v>
      </c>
      <c r="Y101" s="1408">
        <v>28639.150000000005</v>
      </c>
      <c r="Z101" s="1409"/>
      <c r="AA101" s="1413"/>
      <c r="AB101" s="1413"/>
      <c r="AC101" s="1410"/>
    </row>
    <row r="102" spans="1:29" ht="28.5" hidden="1" customHeight="1" x14ac:dyDescent="0.25">
      <c r="A102" s="1404">
        <v>42186</v>
      </c>
      <c r="B102" s="1405">
        <v>215.7</v>
      </c>
      <c r="C102" s="1406">
        <v>240.78</v>
      </c>
      <c r="D102" s="1406">
        <v>347.65</v>
      </c>
      <c r="E102" s="1406">
        <v>1324.2</v>
      </c>
      <c r="F102" s="1406">
        <v>1415.8</v>
      </c>
      <c r="G102" s="1406">
        <v>3174.9</v>
      </c>
      <c r="H102" s="1406">
        <v>16374.4</v>
      </c>
      <c r="I102" s="1406">
        <v>5336.9</v>
      </c>
      <c r="J102" s="1407">
        <v>28430.33</v>
      </c>
      <c r="K102" s="1405">
        <v>9.1</v>
      </c>
      <c r="L102" s="1406">
        <v>13.2</v>
      </c>
      <c r="M102" s="1406">
        <v>201.76</v>
      </c>
      <c r="N102" s="1406">
        <v>286.3</v>
      </c>
      <c r="O102" s="1406">
        <v>128.80000000000001</v>
      </c>
      <c r="P102" s="1406">
        <v>154.6</v>
      </c>
      <c r="Q102" s="1406">
        <v>34.4</v>
      </c>
      <c r="R102" s="1406">
        <v>6.3</v>
      </c>
      <c r="S102" s="1406">
        <v>44.5</v>
      </c>
      <c r="T102" s="1406">
        <v>2.4</v>
      </c>
      <c r="U102" s="1406">
        <v>10.4</v>
      </c>
      <c r="V102" s="1406">
        <v>0.3</v>
      </c>
      <c r="W102" s="1406">
        <v>0.2</v>
      </c>
      <c r="X102" s="1407">
        <v>892.26</v>
      </c>
      <c r="Y102" s="1408">
        <v>29322.59</v>
      </c>
      <c r="Z102" s="1409"/>
      <c r="AA102" s="1413"/>
      <c r="AB102" s="1413"/>
      <c r="AC102" s="1410"/>
    </row>
    <row r="103" spans="1:29" ht="28.5" hidden="1" customHeight="1" x14ac:dyDescent="0.25">
      <c r="A103" s="1416">
        <v>42217</v>
      </c>
      <c r="B103" s="1405">
        <v>215.6</v>
      </c>
      <c r="C103" s="1406">
        <v>236.9</v>
      </c>
      <c r="D103" s="1406">
        <v>346.2</v>
      </c>
      <c r="E103" s="1406">
        <v>1313.77</v>
      </c>
      <c r="F103" s="1406">
        <v>1413.02</v>
      </c>
      <c r="G103" s="1406">
        <v>3175.24</v>
      </c>
      <c r="H103" s="1406">
        <v>16183.7</v>
      </c>
      <c r="I103" s="1406">
        <v>5247.6</v>
      </c>
      <c r="J103" s="1407">
        <v>28132.03</v>
      </c>
      <c r="K103" s="1405">
        <v>9.1</v>
      </c>
      <c r="L103" s="1406">
        <v>13.19</v>
      </c>
      <c r="M103" s="1406">
        <v>201.8</v>
      </c>
      <c r="N103" s="1406">
        <v>286.82</v>
      </c>
      <c r="O103" s="1406">
        <v>129.41999999999999</v>
      </c>
      <c r="P103" s="1406">
        <v>155.33000000000001</v>
      </c>
      <c r="Q103" s="1406">
        <v>34.64</v>
      </c>
      <c r="R103" s="1406">
        <v>6.33</v>
      </c>
      <c r="S103" s="1406">
        <v>44.68</v>
      </c>
      <c r="T103" s="1406">
        <v>2.42</v>
      </c>
      <c r="U103" s="1406">
        <v>10.4</v>
      </c>
      <c r="V103" s="1406">
        <v>0.3</v>
      </c>
      <c r="W103" s="1406">
        <v>0.2</v>
      </c>
      <c r="X103" s="1407">
        <v>894.62999999999988</v>
      </c>
      <c r="Y103" s="1408">
        <v>29026.66</v>
      </c>
      <c r="Z103" s="1409"/>
      <c r="AA103" s="1413"/>
      <c r="AB103" s="1413"/>
      <c r="AC103" s="1410"/>
    </row>
    <row r="104" spans="1:29" ht="28.5" hidden="1" customHeight="1" x14ac:dyDescent="0.25">
      <c r="A104" s="1416">
        <v>42248</v>
      </c>
      <c r="B104" s="1405">
        <v>215.5</v>
      </c>
      <c r="C104" s="1406">
        <v>235.3</v>
      </c>
      <c r="D104" s="1406">
        <v>344.78</v>
      </c>
      <c r="E104" s="1406">
        <v>1332.98</v>
      </c>
      <c r="F104" s="1406">
        <v>1401.7</v>
      </c>
      <c r="G104" s="1406">
        <v>3165.8</v>
      </c>
      <c r="H104" s="1406">
        <v>16217.4</v>
      </c>
      <c r="I104" s="1406">
        <v>5242.6000000000004</v>
      </c>
      <c r="J104" s="1407">
        <v>28156.059999999998</v>
      </c>
      <c r="K104" s="1405">
        <v>9.1</v>
      </c>
      <c r="L104" s="1406">
        <v>13.2</v>
      </c>
      <c r="M104" s="1406">
        <v>201.9</v>
      </c>
      <c r="N104" s="1406">
        <v>289.14</v>
      </c>
      <c r="O104" s="1406">
        <v>129.9</v>
      </c>
      <c r="P104" s="1406">
        <v>155.63999999999999</v>
      </c>
      <c r="Q104" s="1406">
        <v>34.799999999999997</v>
      </c>
      <c r="R104" s="1406">
        <v>6.33</v>
      </c>
      <c r="S104" s="1406">
        <v>44.81</v>
      </c>
      <c r="T104" s="1406">
        <v>2.42</v>
      </c>
      <c r="U104" s="1406">
        <v>10.44</v>
      </c>
      <c r="V104" s="1406">
        <v>0.3</v>
      </c>
      <c r="W104" s="1406">
        <v>0.2</v>
      </c>
      <c r="X104" s="1407">
        <v>898.18</v>
      </c>
      <c r="Y104" s="1408">
        <v>29054.239999999998</v>
      </c>
      <c r="Z104" s="1409"/>
      <c r="AA104" s="1413"/>
      <c r="AB104" s="1413"/>
      <c r="AC104" s="1410"/>
    </row>
    <row r="105" spans="1:29" ht="28.5" hidden="1" customHeight="1" x14ac:dyDescent="0.25">
      <c r="A105" s="1416">
        <v>42278</v>
      </c>
      <c r="B105" s="1405">
        <v>215.52</v>
      </c>
      <c r="C105" s="1406">
        <v>236.13</v>
      </c>
      <c r="D105" s="1406">
        <v>346.1</v>
      </c>
      <c r="E105" s="1406">
        <v>1331.84</v>
      </c>
      <c r="F105" s="1406">
        <v>1460.47</v>
      </c>
      <c r="G105" s="1406">
        <v>3266.11</v>
      </c>
      <c r="H105" s="1406">
        <v>16330.53</v>
      </c>
      <c r="I105" s="1406">
        <v>5283.81</v>
      </c>
      <c r="J105" s="1407">
        <v>28470.510000000002</v>
      </c>
      <c r="K105" s="1405">
        <v>9.1</v>
      </c>
      <c r="L105" s="1406">
        <v>13.2</v>
      </c>
      <c r="M105" s="1406">
        <v>201.7</v>
      </c>
      <c r="N105" s="1406">
        <v>291.26</v>
      </c>
      <c r="O105" s="1406">
        <v>130.19999999999999</v>
      </c>
      <c r="P105" s="1406">
        <v>156.30000000000001</v>
      </c>
      <c r="Q105" s="1406">
        <v>34.89</v>
      </c>
      <c r="R105" s="1406">
        <v>6.33</v>
      </c>
      <c r="S105" s="1406">
        <v>45.1</v>
      </c>
      <c r="T105" s="1406">
        <v>2.4</v>
      </c>
      <c r="U105" s="1406">
        <v>10.5</v>
      </c>
      <c r="V105" s="1406">
        <v>0.33</v>
      </c>
      <c r="W105" s="1406">
        <v>0.2</v>
      </c>
      <c r="X105" s="1407">
        <v>901.5100000000001</v>
      </c>
      <c r="Y105" s="1408">
        <v>29372.02</v>
      </c>
      <c r="Z105" s="1409"/>
      <c r="AA105" s="1413"/>
      <c r="AB105" s="1413"/>
      <c r="AC105" s="1410"/>
    </row>
    <row r="106" spans="1:29" ht="28.5" hidden="1" customHeight="1" x14ac:dyDescent="0.25">
      <c r="A106" s="1416">
        <v>42309</v>
      </c>
      <c r="B106" s="1405">
        <v>215.4</v>
      </c>
      <c r="C106" s="1406">
        <v>239.9</v>
      </c>
      <c r="D106" s="1406">
        <v>350.26</v>
      </c>
      <c r="E106" s="1406">
        <v>1351.9</v>
      </c>
      <c r="F106" s="1406">
        <v>1422.5</v>
      </c>
      <c r="G106" s="1406">
        <v>3224</v>
      </c>
      <c r="H106" s="1406">
        <v>16437.09</v>
      </c>
      <c r="I106" s="1406">
        <v>5228.28</v>
      </c>
      <c r="J106" s="1407">
        <v>28469.329999999998</v>
      </c>
      <c r="K106" s="1405">
        <v>9.11</v>
      </c>
      <c r="L106" s="1406">
        <v>13.2</v>
      </c>
      <c r="M106" s="1406">
        <v>203.2</v>
      </c>
      <c r="N106" s="1406">
        <v>292.60000000000002</v>
      </c>
      <c r="O106" s="1406">
        <v>131.1</v>
      </c>
      <c r="P106" s="1406">
        <v>157.43</v>
      </c>
      <c r="Q106" s="1406">
        <v>35.159999999999997</v>
      </c>
      <c r="R106" s="1406">
        <v>6.33</v>
      </c>
      <c r="S106" s="1406">
        <v>45.3</v>
      </c>
      <c r="T106" s="1406">
        <v>2.4</v>
      </c>
      <c r="U106" s="1406">
        <v>10.5</v>
      </c>
      <c r="V106" s="1406">
        <v>0.3</v>
      </c>
      <c r="W106" s="1406">
        <v>0.2</v>
      </c>
      <c r="X106" s="1407">
        <v>906.83</v>
      </c>
      <c r="Y106" s="1408">
        <v>29376.16</v>
      </c>
      <c r="Z106" s="1409"/>
      <c r="AA106" s="1413"/>
      <c r="AB106" s="1413"/>
      <c r="AC106" s="1410"/>
    </row>
    <row r="107" spans="1:29" ht="28.5" hidden="1" customHeight="1" x14ac:dyDescent="0.25">
      <c r="A107" s="1417">
        <v>42339</v>
      </c>
      <c r="B107" s="1405">
        <v>215.33</v>
      </c>
      <c r="C107" s="1406">
        <v>251.9</v>
      </c>
      <c r="D107" s="1406">
        <v>366.14</v>
      </c>
      <c r="E107" s="1406">
        <v>1534.49</v>
      </c>
      <c r="F107" s="1406">
        <v>1652.34</v>
      </c>
      <c r="G107" s="1406">
        <v>3715.88</v>
      </c>
      <c r="H107" s="1406">
        <v>19704.7</v>
      </c>
      <c r="I107" s="1406">
        <v>5215.8999999999996</v>
      </c>
      <c r="J107" s="1407">
        <v>32656.68</v>
      </c>
      <c r="K107" s="1405">
        <v>9.11</v>
      </c>
      <c r="L107" s="1406">
        <v>13.2</v>
      </c>
      <c r="M107" s="1406">
        <v>205.94</v>
      </c>
      <c r="N107" s="1406">
        <v>296.88</v>
      </c>
      <c r="O107" s="1406">
        <v>132.91</v>
      </c>
      <c r="P107" s="1406">
        <v>159.41999999999999</v>
      </c>
      <c r="Q107" s="1406">
        <v>35.54</v>
      </c>
      <c r="R107" s="1406">
        <v>6.33</v>
      </c>
      <c r="S107" s="1406">
        <v>45.53</v>
      </c>
      <c r="T107" s="1406">
        <v>2.42</v>
      </c>
      <c r="U107" s="1406">
        <v>10.59</v>
      </c>
      <c r="V107" s="1406">
        <v>0.3</v>
      </c>
      <c r="W107" s="1406">
        <v>0.2</v>
      </c>
      <c r="X107" s="1407">
        <v>918.36999999999989</v>
      </c>
      <c r="Y107" s="1408">
        <v>33575.050000000003</v>
      </c>
      <c r="Z107" s="1409"/>
      <c r="AA107" s="1413"/>
      <c r="AB107" s="1413"/>
      <c r="AC107" s="1410"/>
    </row>
    <row r="108" spans="1:29" ht="28.5" hidden="1" customHeight="1" x14ac:dyDescent="0.25">
      <c r="A108" s="1417">
        <v>42370</v>
      </c>
      <c r="B108" s="1405">
        <v>215.29</v>
      </c>
      <c r="C108" s="1406">
        <v>252.1</v>
      </c>
      <c r="D108" s="1406">
        <v>363.8</v>
      </c>
      <c r="E108" s="1406">
        <v>1487.87</v>
      </c>
      <c r="F108" s="1406">
        <v>1573.59</v>
      </c>
      <c r="G108" s="1406">
        <v>3406.55</v>
      </c>
      <c r="H108" s="1406">
        <v>18266.5</v>
      </c>
      <c r="I108" s="1406">
        <v>4919.8</v>
      </c>
      <c r="J108" s="1407">
        <v>30485.5</v>
      </c>
      <c r="K108" s="1405">
        <v>9.1</v>
      </c>
      <c r="L108" s="1406">
        <v>13.2</v>
      </c>
      <c r="M108" s="1406">
        <v>206.62</v>
      </c>
      <c r="N108" s="1406">
        <v>297.22000000000003</v>
      </c>
      <c r="O108" s="1406">
        <v>135.5</v>
      </c>
      <c r="P108" s="1406">
        <v>160.30000000000001</v>
      </c>
      <c r="Q108" s="1406">
        <v>35.619999999999997</v>
      </c>
      <c r="R108" s="1406">
        <v>6.33</v>
      </c>
      <c r="S108" s="1406">
        <v>45.7</v>
      </c>
      <c r="T108" s="1406">
        <v>2.42</v>
      </c>
      <c r="U108" s="1406">
        <v>10.63</v>
      </c>
      <c r="V108" s="1406">
        <v>0.33</v>
      </c>
      <c r="W108" s="1406">
        <v>0.2</v>
      </c>
      <c r="X108" s="1407">
        <v>923.17000000000019</v>
      </c>
      <c r="Y108" s="1408">
        <v>31408.670000000002</v>
      </c>
      <c r="Z108" s="1409"/>
      <c r="AA108" s="1413"/>
      <c r="AB108" s="1413"/>
      <c r="AC108" s="1410"/>
    </row>
    <row r="109" spans="1:29" ht="28.5" hidden="1" customHeight="1" x14ac:dyDescent="0.25">
      <c r="A109" s="1417">
        <v>42401</v>
      </c>
      <c r="B109" s="1405">
        <v>215.24</v>
      </c>
      <c r="C109" s="1406">
        <v>249.2</v>
      </c>
      <c r="D109" s="1406">
        <v>358.84</v>
      </c>
      <c r="E109" s="1406">
        <v>1467.98</v>
      </c>
      <c r="F109" s="1406">
        <v>1487.6</v>
      </c>
      <c r="G109" s="1406">
        <v>3295.6</v>
      </c>
      <c r="H109" s="1406">
        <v>18021.400000000001</v>
      </c>
      <c r="I109" s="1406">
        <v>4864.8999999999996</v>
      </c>
      <c r="J109" s="1407">
        <v>29960.760000000002</v>
      </c>
      <c r="K109" s="1405">
        <v>9.1</v>
      </c>
      <c r="L109" s="1406">
        <v>13.21</v>
      </c>
      <c r="M109" s="1406">
        <v>206.6</v>
      </c>
      <c r="N109" s="1406">
        <v>296.89999999999998</v>
      </c>
      <c r="O109" s="1406">
        <v>135.69999999999999</v>
      </c>
      <c r="P109" s="1406">
        <v>161</v>
      </c>
      <c r="Q109" s="1406">
        <v>35.72</v>
      </c>
      <c r="R109" s="1406">
        <v>6.33</v>
      </c>
      <c r="S109" s="1406">
        <v>45.9</v>
      </c>
      <c r="T109" s="1406">
        <v>2.42</v>
      </c>
      <c r="U109" s="1406">
        <v>10.7</v>
      </c>
      <c r="V109" s="1406">
        <v>0.33</v>
      </c>
      <c r="W109" s="1406">
        <v>0.2</v>
      </c>
      <c r="X109" s="1407">
        <v>924.11000000000013</v>
      </c>
      <c r="Y109" s="1408">
        <v>30884.870000000003</v>
      </c>
      <c r="Z109" s="1409"/>
      <c r="AA109" s="1413"/>
      <c r="AB109" s="1413"/>
      <c r="AC109" s="1410"/>
    </row>
    <row r="110" spans="1:29" ht="28.5" hidden="1" customHeight="1" x14ac:dyDescent="0.25">
      <c r="A110" s="1417">
        <v>42430</v>
      </c>
      <c r="B110" s="1405">
        <v>215.22</v>
      </c>
      <c r="C110" s="1406">
        <v>249.4</v>
      </c>
      <c r="D110" s="1406">
        <v>358.12</v>
      </c>
      <c r="E110" s="1406">
        <v>1457.2</v>
      </c>
      <c r="F110" s="1406">
        <v>1469.86</v>
      </c>
      <c r="G110" s="1406">
        <v>3285.38</v>
      </c>
      <c r="H110" s="1406">
        <v>18182.560000000001</v>
      </c>
      <c r="I110" s="1406">
        <v>4837.1400000000003</v>
      </c>
      <c r="J110" s="1407">
        <v>30054.880000000001</v>
      </c>
      <c r="K110" s="1405">
        <v>9.1</v>
      </c>
      <c r="L110" s="1406">
        <v>13.21</v>
      </c>
      <c r="M110" s="1406">
        <v>206.6</v>
      </c>
      <c r="N110" s="1406">
        <v>297.04000000000002</v>
      </c>
      <c r="O110" s="1406">
        <v>136.83000000000001</v>
      </c>
      <c r="P110" s="1406">
        <v>161.5</v>
      </c>
      <c r="Q110" s="1406">
        <v>35.9</v>
      </c>
      <c r="R110" s="1406">
        <v>6.3</v>
      </c>
      <c r="S110" s="1406">
        <v>45.99</v>
      </c>
      <c r="T110" s="1406">
        <v>2.42</v>
      </c>
      <c r="U110" s="1406">
        <v>10.7</v>
      </c>
      <c r="V110" s="1406">
        <v>0.3</v>
      </c>
      <c r="W110" s="1406">
        <v>0.2</v>
      </c>
      <c r="X110" s="1407">
        <v>926.09</v>
      </c>
      <c r="Y110" s="1408">
        <v>30980.97</v>
      </c>
      <c r="Z110" s="1409"/>
      <c r="AA110" s="1413"/>
      <c r="AB110" s="1413"/>
      <c r="AC110" s="1410"/>
    </row>
    <row r="111" spans="1:29" ht="28.5" hidden="1" customHeight="1" x14ac:dyDescent="0.25">
      <c r="A111" s="1417">
        <v>42461</v>
      </c>
      <c r="B111" s="1405">
        <v>215.2</v>
      </c>
      <c r="C111" s="1406">
        <v>247.1</v>
      </c>
      <c r="D111" s="1406">
        <v>357.49</v>
      </c>
      <c r="E111" s="1406">
        <v>1439.78</v>
      </c>
      <c r="F111" s="1406">
        <v>1456.86</v>
      </c>
      <c r="G111" s="1406">
        <v>3352</v>
      </c>
      <c r="H111" s="1406">
        <v>17859.599999999999</v>
      </c>
      <c r="I111" s="1406">
        <v>4829.9799999999996</v>
      </c>
      <c r="J111" s="1407">
        <v>29758.01</v>
      </c>
      <c r="K111" s="1405">
        <v>9.11</v>
      </c>
      <c r="L111" s="1406">
        <v>13.2</v>
      </c>
      <c r="M111" s="1406">
        <v>206.7</v>
      </c>
      <c r="N111" s="1406">
        <v>297.08</v>
      </c>
      <c r="O111" s="1406">
        <v>136.96</v>
      </c>
      <c r="P111" s="1406">
        <v>161.94999999999999</v>
      </c>
      <c r="Q111" s="1406">
        <v>36</v>
      </c>
      <c r="R111" s="1406">
        <v>6.33</v>
      </c>
      <c r="S111" s="1406">
        <v>46.2</v>
      </c>
      <c r="T111" s="1406">
        <v>2.42</v>
      </c>
      <c r="U111" s="1406">
        <v>10.74</v>
      </c>
      <c r="V111" s="1406">
        <v>0.33</v>
      </c>
      <c r="W111" s="1406">
        <v>0.22</v>
      </c>
      <c r="X111" s="1407">
        <v>927.24000000000012</v>
      </c>
      <c r="Y111" s="1408">
        <v>30685.25</v>
      </c>
      <c r="Z111" s="1409"/>
      <c r="AA111" s="1413"/>
      <c r="AB111" s="1413"/>
      <c r="AC111" s="1410"/>
    </row>
    <row r="112" spans="1:29" ht="28.5" hidden="1" customHeight="1" x14ac:dyDescent="0.25">
      <c r="A112" s="1417">
        <v>42491</v>
      </c>
      <c r="B112" s="1405">
        <v>215.17</v>
      </c>
      <c r="C112" s="1406">
        <v>250.1</v>
      </c>
      <c r="D112" s="1406">
        <v>361.58</v>
      </c>
      <c r="E112" s="1406">
        <v>1458.49</v>
      </c>
      <c r="F112" s="1406">
        <v>1479.06</v>
      </c>
      <c r="G112" s="1406">
        <v>3332.3</v>
      </c>
      <c r="H112" s="1406">
        <v>18021.349999999999</v>
      </c>
      <c r="I112" s="1406">
        <v>4761.8599999999997</v>
      </c>
      <c r="J112" s="1407">
        <v>29879.91</v>
      </c>
      <c r="K112" s="1405">
        <v>9.11</v>
      </c>
      <c r="L112" s="1406">
        <v>13.2</v>
      </c>
      <c r="M112" s="1406">
        <v>206.7</v>
      </c>
      <c r="N112" s="1406">
        <v>297.3</v>
      </c>
      <c r="O112" s="1406">
        <v>137.77000000000001</v>
      </c>
      <c r="P112" s="1406">
        <v>162.75</v>
      </c>
      <c r="Q112" s="1406">
        <v>36.07</v>
      </c>
      <c r="R112" s="1406">
        <v>6.3</v>
      </c>
      <c r="S112" s="1406">
        <v>46.3</v>
      </c>
      <c r="T112" s="1406">
        <v>2.4</v>
      </c>
      <c r="U112" s="1406">
        <v>10.8</v>
      </c>
      <c r="V112" s="1406">
        <v>0.33</v>
      </c>
      <c r="W112" s="1406">
        <v>0.22</v>
      </c>
      <c r="X112" s="1407">
        <v>929.24999999999989</v>
      </c>
      <c r="Y112" s="1408">
        <v>30809.16</v>
      </c>
      <c r="Z112" s="1409"/>
      <c r="AA112" s="1413"/>
      <c r="AB112" s="1413"/>
      <c r="AC112" s="1410"/>
    </row>
    <row r="113" spans="1:29" ht="28.5" hidden="1" customHeight="1" x14ac:dyDescent="0.25">
      <c r="A113" s="1417">
        <v>42522</v>
      </c>
      <c r="B113" s="1405">
        <v>215.01</v>
      </c>
      <c r="C113" s="1406">
        <v>248.35</v>
      </c>
      <c r="D113" s="1406">
        <v>358.24</v>
      </c>
      <c r="E113" s="1406">
        <v>1499.3</v>
      </c>
      <c r="F113" s="1406">
        <v>1463.1</v>
      </c>
      <c r="G113" s="1406">
        <v>3304.2</v>
      </c>
      <c r="H113" s="1406">
        <v>18070.599999999999</v>
      </c>
      <c r="I113" s="1406">
        <v>4728.7</v>
      </c>
      <c r="J113" s="1407">
        <v>29887.5</v>
      </c>
      <c r="K113" s="1405">
        <v>9.11</v>
      </c>
      <c r="L113" s="1406">
        <v>13.22</v>
      </c>
      <c r="M113" s="1406">
        <v>206.7</v>
      </c>
      <c r="N113" s="1406">
        <v>297.42</v>
      </c>
      <c r="O113" s="1406">
        <v>138.34</v>
      </c>
      <c r="P113" s="1406">
        <v>163.30000000000001</v>
      </c>
      <c r="Q113" s="1406">
        <v>36.32</v>
      </c>
      <c r="R113" s="1406">
        <v>6.33</v>
      </c>
      <c r="S113" s="1406">
        <v>46.43</v>
      </c>
      <c r="T113" s="1406">
        <v>2.4</v>
      </c>
      <c r="U113" s="1406">
        <v>10.8</v>
      </c>
      <c r="V113" s="1406">
        <v>0.3</v>
      </c>
      <c r="W113" s="1406">
        <v>0.2</v>
      </c>
      <c r="X113" s="1407">
        <v>930.87000000000012</v>
      </c>
      <c r="Y113" s="1408">
        <v>30818.37</v>
      </c>
      <c r="Z113" s="1409"/>
      <c r="AA113" s="1413"/>
      <c r="AB113" s="1413"/>
      <c r="AC113" s="1410"/>
    </row>
    <row r="114" spans="1:29" ht="28.5" hidden="1" customHeight="1" x14ac:dyDescent="0.25">
      <c r="A114" s="1417">
        <v>42552</v>
      </c>
      <c r="B114" s="1405">
        <v>214.94</v>
      </c>
      <c r="C114" s="1406">
        <v>251.39</v>
      </c>
      <c r="D114" s="1406">
        <v>361.96</v>
      </c>
      <c r="E114" s="1406">
        <v>1536.08</v>
      </c>
      <c r="F114" s="1406">
        <v>1471.99</v>
      </c>
      <c r="G114" s="1406">
        <v>3452.8</v>
      </c>
      <c r="H114" s="1406">
        <v>18305.3</v>
      </c>
      <c r="I114" s="1406">
        <v>4734.2</v>
      </c>
      <c r="J114" s="1407">
        <v>30328.66</v>
      </c>
      <c r="K114" s="1405">
        <v>9.1</v>
      </c>
      <c r="L114" s="1406">
        <v>13.2</v>
      </c>
      <c r="M114" s="1406">
        <v>206.7</v>
      </c>
      <c r="N114" s="1406">
        <v>297.73</v>
      </c>
      <c r="O114" s="1406">
        <v>138.4</v>
      </c>
      <c r="P114" s="1406">
        <v>163.6</v>
      </c>
      <c r="Q114" s="1406">
        <v>36.380000000000003</v>
      </c>
      <c r="R114" s="1406">
        <v>6.33</v>
      </c>
      <c r="S114" s="1406">
        <v>46.6</v>
      </c>
      <c r="T114" s="1406">
        <v>2.4</v>
      </c>
      <c r="U114" s="1406">
        <v>10.85</v>
      </c>
      <c r="V114" s="1406">
        <v>0.3</v>
      </c>
      <c r="W114" s="1406">
        <v>0.2</v>
      </c>
      <c r="X114" s="1407">
        <v>931.79000000000008</v>
      </c>
      <c r="Y114" s="1408">
        <v>31260.45</v>
      </c>
      <c r="Z114" s="1409"/>
      <c r="AA114" s="1413"/>
      <c r="AB114" s="1413"/>
      <c r="AC114" s="1410"/>
    </row>
    <row r="115" spans="1:29" ht="28.5" hidden="1" customHeight="1" x14ac:dyDescent="0.25">
      <c r="A115" s="1417">
        <v>42583</v>
      </c>
      <c r="B115" s="1405">
        <v>214.94</v>
      </c>
      <c r="C115" s="1406">
        <v>252.5</v>
      </c>
      <c r="D115" s="1406">
        <v>364.67</v>
      </c>
      <c r="E115" s="1406">
        <v>1578.8</v>
      </c>
      <c r="F115" s="1406">
        <v>1460.26</v>
      </c>
      <c r="G115" s="1406">
        <v>3356.2</v>
      </c>
      <c r="H115" s="1406">
        <v>18547.28</v>
      </c>
      <c r="I115" s="1406">
        <v>4682.88</v>
      </c>
      <c r="J115" s="1407">
        <v>30457.53</v>
      </c>
      <c r="K115" s="1405">
        <v>9.11</v>
      </c>
      <c r="L115" s="1406">
        <v>13.23</v>
      </c>
      <c r="M115" s="1406">
        <v>206.95</v>
      </c>
      <c r="N115" s="1406">
        <v>298.3</v>
      </c>
      <c r="O115" s="1406">
        <v>139.6</v>
      </c>
      <c r="P115" s="1406">
        <v>164.1</v>
      </c>
      <c r="Q115" s="1406">
        <v>36.6</v>
      </c>
      <c r="R115" s="1406">
        <v>6.3</v>
      </c>
      <c r="S115" s="1406">
        <v>46.8</v>
      </c>
      <c r="T115" s="1406">
        <v>2.4</v>
      </c>
      <c r="U115" s="1406">
        <v>10.9</v>
      </c>
      <c r="V115" s="1406">
        <v>0.33</v>
      </c>
      <c r="W115" s="1406">
        <v>0.2</v>
      </c>
      <c r="X115" s="1407">
        <v>934.82</v>
      </c>
      <c r="Y115" s="1408">
        <v>31392.35</v>
      </c>
      <c r="Z115" s="1409"/>
      <c r="AA115" s="1413"/>
      <c r="AB115" s="1413"/>
      <c r="AC115" s="1410"/>
    </row>
    <row r="116" spans="1:29" ht="28.5" hidden="1" customHeight="1" x14ac:dyDescent="0.25">
      <c r="A116" s="1417">
        <v>42614</v>
      </c>
      <c r="B116" s="1405">
        <v>214.9</v>
      </c>
      <c r="C116" s="1406">
        <v>255.2</v>
      </c>
      <c r="D116" s="1406">
        <v>364.4</v>
      </c>
      <c r="E116" s="1406">
        <v>1554.6</v>
      </c>
      <c r="F116" s="1406">
        <v>1514.8</v>
      </c>
      <c r="G116" s="1406">
        <v>3441.5</v>
      </c>
      <c r="H116" s="1406">
        <v>18727.400000000001</v>
      </c>
      <c r="I116" s="1406">
        <v>4638.7</v>
      </c>
      <c r="J116" s="1407">
        <v>30711.500000000004</v>
      </c>
      <c r="K116" s="1405">
        <v>9.11</v>
      </c>
      <c r="L116" s="1406">
        <v>13.23</v>
      </c>
      <c r="M116" s="1406">
        <v>208.7</v>
      </c>
      <c r="N116" s="1406">
        <v>298.5</v>
      </c>
      <c r="O116" s="1406">
        <v>140.13999999999999</v>
      </c>
      <c r="P116" s="1406">
        <v>164.75</v>
      </c>
      <c r="Q116" s="1406">
        <v>36.700000000000003</v>
      </c>
      <c r="R116" s="1406">
        <v>6.3</v>
      </c>
      <c r="S116" s="1406">
        <v>46.9</v>
      </c>
      <c r="T116" s="1406">
        <v>2.4</v>
      </c>
      <c r="U116" s="1406">
        <v>10.94</v>
      </c>
      <c r="V116" s="1406">
        <v>0.33</v>
      </c>
      <c r="W116" s="1406">
        <v>0.22</v>
      </c>
      <c r="X116" s="1407">
        <v>938.22</v>
      </c>
      <c r="Y116" s="1408">
        <v>31649.720000000005</v>
      </c>
      <c r="Z116" s="1409"/>
      <c r="AA116" s="1413"/>
      <c r="AB116" s="1413"/>
      <c r="AC116" s="1410"/>
    </row>
    <row r="117" spans="1:29" ht="28.5" hidden="1" customHeight="1" x14ac:dyDescent="0.25">
      <c r="A117" s="1417">
        <v>42644</v>
      </c>
      <c r="B117" s="1405">
        <v>214.94</v>
      </c>
      <c r="C117" s="1406">
        <v>255.1</v>
      </c>
      <c r="D117" s="1406">
        <v>370.64</v>
      </c>
      <c r="E117" s="1406">
        <v>1533.6</v>
      </c>
      <c r="F117" s="1406">
        <v>1579.7</v>
      </c>
      <c r="G117" s="1406">
        <v>3478.99</v>
      </c>
      <c r="H117" s="1406">
        <v>19039.55</v>
      </c>
      <c r="I117" s="1406">
        <v>4633.79</v>
      </c>
      <c r="J117" s="1407">
        <v>31106.309999999998</v>
      </c>
      <c r="K117" s="1405">
        <v>9.11</v>
      </c>
      <c r="L117" s="1406">
        <v>13.23</v>
      </c>
      <c r="M117" s="1406">
        <v>210.01</v>
      </c>
      <c r="N117" s="1406">
        <v>302.04000000000002</v>
      </c>
      <c r="O117" s="1406">
        <v>140.80000000000001</v>
      </c>
      <c r="P117" s="1406">
        <v>165.62</v>
      </c>
      <c r="Q117" s="1406">
        <v>36.909999999999997</v>
      </c>
      <c r="R117" s="1406">
        <v>6.3</v>
      </c>
      <c r="S117" s="1406">
        <v>47.1</v>
      </c>
      <c r="T117" s="1406">
        <v>2.42</v>
      </c>
      <c r="U117" s="1406">
        <v>10.987</v>
      </c>
      <c r="V117" s="1406">
        <v>0.33</v>
      </c>
      <c r="W117" s="1406">
        <v>0.22</v>
      </c>
      <c r="X117" s="1407">
        <v>945.077</v>
      </c>
      <c r="Y117" s="1408">
        <v>32051.386999999999</v>
      </c>
      <c r="Z117" s="1409"/>
      <c r="AA117" s="1413"/>
      <c r="AB117" s="1413"/>
      <c r="AC117" s="1410"/>
    </row>
    <row r="118" spans="1:29" ht="28.5" hidden="1" customHeight="1" x14ac:dyDescent="0.25">
      <c r="A118" s="1417">
        <v>42675</v>
      </c>
      <c r="B118" s="1405">
        <v>214.9</v>
      </c>
      <c r="C118" s="1406">
        <v>255.56</v>
      </c>
      <c r="D118" s="1406">
        <v>372.2</v>
      </c>
      <c r="E118" s="1406">
        <v>1600.7</v>
      </c>
      <c r="F118" s="1406">
        <v>1630.15</v>
      </c>
      <c r="G118" s="1406">
        <v>3502.39</v>
      </c>
      <c r="H118" s="1406">
        <v>19022.7</v>
      </c>
      <c r="I118" s="1406">
        <v>4680.49</v>
      </c>
      <c r="J118" s="1407">
        <v>31279.089999999997</v>
      </c>
      <c r="K118" s="1405">
        <v>9.1</v>
      </c>
      <c r="L118" s="1406">
        <v>13.24</v>
      </c>
      <c r="M118" s="1406">
        <v>210.04</v>
      </c>
      <c r="N118" s="1406">
        <v>305.10000000000002</v>
      </c>
      <c r="O118" s="1406">
        <v>141.5</v>
      </c>
      <c r="P118" s="1406">
        <v>166.74</v>
      </c>
      <c r="Q118" s="1406">
        <v>37.06</v>
      </c>
      <c r="R118" s="1406">
        <v>6.33</v>
      </c>
      <c r="S118" s="1406">
        <v>47.32</v>
      </c>
      <c r="T118" s="1406">
        <v>2.42</v>
      </c>
      <c r="U118" s="1406">
        <v>11.06</v>
      </c>
      <c r="V118" s="1406">
        <v>0.33</v>
      </c>
      <c r="W118" s="1406">
        <v>0.22</v>
      </c>
      <c r="X118" s="1407">
        <v>950.46</v>
      </c>
      <c r="Y118" s="1408">
        <v>32229.549999999996</v>
      </c>
      <c r="Z118" s="1409"/>
      <c r="AA118" s="1413"/>
      <c r="AB118" s="1410"/>
      <c r="AC118" s="1410"/>
    </row>
    <row r="119" spans="1:29" ht="28.5" hidden="1" customHeight="1" x14ac:dyDescent="0.25">
      <c r="A119" s="1417">
        <v>42705</v>
      </c>
      <c r="B119" s="1405">
        <v>214.8</v>
      </c>
      <c r="C119" s="1406">
        <v>264.39999999999998</v>
      </c>
      <c r="D119" s="1406">
        <v>384.4</v>
      </c>
      <c r="E119" s="1406">
        <v>1765.2</v>
      </c>
      <c r="F119" s="1406">
        <v>1815.98</v>
      </c>
      <c r="G119" s="1406">
        <v>4186.63</v>
      </c>
      <c r="H119" s="1406">
        <v>21514.34</v>
      </c>
      <c r="I119" s="1406">
        <v>5045.3599999999997</v>
      </c>
      <c r="J119" s="1407">
        <v>35191.11</v>
      </c>
      <c r="K119" s="1405">
        <v>9.1</v>
      </c>
      <c r="L119" s="1406">
        <v>13.24</v>
      </c>
      <c r="M119" s="1406">
        <v>211.4</v>
      </c>
      <c r="N119" s="1406">
        <v>314</v>
      </c>
      <c r="O119" s="1406">
        <v>143.1</v>
      </c>
      <c r="P119" s="1406">
        <v>168.8</v>
      </c>
      <c r="Q119" s="1406">
        <v>37.299999999999997</v>
      </c>
      <c r="R119" s="1406">
        <v>6.3</v>
      </c>
      <c r="S119" s="1406">
        <v>47.5</v>
      </c>
      <c r="T119" s="1406">
        <v>2.4</v>
      </c>
      <c r="U119" s="1406">
        <v>11.1</v>
      </c>
      <c r="V119" s="1406">
        <v>0.33</v>
      </c>
      <c r="W119" s="1406">
        <v>0.22</v>
      </c>
      <c r="X119" s="1407">
        <v>964.79000000000008</v>
      </c>
      <c r="Y119" s="1408">
        <v>36155.9</v>
      </c>
      <c r="Z119" s="1409"/>
      <c r="AA119" s="1413"/>
      <c r="AB119" s="1410"/>
      <c r="AC119" s="1410"/>
    </row>
    <row r="120" spans="1:29" ht="28.5" hidden="1" customHeight="1" x14ac:dyDescent="0.25">
      <c r="A120" s="1417">
        <v>42736</v>
      </c>
      <c r="B120" s="1405">
        <v>214.8</v>
      </c>
      <c r="C120" s="1406">
        <v>262.67</v>
      </c>
      <c r="D120" s="1406">
        <v>385.17</v>
      </c>
      <c r="E120" s="1406">
        <v>1775.1</v>
      </c>
      <c r="F120" s="1406">
        <v>1661.87</v>
      </c>
      <c r="G120" s="1406">
        <v>3935.9</v>
      </c>
      <c r="H120" s="1406">
        <v>20376.400000000001</v>
      </c>
      <c r="I120" s="1406">
        <v>4679.6000000000004</v>
      </c>
      <c r="J120" s="1407">
        <v>33291.51</v>
      </c>
      <c r="K120" s="1405">
        <v>9.1</v>
      </c>
      <c r="L120" s="1406">
        <v>13.23</v>
      </c>
      <c r="M120" s="1406">
        <v>211.6</v>
      </c>
      <c r="N120" s="1406">
        <v>315.3</v>
      </c>
      <c r="O120" s="1406">
        <v>143.19999999999999</v>
      </c>
      <c r="P120" s="1406">
        <v>169.8</v>
      </c>
      <c r="Q120" s="1406">
        <v>37.5</v>
      </c>
      <c r="R120" s="1406">
        <v>6.33</v>
      </c>
      <c r="S120" s="1406">
        <v>47.65</v>
      </c>
      <c r="T120" s="1406">
        <v>2.4</v>
      </c>
      <c r="U120" s="1406">
        <v>11.2</v>
      </c>
      <c r="V120" s="1406">
        <v>0.3</v>
      </c>
      <c r="W120" s="1406">
        <v>0.2</v>
      </c>
      <c r="X120" s="1407">
        <v>967.81000000000006</v>
      </c>
      <c r="Y120" s="1408">
        <v>34259.32</v>
      </c>
      <c r="Z120" s="1409"/>
      <c r="AA120" s="1413"/>
      <c r="AB120" s="1413"/>
      <c r="AC120" s="1410"/>
    </row>
    <row r="121" spans="1:29" ht="28.5" hidden="1" customHeight="1" x14ac:dyDescent="0.25">
      <c r="A121" s="1417">
        <v>42767</v>
      </c>
      <c r="B121" s="1405">
        <v>214.8</v>
      </c>
      <c r="C121" s="1406">
        <v>262.2</v>
      </c>
      <c r="D121" s="1406">
        <v>375.8</v>
      </c>
      <c r="E121" s="1406">
        <v>1655.07</v>
      </c>
      <c r="F121" s="1406">
        <v>1614.5</v>
      </c>
      <c r="G121" s="1406">
        <v>3820.6</v>
      </c>
      <c r="H121" s="1406">
        <v>20141.95</v>
      </c>
      <c r="I121" s="1406">
        <v>4624.7</v>
      </c>
      <c r="J121" s="1407">
        <v>32709.62</v>
      </c>
      <c r="K121" s="1405">
        <v>9.1</v>
      </c>
      <c r="L121" s="1406">
        <v>13.24</v>
      </c>
      <c r="M121" s="1406">
        <v>211.6</v>
      </c>
      <c r="N121" s="1406">
        <v>315.3</v>
      </c>
      <c r="O121" s="1406">
        <v>143.24</v>
      </c>
      <c r="P121" s="1406">
        <v>170.1</v>
      </c>
      <c r="Q121" s="1406">
        <v>37.56</v>
      </c>
      <c r="R121" s="1406">
        <v>6.3</v>
      </c>
      <c r="S121" s="1406">
        <v>47.8</v>
      </c>
      <c r="T121" s="1406">
        <v>2.4</v>
      </c>
      <c r="U121" s="1406">
        <v>11.2</v>
      </c>
      <c r="V121" s="1406">
        <v>0.3</v>
      </c>
      <c r="W121" s="1406">
        <v>0.22</v>
      </c>
      <c r="X121" s="1407">
        <v>968.36</v>
      </c>
      <c r="Y121" s="1408">
        <v>33677.979999999996</v>
      </c>
      <c r="Z121" s="1409"/>
      <c r="AA121" s="1413"/>
      <c r="AB121" s="1413"/>
      <c r="AC121" s="1410"/>
    </row>
    <row r="122" spans="1:29" ht="28.5" hidden="1" customHeight="1" x14ac:dyDescent="0.25">
      <c r="A122" s="1417">
        <v>42795</v>
      </c>
      <c r="B122" s="1405">
        <v>214.64</v>
      </c>
      <c r="C122" s="1406">
        <v>264.60000000000002</v>
      </c>
      <c r="D122" s="1406">
        <v>378.3</v>
      </c>
      <c r="E122" s="1406">
        <v>1691.5</v>
      </c>
      <c r="F122" s="1406">
        <v>1587.39</v>
      </c>
      <c r="G122" s="1406">
        <v>3599.9</v>
      </c>
      <c r="H122" s="1406">
        <v>20603.900000000001</v>
      </c>
      <c r="I122" s="1406">
        <v>4566.97</v>
      </c>
      <c r="J122" s="1407">
        <v>32907.200000000004</v>
      </c>
      <c r="K122" s="1405">
        <v>9.1</v>
      </c>
      <c r="L122" s="1406">
        <v>13.24</v>
      </c>
      <c r="M122" s="1406">
        <v>211.6</v>
      </c>
      <c r="N122" s="1406">
        <v>315.83999999999997</v>
      </c>
      <c r="O122" s="1406">
        <v>143.4</v>
      </c>
      <c r="P122" s="1406">
        <v>171.15</v>
      </c>
      <c r="Q122" s="1406">
        <v>37.700000000000003</v>
      </c>
      <c r="R122" s="1406">
        <v>6.33</v>
      </c>
      <c r="S122" s="1406">
        <v>47.93</v>
      </c>
      <c r="T122" s="1406">
        <v>2.4</v>
      </c>
      <c r="U122" s="1406">
        <v>11.23</v>
      </c>
      <c r="V122" s="1406">
        <v>0.33</v>
      </c>
      <c r="W122" s="1406">
        <v>0.22</v>
      </c>
      <c r="X122" s="1407">
        <v>970.47</v>
      </c>
      <c r="Y122" s="1408">
        <v>33877.670000000006</v>
      </c>
      <c r="Z122" s="1409"/>
      <c r="AA122" s="1413"/>
      <c r="AB122" s="1413"/>
      <c r="AC122" s="1410"/>
    </row>
    <row r="123" spans="1:29" ht="28.5" hidden="1" customHeight="1" x14ac:dyDescent="0.25">
      <c r="A123" s="1417">
        <v>42826</v>
      </c>
      <c r="B123" s="1405">
        <v>214.64</v>
      </c>
      <c r="C123" s="1406">
        <v>262.5</v>
      </c>
      <c r="D123" s="1406">
        <v>383</v>
      </c>
      <c r="E123" s="1406">
        <v>1683.1</v>
      </c>
      <c r="F123" s="1406">
        <v>1582</v>
      </c>
      <c r="G123" s="1406">
        <v>3658.3</v>
      </c>
      <c r="H123" s="1406">
        <v>20118.900000000001</v>
      </c>
      <c r="I123" s="1406">
        <v>4546.2</v>
      </c>
      <c r="J123" s="1407">
        <v>32448.640000000003</v>
      </c>
      <c r="K123" s="1405">
        <v>9.1</v>
      </c>
      <c r="L123" s="1406">
        <v>13.25</v>
      </c>
      <c r="M123" s="1406">
        <v>211.5</v>
      </c>
      <c r="N123" s="1406">
        <v>316.39999999999998</v>
      </c>
      <c r="O123" s="1406">
        <v>143.77000000000001</v>
      </c>
      <c r="P123" s="1406">
        <v>171.8</v>
      </c>
      <c r="Q123" s="1406">
        <v>37.9</v>
      </c>
      <c r="R123" s="1406">
        <v>6.3</v>
      </c>
      <c r="S123" s="1406">
        <v>48.1</v>
      </c>
      <c r="T123" s="1406">
        <v>2.4</v>
      </c>
      <c r="U123" s="1406">
        <v>11.3</v>
      </c>
      <c r="V123" s="1406">
        <v>0.3</v>
      </c>
      <c r="W123" s="1406">
        <v>0.2</v>
      </c>
      <c r="X123" s="1407">
        <v>972.31999999999982</v>
      </c>
      <c r="Y123" s="1408">
        <v>33420.960000000006</v>
      </c>
      <c r="Z123" s="1409"/>
      <c r="AA123" s="1413"/>
      <c r="AB123" s="1413"/>
      <c r="AC123" s="1410"/>
    </row>
    <row r="124" spans="1:29" ht="28.5" hidden="1" customHeight="1" x14ac:dyDescent="0.25">
      <c r="A124" s="1417">
        <v>42856</v>
      </c>
      <c r="B124" s="1405">
        <v>214.57</v>
      </c>
      <c r="C124" s="1406">
        <v>263.8</v>
      </c>
      <c r="D124" s="1406">
        <v>376.6</v>
      </c>
      <c r="E124" s="1406">
        <v>1653.4</v>
      </c>
      <c r="F124" s="1406">
        <v>1629.96</v>
      </c>
      <c r="G124" s="1406">
        <v>3572.39</v>
      </c>
      <c r="H124" s="1406">
        <v>19587.560000000001</v>
      </c>
      <c r="I124" s="1406">
        <v>4520.5</v>
      </c>
      <c r="J124" s="1407">
        <v>31818.78</v>
      </c>
      <c r="K124" s="1405">
        <v>9.1</v>
      </c>
      <c r="L124" s="1406">
        <v>13.25</v>
      </c>
      <c r="M124" s="1406">
        <v>211.52</v>
      </c>
      <c r="N124" s="1406">
        <v>318.11</v>
      </c>
      <c r="O124" s="1406">
        <v>144.34</v>
      </c>
      <c r="P124" s="1406">
        <v>172.7</v>
      </c>
      <c r="Q124" s="1406">
        <v>38.01</v>
      </c>
      <c r="R124" s="1406">
        <v>6.33</v>
      </c>
      <c r="S124" s="1406">
        <v>48.3</v>
      </c>
      <c r="T124" s="1406">
        <v>2.42</v>
      </c>
      <c r="U124" s="1406">
        <v>11.33</v>
      </c>
      <c r="V124" s="1406">
        <v>0.33</v>
      </c>
      <c r="W124" s="1406">
        <v>0.22</v>
      </c>
      <c r="X124" s="1407">
        <v>975.96</v>
      </c>
      <c r="Y124" s="1408">
        <v>32794.74</v>
      </c>
      <c r="Z124" s="1409"/>
      <c r="AA124" s="1413"/>
      <c r="AB124" s="1413"/>
      <c r="AC124" s="1410"/>
    </row>
    <row r="125" spans="1:29" ht="28.5" hidden="1" customHeight="1" x14ac:dyDescent="0.25">
      <c r="A125" s="1417">
        <v>42887</v>
      </c>
      <c r="B125" s="1405">
        <v>214.55</v>
      </c>
      <c r="C125" s="1406">
        <v>265.73</v>
      </c>
      <c r="D125" s="1406">
        <v>372.59</v>
      </c>
      <c r="E125" s="1406">
        <v>1661.7</v>
      </c>
      <c r="F125" s="1406">
        <v>1627.66</v>
      </c>
      <c r="G125" s="1406">
        <v>3759.4</v>
      </c>
      <c r="H125" s="1406">
        <v>20439.5</v>
      </c>
      <c r="I125" s="1406">
        <v>4480.97</v>
      </c>
      <c r="J125" s="1407">
        <v>32822.1</v>
      </c>
      <c r="K125" s="1405">
        <v>9.1</v>
      </c>
      <c r="L125" s="1406">
        <v>13.25</v>
      </c>
      <c r="M125" s="1406">
        <v>211.5</v>
      </c>
      <c r="N125" s="1406">
        <v>319.8</v>
      </c>
      <c r="O125" s="1406">
        <v>144.69999999999999</v>
      </c>
      <c r="P125" s="1406">
        <v>173.3</v>
      </c>
      <c r="Q125" s="1406">
        <v>38.14</v>
      </c>
      <c r="R125" s="1406">
        <v>6.3</v>
      </c>
      <c r="S125" s="1406">
        <v>48.5</v>
      </c>
      <c r="T125" s="1406">
        <v>2.4</v>
      </c>
      <c r="U125" s="1406">
        <v>11.4</v>
      </c>
      <c r="V125" s="1406">
        <v>0.33</v>
      </c>
      <c r="W125" s="1406">
        <v>0.2</v>
      </c>
      <c r="X125" s="1407">
        <v>978.91999999999985</v>
      </c>
      <c r="Y125" s="1408">
        <v>33801.019999999997</v>
      </c>
      <c r="Z125" s="1409"/>
      <c r="AA125" s="1413"/>
      <c r="AB125" s="1413"/>
      <c r="AC125" s="1410"/>
    </row>
    <row r="126" spans="1:29" ht="28.5" hidden="1" customHeight="1" x14ac:dyDescent="0.25">
      <c r="A126" s="1417">
        <v>42917</v>
      </c>
      <c r="B126" s="1405">
        <v>214.54</v>
      </c>
      <c r="C126" s="1406">
        <v>259.63</v>
      </c>
      <c r="D126" s="1406">
        <v>370.54</v>
      </c>
      <c r="E126" s="1406">
        <v>1622.1</v>
      </c>
      <c r="F126" s="1406">
        <v>1584.6</v>
      </c>
      <c r="G126" s="1406">
        <v>3642.7</v>
      </c>
      <c r="H126" s="1406">
        <v>20437.900000000001</v>
      </c>
      <c r="I126" s="1406">
        <v>4471.93</v>
      </c>
      <c r="J126" s="1407">
        <v>32603.940000000002</v>
      </c>
      <c r="K126" s="1405">
        <v>9.1</v>
      </c>
      <c r="L126" s="1406">
        <v>13.3</v>
      </c>
      <c r="M126" s="1406">
        <v>212.13</v>
      </c>
      <c r="N126" s="1406">
        <v>321.5</v>
      </c>
      <c r="O126" s="1406">
        <v>145.30000000000001</v>
      </c>
      <c r="P126" s="1406">
        <v>174.4</v>
      </c>
      <c r="Q126" s="1406">
        <v>38.4</v>
      </c>
      <c r="R126" s="1406">
        <v>6.33</v>
      </c>
      <c r="S126" s="1406">
        <v>48.6</v>
      </c>
      <c r="T126" s="1406">
        <v>2.4</v>
      </c>
      <c r="U126" s="1406">
        <v>11.4</v>
      </c>
      <c r="V126" s="1406">
        <v>0.3</v>
      </c>
      <c r="W126" s="1406">
        <v>0.2</v>
      </c>
      <c r="X126" s="1407">
        <v>983.3599999999999</v>
      </c>
      <c r="Y126" s="1408">
        <v>33587.300000000003</v>
      </c>
      <c r="Z126" s="1409"/>
      <c r="AA126" s="1413"/>
      <c r="AB126" s="1413"/>
      <c r="AC126" s="1410"/>
    </row>
    <row r="127" spans="1:29" ht="28.5" hidden="1" customHeight="1" x14ac:dyDescent="0.25">
      <c r="A127" s="1417">
        <v>42948</v>
      </c>
      <c r="B127" s="1405">
        <v>214.54</v>
      </c>
      <c r="C127" s="1406">
        <v>258.52999999999997</v>
      </c>
      <c r="D127" s="1406">
        <v>367.1</v>
      </c>
      <c r="E127" s="1406">
        <v>1468.81</v>
      </c>
      <c r="F127" s="1406">
        <v>1606.31</v>
      </c>
      <c r="G127" s="1406">
        <v>3710.62</v>
      </c>
      <c r="H127" s="1406">
        <v>20079.18</v>
      </c>
      <c r="I127" s="1406">
        <v>4468.84</v>
      </c>
      <c r="J127" s="1407">
        <v>32173.93</v>
      </c>
      <c r="K127" s="1405">
        <v>9.1</v>
      </c>
      <c r="L127" s="1406">
        <v>13.25</v>
      </c>
      <c r="M127" s="1406">
        <v>212.7</v>
      </c>
      <c r="N127" s="1406">
        <v>323.7</v>
      </c>
      <c r="O127" s="1406">
        <v>146.38999999999999</v>
      </c>
      <c r="P127" s="1406">
        <v>175.48</v>
      </c>
      <c r="Q127" s="1406">
        <v>38.5</v>
      </c>
      <c r="R127" s="1406">
        <v>6.3</v>
      </c>
      <c r="S127" s="1406">
        <v>48.78</v>
      </c>
      <c r="T127" s="1406">
        <v>2.4</v>
      </c>
      <c r="U127" s="1406">
        <v>11.5</v>
      </c>
      <c r="V127" s="1406">
        <v>0.3</v>
      </c>
      <c r="W127" s="1406">
        <v>0.2</v>
      </c>
      <c r="X127" s="1407">
        <v>988.59999999999991</v>
      </c>
      <c r="Y127" s="1408">
        <v>33162.53</v>
      </c>
      <c r="Z127" s="1409"/>
      <c r="AA127" s="1413"/>
      <c r="AB127" s="1413"/>
      <c r="AC127" s="1410"/>
    </row>
    <row r="128" spans="1:29" ht="28.5" hidden="1" customHeight="1" x14ac:dyDescent="0.25">
      <c r="A128" s="1417">
        <v>42979</v>
      </c>
      <c r="B128" s="1405">
        <v>214.5</v>
      </c>
      <c r="C128" s="1406">
        <v>260.60000000000002</v>
      </c>
      <c r="D128" s="1406">
        <v>368</v>
      </c>
      <c r="E128" s="1406">
        <v>1463.66</v>
      </c>
      <c r="F128" s="1406">
        <v>1594.8</v>
      </c>
      <c r="G128" s="1406">
        <v>3723.6</v>
      </c>
      <c r="H128" s="1406">
        <v>20349.27</v>
      </c>
      <c r="I128" s="1406">
        <v>4464.7700000000004</v>
      </c>
      <c r="J128" s="1407">
        <v>32439.200000000001</v>
      </c>
      <c r="K128" s="1405">
        <v>9.1</v>
      </c>
      <c r="L128" s="1406">
        <v>13.3</v>
      </c>
      <c r="M128" s="1406">
        <v>213.3</v>
      </c>
      <c r="N128" s="1406">
        <v>325.39999999999998</v>
      </c>
      <c r="O128" s="1406">
        <v>147.30000000000001</v>
      </c>
      <c r="P128" s="1406">
        <v>176.35</v>
      </c>
      <c r="Q128" s="1406">
        <v>38.6</v>
      </c>
      <c r="R128" s="1406">
        <v>6.3</v>
      </c>
      <c r="S128" s="1406">
        <v>48.96</v>
      </c>
      <c r="T128" s="1406">
        <v>2.4</v>
      </c>
      <c r="U128" s="1406">
        <v>11.5</v>
      </c>
      <c r="V128" s="1406">
        <v>0.3</v>
      </c>
      <c r="W128" s="1406">
        <v>0.2</v>
      </c>
      <c r="X128" s="1407">
        <v>993.0100000000001</v>
      </c>
      <c r="Y128" s="1408">
        <v>33432.21</v>
      </c>
      <c r="Z128" s="1409"/>
      <c r="AA128" s="1413"/>
      <c r="AB128" s="1413"/>
      <c r="AC128" s="1410"/>
    </row>
    <row r="129" spans="1:29" ht="28.5" hidden="1" customHeight="1" x14ac:dyDescent="0.25">
      <c r="A129" s="1417">
        <v>43009</v>
      </c>
      <c r="B129" s="1405">
        <v>214.46</v>
      </c>
      <c r="C129" s="1406">
        <v>266.47000000000003</v>
      </c>
      <c r="D129" s="1406">
        <v>369.04</v>
      </c>
      <c r="E129" s="1406">
        <v>1565.95</v>
      </c>
      <c r="F129" s="1406">
        <v>1700.72</v>
      </c>
      <c r="G129" s="1406">
        <v>3949.78</v>
      </c>
      <c r="H129" s="1406">
        <v>21478.47</v>
      </c>
      <c r="I129" s="1406">
        <v>4490.2299999999996</v>
      </c>
      <c r="J129" s="1407">
        <v>34035.119999999995</v>
      </c>
      <c r="K129" s="1405">
        <v>9.1199999999999992</v>
      </c>
      <c r="L129" s="1406">
        <v>13.26</v>
      </c>
      <c r="M129" s="1406">
        <v>215.27</v>
      </c>
      <c r="N129" s="1406">
        <v>329.18</v>
      </c>
      <c r="O129" s="1406">
        <v>149.44</v>
      </c>
      <c r="P129" s="1406">
        <v>177.45</v>
      </c>
      <c r="Q129" s="1406">
        <v>38.799999999999997</v>
      </c>
      <c r="R129" s="1406">
        <v>6.33</v>
      </c>
      <c r="S129" s="1406">
        <v>49.15</v>
      </c>
      <c r="T129" s="1406">
        <v>2.42</v>
      </c>
      <c r="U129" s="1406">
        <v>11.57</v>
      </c>
      <c r="V129" s="1406">
        <v>0.33</v>
      </c>
      <c r="W129" s="1406">
        <v>0.22</v>
      </c>
      <c r="X129" s="1407">
        <v>1002.5400000000001</v>
      </c>
      <c r="Y129" s="1408">
        <v>35037.659999999996</v>
      </c>
      <c r="Z129" s="1409"/>
      <c r="AA129" s="1413"/>
      <c r="AB129" s="1413"/>
      <c r="AC129" s="1410"/>
    </row>
    <row r="130" spans="1:29" ht="28.5" hidden="1" customHeight="1" x14ac:dyDescent="0.25">
      <c r="A130" s="1418">
        <v>43040</v>
      </c>
      <c r="B130" s="1405">
        <v>214.45</v>
      </c>
      <c r="C130" s="1406">
        <v>271.43</v>
      </c>
      <c r="D130" s="1406">
        <v>374.04</v>
      </c>
      <c r="E130" s="1406">
        <v>1633.38</v>
      </c>
      <c r="F130" s="1406">
        <v>1725.08</v>
      </c>
      <c r="G130" s="1406">
        <v>4036.37</v>
      </c>
      <c r="H130" s="1406">
        <v>21068.39</v>
      </c>
      <c r="I130" s="1406">
        <v>4507.92</v>
      </c>
      <c r="J130" s="1407">
        <v>33831.06</v>
      </c>
      <c r="K130" s="1405">
        <v>9.25</v>
      </c>
      <c r="L130" s="1406">
        <v>13.26</v>
      </c>
      <c r="M130" s="1406">
        <v>215.7</v>
      </c>
      <c r="N130" s="1406">
        <v>334.02</v>
      </c>
      <c r="O130" s="1406">
        <v>152.87</v>
      </c>
      <c r="P130" s="1406">
        <v>179.65</v>
      </c>
      <c r="Q130" s="1406">
        <v>39.159999999999997</v>
      </c>
      <c r="R130" s="1406">
        <v>6.33</v>
      </c>
      <c r="S130" s="1406">
        <v>49.52</v>
      </c>
      <c r="T130" s="1406">
        <v>2.42</v>
      </c>
      <c r="U130" s="1406">
        <v>11.65</v>
      </c>
      <c r="V130" s="1406">
        <v>0.33</v>
      </c>
      <c r="W130" s="1406">
        <v>0.22</v>
      </c>
      <c r="X130" s="1407">
        <v>1014.38</v>
      </c>
      <c r="Y130" s="1408">
        <v>34845.439999999995</v>
      </c>
      <c r="Z130" s="1409"/>
      <c r="AA130" s="1413"/>
      <c r="AB130" s="1413"/>
      <c r="AC130" s="1410"/>
    </row>
    <row r="131" spans="1:29" ht="28.5" hidden="1" customHeight="1" x14ac:dyDescent="0.25">
      <c r="A131" s="1418">
        <v>43070</v>
      </c>
      <c r="B131" s="1405">
        <v>214.44</v>
      </c>
      <c r="C131" s="1406">
        <v>278.51</v>
      </c>
      <c r="D131" s="1406">
        <v>385.23</v>
      </c>
      <c r="E131" s="1406">
        <v>1873.72</v>
      </c>
      <c r="F131" s="1406">
        <v>1961.04</v>
      </c>
      <c r="G131" s="1406">
        <v>4642.82</v>
      </c>
      <c r="H131" s="1406">
        <v>23731.43</v>
      </c>
      <c r="I131" s="1406">
        <v>4836.1040000000003</v>
      </c>
      <c r="J131" s="1407">
        <v>37923.294000000002</v>
      </c>
      <c r="K131" s="1405">
        <v>9.27</v>
      </c>
      <c r="L131" s="1406">
        <v>13.26</v>
      </c>
      <c r="M131" s="1406">
        <v>217.55</v>
      </c>
      <c r="N131" s="1406">
        <v>339.69</v>
      </c>
      <c r="O131" s="1406">
        <v>154.51</v>
      </c>
      <c r="P131" s="1406">
        <v>181.03</v>
      </c>
      <c r="Q131" s="1406">
        <v>39.369999999999997</v>
      </c>
      <c r="R131" s="1406">
        <v>6.33</v>
      </c>
      <c r="S131" s="1406">
        <v>49.65</v>
      </c>
      <c r="T131" s="1406">
        <v>2.42</v>
      </c>
      <c r="U131" s="1406">
        <v>11.7</v>
      </c>
      <c r="V131" s="1406">
        <v>0.33</v>
      </c>
      <c r="W131" s="1406">
        <v>0.23</v>
      </c>
      <c r="X131" s="1407">
        <v>1025.3399999999999</v>
      </c>
      <c r="Y131" s="1408">
        <v>38948.633999999998</v>
      </c>
      <c r="Z131" s="1409"/>
      <c r="AA131" s="1413"/>
      <c r="AB131" s="1413"/>
      <c r="AC131" s="1410"/>
    </row>
    <row r="132" spans="1:29" ht="28.5" hidden="1" customHeight="1" x14ac:dyDescent="0.25">
      <c r="A132" s="1418">
        <v>43101</v>
      </c>
      <c r="B132" s="1405">
        <v>214.42</v>
      </c>
      <c r="C132" s="1406">
        <v>276.26</v>
      </c>
      <c r="D132" s="1406">
        <v>377.22</v>
      </c>
      <c r="E132" s="1406">
        <v>1935.67</v>
      </c>
      <c r="F132" s="1406">
        <v>1808.41</v>
      </c>
      <c r="G132" s="1406">
        <v>4252.1000000000004</v>
      </c>
      <c r="H132" s="1406">
        <v>22847.94</v>
      </c>
      <c r="I132" s="1406">
        <v>4627.71</v>
      </c>
      <c r="J132" s="1407">
        <v>36339.730000000003</v>
      </c>
      <c r="K132" s="1405">
        <v>9.2799999999999994</v>
      </c>
      <c r="L132" s="1406">
        <v>13.26</v>
      </c>
      <c r="M132" s="1406">
        <v>219.65</v>
      </c>
      <c r="N132" s="1406">
        <v>342.85</v>
      </c>
      <c r="O132" s="1406">
        <v>155.78958499999999</v>
      </c>
      <c r="P132" s="1406">
        <v>182.32</v>
      </c>
      <c r="Q132" s="1406">
        <v>39.520000000000003</v>
      </c>
      <c r="R132" s="1406">
        <v>6.33</v>
      </c>
      <c r="S132" s="1406">
        <v>49.79</v>
      </c>
      <c r="T132" s="1406">
        <v>2.42</v>
      </c>
      <c r="U132" s="1406">
        <v>11.73</v>
      </c>
      <c r="V132" s="1406">
        <v>0.33</v>
      </c>
      <c r="W132" s="1406">
        <v>0.22</v>
      </c>
      <c r="X132" s="1407">
        <v>1033.4895849999998</v>
      </c>
      <c r="Y132" s="1408">
        <v>37373.219585000006</v>
      </c>
      <c r="Z132" s="1409"/>
      <c r="AA132" s="1413"/>
      <c r="AB132" s="1413"/>
      <c r="AC132" s="1410"/>
    </row>
    <row r="133" spans="1:29" ht="28.5" hidden="1" customHeight="1" x14ac:dyDescent="0.25">
      <c r="A133" s="1418">
        <v>43132</v>
      </c>
      <c r="B133" s="1405">
        <v>214.35</v>
      </c>
      <c r="C133" s="1406">
        <v>276.61</v>
      </c>
      <c r="D133" s="1406">
        <v>375.74</v>
      </c>
      <c r="E133" s="1406">
        <v>1875.84</v>
      </c>
      <c r="F133" s="1406">
        <v>1746.78</v>
      </c>
      <c r="G133" s="1406">
        <v>4126.79</v>
      </c>
      <c r="H133" s="1406">
        <v>22153.919999999998</v>
      </c>
      <c r="I133" s="1406">
        <v>4584.1000000000004</v>
      </c>
      <c r="J133" s="1407">
        <v>35354.120000000003</v>
      </c>
      <c r="K133" s="1405">
        <v>9.2899999999999991</v>
      </c>
      <c r="L133" s="1406">
        <v>13.26</v>
      </c>
      <c r="M133" s="1406">
        <v>219.65</v>
      </c>
      <c r="N133" s="1406">
        <v>343.23</v>
      </c>
      <c r="O133" s="1406">
        <v>156.26</v>
      </c>
      <c r="P133" s="1406">
        <v>183.12</v>
      </c>
      <c r="Q133" s="1406">
        <v>39.67</v>
      </c>
      <c r="R133" s="1406">
        <v>6.33</v>
      </c>
      <c r="S133" s="1406">
        <v>49.89</v>
      </c>
      <c r="T133" s="1406">
        <v>2.42</v>
      </c>
      <c r="U133" s="1406">
        <v>11.77</v>
      </c>
      <c r="V133" s="1406">
        <v>0.33</v>
      </c>
      <c r="W133" s="1406">
        <v>0.22</v>
      </c>
      <c r="X133" s="1407">
        <v>1035.42</v>
      </c>
      <c r="Y133" s="1408">
        <v>36389.54</v>
      </c>
      <c r="Z133" s="1409"/>
      <c r="AA133" s="1413"/>
      <c r="AB133" s="1413"/>
      <c r="AC133" s="1410"/>
    </row>
    <row r="134" spans="1:29" ht="28.5" hidden="1" customHeight="1" x14ac:dyDescent="0.25">
      <c r="A134" s="1418">
        <v>43160</v>
      </c>
      <c r="B134" s="1405">
        <v>214.3</v>
      </c>
      <c r="C134" s="1406">
        <v>273.75</v>
      </c>
      <c r="D134" s="1406">
        <v>372.92</v>
      </c>
      <c r="E134" s="1406">
        <v>1870.75</v>
      </c>
      <c r="F134" s="1406">
        <v>1755.38</v>
      </c>
      <c r="G134" s="1406">
        <v>4190.67</v>
      </c>
      <c r="H134" s="1406">
        <v>21462.3</v>
      </c>
      <c r="I134" s="1406">
        <v>4209.68</v>
      </c>
      <c r="J134" s="1407">
        <v>34349.760000000002</v>
      </c>
      <c r="K134" s="1405">
        <v>9.3000000000000007</v>
      </c>
      <c r="L134" s="1406">
        <v>13.27</v>
      </c>
      <c r="M134" s="1406">
        <v>219.57</v>
      </c>
      <c r="N134" s="1406">
        <v>344.83</v>
      </c>
      <c r="O134" s="1406">
        <v>157</v>
      </c>
      <c r="P134" s="1406">
        <v>184.07</v>
      </c>
      <c r="Q134" s="1406">
        <v>39.85</v>
      </c>
      <c r="R134" s="1406">
        <v>6.33</v>
      </c>
      <c r="S134" s="1406">
        <v>50.06</v>
      </c>
      <c r="T134" s="1406">
        <v>2.42</v>
      </c>
      <c r="U134" s="1406">
        <v>11.82</v>
      </c>
      <c r="V134" s="1406">
        <v>0.33</v>
      </c>
      <c r="W134" s="1406">
        <v>0.22</v>
      </c>
      <c r="X134" s="1407">
        <v>1039.05</v>
      </c>
      <c r="Y134" s="1408">
        <v>35388.810000000005</v>
      </c>
      <c r="Z134" s="1409"/>
      <c r="AA134" s="1413"/>
      <c r="AB134" s="1413"/>
      <c r="AC134" s="1410"/>
    </row>
    <row r="135" spans="1:29" ht="28.5" hidden="1" customHeight="1" x14ac:dyDescent="0.25">
      <c r="A135" s="1419">
        <v>43191</v>
      </c>
      <c r="B135" s="1405">
        <v>214.29</v>
      </c>
      <c r="C135" s="1406">
        <v>274.95</v>
      </c>
      <c r="D135" s="1406">
        <v>374.99</v>
      </c>
      <c r="E135" s="1406">
        <v>1752.41</v>
      </c>
      <c r="F135" s="1406">
        <v>1772.29</v>
      </c>
      <c r="G135" s="1406">
        <v>4191.26</v>
      </c>
      <c r="H135" s="1406">
        <v>21082.61</v>
      </c>
      <c r="I135" s="1406">
        <v>3996.52</v>
      </c>
      <c r="J135" s="1407">
        <v>33659.32</v>
      </c>
      <c r="K135" s="1405">
        <v>9.31</v>
      </c>
      <c r="L135" s="1406">
        <v>13.27</v>
      </c>
      <c r="M135" s="1406">
        <v>219.57</v>
      </c>
      <c r="N135" s="1406">
        <v>346.98</v>
      </c>
      <c r="O135" s="1406">
        <v>158.08000000000001</v>
      </c>
      <c r="P135" s="1406">
        <v>184.97</v>
      </c>
      <c r="Q135" s="1406">
        <v>39.979999999999997</v>
      </c>
      <c r="R135" s="1406">
        <v>6.33</v>
      </c>
      <c r="S135" s="1406">
        <v>50.21</v>
      </c>
      <c r="T135" s="1406">
        <v>2.42</v>
      </c>
      <c r="U135" s="1406">
        <v>11.86</v>
      </c>
      <c r="V135" s="1406">
        <v>0.33</v>
      </c>
      <c r="W135" s="1406">
        <v>0.22</v>
      </c>
      <c r="X135" s="1407">
        <v>1043.53</v>
      </c>
      <c r="Y135" s="1408">
        <v>34702.85</v>
      </c>
      <c r="Z135" s="1409"/>
      <c r="AA135" s="1413"/>
      <c r="AB135" s="1413"/>
      <c r="AC135" s="1410"/>
    </row>
    <row r="136" spans="1:29" ht="28.5" hidden="1" customHeight="1" x14ac:dyDescent="0.25">
      <c r="A136" s="1419">
        <v>43221</v>
      </c>
      <c r="B136" s="1405">
        <v>214.28</v>
      </c>
      <c r="C136" s="1406">
        <v>277.44</v>
      </c>
      <c r="D136" s="1406">
        <v>366.81</v>
      </c>
      <c r="E136" s="1406">
        <v>1601.52</v>
      </c>
      <c r="F136" s="1406">
        <v>1781.39</v>
      </c>
      <c r="G136" s="1406">
        <v>4347.75</v>
      </c>
      <c r="H136" s="1406">
        <v>21094.58</v>
      </c>
      <c r="I136" s="1406">
        <v>3715.16</v>
      </c>
      <c r="J136" s="1407">
        <v>33398.93</v>
      </c>
      <c r="K136" s="1405">
        <v>9.32</v>
      </c>
      <c r="L136" s="1406">
        <v>13.27</v>
      </c>
      <c r="M136" s="1406">
        <v>219.65</v>
      </c>
      <c r="N136" s="1406">
        <v>348.96</v>
      </c>
      <c r="O136" s="1406">
        <v>158.6</v>
      </c>
      <c r="P136" s="1406">
        <v>185.86</v>
      </c>
      <c r="Q136" s="1406">
        <v>40.06</v>
      </c>
      <c r="R136" s="1406">
        <v>6.33</v>
      </c>
      <c r="S136" s="1406">
        <v>50.4</v>
      </c>
      <c r="T136" s="1406">
        <v>2.42</v>
      </c>
      <c r="U136" s="1406">
        <v>11.92</v>
      </c>
      <c r="V136" s="1406">
        <v>0.33</v>
      </c>
      <c r="W136" s="1406">
        <v>0.22</v>
      </c>
      <c r="X136" s="1407">
        <v>1047.31</v>
      </c>
      <c r="Y136" s="1408">
        <v>34446.239999999998</v>
      </c>
      <c r="Z136" s="1409"/>
      <c r="AA136" s="1413"/>
      <c r="AB136" s="1413"/>
      <c r="AC136" s="1410"/>
    </row>
    <row r="137" spans="1:29" ht="28.5" hidden="1" customHeight="1" x14ac:dyDescent="0.25">
      <c r="A137" s="1419">
        <v>43252</v>
      </c>
      <c r="B137" s="1405">
        <v>214.25</v>
      </c>
      <c r="C137" s="1406">
        <v>274.69</v>
      </c>
      <c r="D137" s="1406">
        <v>369.1</v>
      </c>
      <c r="E137" s="1406">
        <v>1607.92</v>
      </c>
      <c r="F137" s="1406">
        <v>1764.1</v>
      </c>
      <c r="G137" s="1406">
        <v>4185.4799999999996</v>
      </c>
      <c r="H137" s="1406">
        <v>21257.03</v>
      </c>
      <c r="I137" s="1406">
        <v>3354.72</v>
      </c>
      <c r="J137" s="1407">
        <v>33027.29</v>
      </c>
      <c r="K137" s="1405">
        <v>9.33</v>
      </c>
      <c r="L137" s="1406">
        <v>13.27</v>
      </c>
      <c r="M137" s="1406">
        <v>220.04</v>
      </c>
      <c r="N137" s="1406">
        <v>350.32</v>
      </c>
      <c r="O137" s="1406">
        <v>159.08000000000001</v>
      </c>
      <c r="P137" s="1406">
        <v>186.55</v>
      </c>
      <c r="Q137" s="1406">
        <v>40.24</v>
      </c>
      <c r="R137" s="1406">
        <v>6.33</v>
      </c>
      <c r="S137" s="1406">
        <v>50.52</v>
      </c>
      <c r="T137" s="1406">
        <v>2.42</v>
      </c>
      <c r="U137" s="1406">
        <v>11.95</v>
      </c>
      <c r="V137" s="1406">
        <v>0.33</v>
      </c>
      <c r="W137" s="1406">
        <v>0.22</v>
      </c>
      <c r="X137" s="1407">
        <v>1050.5999999999999</v>
      </c>
      <c r="Y137" s="1408">
        <v>34077.89</v>
      </c>
      <c r="Z137" s="1409"/>
      <c r="AA137" s="1413"/>
      <c r="AB137" s="1413"/>
      <c r="AC137" s="1410"/>
    </row>
    <row r="138" spans="1:29" ht="28.5" hidden="1" customHeight="1" x14ac:dyDescent="0.25">
      <c r="A138" s="1419">
        <v>43282</v>
      </c>
      <c r="B138" s="1405">
        <v>214.22126499999999</v>
      </c>
      <c r="C138" s="1406">
        <v>276.63985000000002</v>
      </c>
      <c r="D138" s="1406">
        <v>372.44574999999998</v>
      </c>
      <c r="E138" s="1406">
        <v>1629.6733999999999</v>
      </c>
      <c r="F138" s="1406">
        <v>1751.1032</v>
      </c>
      <c r="G138" s="1406">
        <v>4246.5349999999999</v>
      </c>
      <c r="H138" s="1406">
        <v>21907.183000000001</v>
      </c>
      <c r="I138" s="1406">
        <v>3140.424</v>
      </c>
      <c r="J138" s="1407">
        <v>33538.222629999997</v>
      </c>
      <c r="K138" s="1405">
        <v>9.3358029700000014</v>
      </c>
      <c r="L138" s="1406">
        <v>13.27145</v>
      </c>
      <c r="M138" s="1406">
        <v>220.19556</v>
      </c>
      <c r="N138" s="1406">
        <v>351.12866000000002</v>
      </c>
      <c r="O138" s="1406">
        <v>159.79719</v>
      </c>
      <c r="P138" s="1406">
        <v>187.173621</v>
      </c>
      <c r="Q138" s="1406">
        <v>40.312226000000003</v>
      </c>
      <c r="R138" s="1406">
        <v>6.3278425</v>
      </c>
      <c r="S138" s="1406">
        <v>50.634455200000005</v>
      </c>
      <c r="T138" s="1406">
        <v>2.4173482000000002</v>
      </c>
      <c r="U138" s="1406">
        <v>12.004533999999998</v>
      </c>
      <c r="V138" s="1406">
        <v>0.33024841999999999</v>
      </c>
      <c r="W138" s="1406">
        <v>0.22299389999999999</v>
      </c>
      <c r="X138" s="1407">
        <v>1053.1359321899999</v>
      </c>
      <c r="Y138" s="1408">
        <v>34591.358562189998</v>
      </c>
      <c r="Z138" s="1409"/>
      <c r="AA138" s="1413"/>
      <c r="AB138" s="1413"/>
      <c r="AC138" s="1410"/>
    </row>
    <row r="139" spans="1:29" ht="28.5" hidden="1" customHeight="1" x14ac:dyDescent="0.25">
      <c r="A139" s="1419">
        <v>43313</v>
      </c>
      <c r="B139" s="1405">
        <v>214.17701500000001</v>
      </c>
      <c r="C139" s="1406">
        <v>274.09665000000001</v>
      </c>
      <c r="D139" s="1406">
        <v>369.44184999999999</v>
      </c>
      <c r="E139" s="1406">
        <v>1645.5145</v>
      </c>
      <c r="F139" s="1406">
        <v>1757.3594000000001</v>
      </c>
      <c r="G139" s="1406">
        <v>4224.2335000000003</v>
      </c>
      <c r="H139" s="1406">
        <v>21750.552</v>
      </c>
      <c r="I139" s="1406">
        <v>2928.14</v>
      </c>
      <c r="J139" s="1407">
        <v>33163.51208</v>
      </c>
      <c r="K139" s="1405">
        <v>9.3394029700000001</v>
      </c>
      <c r="L139" s="1406">
        <v>13.27145</v>
      </c>
      <c r="M139" s="1406">
        <v>220.19685999999999</v>
      </c>
      <c r="N139" s="1406">
        <v>351.72935000000001</v>
      </c>
      <c r="O139" s="1406">
        <v>160.34976</v>
      </c>
      <c r="P139" s="1406">
        <v>187.64644699999999</v>
      </c>
      <c r="Q139" s="1406">
        <v>40.374104000000003</v>
      </c>
      <c r="R139" s="1406">
        <v>6.3278425</v>
      </c>
      <c r="S139" s="1406">
        <v>50.772178200000006</v>
      </c>
      <c r="T139" s="1406">
        <v>2.4173482000000002</v>
      </c>
      <c r="U139" s="1406">
        <v>12.033887899999998</v>
      </c>
      <c r="V139" s="1406">
        <v>0.33024841999999999</v>
      </c>
      <c r="W139" s="1406">
        <v>0.22299237000000002</v>
      </c>
      <c r="X139" s="1407">
        <v>1054.9958715599998</v>
      </c>
      <c r="Y139" s="1408">
        <v>34218.507951560001</v>
      </c>
      <c r="Z139" s="1409"/>
      <c r="AA139" s="1413"/>
      <c r="AB139" s="1413"/>
      <c r="AC139" s="1410"/>
    </row>
    <row r="140" spans="1:29" ht="28.5" hidden="1" customHeight="1" x14ac:dyDescent="0.25">
      <c r="A140" s="1419">
        <v>43344</v>
      </c>
      <c r="B140" s="1405">
        <v>214.17</v>
      </c>
      <c r="C140" s="1406">
        <v>276.91000000000003</v>
      </c>
      <c r="D140" s="1406">
        <v>374.62</v>
      </c>
      <c r="E140" s="1406">
        <v>1645.35</v>
      </c>
      <c r="F140" s="1406">
        <v>1721.32</v>
      </c>
      <c r="G140" s="1406">
        <v>4165.91</v>
      </c>
      <c r="H140" s="1406">
        <v>21513.42</v>
      </c>
      <c r="I140" s="1406">
        <v>2754.06</v>
      </c>
      <c r="J140" s="1407">
        <v>32665.759999999998</v>
      </c>
      <c r="K140" s="1405">
        <v>9.3439999999999994</v>
      </c>
      <c r="L140" s="1406">
        <v>13.27</v>
      </c>
      <c r="M140" s="1406">
        <v>222.17</v>
      </c>
      <c r="N140" s="1406">
        <v>353.83</v>
      </c>
      <c r="O140" s="1406">
        <v>161.30000000000001</v>
      </c>
      <c r="P140" s="1406">
        <v>188.32</v>
      </c>
      <c r="Q140" s="1406">
        <v>40.58</v>
      </c>
      <c r="R140" s="1406">
        <v>6.33</v>
      </c>
      <c r="S140" s="1406">
        <v>50.94</v>
      </c>
      <c r="T140" s="1406">
        <v>2.42</v>
      </c>
      <c r="U140" s="1406">
        <v>12.08</v>
      </c>
      <c r="V140" s="1406">
        <v>0.33</v>
      </c>
      <c r="W140" s="1406">
        <v>0.22</v>
      </c>
      <c r="X140" s="1407">
        <v>1061.1099999999999</v>
      </c>
      <c r="Y140" s="1408">
        <v>33726.869999999995</v>
      </c>
      <c r="Z140" s="1409"/>
      <c r="AA140" s="1413"/>
      <c r="AB140" s="1413"/>
      <c r="AC140" s="1410"/>
    </row>
    <row r="141" spans="1:29" ht="28.5" hidden="1" customHeight="1" x14ac:dyDescent="0.25">
      <c r="A141" s="1419">
        <v>43374</v>
      </c>
      <c r="B141" s="1405">
        <v>214.14735999999999</v>
      </c>
      <c r="C141" s="1406">
        <v>279.56740000000002</v>
      </c>
      <c r="D141" s="1406">
        <v>380.13560000000001</v>
      </c>
      <c r="E141" s="1406">
        <v>1675.5032000000001</v>
      </c>
      <c r="F141" s="1406">
        <v>1762.2106000000001</v>
      </c>
      <c r="G141" s="1406">
        <v>4373.2475000000004</v>
      </c>
      <c r="H141" s="1406">
        <v>22448.415000000001</v>
      </c>
      <c r="I141" s="1406">
        <v>2548.7979999999998</v>
      </c>
      <c r="J141" s="1407">
        <v>33682.021825000003</v>
      </c>
      <c r="K141" s="1405">
        <v>9.3567629700000001</v>
      </c>
      <c r="L141" s="1406">
        <v>13.272449999999999</v>
      </c>
      <c r="M141" s="1406">
        <v>224.74124</v>
      </c>
      <c r="N141" s="1406">
        <v>356.56486999999998</v>
      </c>
      <c r="O141" s="1406">
        <v>161.99993000000001</v>
      </c>
      <c r="P141" s="1406">
        <v>189.12840800000001</v>
      </c>
      <c r="Q141" s="1406">
        <v>40.778562000000001</v>
      </c>
      <c r="R141" s="1406">
        <v>6.3277894999999997</v>
      </c>
      <c r="S141" s="1406">
        <v>51.165770199999997</v>
      </c>
      <c r="T141" s="1406">
        <v>2.4173482000000002</v>
      </c>
      <c r="U141" s="1406">
        <v>12.148010599999999</v>
      </c>
      <c r="V141" s="1406">
        <v>0.33024841999999999</v>
      </c>
      <c r="W141" s="1406">
        <v>0.22298654999999998</v>
      </c>
      <c r="X141" s="1407">
        <v>1068.43837644</v>
      </c>
      <c r="Y141" s="1408">
        <v>34750.460201440001</v>
      </c>
      <c r="Z141" s="1409"/>
      <c r="AA141" s="1413"/>
      <c r="AB141" s="1413"/>
      <c r="AC141" s="1410"/>
    </row>
    <row r="142" spans="1:29" ht="28.5" hidden="1" customHeight="1" x14ac:dyDescent="0.25">
      <c r="A142" s="1419">
        <v>43405</v>
      </c>
      <c r="B142" s="1405">
        <v>214.09714500000001</v>
      </c>
      <c r="C142" s="1406">
        <v>278.513125</v>
      </c>
      <c r="D142" s="1406">
        <v>382.88099999999997</v>
      </c>
      <c r="E142" s="1406">
        <v>1745.0399</v>
      </c>
      <c r="F142" s="1406">
        <v>1841.0214000000001</v>
      </c>
      <c r="G142" s="1406">
        <v>4336.0860000000002</v>
      </c>
      <c r="H142" s="1406">
        <v>22656.263999999999</v>
      </c>
      <c r="I142" s="1406">
        <v>2457.058</v>
      </c>
      <c r="J142" s="1407">
        <v>33910.957535000001</v>
      </c>
      <c r="K142" s="1405">
        <v>9.3797629699999998</v>
      </c>
      <c r="L142" s="1406">
        <v>13.277950000000001</v>
      </c>
      <c r="M142" s="1406">
        <v>225.70208</v>
      </c>
      <c r="N142" s="1406">
        <v>359.78699</v>
      </c>
      <c r="O142" s="1406">
        <v>162.95586</v>
      </c>
      <c r="P142" s="1406">
        <v>190.52471399999999</v>
      </c>
      <c r="Q142" s="1406">
        <v>41.053680999999997</v>
      </c>
      <c r="R142" s="1406">
        <v>6.3275494999999999</v>
      </c>
      <c r="S142" s="1406">
        <v>51.368138200000004</v>
      </c>
      <c r="T142" s="1406">
        <v>2.4172192999999997</v>
      </c>
      <c r="U142" s="1406">
        <v>12.208329000000001</v>
      </c>
      <c r="V142" s="1406">
        <v>0.33023241999999997</v>
      </c>
      <c r="W142" s="1406">
        <v>0.22298026999999998</v>
      </c>
      <c r="X142" s="1407">
        <v>1075.5414866600001</v>
      </c>
      <c r="Y142" s="1408">
        <v>34986.499021659998</v>
      </c>
      <c r="Z142" s="1409"/>
      <c r="AA142" s="1413"/>
      <c r="AB142" s="1413"/>
      <c r="AC142" s="1410"/>
    </row>
    <row r="143" spans="1:29" ht="28.5" hidden="1" customHeight="1" x14ac:dyDescent="0.25">
      <c r="A143" s="1419">
        <v>43435</v>
      </c>
      <c r="B143" s="1405">
        <v>214.05</v>
      </c>
      <c r="C143" s="1406">
        <v>280.01</v>
      </c>
      <c r="D143" s="1406">
        <v>395.75</v>
      </c>
      <c r="E143" s="1406">
        <v>1953.95</v>
      </c>
      <c r="F143" s="1406">
        <v>2135.34</v>
      </c>
      <c r="G143" s="1406">
        <v>5088.43</v>
      </c>
      <c r="H143" s="1406">
        <v>25852.797999999999</v>
      </c>
      <c r="I143" s="1406">
        <v>2568.5</v>
      </c>
      <c r="J143" s="1407">
        <v>38488.83</v>
      </c>
      <c r="K143" s="1405">
        <v>9.3800000000000008</v>
      </c>
      <c r="L143" s="1406">
        <v>13.28</v>
      </c>
      <c r="M143" s="1406">
        <v>228.66</v>
      </c>
      <c r="N143" s="1406">
        <v>365.28</v>
      </c>
      <c r="O143" s="1406">
        <v>164.93</v>
      </c>
      <c r="P143" s="1406">
        <v>192.39</v>
      </c>
      <c r="Q143" s="1406">
        <v>41.36</v>
      </c>
      <c r="R143" s="1406">
        <v>6.33</v>
      </c>
      <c r="S143" s="1406">
        <v>51.58</v>
      </c>
      <c r="T143" s="1406">
        <v>2.42</v>
      </c>
      <c r="U143" s="1406">
        <v>12.26</v>
      </c>
      <c r="V143" s="1406">
        <v>0.33</v>
      </c>
      <c r="W143" s="1406">
        <v>0.22</v>
      </c>
      <c r="X143" s="1407">
        <v>1088.4000000000001</v>
      </c>
      <c r="Y143" s="1408">
        <v>39577.230000000003</v>
      </c>
      <c r="Z143" s="1409"/>
      <c r="AA143" s="1413"/>
      <c r="AB143" s="1413"/>
      <c r="AC143" s="1410"/>
    </row>
    <row r="144" spans="1:29" ht="26.25" hidden="1" customHeight="1" x14ac:dyDescent="0.25">
      <c r="A144" s="1420">
        <v>43466</v>
      </c>
      <c r="B144" s="1421">
        <v>214.01464999999999</v>
      </c>
      <c r="C144" s="1422">
        <v>277.73374999999999</v>
      </c>
      <c r="D144" s="1422">
        <v>398.97059999999999</v>
      </c>
      <c r="E144" s="1422">
        <v>1741.7492999999999</v>
      </c>
      <c r="F144" s="1422">
        <v>1859.7031999999999</v>
      </c>
      <c r="G144" s="1422">
        <v>4994.7115000000003</v>
      </c>
      <c r="H144" s="1422">
        <v>24515.992999999999</v>
      </c>
      <c r="I144" s="1422">
        <v>2386.3679999999999</v>
      </c>
      <c r="J144" s="1423">
        <v>36389.240425000004</v>
      </c>
      <c r="K144" s="1421">
        <v>9.3841479700000008</v>
      </c>
      <c r="L144" s="1422">
        <v>13.279949999999999</v>
      </c>
      <c r="M144" s="1422">
        <v>230.66746000000001</v>
      </c>
      <c r="N144" s="1422">
        <v>367.17757</v>
      </c>
      <c r="O144" s="1422">
        <v>166.61261999999999</v>
      </c>
      <c r="P144" s="1422">
        <v>193.92340100000001</v>
      </c>
      <c r="Q144" s="1422">
        <v>41.588541999999997</v>
      </c>
      <c r="R144" s="1422">
        <v>6.3275494999999999</v>
      </c>
      <c r="S144" s="1422">
        <v>51.744230999999999</v>
      </c>
      <c r="T144" s="1422">
        <v>2.4171974999999999</v>
      </c>
      <c r="U144" s="1422">
        <v>12.3107992</v>
      </c>
      <c r="V144" s="1422">
        <v>0.33023241999999997</v>
      </c>
      <c r="W144" s="1422">
        <v>0.22298045000000002</v>
      </c>
      <c r="X144" s="1423">
        <v>1095.97268104</v>
      </c>
      <c r="Y144" s="1424">
        <v>37485.213106040006</v>
      </c>
      <c r="Z144" s="1409"/>
      <c r="AA144" s="1413"/>
      <c r="AB144" s="1413"/>
      <c r="AC144" s="1410"/>
    </row>
    <row r="145" spans="1:29" ht="26.25" hidden="1" customHeight="1" x14ac:dyDescent="0.25">
      <c r="A145" s="1420">
        <v>43497</v>
      </c>
      <c r="B145" s="1421">
        <v>589.56190000000004</v>
      </c>
      <c r="C145" s="1422">
        <v>276.65204999999997</v>
      </c>
      <c r="D145" s="1422">
        <v>395.19495000000001</v>
      </c>
      <c r="E145" s="1422">
        <v>1626.7475999999999</v>
      </c>
      <c r="F145" s="1422">
        <v>1755.0935999999999</v>
      </c>
      <c r="G145" s="1422">
        <v>4779.6004999999996</v>
      </c>
      <c r="H145" s="1422">
        <v>23431.074000000001</v>
      </c>
      <c r="I145" s="1422">
        <v>1953.7819999999999</v>
      </c>
      <c r="J145" s="1423">
        <v>34807.706599999998</v>
      </c>
      <c r="K145" s="1421">
        <v>9.3889129699999998</v>
      </c>
      <c r="L145" s="1422">
        <v>13.281700000000001</v>
      </c>
      <c r="M145" s="1422">
        <v>231.3972</v>
      </c>
      <c r="N145" s="1422">
        <v>367.94166000000001</v>
      </c>
      <c r="O145" s="1422">
        <v>167.04433499999999</v>
      </c>
      <c r="P145" s="1422">
        <v>194.59473299999999</v>
      </c>
      <c r="Q145" s="1422">
        <v>41.643496499999998</v>
      </c>
      <c r="R145" s="1422">
        <v>6.3275432499999997</v>
      </c>
      <c r="S145" s="1422">
        <v>51.866202600000001</v>
      </c>
      <c r="T145" s="1422">
        <v>2.4171961</v>
      </c>
      <c r="U145" s="1422">
        <v>12.346193900000001</v>
      </c>
      <c r="V145" s="1422">
        <v>0.33023217999999999</v>
      </c>
      <c r="W145" s="1422">
        <v>0.22297677999999999</v>
      </c>
      <c r="X145" s="1423">
        <v>1098.78838228</v>
      </c>
      <c r="Y145" s="1424">
        <v>35906.494982279997</v>
      </c>
      <c r="Z145" s="1409"/>
      <c r="AA145" s="1413"/>
      <c r="AB145" s="1413"/>
      <c r="AC145" s="1410"/>
    </row>
    <row r="146" spans="1:29" ht="26.25" hidden="1" customHeight="1" x14ac:dyDescent="0.25">
      <c r="A146" s="1420">
        <v>43525</v>
      </c>
      <c r="B146" s="1421">
        <v>545.06064000000003</v>
      </c>
      <c r="C146" s="1422">
        <v>276.73989999999998</v>
      </c>
      <c r="D146" s="1422">
        <v>398.50869999999998</v>
      </c>
      <c r="E146" s="1422">
        <v>1680.6206999999999</v>
      </c>
      <c r="F146" s="1422">
        <v>1859.183</v>
      </c>
      <c r="G146" s="1422">
        <v>5051.1424999999999</v>
      </c>
      <c r="H146" s="1422">
        <v>23309.506000000001</v>
      </c>
      <c r="I146" s="1422">
        <v>2186.232</v>
      </c>
      <c r="J146" s="1423">
        <v>35306.993439999998</v>
      </c>
      <c r="K146" s="1421">
        <v>9.3901129700000006</v>
      </c>
      <c r="L146" s="1422">
        <v>13.282450000000001</v>
      </c>
      <c r="M146" s="1422">
        <v>233.98944</v>
      </c>
      <c r="N146" s="1422">
        <v>369.39692000000002</v>
      </c>
      <c r="O146" s="1422">
        <v>168.20524</v>
      </c>
      <c r="P146" s="1422">
        <v>195.49792199999999</v>
      </c>
      <c r="Q146" s="1422">
        <v>41.733426999999999</v>
      </c>
      <c r="R146" s="1422">
        <v>6.3274600000000003</v>
      </c>
      <c r="S146" s="1422">
        <v>52.042528199999992</v>
      </c>
      <c r="T146" s="1422">
        <v>2.4171572000000001</v>
      </c>
      <c r="U146" s="1422">
        <v>12.3907904</v>
      </c>
      <c r="V146" s="1422">
        <v>0.33022955999999998</v>
      </c>
      <c r="W146" s="1422">
        <v>0.22297549999999999</v>
      </c>
      <c r="X146" s="1423">
        <v>1105.21265283</v>
      </c>
      <c r="Y146" s="1424">
        <v>36412.206092829998</v>
      </c>
      <c r="Z146" s="1409"/>
      <c r="AA146" s="1413"/>
      <c r="AB146" s="1413"/>
      <c r="AC146" s="1410"/>
    </row>
    <row r="147" spans="1:29" ht="26.25" hidden="1" customHeight="1" x14ac:dyDescent="0.25">
      <c r="A147" s="1420">
        <v>43556</v>
      </c>
      <c r="B147" s="1421">
        <v>545.06064000000003</v>
      </c>
      <c r="C147" s="1422">
        <v>275.08452499999999</v>
      </c>
      <c r="D147" s="1422">
        <v>397.21974999999998</v>
      </c>
      <c r="E147" s="1422">
        <v>1669.2381</v>
      </c>
      <c r="F147" s="1422">
        <v>1940.2828</v>
      </c>
      <c r="G147" s="1422">
        <v>5033.3604999999998</v>
      </c>
      <c r="H147" s="1422">
        <v>23144.633999999998</v>
      </c>
      <c r="I147" s="1422">
        <v>2477.9340000000002</v>
      </c>
      <c r="J147" s="1423">
        <v>35456.966829999998</v>
      </c>
      <c r="K147" s="1421">
        <v>9.394512970000001</v>
      </c>
      <c r="L147" s="1422">
        <v>13.2842</v>
      </c>
      <c r="M147" s="1422">
        <v>237.99198000000001</v>
      </c>
      <c r="N147" s="1422">
        <v>371.3802</v>
      </c>
      <c r="O147" s="1422">
        <v>169.18971500000001</v>
      </c>
      <c r="P147" s="1422">
        <v>196.27344400000001</v>
      </c>
      <c r="Q147" s="1422">
        <v>41.961350000000003</v>
      </c>
      <c r="R147" s="1422">
        <v>6.3274600000000003</v>
      </c>
      <c r="S147" s="1422">
        <v>52.1931206</v>
      </c>
      <c r="T147" s="1422">
        <v>2.4171537999999999</v>
      </c>
      <c r="U147" s="1422">
        <v>12.4478882</v>
      </c>
      <c r="V147" s="1422">
        <v>0.33022873999999997</v>
      </c>
      <c r="W147" s="1422">
        <v>0.22297001</v>
      </c>
      <c r="X147" s="1423">
        <v>1113.4002233199999</v>
      </c>
      <c r="Y147" s="1424">
        <v>36570.367053319998</v>
      </c>
      <c r="Z147" s="1409"/>
      <c r="AA147" s="1413"/>
      <c r="AB147" s="1413"/>
      <c r="AC147" s="1410"/>
    </row>
    <row r="148" spans="1:29" ht="26.25" hidden="1" customHeight="1" x14ac:dyDescent="0.25">
      <c r="A148" s="1420">
        <v>43586</v>
      </c>
      <c r="B148" s="1421">
        <v>506.95</v>
      </c>
      <c r="C148" s="1422">
        <v>275.04000000000002</v>
      </c>
      <c r="D148" s="1422">
        <v>400.9</v>
      </c>
      <c r="E148" s="1422">
        <v>1668.9981</v>
      </c>
      <c r="F148" s="1422">
        <v>1948.76</v>
      </c>
      <c r="G148" s="1422">
        <v>4814.0259999999998</v>
      </c>
      <c r="H148" s="1422">
        <v>23201.82</v>
      </c>
      <c r="I148" s="1422">
        <v>2923.35</v>
      </c>
      <c r="J148" s="1423">
        <v>35739.839999999997</v>
      </c>
      <c r="K148" s="1421">
        <v>9.4</v>
      </c>
      <c r="L148" s="1422">
        <v>13.29</v>
      </c>
      <c r="M148" s="1422">
        <v>241.79</v>
      </c>
      <c r="N148" s="1422">
        <v>372.64</v>
      </c>
      <c r="O148" s="1422">
        <v>169.58</v>
      </c>
      <c r="P148" s="1422">
        <v>197.12</v>
      </c>
      <c r="Q148" s="1422">
        <v>42.09</v>
      </c>
      <c r="R148" s="1422">
        <v>6.33</v>
      </c>
      <c r="S148" s="1422">
        <v>52.36</v>
      </c>
      <c r="T148" s="1422">
        <v>2.42</v>
      </c>
      <c r="U148" s="1422">
        <v>12.49</v>
      </c>
      <c r="V148" s="1422">
        <v>0.33</v>
      </c>
      <c r="W148" s="1422">
        <v>0.23</v>
      </c>
      <c r="X148" s="1423">
        <v>1120.07</v>
      </c>
      <c r="Y148" s="1424">
        <v>36859.909999999996</v>
      </c>
      <c r="Z148" s="1409"/>
      <c r="AA148" s="1413"/>
      <c r="AB148" s="1413"/>
      <c r="AC148" s="1410"/>
    </row>
    <row r="149" spans="1:29" ht="26.25" hidden="1" customHeight="1" x14ac:dyDescent="0.25">
      <c r="A149" s="1420">
        <v>43617</v>
      </c>
      <c r="B149" s="1421">
        <v>499.24250999999998</v>
      </c>
      <c r="C149" s="1422">
        <v>273.30155000000002</v>
      </c>
      <c r="D149" s="1422">
        <v>400.62205</v>
      </c>
      <c r="E149" s="1422">
        <v>1687.1664000000001</v>
      </c>
      <c r="F149" s="1422">
        <v>1884.6592000000001</v>
      </c>
      <c r="G149" s="1422">
        <v>4703.8725000000004</v>
      </c>
      <c r="H149" s="1422">
        <v>22927.987000000001</v>
      </c>
      <c r="I149" s="1422">
        <v>2914.8119999999999</v>
      </c>
      <c r="J149" s="1423">
        <v>35291.663209999999</v>
      </c>
      <c r="K149" s="1421">
        <v>9.4036029700000014</v>
      </c>
      <c r="L149" s="1422">
        <v>13.285450000000001</v>
      </c>
      <c r="M149" s="1422">
        <v>243.03798</v>
      </c>
      <c r="N149" s="1422">
        <v>373.71109000000001</v>
      </c>
      <c r="O149" s="1422">
        <v>170.24180999999999</v>
      </c>
      <c r="P149" s="1422">
        <v>197.821752</v>
      </c>
      <c r="Q149" s="1422">
        <v>42.260398000000002</v>
      </c>
      <c r="R149" s="1422">
        <v>6.3273574999999997</v>
      </c>
      <c r="S149" s="1422">
        <v>52.490580000000001</v>
      </c>
      <c r="T149" s="1422">
        <v>2.4171537999999999</v>
      </c>
      <c r="U149" s="1422">
        <v>12.531803799999999</v>
      </c>
      <c r="V149" s="1422">
        <v>0.33022861999999997</v>
      </c>
      <c r="W149" s="1422">
        <v>0.22296549000000002</v>
      </c>
      <c r="X149" s="1423">
        <v>1124.0681721800001</v>
      </c>
      <c r="Y149" s="1424">
        <v>36415.731382179998</v>
      </c>
      <c r="Z149" s="1409"/>
      <c r="AA149" s="1413"/>
      <c r="AB149" s="1413"/>
      <c r="AC149" s="1410"/>
    </row>
    <row r="150" spans="1:29" ht="26.25" hidden="1" customHeight="1" x14ac:dyDescent="0.25">
      <c r="A150" s="1420">
        <v>43647</v>
      </c>
      <c r="B150" s="1421">
        <v>488.22701000000001</v>
      </c>
      <c r="C150" s="1422">
        <v>273.2817</v>
      </c>
      <c r="D150" s="1422">
        <v>399.8349</v>
      </c>
      <c r="E150" s="1422">
        <v>1704.7736</v>
      </c>
      <c r="F150" s="1422">
        <v>1921.242</v>
      </c>
      <c r="G150" s="1422">
        <v>4743.0910000000003</v>
      </c>
      <c r="H150" s="1422">
        <v>23374.159</v>
      </c>
      <c r="I150" s="1422">
        <v>2930.0479999999998</v>
      </c>
      <c r="J150" s="1423">
        <v>35834.657209999998</v>
      </c>
      <c r="K150" s="1421">
        <v>9.4056229700000014</v>
      </c>
      <c r="L150" s="1422">
        <v>13.2867</v>
      </c>
      <c r="M150" s="1422">
        <v>244.67486</v>
      </c>
      <c r="N150" s="1422">
        <v>375.23442</v>
      </c>
      <c r="O150" s="1422">
        <v>171.34587500000001</v>
      </c>
      <c r="P150" s="1422">
        <v>198.41181</v>
      </c>
      <c r="Q150" s="1422">
        <v>42.388714499999999</v>
      </c>
      <c r="R150" s="1422">
        <v>6.3273574999999997</v>
      </c>
      <c r="S150" s="1422">
        <v>52.652392200000001</v>
      </c>
      <c r="T150" s="1422">
        <v>2.4171537999999999</v>
      </c>
      <c r="U150" s="1422">
        <v>12.580463</v>
      </c>
      <c r="V150" s="1422">
        <v>0.33022861999999997</v>
      </c>
      <c r="W150" s="1422">
        <v>0.22296078</v>
      </c>
      <c r="X150" s="1423">
        <v>1129.2645583699998</v>
      </c>
      <c r="Y150" s="1424">
        <v>36963.921768369997</v>
      </c>
      <c r="Z150" s="1409"/>
      <c r="AA150" s="1413"/>
      <c r="AB150" s="1413"/>
      <c r="AC150" s="1410"/>
    </row>
    <row r="151" spans="1:29" ht="26.25" hidden="1" customHeight="1" x14ac:dyDescent="0.25">
      <c r="A151" s="1420">
        <v>43678</v>
      </c>
      <c r="B151" s="1421">
        <v>482.01630499999999</v>
      </c>
      <c r="C151" s="1422">
        <v>269.85095000000001</v>
      </c>
      <c r="D151" s="1422">
        <v>399.03154999999998</v>
      </c>
      <c r="E151" s="1422">
        <v>1700.3497</v>
      </c>
      <c r="F151" s="1422">
        <v>1828.8653999999999</v>
      </c>
      <c r="G151" s="1422">
        <v>4782.7524999999996</v>
      </c>
      <c r="H151" s="1422">
        <v>23320.870999999999</v>
      </c>
      <c r="I151" s="1422">
        <v>3064.0059999999999</v>
      </c>
      <c r="J151" s="1423">
        <v>35847.743405000001</v>
      </c>
      <c r="K151" s="1421">
        <v>9.4140379700000008</v>
      </c>
      <c r="L151" s="1422">
        <v>13.287699999999999</v>
      </c>
      <c r="M151" s="1422">
        <v>246.61358000000001</v>
      </c>
      <c r="N151" s="1422">
        <v>375.92225999999999</v>
      </c>
      <c r="O151" s="1422">
        <v>171.61705000000001</v>
      </c>
      <c r="P151" s="1422">
        <v>198.93368799999999</v>
      </c>
      <c r="Q151" s="1422">
        <v>42.490621500000003</v>
      </c>
      <c r="R151" s="1422">
        <v>6.3272712499999999</v>
      </c>
      <c r="S151" s="1422">
        <v>52.775196799999996</v>
      </c>
      <c r="T151" s="1422">
        <v>2.4171098999999998</v>
      </c>
      <c r="U151" s="1422">
        <v>12.613603099999999</v>
      </c>
      <c r="V151" s="1422">
        <v>0.33022861999999997</v>
      </c>
      <c r="W151" s="1422">
        <v>0.22295954999999998</v>
      </c>
      <c r="X151" s="1423">
        <v>1132.9523066900001</v>
      </c>
      <c r="Y151" s="1424">
        <v>36980.695711690001</v>
      </c>
      <c r="Z151" s="1409"/>
      <c r="AA151" s="1413"/>
      <c r="AB151" s="1413"/>
      <c r="AC151" s="1410"/>
    </row>
    <row r="152" spans="1:29" ht="26.25" hidden="1" customHeight="1" x14ac:dyDescent="0.25">
      <c r="A152" s="1420">
        <v>43709</v>
      </c>
      <c r="B152" s="1421">
        <v>475.33053999999998</v>
      </c>
      <c r="C152" s="1422">
        <v>269.06807500000002</v>
      </c>
      <c r="D152" s="1422">
        <v>400.13965000000002</v>
      </c>
      <c r="E152" s="1422">
        <v>1648.7862</v>
      </c>
      <c r="F152" s="1422">
        <v>1812.0788</v>
      </c>
      <c r="G152" s="1422">
        <v>4706.9539999999997</v>
      </c>
      <c r="H152" s="1422">
        <v>22734.566999999999</v>
      </c>
      <c r="I152" s="1422">
        <v>3179.7640000000001</v>
      </c>
      <c r="J152" s="1423">
        <v>35226.688264999997</v>
      </c>
      <c r="K152" s="1421">
        <v>9.4140379700000008</v>
      </c>
      <c r="L152" s="1422">
        <v>13.289199999999999</v>
      </c>
      <c r="M152" s="1422">
        <v>251.72855999999999</v>
      </c>
      <c r="N152" s="1422">
        <v>377.79223999999999</v>
      </c>
      <c r="O152" s="1422">
        <v>172.18616</v>
      </c>
      <c r="P152" s="1422">
        <v>199.90545399999999</v>
      </c>
      <c r="Q152" s="1422">
        <v>42.617626999999999</v>
      </c>
      <c r="R152" s="1422">
        <v>6.3272517500000003</v>
      </c>
      <c r="S152" s="1422">
        <v>52.948314400000008</v>
      </c>
      <c r="T152" s="1422">
        <v>2.4171098999999998</v>
      </c>
      <c r="U152" s="1422">
        <v>12.667341200000001</v>
      </c>
      <c r="V152" s="1422">
        <v>0.33022861999999997</v>
      </c>
      <c r="W152" s="1422">
        <v>0.22296057000000002</v>
      </c>
      <c r="X152" s="1423">
        <v>1141.83548541</v>
      </c>
      <c r="Y152" s="1424">
        <v>36368.523750410001</v>
      </c>
      <c r="Z152" s="1409"/>
      <c r="AA152" s="1413"/>
      <c r="AB152" s="1413"/>
      <c r="AC152" s="1410"/>
    </row>
    <row r="153" spans="1:29" ht="26.25" hidden="1" customHeight="1" x14ac:dyDescent="0.25">
      <c r="A153" s="1420">
        <v>43739</v>
      </c>
      <c r="B153" s="1421">
        <v>469.42712</v>
      </c>
      <c r="C153" s="1422">
        <v>268.61085000000003</v>
      </c>
      <c r="D153" s="1422">
        <v>410.09465</v>
      </c>
      <c r="E153" s="1422">
        <v>1708.3385000000001</v>
      </c>
      <c r="F153" s="1422">
        <v>1924.4872</v>
      </c>
      <c r="G153" s="1422">
        <v>4934.3869999999997</v>
      </c>
      <c r="H153" s="1422">
        <v>24215.231</v>
      </c>
      <c r="I153" s="1422">
        <v>3305.0120000000002</v>
      </c>
      <c r="J153" s="1423">
        <v>37235.588320000003</v>
      </c>
      <c r="K153" s="1421">
        <v>9.4200979700000005</v>
      </c>
      <c r="L153" s="1422">
        <v>13.291700000000001</v>
      </c>
      <c r="M153" s="1422">
        <v>255.66213999999999</v>
      </c>
      <c r="N153" s="1422">
        <v>379.52976999999998</v>
      </c>
      <c r="O153" s="1422">
        <v>172.867715</v>
      </c>
      <c r="P153" s="1422">
        <v>200.572844</v>
      </c>
      <c r="Q153" s="1422">
        <v>42.7895495</v>
      </c>
      <c r="R153" s="1422">
        <v>6.32721775</v>
      </c>
      <c r="S153" s="1422">
        <v>53.110289000000002</v>
      </c>
      <c r="T153" s="1422">
        <v>2.4169451</v>
      </c>
      <c r="U153" s="1422">
        <v>12.709757400000001</v>
      </c>
      <c r="V153" s="1422">
        <v>0.33022861999999997</v>
      </c>
      <c r="W153" s="1422">
        <v>0.22296028000000001</v>
      </c>
      <c r="X153" s="1423">
        <v>1149.2412146199999</v>
      </c>
      <c r="Y153" s="1424">
        <v>38384.829534620003</v>
      </c>
      <c r="Z153" s="1409"/>
      <c r="AA153" s="1413"/>
      <c r="AB153" s="1413"/>
      <c r="AC153" s="1410"/>
    </row>
    <row r="154" spans="1:29" ht="26.25" hidden="1" customHeight="1" x14ac:dyDescent="0.25">
      <c r="A154" s="1420">
        <v>43770</v>
      </c>
      <c r="B154" s="1421">
        <v>465.16061000000002</v>
      </c>
      <c r="C154" s="1422">
        <v>267.15177499999999</v>
      </c>
      <c r="D154" s="1422">
        <v>415.27679999999998</v>
      </c>
      <c r="E154" s="1422">
        <v>1718.8235</v>
      </c>
      <c r="F154" s="1422">
        <v>1875.4767999999999</v>
      </c>
      <c r="G154" s="1422">
        <v>4869.7929999999997</v>
      </c>
      <c r="H154" s="1422">
        <v>23865.637999999999</v>
      </c>
      <c r="I154" s="1422">
        <v>3343.0639999999999</v>
      </c>
      <c r="J154" s="1423">
        <v>36820.384485000002</v>
      </c>
      <c r="K154" s="1421">
        <v>9.4217179700000013</v>
      </c>
      <c r="L154" s="1422">
        <v>13.292199999999999</v>
      </c>
      <c r="M154" s="1422">
        <v>261.43072000000001</v>
      </c>
      <c r="N154" s="1422">
        <v>384.01783</v>
      </c>
      <c r="O154" s="1422">
        <v>173.38079500000001</v>
      </c>
      <c r="P154" s="1422">
        <v>201.75920600000001</v>
      </c>
      <c r="Q154" s="1422">
        <v>42.922517999999997</v>
      </c>
      <c r="R154" s="1422">
        <v>6.32721775</v>
      </c>
      <c r="S154" s="1422">
        <v>53.266120799999996</v>
      </c>
      <c r="T154" s="1422">
        <v>2.4168801000000002</v>
      </c>
      <c r="U154" s="1422">
        <v>12.767947099999999</v>
      </c>
      <c r="V154" s="1422">
        <v>0.33022861999999997</v>
      </c>
      <c r="W154" s="1422">
        <v>0.22296032000000002</v>
      </c>
      <c r="X154" s="1423">
        <v>1161.55634166</v>
      </c>
      <c r="Y154" s="1424">
        <v>37981.94082666</v>
      </c>
      <c r="Z154" s="1409"/>
      <c r="AA154" s="1413"/>
      <c r="AB154" s="1413"/>
      <c r="AC154" s="1410"/>
    </row>
    <row r="155" spans="1:29" ht="26.25" hidden="1" customHeight="1" x14ac:dyDescent="0.25">
      <c r="A155" s="1420">
        <v>43800</v>
      </c>
      <c r="B155" s="1421">
        <v>460.84383500000001</v>
      </c>
      <c r="C155" s="1422">
        <v>267.42380000000003</v>
      </c>
      <c r="D155" s="1422">
        <v>429.09519999999998</v>
      </c>
      <c r="E155" s="1422">
        <v>1885.3357000000001</v>
      </c>
      <c r="F155" s="1422">
        <v>2174.6783999999998</v>
      </c>
      <c r="G155" s="1422">
        <v>5548.2</v>
      </c>
      <c r="H155" s="1422">
        <v>27703.547999999999</v>
      </c>
      <c r="I155" s="1422">
        <v>3754.7759999999998</v>
      </c>
      <c r="J155" s="1423">
        <v>42223.900934999998</v>
      </c>
      <c r="K155" s="1421">
        <v>9.4302779700000006</v>
      </c>
      <c r="L155" s="1422">
        <v>13.293699999999999</v>
      </c>
      <c r="M155" s="1422">
        <v>267.63763999999998</v>
      </c>
      <c r="N155" s="1422">
        <v>388.64452</v>
      </c>
      <c r="O155" s="1422">
        <v>174.93935500000001</v>
      </c>
      <c r="P155" s="1422">
        <v>203.36048199999999</v>
      </c>
      <c r="Q155" s="1422">
        <v>43.078006999999999</v>
      </c>
      <c r="R155" s="1422">
        <v>6.3271237500000002</v>
      </c>
      <c r="S155" s="1422">
        <v>53.500916400000001</v>
      </c>
      <c r="T155" s="1422">
        <v>2.4168161000000001</v>
      </c>
      <c r="U155" s="1422">
        <v>12.8261226</v>
      </c>
      <c r="V155" s="1422">
        <v>0.33022861999999997</v>
      </c>
      <c r="W155" s="1422">
        <v>0.22295981000000001</v>
      </c>
      <c r="X155" s="1423">
        <v>1175.9981492500001</v>
      </c>
      <c r="Y155" s="1424">
        <v>43399.899084249999</v>
      </c>
      <c r="Z155" s="1409"/>
      <c r="AA155" s="1413"/>
      <c r="AB155" s="1413"/>
      <c r="AC155" s="1410"/>
    </row>
    <row r="156" spans="1:29" ht="26.25" hidden="1" customHeight="1" x14ac:dyDescent="0.25">
      <c r="A156" s="1420">
        <v>43831</v>
      </c>
      <c r="B156" s="1421">
        <v>454.05225000000002</v>
      </c>
      <c r="C156" s="1422">
        <v>264.66070000000002</v>
      </c>
      <c r="D156" s="1422">
        <v>426.32690000000002</v>
      </c>
      <c r="E156" s="1422">
        <v>1739.2230999999999</v>
      </c>
      <c r="F156" s="1422">
        <v>2008.1176</v>
      </c>
      <c r="G156" s="1422">
        <v>5122.9624999999996</v>
      </c>
      <c r="H156" s="1422">
        <v>25480.876</v>
      </c>
      <c r="I156" s="1422">
        <v>3711.1439999999998</v>
      </c>
      <c r="J156" s="1423">
        <v>39207.36305</v>
      </c>
      <c r="K156" s="1421">
        <v>9.4334779700000002</v>
      </c>
      <c r="L156" s="1422">
        <v>13.2942</v>
      </c>
      <c r="M156" s="1422">
        <v>271.26852000000002</v>
      </c>
      <c r="N156" s="1422">
        <v>393.43360000000001</v>
      </c>
      <c r="O156" s="1422">
        <v>176.092375</v>
      </c>
      <c r="P156" s="1422">
        <v>204.709755</v>
      </c>
      <c r="Q156" s="1422">
        <v>43.302875</v>
      </c>
      <c r="R156" s="1422">
        <v>6.3270935000000001</v>
      </c>
      <c r="S156" s="1422">
        <v>53.672901200000005</v>
      </c>
      <c r="T156" s="1422">
        <v>2.4167982000000001</v>
      </c>
      <c r="U156" s="1422">
        <v>12.871310250000001</v>
      </c>
      <c r="V156" s="1422">
        <v>0.33022841999999997</v>
      </c>
      <c r="W156" s="1422">
        <v>0.22300891</v>
      </c>
      <c r="X156" s="1423">
        <v>1187.36614345</v>
      </c>
      <c r="Y156" s="1424">
        <v>40394.729193450003</v>
      </c>
      <c r="Z156" s="1409"/>
      <c r="AA156" s="1413"/>
      <c r="AB156" s="1413"/>
      <c r="AC156" s="1410"/>
    </row>
    <row r="157" spans="1:29" ht="26.25" hidden="1" customHeight="1" x14ac:dyDescent="0.25">
      <c r="A157" s="1420">
        <v>43862</v>
      </c>
      <c r="B157" s="1421">
        <v>451.64557500000001</v>
      </c>
      <c r="C157" s="1422">
        <v>265.02674999999999</v>
      </c>
      <c r="D157" s="1422">
        <v>425.51909999999998</v>
      </c>
      <c r="E157" s="1422">
        <v>1700.5112999999999</v>
      </c>
      <c r="F157" s="1422">
        <v>1961.4114</v>
      </c>
      <c r="G157" s="1422">
        <v>5132.5349999999999</v>
      </c>
      <c r="H157" s="1422">
        <v>24986.244999999999</v>
      </c>
      <c r="I157" s="1422">
        <v>3750.33</v>
      </c>
      <c r="J157" s="1423">
        <v>38673.224125000001</v>
      </c>
      <c r="K157" s="1421">
        <v>9.43972297</v>
      </c>
      <c r="L157" s="1422">
        <v>13.294700000000001</v>
      </c>
      <c r="M157" s="1422">
        <v>272.07458000000003</v>
      </c>
      <c r="N157" s="1422">
        <v>396.02852999999999</v>
      </c>
      <c r="O157" s="1422">
        <v>176.97744499999999</v>
      </c>
      <c r="P157" s="1422">
        <v>205.63541000000001</v>
      </c>
      <c r="Q157" s="1422">
        <v>43.405832500000002</v>
      </c>
      <c r="R157" s="1422">
        <v>6.3269460000000004</v>
      </c>
      <c r="S157" s="1422">
        <v>53.794892400000002</v>
      </c>
      <c r="T157" s="1422">
        <v>2.4167603</v>
      </c>
      <c r="U157" s="1422">
        <v>12.914703599999998</v>
      </c>
      <c r="V157" s="1422">
        <v>0.33022841999999997</v>
      </c>
      <c r="W157" s="1422">
        <v>0.22300956</v>
      </c>
      <c r="X157" s="1423">
        <v>1192.85276075</v>
      </c>
      <c r="Y157" s="1424">
        <v>39866.076885750001</v>
      </c>
      <c r="Z157" s="1409"/>
      <c r="AA157" s="1413"/>
      <c r="AB157" s="1413"/>
      <c r="AC157" s="1410"/>
    </row>
    <row r="158" spans="1:29" ht="26.25" hidden="1" customHeight="1" x14ac:dyDescent="0.25">
      <c r="A158" s="1420">
        <v>43891</v>
      </c>
      <c r="B158" s="1421">
        <v>450.55069500000002</v>
      </c>
      <c r="C158" s="1422">
        <v>266.54804999999999</v>
      </c>
      <c r="D158" s="1422">
        <v>418.9812</v>
      </c>
      <c r="E158" s="1422">
        <v>1762.8403000000001</v>
      </c>
      <c r="F158" s="1422">
        <v>2015.2542000000001</v>
      </c>
      <c r="G158" s="1422">
        <v>5224.7825000000003</v>
      </c>
      <c r="H158" s="1422">
        <v>25767.312999999998</v>
      </c>
      <c r="I158" s="1422">
        <v>3909.2759999999998</v>
      </c>
      <c r="J158" s="1423">
        <v>39814.959094999998</v>
      </c>
      <c r="K158" s="1421">
        <v>9.43972297</v>
      </c>
      <c r="L158" s="1422">
        <v>13.294700000000001</v>
      </c>
      <c r="M158" s="1422">
        <v>273.10721999999998</v>
      </c>
      <c r="N158" s="1422">
        <v>397.38634000000002</v>
      </c>
      <c r="O158" s="1422">
        <v>177.16726</v>
      </c>
      <c r="P158" s="1422">
        <v>206.37669600000001</v>
      </c>
      <c r="Q158" s="1422">
        <v>43.556817000000002</v>
      </c>
      <c r="R158" s="1422">
        <v>6.3269060000000001</v>
      </c>
      <c r="S158" s="1422">
        <v>53.875869799999997</v>
      </c>
      <c r="T158" s="1422">
        <v>2.4167269</v>
      </c>
      <c r="U158" s="1422">
        <v>12.948290649999999</v>
      </c>
      <c r="V158" s="1422">
        <v>0.33022841999999997</v>
      </c>
      <c r="W158" s="1422">
        <v>0.22300914000000002</v>
      </c>
      <c r="X158" s="1423">
        <v>1196.4397868800002</v>
      </c>
      <c r="Y158" s="1424">
        <v>41011.398881879999</v>
      </c>
      <c r="Z158" s="1409"/>
      <c r="AA158" s="1413"/>
      <c r="AB158" s="1413"/>
      <c r="AC158" s="1410"/>
    </row>
    <row r="159" spans="1:29" ht="26.25" hidden="1" customHeight="1" x14ac:dyDescent="0.25">
      <c r="A159" s="1420">
        <v>43922</v>
      </c>
      <c r="B159" s="1421">
        <v>449.92184500000002</v>
      </c>
      <c r="C159" s="1422">
        <v>267.57102500000002</v>
      </c>
      <c r="D159" s="1422">
        <v>423.88380000000001</v>
      </c>
      <c r="E159" s="1422">
        <v>1845.9331</v>
      </c>
      <c r="F159" s="1422">
        <v>2084.1496000000002</v>
      </c>
      <c r="G159" s="1422">
        <v>5516.6859999999997</v>
      </c>
      <c r="H159" s="1422">
        <v>27189.506000000001</v>
      </c>
      <c r="I159" s="1422">
        <v>3875.2539999999999</v>
      </c>
      <c r="J159" s="1423">
        <v>41652.90537</v>
      </c>
      <c r="K159" s="1421">
        <v>9.43972297</v>
      </c>
      <c r="L159" s="1422">
        <v>13.294700000000001</v>
      </c>
      <c r="M159" s="1422">
        <v>274.86786000000001</v>
      </c>
      <c r="N159" s="1422">
        <v>397.55641000000003</v>
      </c>
      <c r="O159" s="1422">
        <v>177.382755</v>
      </c>
      <c r="P159" s="1422">
        <v>206.65251599999999</v>
      </c>
      <c r="Q159" s="1422">
        <v>43.5633135</v>
      </c>
      <c r="R159" s="1422">
        <v>6.3269060000000001</v>
      </c>
      <c r="S159" s="1422">
        <v>53.896467600000001</v>
      </c>
      <c r="T159" s="1422">
        <v>2.4167269</v>
      </c>
      <c r="U159" s="1422">
        <v>12.953390599999999</v>
      </c>
      <c r="V159" s="1422">
        <v>0.33022841999999997</v>
      </c>
      <c r="W159" s="1422">
        <v>0.22300851000000002</v>
      </c>
      <c r="X159" s="1423">
        <v>1198.8940055</v>
      </c>
      <c r="Y159" s="1424">
        <v>42851.799375499999</v>
      </c>
      <c r="Z159" s="1409"/>
      <c r="AA159" s="1413"/>
      <c r="AB159" s="1413"/>
      <c r="AC159" s="1410"/>
    </row>
    <row r="160" spans="1:29" ht="26.25" hidden="1" customHeight="1" x14ac:dyDescent="0.25">
      <c r="A160" s="1420">
        <v>43952</v>
      </c>
      <c r="B160" s="1421">
        <v>449.88984499999998</v>
      </c>
      <c r="C160" s="1422">
        <v>266.96702499999998</v>
      </c>
      <c r="D160" s="1422">
        <v>423.23025000000001</v>
      </c>
      <c r="E160" s="1422">
        <v>1879.7402</v>
      </c>
      <c r="F160" s="1422">
        <v>2073.6417999999999</v>
      </c>
      <c r="G160" s="1422">
        <v>5599.7725</v>
      </c>
      <c r="H160" s="1422">
        <v>27256.722000000002</v>
      </c>
      <c r="I160" s="1422">
        <v>3880.364</v>
      </c>
      <c r="J160" s="1423">
        <v>41830.327619999996</v>
      </c>
      <c r="K160" s="1421">
        <v>9.43972297</v>
      </c>
      <c r="L160" s="1422">
        <v>13.294700000000001</v>
      </c>
      <c r="M160" s="1422">
        <v>275.42633999999998</v>
      </c>
      <c r="N160" s="1422">
        <v>398.61900000000003</v>
      </c>
      <c r="O160" s="1422">
        <v>177.993165</v>
      </c>
      <c r="P160" s="1422">
        <v>207.109556</v>
      </c>
      <c r="Q160" s="1422">
        <v>43.639270000000003</v>
      </c>
      <c r="R160" s="1422">
        <v>6.3269060000000001</v>
      </c>
      <c r="S160" s="1422">
        <v>53.947662000000001</v>
      </c>
      <c r="T160" s="1422">
        <v>2.4167269</v>
      </c>
      <c r="U160" s="1422">
        <v>12.968840550000001</v>
      </c>
      <c r="V160" s="1422">
        <v>0.33022841999999997</v>
      </c>
      <c r="W160" s="1422">
        <v>0.22300755</v>
      </c>
      <c r="X160" s="1423">
        <v>1201.7251253900001</v>
      </c>
      <c r="Y160" s="1424">
        <v>43032.052745389999</v>
      </c>
      <c r="Z160" s="1409"/>
      <c r="AA160" s="1413"/>
      <c r="AB160" s="1413"/>
      <c r="AC160" s="1410"/>
    </row>
    <row r="161" spans="1:29" ht="26.25" hidden="1" customHeight="1" x14ac:dyDescent="0.25">
      <c r="A161" s="1420">
        <v>43983</v>
      </c>
      <c r="B161" s="1421">
        <v>446.24662999999998</v>
      </c>
      <c r="C161" s="1422">
        <v>264.69274999999999</v>
      </c>
      <c r="D161" s="1422">
        <v>411.8476</v>
      </c>
      <c r="E161" s="1422">
        <v>1805.9627</v>
      </c>
      <c r="F161" s="1422">
        <v>2021.1496</v>
      </c>
      <c r="G161" s="1422">
        <v>5365.5645000000004</v>
      </c>
      <c r="H161" s="1422">
        <v>27105.902999999998</v>
      </c>
      <c r="I161" s="1422">
        <v>3705.01</v>
      </c>
      <c r="J161" s="1423">
        <v>41126.376779999999</v>
      </c>
      <c r="K161" s="1421">
        <v>9.4425429699999999</v>
      </c>
      <c r="L161" s="1422">
        <v>13.2957</v>
      </c>
      <c r="M161" s="1422">
        <v>277.6891</v>
      </c>
      <c r="N161" s="1422">
        <v>399.1814</v>
      </c>
      <c r="O161" s="1422">
        <v>178.096025</v>
      </c>
      <c r="P161" s="1422">
        <v>207.71552</v>
      </c>
      <c r="Q161" s="1422">
        <v>43.643756500000002</v>
      </c>
      <c r="R161" s="1422">
        <v>6.3267067499999996</v>
      </c>
      <c r="S161" s="1422">
        <v>54.028697000000001</v>
      </c>
      <c r="T161" s="1422">
        <v>2.4167033999999998</v>
      </c>
      <c r="U161" s="1422">
        <v>12.989683449999999</v>
      </c>
      <c r="V161" s="1422">
        <v>0.33021341999999998</v>
      </c>
      <c r="W161" s="1422">
        <v>0.22300829999999999</v>
      </c>
      <c r="X161" s="1423">
        <v>1205.3690567900001</v>
      </c>
      <c r="Y161" s="1424">
        <v>42331.745836789996</v>
      </c>
      <c r="Z161" s="1409"/>
      <c r="AA161" s="1413"/>
      <c r="AB161" s="1413"/>
      <c r="AC161" s="1410"/>
    </row>
    <row r="162" spans="1:29" ht="26.25" customHeight="1" x14ac:dyDescent="0.25">
      <c r="A162" s="1420">
        <v>44013</v>
      </c>
      <c r="B162" s="1421">
        <v>443.624165</v>
      </c>
      <c r="C162" s="1422">
        <v>265.61397499999998</v>
      </c>
      <c r="D162" s="1422">
        <v>413.24284999999998</v>
      </c>
      <c r="E162" s="1422">
        <v>1776.8151</v>
      </c>
      <c r="F162" s="1422">
        <v>2012.4313999999999</v>
      </c>
      <c r="G162" s="1422">
        <v>5393.4735000000001</v>
      </c>
      <c r="H162" s="1422">
        <v>27328.543000000001</v>
      </c>
      <c r="I162" s="1422">
        <v>3747.2739999999999</v>
      </c>
      <c r="J162" s="1423">
        <v>41381.01799</v>
      </c>
      <c r="K162" s="1421">
        <v>9.4459429700000008</v>
      </c>
      <c r="L162" s="1422">
        <v>13.296200000000001</v>
      </c>
      <c r="M162" s="1422">
        <v>280.05772000000002</v>
      </c>
      <c r="N162" s="1422">
        <v>399.93637999999999</v>
      </c>
      <c r="O162" s="1422">
        <v>178.22309000000001</v>
      </c>
      <c r="P162" s="1422">
        <v>208.00498899999999</v>
      </c>
      <c r="Q162" s="1422">
        <v>43.697123499999996</v>
      </c>
      <c r="R162" s="1422">
        <v>6.3267067499999996</v>
      </c>
      <c r="S162" s="1422">
        <v>54.121015</v>
      </c>
      <c r="T162" s="1422">
        <v>2.4167033999999998</v>
      </c>
      <c r="U162" s="1422">
        <v>13.0202206</v>
      </c>
      <c r="V162" s="1422">
        <v>0.33021341999999998</v>
      </c>
      <c r="W162" s="1422">
        <v>0.22300702999999999</v>
      </c>
      <c r="X162" s="1423">
        <v>1209.0893116700001</v>
      </c>
      <c r="Y162" s="1424">
        <v>42590.107301670003</v>
      </c>
      <c r="Z162" s="1409"/>
      <c r="AA162" s="1413"/>
      <c r="AB162" s="1413"/>
      <c r="AC162" s="1410"/>
    </row>
    <row r="163" spans="1:29" ht="26.25" customHeight="1" x14ac:dyDescent="0.25">
      <c r="A163" s="1420">
        <v>44044</v>
      </c>
      <c r="B163" s="1421">
        <v>441.69484499999999</v>
      </c>
      <c r="C163" s="1422">
        <v>264.48865000000001</v>
      </c>
      <c r="D163" s="1422">
        <v>411.74984999999998</v>
      </c>
      <c r="E163" s="1422">
        <v>1798.6666</v>
      </c>
      <c r="F163" s="1422">
        <v>1987.277</v>
      </c>
      <c r="G163" s="1422">
        <v>5257.4754999999996</v>
      </c>
      <c r="H163" s="1422">
        <v>26928.668000000001</v>
      </c>
      <c r="I163" s="1422">
        <v>3754.9520000000002</v>
      </c>
      <c r="J163" s="1423">
        <v>40844.972444999999</v>
      </c>
      <c r="K163" s="1421">
        <v>9.4562429699999999</v>
      </c>
      <c r="L163" s="1422">
        <v>13.2912</v>
      </c>
      <c r="M163" s="1422">
        <v>279.79827999999998</v>
      </c>
      <c r="N163" s="1422">
        <v>397.62560000000002</v>
      </c>
      <c r="O163" s="1422">
        <v>178.335725</v>
      </c>
      <c r="P163" s="1422">
        <v>208.20871</v>
      </c>
      <c r="Q163" s="1422">
        <v>43.7881255</v>
      </c>
      <c r="R163" s="1422">
        <v>6.3259530000000002</v>
      </c>
      <c r="S163" s="1422">
        <v>54.240259799999997</v>
      </c>
      <c r="T163" s="1422">
        <v>2.4163916000000003</v>
      </c>
      <c r="U163" s="1422">
        <v>13.046870800000001</v>
      </c>
      <c r="V163" s="1422">
        <v>0.33018197999999999</v>
      </c>
      <c r="W163" s="1422">
        <v>0.22300326000000001</v>
      </c>
      <c r="X163" s="1423">
        <v>1207.0835439100001</v>
      </c>
      <c r="Y163" s="1424">
        <v>42052.055988909997</v>
      </c>
      <c r="Z163" s="1409"/>
      <c r="AA163" s="1413"/>
      <c r="AB163" s="1413"/>
      <c r="AC163" s="1410"/>
    </row>
    <row r="164" spans="1:29" ht="26.25" customHeight="1" x14ac:dyDescent="0.25">
      <c r="A164" s="1420">
        <v>44075</v>
      </c>
      <c r="B164" s="1421">
        <v>439.70673499999998</v>
      </c>
      <c r="C164" s="1422">
        <v>263.04885000000002</v>
      </c>
      <c r="D164" s="1422">
        <v>409.60415</v>
      </c>
      <c r="E164" s="1422">
        <v>1782.4603999999999</v>
      </c>
      <c r="F164" s="1422">
        <v>1944.4831999999999</v>
      </c>
      <c r="G164" s="1422">
        <v>5328.7250000000004</v>
      </c>
      <c r="H164" s="1422">
        <v>27031.597000000002</v>
      </c>
      <c r="I164" s="1422">
        <v>3832.06</v>
      </c>
      <c r="J164" s="1423">
        <v>41031.685335000002</v>
      </c>
      <c r="K164" s="1421">
        <v>9.4629429700000003</v>
      </c>
      <c r="L164" s="1422">
        <v>13.2912</v>
      </c>
      <c r="M164" s="1422">
        <v>279.77803999999998</v>
      </c>
      <c r="N164" s="1422">
        <v>395.86836</v>
      </c>
      <c r="O164" s="1422">
        <v>177.78685999999999</v>
      </c>
      <c r="P164" s="1422">
        <v>208.20863299999999</v>
      </c>
      <c r="Q164" s="1422">
        <v>43.778219499999999</v>
      </c>
      <c r="R164" s="1422">
        <v>6.3255272500000004</v>
      </c>
      <c r="S164" s="1422">
        <v>54.237295599999996</v>
      </c>
      <c r="T164" s="1422">
        <v>2.4161116000000002</v>
      </c>
      <c r="U164" s="1422">
        <v>13.054523699999999</v>
      </c>
      <c r="V164" s="1422">
        <v>0.3301615</v>
      </c>
      <c r="W164" s="1422">
        <v>0.22299505999999997</v>
      </c>
      <c r="X164" s="1423">
        <v>1204.7578701800001</v>
      </c>
      <c r="Y164" s="1424">
        <v>42236.443205180003</v>
      </c>
      <c r="Z164" s="1409"/>
      <c r="AA164" s="1413"/>
      <c r="AB164" s="1413"/>
      <c r="AC164" s="1410"/>
    </row>
    <row r="165" spans="1:29" ht="26.25" customHeight="1" x14ac:dyDescent="0.25">
      <c r="A165" s="1420">
        <v>44105</v>
      </c>
      <c r="B165" s="1421">
        <v>438.19234999999998</v>
      </c>
      <c r="C165" s="1422">
        <v>262.80459999999999</v>
      </c>
      <c r="D165" s="1422">
        <v>411.36385000000001</v>
      </c>
      <c r="E165" s="1422">
        <v>1751.2882999999999</v>
      </c>
      <c r="F165" s="1422">
        <v>1949.6918000000001</v>
      </c>
      <c r="G165" s="1422">
        <v>5249.8055000000004</v>
      </c>
      <c r="H165" s="1422">
        <v>27396.088</v>
      </c>
      <c r="I165" s="1422">
        <v>3902.89</v>
      </c>
      <c r="J165" s="1423">
        <v>41362.124400000001</v>
      </c>
      <c r="K165" s="1421">
        <v>9.4629429700000003</v>
      </c>
      <c r="L165" s="1422">
        <v>13.2912</v>
      </c>
      <c r="M165" s="1422">
        <v>279.27875999999998</v>
      </c>
      <c r="N165" s="1422">
        <v>397.99392999999998</v>
      </c>
      <c r="O165" s="1422">
        <v>177.993415</v>
      </c>
      <c r="P165" s="1422">
        <v>208.61995400000001</v>
      </c>
      <c r="Q165" s="1422">
        <v>43.864180500000003</v>
      </c>
      <c r="R165" s="1422">
        <v>6.3253180000000002</v>
      </c>
      <c r="S165" s="1422">
        <v>54.290485400000001</v>
      </c>
      <c r="T165" s="1422">
        <v>2.4156575</v>
      </c>
      <c r="U165" s="1422">
        <v>13.06881415</v>
      </c>
      <c r="V165" s="1422">
        <v>0.3301499</v>
      </c>
      <c r="W165" s="1422">
        <v>0.22299379999999999</v>
      </c>
      <c r="X165" s="1423">
        <v>1207.1548012200001</v>
      </c>
      <c r="Y165" s="1424">
        <v>42569.279201220001</v>
      </c>
      <c r="Z165" s="1409"/>
      <c r="AA165" s="1413"/>
      <c r="AB165" s="1413"/>
      <c r="AC165" s="1410"/>
    </row>
    <row r="166" spans="1:29" ht="26.25" customHeight="1" x14ac:dyDescent="0.25">
      <c r="A166" s="1420">
        <v>44136</v>
      </c>
      <c r="B166" s="1421">
        <v>436.87684999999999</v>
      </c>
      <c r="C166" s="1422">
        <v>263.3175</v>
      </c>
      <c r="D166" s="1422">
        <v>413.27249999999998</v>
      </c>
      <c r="E166" s="1422">
        <v>1761.5893000000001</v>
      </c>
      <c r="F166" s="1422">
        <v>1971.4318000000001</v>
      </c>
      <c r="G166" s="1422">
        <v>5478.6890000000003</v>
      </c>
      <c r="H166" s="1422">
        <v>27285.065999999999</v>
      </c>
      <c r="I166" s="1422">
        <v>3953.556</v>
      </c>
      <c r="J166" s="1423">
        <v>41563.798949999997</v>
      </c>
      <c r="K166" s="1421">
        <v>9.4797429700000002</v>
      </c>
      <c r="L166" s="1422">
        <v>13.292450000000001</v>
      </c>
      <c r="M166" s="1422">
        <v>281.77679999999998</v>
      </c>
      <c r="N166" s="1422">
        <v>395.26062999999999</v>
      </c>
      <c r="O166" s="1422">
        <v>176.23309</v>
      </c>
      <c r="P166" s="1422">
        <v>208.21257199999999</v>
      </c>
      <c r="Q166" s="1422">
        <v>43.845710500000003</v>
      </c>
      <c r="R166" s="1422">
        <v>6.3250960000000003</v>
      </c>
      <c r="S166" s="1422">
        <v>54.314111400000009</v>
      </c>
      <c r="T166" s="1422">
        <v>2.4155682999999999</v>
      </c>
      <c r="U166" s="1422">
        <v>13.08550825</v>
      </c>
      <c r="V166" s="1422">
        <v>0.33014085999999998</v>
      </c>
      <c r="W166" s="1422">
        <v>0.22299285999999999</v>
      </c>
      <c r="X166" s="1423">
        <v>1204.79141314</v>
      </c>
      <c r="Y166" s="1424">
        <f>X166+J166</f>
        <v>42768.59036314</v>
      </c>
      <c r="Z166" s="1409"/>
      <c r="AA166" s="1413"/>
      <c r="AB166" s="1413"/>
      <c r="AC166" s="1410"/>
    </row>
    <row r="167" spans="1:29" ht="26.25" customHeight="1" x14ac:dyDescent="0.25">
      <c r="A167" s="1420">
        <v>44166</v>
      </c>
      <c r="B167" s="1421">
        <v>435.454925</v>
      </c>
      <c r="C167" s="1422">
        <v>263.87635</v>
      </c>
      <c r="D167" s="1422">
        <v>417.82074999999998</v>
      </c>
      <c r="E167" s="1422">
        <v>1985.4139</v>
      </c>
      <c r="F167" s="1422">
        <v>2296.77</v>
      </c>
      <c r="G167" s="1422">
        <v>6741.9714999999997</v>
      </c>
      <c r="H167" s="1422">
        <v>29128.797999999999</v>
      </c>
      <c r="I167" s="1422">
        <v>4528.2579999999998</v>
      </c>
      <c r="J167" s="1423">
        <v>45798.363425000003</v>
      </c>
      <c r="K167" s="1421">
        <v>9.4838629700000006</v>
      </c>
      <c r="L167" s="1422">
        <v>13.293200000000001</v>
      </c>
      <c r="M167" s="1422">
        <v>290.33825999999999</v>
      </c>
      <c r="N167" s="1422">
        <v>400.80342999999999</v>
      </c>
      <c r="O167" s="1422">
        <v>178.140005</v>
      </c>
      <c r="P167" s="1422">
        <v>209.199817</v>
      </c>
      <c r="Q167" s="1422">
        <v>43.904316000000001</v>
      </c>
      <c r="R167" s="1422">
        <v>6.3241420000000002</v>
      </c>
      <c r="S167" s="1422">
        <v>54.421084799999996</v>
      </c>
      <c r="T167" s="1422">
        <v>2.4154073999999999</v>
      </c>
      <c r="U167" s="1422">
        <v>13.119683849999999</v>
      </c>
      <c r="V167" s="1422">
        <v>0.33014072</v>
      </c>
      <c r="W167" s="1422">
        <v>0.22299195999999999</v>
      </c>
      <c r="X167" s="1423">
        <v>1221.9933417</v>
      </c>
      <c r="Y167" s="1424">
        <f>X167+J167</f>
        <v>47020.356766700002</v>
      </c>
      <c r="Z167" s="1409"/>
      <c r="AA167" s="1413"/>
      <c r="AB167" s="1413"/>
      <c r="AC167" s="1410"/>
    </row>
    <row r="168" spans="1:29" ht="26.25" customHeight="1" x14ac:dyDescent="0.25">
      <c r="A168" s="1420">
        <v>44197</v>
      </c>
      <c r="B168" s="1421">
        <v>434.04275999999999</v>
      </c>
      <c r="C168" s="1422">
        <v>260.93209999999999</v>
      </c>
      <c r="D168" s="1422">
        <v>417.03095000000002</v>
      </c>
      <c r="E168" s="1422">
        <v>1825.9766</v>
      </c>
      <c r="F168" s="1422">
        <v>2047.4495999999999</v>
      </c>
      <c r="G168" s="1422">
        <v>6173.4684999999999</v>
      </c>
      <c r="H168" s="1422">
        <v>28185.749</v>
      </c>
      <c r="I168" s="1422">
        <v>4393.4480000000003</v>
      </c>
      <c r="J168" s="1423">
        <v>43738.09751</v>
      </c>
      <c r="K168" s="1421">
        <v>9.4840629700000001</v>
      </c>
      <c r="L168" s="1422">
        <v>13.293200000000001</v>
      </c>
      <c r="M168" s="1422">
        <v>292.60296</v>
      </c>
      <c r="N168" s="1422">
        <v>403.36025000000001</v>
      </c>
      <c r="O168" s="1422">
        <v>179.16710499999999</v>
      </c>
      <c r="P168" s="1422">
        <v>209.81726900000001</v>
      </c>
      <c r="Q168" s="1422">
        <v>44.0040865</v>
      </c>
      <c r="R168" s="1422">
        <v>6.3241420000000002</v>
      </c>
      <c r="S168" s="1422">
        <v>54.465453799999999</v>
      </c>
      <c r="T168" s="1422">
        <v>2.4154073999999999</v>
      </c>
      <c r="U168" s="1422">
        <v>13.141474199999999</v>
      </c>
      <c r="V168" s="1422">
        <v>0.33014072</v>
      </c>
      <c r="W168" s="1422">
        <v>0.22299204</v>
      </c>
      <c r="X168" s="1423">
        <v>1228.62554363</v>
      </c>
      <c r="Y168" s="1424">
        <f>X168+J168</f>
        <v>44966.723053629998</v>
      </c>
      <c r="Z168" s="1409"/>
      <c r="AA168" s="1413"/>
      <c r="AB168" s="1413"/>
      <c r="AC168" s="1410"/>
    </row>
    <row r="169" spans="1:29" ht="26.25" customHeight="1" x14ac:dyDescent="0.25">
      <c r="A169" s="1420">
        <v>44228</v>
      </c>
      <c r="B169" s="1421">
        <v>433.07594499999999</v>
      </c>
      <c r="C169" s="1422">
        <v>259.61599999999999</v>
      </c>
      <c r="D169" s="1422">
        <v>414.2201</v>
      </c>
      <c r="E169" s="1422">
        <v>1779.6907000000001</v>
      </c>
      <c r="F169" s="1422">
        <v>1965.1596</v>
      </c>
      <c r="G169" s="1422">
        <v>5793.5550000000003</v>
      </c>
      <c r="H169" s="1422">
        <v>27739.055</v>
      </c>
      <c r="I169" s="1422">
        <v>4413.71</v>
      </c>
      <c r="J169" s="1423">
        <v>42798.082345000003</v>
      </c>
      <c r="K169" s="1421">
        <v>9.4842629700000014</v>
      </c>
      <c r="L169" s="1422">
        <v>13.293699999999999</v>
      </c>
      <c r="M169" s="1422">
        <v>291.65848</v>
      </c>
      <c r="N169" s="1422">
        <v>403.90663999999998</v>
      </c>
      <c r="O169" s="1422">
        <v>179.58129</v>
      </c>
      <c r="P169" s="1422">
        <v>210.13382200000001</v>
      </c>
      <c r="Q169" s="1422">
        <v>44.003413999999999</v>
      </c>
      <c r="R169" s="1422">
        <v>6.3241242499999997</v>
      </c>
      <c r="S169" s="1422">
        <v>54.546619999999997</v>
      </c>
      <c r="T169" s="1422">
        <v>2.4153737999999998</v>
      </c>
      <c r="U169" s="1422">
        <v>13.171817449999999</v>
      </c>
      <c r="V169" s="1422">
        <v>0.33013882</v>
      </c>
      <c r="W169" s="1422">
        <v>0.22299119000000001</v>
      </c>
      <c r="X169" s="1423">
        <v>1229.06967448</v>
      </c>
      <c r="Y169" s="1424">
        <f>X169+J169</f>
        <v>44027.152019480003</v>
      </c>
      <c r="Z169" s="1409"/>
      <c r="AA169" s="1413"/>
      <c r="AB169" s="1413"/>
      <c r="AC169" s="1410"/>
    </row>
    <row r="170" spans="1:29" ht="26.25" customHeight="1" x14ac:dyDescent="0.25">
      <c r="A170" s="1420">
        <v>44256</v>
      </c>
      <c r="B170" s="1421">
        <v>432.05441500000001</v>
      </c>
      <c r="C170" s="1422">
        <v>259.82757500000002</v>
      </c>
      <c r="D170" s="1422">
        <v>415.81115</v>
      </c>
      <c r="E170" s="1422">
        <v>1823.711</v>
      </c>
      <c r="F170" s="1422">
        <v>2173.4674</v>
      </c>
      <c r="G170" s="1422">
        <v>5963.1109999999999</v>
      </c>
      <c r="H170" s="1422">
        <v>28572.419000000002</v>
      </c>
      <c r="I170" s="1422">
        <v>4442.3119999999999</v>
      </c>
      <c r="J170" s="1423">
        <v>44082.713539999997</v>
      </c>
      <c r="K170" s="1421">
        <v>9.4844629700000009</v>
      </c>
      <c r="L170" s="1422">
        <v>13.293699999999999</v>
      </c>
      <c r="M170" s="1422">
        <v>293.55817999999999</v>
      </c>
      <c r="N170" s="1422">
        <v>404.19792999999999</v>
      </c>
      <c r="O170" s="1422">
        <v>179.67675</v>
      </c>
      <c r="P170" s="1422">
        <v>210.67364900000001</v>
      </c>
      <c r="Q170" s="1422">
        <v>44.104399000000001</v>
      </c>
      <c r="R170" s="1422">
        <v>6.3241242499999997</v>
      </c>
      <c r="S170" s="1422">
        <v>54.6090996</v>
      </c>
      <c r="T170" s="1422">
        <v>2.4153737999999998</v>
      </c>
      <c r="U170" s="1422">
        <v>13.207285150000001</v>
      </c>
      <c r="V170" s="1422">
        <v>0.33013882</v>
      </c>
      <c r="W170" s="1422">
        <v>0.22299040000000001</v>
      </c>
      <c r="X170" s="1423">
        <v>1232.09508299</v>
      </c>
      <c r="Y170" s="1424">
        <v>45314.80862299</v>
      </c>
      <c r="Z170" s="1409"/>
      <c r="AA170" s="1413"/>
      <c r="AB170" s="1413"/>
      <c r="AC170" s="1410"/>
    </row>
    <row r="171" spans="1:29" ht="26.25" customHeight="1" x14ac:dyDescent="0.25">
      <c r="A171" s="1420">
        <v>44287</v>
      </c>
      <c r="B171" s="1421">
        <v>431.82171</v>
      </c>
      <c r="C171" s="1422">
        <v>259.24007499999999</v>
      </c>
      <c r="D171" s="1422">
        <v>415.73680000000002</v>
      </c>
      <c r="E171" s="1422">
        <v>1875.6987999999999</v>
      </c>
      <c r="F171" s="1422">
        <v>2038.4276</v>
      </c>
      <c r="G171" s="1422">
        <v>6197.8235000000004</v>
      </c>
      <c r="H171" s="1422">
        <v>29027.346000000001</v>
      </c>
      <c r="I171" s="1422">
        <v>4448.4139999999998</v>
      </c>
      <c r="J171" s="1423">
        <v>44694.508484999998</v>
      </c>
      <c r="K171" s="1421">
        <v>9.4844629700000009</v>
      </c>
      <c r="L171" s="1422">
        <v>13.29495</v>
      </c>
      <c r="M171" s="1422">
        <v>295.06711999999999</v>
      </c>
      <c r="N171" s="1422">
        <v>404.79225000000002</v>
      </c>
      <c r="O171" s="1422">
        <v>180.17148</v>
      </c>
      <c r="P171" s="1422">
        <v>211.51389900000001</v>
      </c>
      <c r="Q171" s="1422">
        <v>44.255724000000001</v>
      </c>
      <c r="R171" s="1422">
        <v>6.3241242499999997</v>
      </c>
      <c r="S171" s="1422">
        <v>54.670402000000003</v>
      </c>
      <c r="T171" s="1422">
        <v>2.4153737999999998</v>
      </c>
      <c r="U171" s="1422">
        <v>13.222570749999999</v>
      </c>
      <c r="V171" s="1422">
        <v>0.33013882</v>
      </c>
      <c r="W171" s="1422">
        <v>0.22298949000000001</v>
      </c>
      <c r="X171" s="1423">
        <v>1235.76248508</v>
      </c>
      <c r="Y171" s="1424">
        <v>45930.270970079997</v>
      </c>
      <c r="Z171" s="1409"/>
      <c r="AA171" s="1413"/>
      <c r="AB171" s="1413"/>
      <c r="AC171" s="1410"/>
    </row>
    <row r="172" spans="1:29" ht="26.25" customHeight="1" x14ac:dyDescent="0.25">
      <c r="A172" s="1420">
        <v>44317</v>
      </c>
      <c r="B172" s="1421">
        <v>430.82370500000002</v>
      </c>
      <c r="C172" s="1422">
        <v>259.04627499999998</v>
      </c>
      <c r="D172" s="1422">
        <v>415.88319999999999</v>
      </c>
      <c r="E172" s="1422">
        <v>1908.2189000000001</v>
      </c>
      <c r="F172" s="1422">
        <v>2072.8804</v>
      </c>
      <c r="G172" s="1422">
        <v>6277.9260000000004</v>
      </c>
      <c r="H172" s="1422">
        <v>28973.958999999999</v>
      </c>
      <c r="I172" s="1422">
        <v>4519.9539999999997</v>
      </c>
      <c r="J172" s="1423">
        <v>44858.691480000001</v>
      </c>
      <c r="K172" s="1421">
        <v>9.4846629700000005</v>
      </c>
      <c r="L172" s="1422">
        <v>13.29495</v>
      </c>
      <c r="M172" s="1422">
        <v>301.68943999999999</v>
      </c>
      <c r="N172" s="1422">
        <v>408.54171000000002</v>
      </c>
      <c r="O172" s="1422">
        <v>180.69890000000001</v>
      </c>
      <c r="P172" s="1422">
        <v>212.507901</v>
      </c>
      <c r="Q172" s="1422">
        <v>44.305038500000002</v>
      </c>
      <c r="R172" s="1422">
        <v>6.3238297499999998</v>
      </c>
      <c r="S172" s="1422">
        <v>54.803671999999999</v>
      </c>
      <c r="T172" s="1422">
        <v>2.4151734</v>
      </c>
      <c r="U172" s="1422">
        <v>13.259598449999999</v>
      </c>
      <c r="V172" s="1422">
        <v>0.33013762000000002</v>
      </c>
      <c r="W172" s="1422">
        <v>0.22298817000000001</v>
      </c>
      <c r="X172" s="1423">
        <v>1247.8750018599999</v>
      </c>
      <c r="Y172" s="1424">
        <v>46106.566481859998</v>
      </c>
      <c r="Z172" s="1409"/>
      <c r="AA172" s="1413"/>
      <c r="AB172" s="1413"/>
      <c r="AC172" s="1410"/>
    </row>
    <row r="173" spans="1:29" ht="26.25" customHeight="1" x14ac:dyDescent="0.25">
      <c r="A173" s="1420">
        <v>44348</v>
      </c>
      <c r="B173" s="1421">
        <v>429.76576</v>
      </c>
      <c r="C173" s="1422">
        <v>256.70954999999998</v>
      </c>
      <c r="D173" s="1422">
        <v>412.93565000000001</v>
      </c>
      <c r="E173" s="1422">
        <v>1868.3956000000001</v>
      </c>
      <c r="F173" s="1422">
        <v>2007.4061999999999</v>
      </c>
      <c r="G173" s="1422">
        <v>6163.1549999999997</v>
      </c>
      <c r="H173" s="1422">
        <v>28741.382000000001</v>
      </c>
      <c r="I173" s="1422">
        <v>4573.9859999999999</v>
      </c>
      <c r="J173" s="1423">
        <v>44453.735760000003</v>
      </c>
      <c r="K173" s="1421">
        <v>9.4871529700000004</v>
      </c>
      <c r="L173" s="1422">
        <v>13.29495</v>
      </c>
      <c r="M173" s="1422">
        <v>304.24493999999999</v>
      </c>
      <c r="N173" s="1422">
        <v>409.67439000000002</v>
      </c>
      <c r="O173" s="1422">
        <v>181.14629500000001</v>
      </c>
      <c r="P173" s="1422">
        <v>213.12751700000001</v>
      </c>
      <c r="Q173" s="1422">
        <v>44.455896000000003</v>
      </c>
      <c r="R173" s="1422">
        <v>6.3234757500000001</v>
      </c>
      <c r="S173" s="1422">
        <v>54.885735200000006</v>
      </c>
      <c r="T173" s="1422">
        <v>2.4150654</v>
      </c>
      <c r="U173" s="1422">
        <v>13.294962999999999</v>
      </c>
      <c r="V173" s="1422">
        <v>0.33013315999999998</v>
      </c>
      <c r="W173" s="1422">
        <v>0.22298703</v>
      </c>
      <c r="X173" s="1423">
        <v>1252.90050051</v>
      </c>
      <c r="Y173" s="1424">
        <v>45706.63626051</v>
      </c>
      <c r="Z173" s="1409"/>
      <c r="AA173" s="1413"/>
      <c r="AB173" s="1413"/>
      <c r="AC173" s="1410"/>
    </row>
    <row r="174" spans="1:29" ht="26.25" customHeight="1" thickBot="1" x14ac:dyDescent="0.3">
      <c r="A174" s="1425">
        <v>44378</v>
      </c>
      <c r="B174" s="1426">
        <v>428.69915500000002</v>
      </c>
      <c r="C174" s="1427">
        <v>254.82707500000001</v>
      </c>
      <c r="D174" s="1427">
        <v>409.93810000000002</v>
      </c>
      <c r="E174" s="1427">
        <v>1851.2828999999999</v>
      </c>
      <c r="F174" s="1428">
        <v>2016.578</v>
      </c>
      <c r="G174" s="1428">
        <v>6009.1734999999999</v>
      </c>
      <c r="H174" s="1428">
        <v>28992.077000000001</v>
      </c>
      <c r="I174" s="1428">
        <v>4625.8900000000003</v>
      </c>
      <c r="J174" s="1429">
        <v>44588.465730000004</v>
      </c>
      <c r="K174" s="1426">
        <v>9.4924779700000013</v>
      </c>
      <c r="L174" s="1427">
        <v>13.29495</v>
      </c>
      <c r="M174" s="1428">
        <v>309.99678</v>
      </c>
      <c r="N174" s="1428">
        <v>409.96456999999998</v>
      </c>
      <c r="O174" s="1428">
        <v>181.3252</v>
      </c>
      <c r="P174" s="1428">
        <v>213.427638</v>
      </c>
      <c r="Q174" s="1428">
        <v>44.596867500000002</v>
      </c>
      <c r="R174" s="1428">
        <v>6.3234757500000001</v>
      </c>
      <c r="S174" s="1428">
        <v>55.027039000000002</v>
      </c>
      <c r="T174" s="1428">
        <v>2.4150654</v>
      </c>
      <c r="U174" s="1428">
        <v>13.3302438</v>
      </c>
      <c r="V174" s="1428">
        <v>0.33013315999999998</v>
      </c>
      <c r="W174" s="1428">
        <v>0.22298576000000001</v>
      </c>
      <c r="X174" s="1429">
        <v>1259.74442634</v>
      </c>
      <c r="Y174" s="1430">
        <v>45848.210156340007</v>
      </c>
      <c r="Z174" s="1409"/>
      <c r="AA174" s="1413"/>
      <c r="AB174" s="1413"/>
      <c r="AC174" s="1410"/>
    </row>
    <row r="175" spans="1:29" s="1437" customFormat="1" ht="18.75" customHeight="1" thickTop="1" x14ac:dyDescent="0.25">
      <c r="A175" s="123" t="s">
        <v>172</v>
      </c>
      <c r="B175" s="1431"/>
      <c r="C175" s="1431"/>
      <c r="D175" s="1431"/>
      <c r="E175" s="1431"/>
      <c r="F175" s="1431"/>
      <c r="G175" s="1431"/>
      <c r="H175" s="1431"/>
      <c r="I175" s="1431"/>
      <c r="J175" s="1432"/>
      <c r="K175" s="1431"/>
      <c r="L175" s="1431"/>
      <c r="M175" s="1431"/>
      <c r="N175" s="1431"/>
      <c r="O175" s="1431"/>
      <c r="P175" s="1431"/>
      <c r="Q175" s="1431"/>
      <c r="R175" s="1431"/>
      <c r="S175" s="1431"/>
      <c r="T175" s="1431"/>
      <c r="U175" s="1431"/>
      <c r="V175" s="1431"/>
      <c r="W175" s="1431"/>
      <c r="X175" s="1432"/>
      <c r="Y175" s="1433"/>
      <c r="Z175" s="1434"/>
      <c r="AA175" s="1435"/>
      <c r="AB175" s="1436"/>
      <c r="AC175" s="1436"/>
    </row>
    <row r="176" spans="1:29" s="1437" customFormat="1" ht="16.5" customHeight="1" x14ac:dyDescent="0.25">
      <c r="A176" s="123" t="s">
        <v>134</v>
      </c>
      <c r="B176" s="1438"/>
      <c r="C176" s="1438"/>
      <c r="D176" s="1438"/>
      <c r="E176" s="1439"/>
      <c r="F176" s="1438"/>
      <c r="G176" s="1440"/>
      <c r="H176" s="1438"/>
      <c r="I176" s="1438"/>
      <c r="J176" s="1438"/>
      <c r="K176" s="1439"/>
      <c r="L176" s="1438"/>
      <c r="M176" s="1441"/>
      <c r="N176" s="1438"/>
      <c r="O176" s="1438"/>
      <c r="P176" s="1438"/>
      <c r="Q176" s="1439"/>
      <c r="R176" s="1438"/>
      <c r="S176" s="1442"/>
      <c r="T176" s="1440"/>
      <c r="U176" s="1441"/>
      <c r="V176" s="1441"/>
      <c r="W176" s="1438"/>
      <c r="X176" s="1443"/>
      <c r="Y176" s="1436"/>
      <c r="AA176" s="1436"/>
      <c r="AB176" s="1436"/>
      <c r="AC176" s="1436"/>
    </row>
    <row r="177" spans="4:29" x14ac:dyDescent="0.25">
      <c r="F177" s="1445"/>
      <c r="J177" s="1415"/>
      <c r="M177" s="1446"/>
      <c r="O177" s="1415"/>
      <c r="P177" s="1447"/>
      <c r="R177" s="1448"/>
      <c r="S177" s="1448"/>
      <c r="T177" s="1449"/>
      <c r="U177" s="1449"/>
      <c r="V177" s="1450"/>
      <c r="W177" s="1450"/>
      <c r="X177" s="1447"/>
      <c r="Y177" s="1410"/>
      <c r="AA177" s="1410"/>
      <c r="AB177" s="1410"/>
      <c r="AC177" s="1410"/>
    </row>
    <row r="178" spans="4:29" x14ac:dyDescent="0.25">
      <c r="D178" s="1449"/>
      <c r="E178" s="1449"/>
      <c r="F178" s="1449"/>
      <c r="G178" s="1449"/>
      <c r="H178" s="1449"/>
      <c r="I178" s="1449"/>
      <c r="J178" s="1450"/>
      <c r="O178" s="1450"/>
      <c r="Q178" s="1450"/>
      <c r="S178" s="1449"/>
      <c r="X178" s="1451"/>
      <c r="AA178" s="1410"/>
      <c r="AB178" s="1410"/>
      <c r="AC178" s="1410"/>
    </row>
    <row r="179" spans="4:29" x14ac:dyDescent="0.25">
      <c r="J179" s="1415"/>
      <c r="K179" s="1415"/>
      <c r="L179" s="1415"/>
      <c r="M179" s="1415"/>
      <c r="N179" s="1415"/>
      <c r="O179" s="1415"/>
      <c r="P179" s="1415"/>
      <c r="Q179" s="1415"/>
      <c r="R179" s="1415"/>
      <c r="S179" s="1415"/>
      <c r="T179" s="1415"/>
      <c r="U179" s="1415"/>
      <c r="V179" s="1415"/>
      <c r="X179" s="1452"/>
      <c r="AA179" s="1410"/>
      <c r="AB179" s="1410"/>
      <c r="AC179" s="1410"/>
    </row>
    <row r="180" spans="4:29" x14ac:dyDescent="0.25">
      <c r="I180" s="1444" t="s">
        <v>3430</v>
      </c>
      <c r="AA180" s="1410"/>
      <c r="AB180" s="1410"/>
      <c r="AC180" s="1410"/>
    </row>
    <row r="181" spans="4:29" x14ac:dyDescent="0.25">
      <c r="AA181" s="1410"/>
      <c r="AB181" s="1410"/>
      <c r="AC181" s="1410"/>
    </row>
    <row r="182" spans="4:29" x14ac:dyDescent="0.25">
      <c r="AA182" s="1410"/>
      <c r="AB182" s="1410"/>
      <c r="AC182" s="1410"/>
    </row>
    <row r="183" spans="4:29" x14ac:dyDescent="0.25">
      <c r="AA183" s="1410"/>
      <c r="AB183" s="1410"/>
      <c r="AC183" s="1410"/>
    </row>
    <row r="184" spans="4:29" x14ac:dyDescent="0.25">
      <c r="AA184" s="1410"/>
      <c r="AB184" s="1410"/>
      <c r="AC184" s="1410"/>
    </row>
    <row r="185" spans="4:29" x14ac:dyDescent="0.25">
      <c r="AA185" s="1410"/>
      <c r="AB185" s="1410"/>
      <c r="AC185" s="1410"/>
    </row>
    <row r="186" spans="4:29" x14ac:dyDescent="0.25">
      <c r="AA186" s="1410"/>
      <c r="AB186" s="1410"/>
      <c r="AC186" s="1410"/>
    </row>
    <row r="187" spans="4:29" x14ac:dyDescent="0.25">
      <c r="AA187" s="1410"/>
      <c r="AB187" s="1410"/>
      <c r="AC187" s="1410"/>
    </row>
    <row r="188" spans="4:29" x14ac:dyDescent="0.25">
      <c r="AA188" s="1410"/>
      <c r="AB188" s="1410"/>
      <c r="AC188" s="1410"/>
    </row>
    <row r="189" spans="4:29" x14ac:dyDescent="0.25">
      <c r="AA189" s="1410"/>
      <c r="AC189" s="1410"/>
    </row>
    <row r="190" spans="4:29" x14ac:dyDescent="0.25">
      <c r="AA190" s="1410"/>
      <c r="AC190" s="1410"/>
    </row>
    <row r="191" spans="4:29" x14ac:dyDescent="0.25">
      <c r="AA191" s="1410"/>
    </row>
    <row r="192" spans="4:29" x14ac:dyDescent="0.25">
      <c r="AA192" s="1410"/>
    </row>
    <row r="193" spans="27:27" x14ac:dyDescent="0.25">
      <c r="AA193" s="1410"/>
    </row>
    <row r="194" spans="27:27" x14ac:dyDescent="0.25">
      <c r="AA194" s="1410"/>
    </row>
    <row r="195" spans="27:27" x14ac:dyDescent="0.25">
      <c r="AA195" s="1410"/>
    </row>
    <row r="196" spans="27:27" x14ac:dyDescent="0.25">
      <c r="AA196" s="1410"/>
    </row>
    <row r="197" spans="27:27" x14ac:dyDescent="0.25">
      <c r="AA197" s="1410"/>
    </row>
    <row r="198" spans="27:27" x14ac:dyDescent="0.25">
      <c r="AA198" s="1410"/>
    </row>
    <row r="199" spans="27:27" x14ac:dyDescent="0.25">
      <c r="AA199" s="1410"/>
    </row>
    <row r="200" spans="27:27" x14ac:dyDescent="0.25">
      <c r="AA200" s="1410"/>
    </row>
    <row r="201" spans="27:27" x14ac:dyDescent="0.25">
      <c r="AA201" s="1410"/>
    </row>
    <row r="202" spans="27:27" x14ac:dyDescent="0.25">
      <c r="AA202" s="1410"/>
    </row>
    <row r="203" spans="27:27" x14ac:dyDescent="0.25">
      <c r="AA203" s="1410"/>
    </row>
    <row r="204" spans="27:27" x14ac:dyDescent="0.25">
      <c r="AA204" s="1410"/>
    </row>
    <row r="205" spans="27:27" x14ac:dyDescent="0.25">
      <c r="AA205" s="1410"/>
    </row>
    <row r="206" spans="27:27" x14ac:dyDescent="0.25">
      <c r="AA206" s="1410"/>
    </row>
    <row r="207" spans="27:27" x14ac:dyDescent="0.25">
      <c r="AA207" s="1410"/>
    </row>
    <row r="208" spans="27:27" x14ac:dyDescent="0.25">
      <c r="AA208" s="1410"/>
    </row>
    <row r="209" spans="27:27" x14ac:dyDescent="0.25">
      <c r="AA209" s="1410"/>
    </row>
    <row r="210" spans="27:27" x14ac:dyDescent="0.25">
      <c r="AA210" s="1410"/>
    </row>
    <row r="211" spans="27:27" x14ac:dyDescent="0.25">
      <c r="AA211" s="1410"/>
    </row>
    <row r="212" spans="27:27" x14ac:dyDescent="0.25">
      <c r="AA212" s="1410"/>
    </row>
    <row r="213" spans="27:27" x14ac:dyDescent="0.25">
      <c r="AA213" s="1410"/>
    </row>
    <row r="214" spans="27:27" x14ac:dyDescent="0.25">
      <c r="AA214" s="1410"/>
    </row>
    <row r="215" spans="27:27" x14ac:dyDescent="0.25">
      <c r="AA215" s="1410"/>
    </row>
    <row r="216" spans="27:27" x14ac:dyDescent="0.25">
      <c r="AA216" s="1410"/>
    </row>
    <row r="217" spans="27:27" x14ac:dyDescent="0.25">
      <c r="AA217" s="1410"/>
    </row>
    <row r="218" spans="27:27" x14ac:dyDescent="0.25">
      <c r="AA218" s="1410"/>
    </row>
    <row r="219" spans="27:27" x14ac:dyDescent="0.25">
      <c r="AA219" s="1410"/>
    </row>
    <row r="220" spans="27:27" x14ac:dyDescent="0.25">
      <c r="AA220" s="1410"/>
    </row>
    <row r="221" spans="27:27" x14ac:dyDescent="0.25">
      <c r="AA221" s="1410"/>
    </row>
    <row r="222" spans="27:27" x14ac:dyDescent="0.25">
      <c r="AA222" s="1410"/>
    </row>
    <row r="223" spans="27:27" x14ac:dyDescent="0.25">
      <c r="AA223" s="1410"/>
    </row>
    <row r="224" spans="27:27" x14ac:dyDescent="0.25">
      <c r="AA224" s="1410"/>
    </row>
    <row r="225" spans="27:27" x14ac:dyDescent="0.25">
      <c r="AA225" s="1410"/>
    </row>
    <row r="226" spans="27:27" x14ac:dyDescent="0.25">
      <c r="AA226" s="1410"/>
    </row>
    <row r="227" spans="27:27" x14ac:dyDescent="0.25">
      <c r="AA227" s="1410"/>
    </row>
    <row r="228" spans="27:27" x14ac:dyDescent="0.25">
      <c r="AA228" s="1410"/>
    </row>
    <row r="229" spans="27:27" x14ac:dyDescent="0.25">
      <c r="AA229" s="1410"/>
    </row>
    <row r="230" spans="27:27" x14ac:dyDescent="0.25">
      <c r="AA230" s="1410"/>
    </row>
    <row r="231" spans="27:27" x14ac:dyDescent="0.25">
      <c r="AA231" s="1410"/>
    </row>
    <row r="232" spans="27:27" x14ac:dyDescent="0.25">
      <c r="AA232" s="1410"/>
    </row>
    <row r="233" spans="27:27" x14ac:dyDescent="0.25">
      <c r="AA233" s="1410"/>
    </row>
    <row r="234" spans="27:27" x14ac:dyDescent="0.25">
      <c r="AA234" s="1410"/>
    </row>
    <row r="235" spans="27:27" x14ac:dyDescent="0.25">
      <c r="AA235" s="1410"/>
    </row>
    <row r="236" spans="27:27" x14ac:dyDescent="0.25">
      <c r="AA236" s="1410"/>
    </row>
    <row r="237" spans="27:27" x14ac:dyDescent="0.25">
      <c r="AA237" s="1410"/>
    </row>
    <row r="238" spans="27:27" x14ac:dyDescent="0.25">
      <c r="AA238" s="1410"/>
    </row>
    <row r="239" spans="27:27" x14ac:dyDescent="0.25">
      <c r="AA239" s="1410"/>
    </row>
    <row r="240" spans="27:27" x14ac:dyDescent="0.25">
      <c r="AA240" s="1410"/>
    </row>
    <row r="241" spans="27:27" x14ac:dyDescent="0.25">
      <c r="AA241" s="1410"/>
    </row>
    <row r="242" spans="27:27" x14ac:dyDescent="0.25">
      <c r="AA242" s="1410"/>
    </row>
    <row r="243" spans="27:27" x14ac:dyDescent="0.25">
      <c r="AA243" s="1410"/>
    </row>
    <row r="244" spans="27:27" x14ac:dyDescent="0.25">
      <c r="AA244" s="1410"/>
    </row>
    <row r="245" spans="27:27" x14ac:dyDescent="0.25">
      <c r="AA245" s="1410"/>
    </row>
    <row r="246" spans="27:27" x14ac:dyDescent="0.25">
      <c r="AA246" s="1410"/>
    </row>
    <row r="247" spans="27:27" x14ac:dyDescent="0.25">
      <c r="AA247" s="1410"/>
    </row>
    <row r="248" spans="27:27" x14ac:dyDescent="0.25">
      <c r="AA248" s="1410"/>
    </row>
    <row r="249" spans="27:27" x14ac:dyDescent="0.25">
      <c r="AA249" s="1410"/>
    </row>
    <row r="250" spans="27:27" x14ac:dyDescent="0.25">
      <c r="AA250" s="1410"/>
    </row>
    <row r="251" spans="27:27" x14ac:dyDescent="0.25">
      <c r="AA251" s="1410"/>
    </row>
    <row r="252" spans="27:27" x14ac:dyDescent="0.25">
      <c r="AA252" s="1410"/>
    </row>
    <row r="253" spans="27:27" x14ac:dyDescent="0.25">
      <c r="AA253" s="1410"/>
    </row>
    <row r="254" spans="27:27" x14ac:dyDescent="0.25">
      <c r="AA254" s="1410"/>
    </row>
    <row r="255" spans="27:27" x14ac:dyDescent="0.25">
      <c r="AA255" s="1410"/>
    </row>
    <row r="256" spans="27:27" x14ac:dyDescent="0.25">
      <c r="AA256" s="1410"/>
    </row>
    <row r="257" spans="27:27" x14ac:dyDescent="0.25">
      <c r="AA257" s="1410"/>
    </row>
    <row r="258" spans="27:27" x14ac:dyDescent="0.25">
      <c r="AA258" s="1410"/>
    </row>
    <row r="259" spans="27:27" x14ac:dyDescent="0.25">
      <c r="AA259" s="1410"/>
    </row>
    <row r="260" spans="27:27" x14ac:dyDescent="0.25">
      <c r="AA260" s="1410"/>
    </row>
    <row r="261" spans="27:27" x14ac:dyDescent="0.25">
      <c r="AA261" s="1410"/>
    </row>
    <row r="262" spans="27:27" x14ac:dyDescent="0.25">
      <c r="AA262" s="1410"/>
    </row>
    <row r="263" spans="27:27" x14ac:dyDescent="0.25">
      <c r="AA263" s="1410"/>
    </row>
    <row r="264" spans="27:27" x14ac:dyDescent="0.25">
      <c r="AA264" s="1410"/>
    </row>
    <row r="265" spans="27:27" x14ac:dyDescent="0.25">
      <c r="AA265" s="1410"/>
    </row>
    <row r="266" spans="27:27" x14ac:dyDescent="0.25">
      <c r="AA266" s="1410"/>
    </row>
    <row r="267" spans="27:27" x14ac:dyDescent="0.25">
      <c r="AA267" s="1410"/>
    </row>
    <row r="268" spans="27:27" x14ac:dyDescent="0.25">
      <c r="AA268" s="1410"/>
    </row>
    <row r="269" spans="27:27" x14ac:dyDescent="0.25">
      <c r="AA269" s="1410"/>
    </row>
    <row r="270" spans="27:27" x14ac:dyDescent="0.25">
      <c r="AA270" s="1410"/>
    </row>
    <row r="271" spans="27:27" x14ac:dyDescent="0.25">
      <c r="AA271" s="1410"/>
    </row>
    <row r="272" spans="27:27" x14ac:dyDescent="0.25">
      <c r="AA272" s="1410"/>
    </row>
    <row r="273" spans="27:27" x14ac:dyDescent="0.25">
      <c r="AA273" s="1410"/>
    </row>
    <row r="274" spans="27:27" x14ac:dyDescent="0.25">
      <c r="AA274" s="1410"/>
    </row>
    <row r="275" spans="27:27" x14ac:dyDescent="0.25">
      <c r="AA275" s="1410"/>
    </row>
    <row r="276" spans="27:27" x14ac:dyDescent="0.25">
      <c r="AA276" s="1410"/>
    </row>
    <row r="277" spans="27:27" x14ac:dyDescent="0.25">
      <c r="AA277" s="1410"/>
    </row>
    <row r="278" spans="27:27" x14ac:dyDescent="0.25">
      <c r="AA278" s="1410"/>
    </row>
    <row r="279" spans="27:27" x14ac:dyDescent="0.25">
      <c r="AA279" s="1410"/>
    </row>
    <row r="280" spans="27:27" x14ac:dyDescent="0.25">
      <c r="AA280" s="1410"/>
    </row>
    <row r="281" spans="27:27" x14ac:dyDescent="0.25">
      <c r="AA281" s="1410"/>
    </row>
    <row r="282" spans="27:27" x14ac:dyDescent="0.25">
      <c r="AA282" s="1410"/>
    </row>
    <row r="283" spans="27:27" x14ac:dyDescent="0.25">
      <c r="AA283" s="1410"/>
    </row>
    <row r="284" spans="27:27" x14ac:dyDescent="0.25">
      <c r="AA284" s="1410"/>
    </row>
    <row r="285" spans="27:27" x14ac:dyDescent="0.25">
      <c r="AA285" s="1410"/>
    </row>
    <row r="286" spans="27:27" x14ac:dyDescent="0.25">
      <c r="AA286" s="1410"/>
    </row>
    <row r="287" spans="27:27" x14ac:dyDescent="0.25">
      <c r="AA287" s="1410"/>
    </row>
    <row r="288" spans="27:27" x14ac:dyDescent="0.25">
      <c r="AA288" s="1410"/>
    </row>
    <row r="289" spans="27:27" x14ac:dyDescent="0.25">
      <c r="AA289" s="1410"/>
    </row>
    <row r="290" spans="27:27" x14ac:dyDescent="0.25">
      <c r="AA290" s="1410"/>
    </row>
    <row r="291" spans="27:27" x14ac:dyDescent="0.25">
      <c r="AA291" s="1410"/>
    </row>
    <row r="292" spans="27:27" x14ac:dyDescent="0.25">
      <c r="AA292" s="1410"/>
    </row>
    <row r="293" spans="27:27" x14ac:dyDescent="0.25">
      <c r="AA293" s="1410"/>
    </row>
    <row r="294" spans="27:27" x14ac:dyDescent="0.25">
      <c r="AA294" s="1410"/>
    </row>
    <row r="295" spans="27:27" x14ac:dyDescent="0.25">
      <c r="AA295" s="1410"/>
    </row>
    <row r="296" spans="27:27" x14ac:dyDescent="0.25">
      <c r="AA296" s="1410"/>
    </row>
    <row r="297" spans="27:27" x14ac:dyDescent="0.25">
      <c r="AA297" s="1410"/>
    </row>
    <row r="298" spans="27:27" x14ac:dyDescent="0.25">
      <c r="AA298" s="1410"/>
    </row>
    <row r="299" spans="27:27" x14ac:dyDescent="0.25">
      <c r="AA299" s="1410"/>
    </row>
    <row r="300" spans="27:27" x14ac:dyDescent="0.25">
      <c r="AA300" s="1410"/>
    </row>
    <row r="301" spans="27:27" x14ac:dyDescent="0.25">
      <c r="AA301" s="1410"/>
    </row>
    <row r="302" spans="27:27" x14ac:dyDescent="0.25">
      <c r="AA302" s="1410"/>
    </row>
    <row r="303" spans="27:27" x14ac:dyDescent="0.25">
      <c r="AA303" s="1410"/>
    </row>
    <row r="304" spans="27:27" x14ac:dyDescent="0.25">
      <c r="AA304" s="1410"/>
    </row>
    <row r="305" spans="27:27" x14ac:dyDescent="0.25">
      <c r="AA305" s="1410"/>
    </row>
    <row r="306" spans="27:27" x14ac:dyDescent="0.25">
      <c r="AA306" s="1410"/>
    </row>
    <row r="307" spans="27:27" x14ac:dyDescent="0.25">
      <c r="AA307" s="1410"/>
    </row>
    <row r="308" spans="27:27" x14ac:dyDescent="0.25">
      <c r="AA308" s="1410"/>
    </row>
    <row r="309" spans="27:27" x14ac:dyDescent="0.25">
      <c r="AA309" s="1410"/>
    </row>
    <row r="310" spans="27:27" x14ac:dyDescent="0.25">
      <c r="AA310" s="1410"/>
    </row>
    <row r="311" spans="27:27" x14ac:dyDescent="0.25">
      <c r="AA311" s="1410"/>
    </row>
    <row r="312" spans="27:27" x14ac:dyDescent="0.25">
      <c r="AA312" s="1410"/>
    </row>
    <row r="313" spans="27:27" x14ac:dyDescent="0.25">
      <c r="AA313" s="1410"/>
    </row>
    <row r="314" spans="27:27" x14ac:dyDescent="0.25">
      <c r="AA314" s="1410"/>
    </row>
    <row r="315" spans="27:27" x14ac:dyDescent="0.25">
      <c r="AA315" s="1410"/>
    </row>
    <row r="316" spans="27:27" x14ac:dyDescent="0.25">
      <c r="AA316" s="1410"/>
    </row>
    <row r="317" spans="27:27" x14ac:dyDescent="0.25">
      <c r="AA317" s="1410"/>
    </row>
    <row r="318" spans="27:27" x14ac:dyDescent="0.25">
      <c r="AA318" s="1410"/>
    </row>
    <row r="319" spans="27:27" x14ac:dyDescent="0.25">
      <c r="AA319" s="1410"/>
    </row>
    <row r="320" spans="27:27" x14ac:dyDescent="0.25">
      <c r="AA320" s="1410"/>
    </row>
    <row r="321" spans="27:27" x14ac:dyDescent="0.25">
      <c r="AA321" s="1410"/>
    </row>
    <row r="322" spans="27:27" x14ac:dyDescent="0.25">
      <c r="AA322" s="1410"/>
    </row>
    <row r="323" spans="27:27" x14ac:dyDescent="0.25">
      <c r="AA323" s="1410"/>
    </row>
    <row r="324" spans="27:27" x14ac:dyDescent="0.25">
      <c r="AA324" s="1410"/>
    </row>
    <row r="325" spans="27:27" x14ac:dyDescent="0.25">
      <c r="AA325" s="1410"/>
    </row>
    <row r="326" spans="27:27" x14ac:dyDescent="0.25">
      <c r="AA326" s="1410"/>
    </row>
    <row r="327" spans="27:27" x14ac:dyDescent="0.25">
      <c r="AA327" s="1410"/>
    </row>
    <row r="328" spans="27:27" x14ac:dyDescent="0.25">
      <c r="AA328" s="1410"/>
    </row>
    <row r="329" spans="27:27" x14ac:dyDescent="0.25">
      <c r="AA329" s="1410"/>
    </row>
    <row r="330" spans="27:27" x14ac:dyDescent="0.25">
      <c r="AA330" s="1410"/>
    </row>
    <row r="331" spans="27:27" x14ac:dyDescent="0.25">
      <c r="AA331" s="1410"/>
    </row>
    <row r="332" spans="27:27" x14ac:dyDescent="0.25">
      <c r="AA332" s="1410"/>
    </row>
    <row r="333" spans="27:27" x14ac:dyDescent="0.25">
      <c r="AA333" s="1410"/>
    </row>
    <row r="334" spans="27:27" x14ac:dyDescent="0.25">
      <c r="AA334" s="1410"/>
    </row>
    <row r="335" spans="27:27" x14ac:dyDescent="0.25">
      <c r="AA335" s="1410"/>
    </row>
    <row r="336" spans="27:27" x14ac:dyDescent="0.25">
      <c r="AA336" s="1410"/>
    </row>
    <row r="337" spans="27:27" x14ac:dyDescent="0.25">
      <c r="AA337" s="1410"/>
    </row>
    <row r="338" spans="27:27" x14ac:dyDescent="0.25">
      <c r="AA338" s="1410"/>
    </row>
    <row r="339" spans="27:27" x14ac:dyDescent="0.25">
      <c r="AA339" s="1410"/>
    </row>
    <row r="340" spans="27:27" x14ac:dyDescent="0.25">
      <c r="AA340" s="1410"/>
    </row>
    <row r="341" spans="27:27" x14ac:dyDescent="0.25">
      <c r="AA341" s="1410"/>
    </row>
    <row r="342" spans="27:27" x14ac:dyDescent="0.25">
      <c r="AA342" s="1410"/>
    </row>
    <row r="343" spans="27:27" x14ac:dyDescent="0.25">
      <c r="AA343" s="1410"/>
    </row>
    <row r="344" spans="27:27" x14ac:dyDescent="0.25">
      <c r="AA344" s="1410"/>
    </row>
    <row r="345" spans="27:27" x14ac:dyDescent="0.25">
      <c r="AA345" s="1410"/>
    </row>
    <row r="346" spans="27:27" x14ac:dyDescent="0.25">
      <c r="AA346" s="1410"/>
    </row>
    <row r="347" spans="27:27" x14ac:dyDescent="0.25">
      <c r="AA347" s="1410"/>
    </row>
    <row r="348" spans="27:27" x14ac:dyDescent="0.25">
      <c r="AA348" s="1410"/>
    </row>
    <row r="349" spans="27:27" x14ac:dyDescent="0.25">
      <c r="AA349" s="1410"/>
    </row>
    <row r="350" spans="27:27" x14ac:dyDescent="0.25">
      <c r="AA350" s="1410"/>
    </row>
    <row r="351" spans="27:27" x14ac:dyDescent="0.25">
      <c r="AA351" s="1410"/>
    </row>
    <row r="352" spans="27:27" x14ac:dyDescent="0.25">
      <c r="AA352" s="1410"/>
    </row>
    <row r="353" spans="27:27" x14ac:dyDescent="0.25">
      <c r="AA353" s="1410"/>
    </row>
    <row r="354" spans="27:27" x14ac:dyDescent="0.25">
      <c r="AA354" s="1410"/>
    </row>
    <row r="355" spans="27:27" x14ac:dyDescent="0.25">
      <c r="AA355" s="1410"/>
    </row>
    <row r="356" spans="27:27" x14ac:dyDescent="0.25">
      <c r="AA356" s="1410"/>
    </row>
    <row r="357" spans="27:27" x14ac:dyDescent="0.25">
      <c r="AA357" s="1410"/>
    </row>
    <row r="358" spans="27:27" x14ac:dyDescent="0.25">
      <c r="AA358" s="1410"/>
    </row>
    <row r="359" spans="27:27" x14ac:dyDescent="0.25">
      <c r="AA359" s="1410"/>
    </row>
    <row r="360" spans="27:27" x14ac:dyDescent="0.25">
      <c r="AA360" s="1410"/>
    </row>
    <row r="361" spans="27:27" x14ac:dyDescent="0.25">
      <c r="AA361" s="1410"/>
    </row>
    <row r="362" spans="27:27" x14ac:dyDescent="0.25">
      <c r="AA362" s="1410"/>
    </row>
    <row r="363" spans="27:27" x14ac:dyDescent="0.25">
      <c r="AA363" s="1410"/>
    </row>
    <row r="364" spans="27:27" x14ac:dyDescent="0.25">
      <c r="AA364" s="1410"/>
    </row>
    <row r="365" spans="27:27" x14ac:dyDescent="0.25">
      <c r="AA365" s="1410"/>
    </row>
    <row r="366" spans="27:27" x14ac:dyDescent="0.25">
      <c r="AA366" s="1410"/>
    </row>
    <row r="367" spans="27:27" x14ac:dyDescent="0.25">
      <c r="AA367" s="1410"/>
    </row>
    <row r="368" spans="27:27" x14ac:dyDescent="0.25">
      <c r="AA368" s="1410"/>
    </row>
    <row r="369" spans="27:27" x14ac:dyDescent="0.25">
      <c r="AA369" s="1410"/>
    </row>
    <row r="370" spans="27:27" x14ac:dyDescent="0.25">
      <c r="AA370" s="1410"/>
    </row>
    <row r="371" spans="27:27" x14ac:dyDescent="0.25">
      <c r="AA371" s="1410"/>
    </row>
    <row r="372" spans="27:27" x14ac:dyDescent="0.25">
      <c r="AA372" s="1410"/>
    </row>
    <row r="373" spans="27:27" x14ac:dyDescent="0.25">
      <c r="AA373" s="1410"/>
    </row>
    <row r="374" spans="27:27" x14ac:dyDescent="0.25">
      <c r="AA374" s="1410"/>
    </row>
    <row r="375" spans="27:27" x14ac:dyDescent="0.25">
      <c r="AA375" s="1410"/>
    </row>
    <row r="376" spans="27:27" x14ac:dyDescent="0.25">
      <c r="AA376" s="1410"/>
    </row>
    <row r="377" spans="27:27" x14ac:dyDescent="0.25">
      <c r="AA377" s="1410"/>
    </row>
    <row r="378" spans="27:27" x14ac:dyDescent="0.25">
      <c r="AA378" s="1410"/>
    </row>
    <row r="379" spans="27:27" x14ac:dyDescent="0.25">
      <c r="AA379" s="1410"/>
    </row>
    <row r="380" spans="27:27" x14ac:dyDescent="0.25">
      <c r="AA380" s="1410"/>
    </row>
    <row r="381" spans="27:27" x14ac:dyDescent="0.25">
      <c r="AA381" s="1410"/>
    </row>
    <row r="382" spans="27:27" x14ac:dyDescent="0.25">
      <c r="AA382" s="1410"/>
    </row>
    <row r="383" spans="27:27" x14ac:dyDescent="0.25">
      <c r="AA383" s="1410"/>
    </row>
    <row r="384" spans="27:27" x14ac:dyDescent="0.25">
      <c r="AA384" s="1410"/>
    </row>
    <row r="385" spans="27:27" x14ac:dyDescent="0.25">
      <c r="AA385" s="1410"/>
    </row>
    <row r="386" spans="27:27" x14ac:dyDescent="0.25">
      <c r="AA386" s="1410"/>
    </row>
    <row r="387" spans="27:27" x14ac:dyDescent="0.25">
      <c r="AA387" s="1410"/>
    </row>
    <row r="388" spans="27:27" x14ac:dyDescent="0.25">
      <c r="AA388" s="1410"/>
    </row>
    <row r="389" spans="27:27" x14ac:dyDescent="0.25">
      <c r="AA389" s="1410"/>
    </row>
    <row r="390" spans="27:27" x14ac:dyDescent="0.25">
      <c r="AA390" s="1410"/>
    </row>
    <row r="391" spans="27:27" x14ac:dyDescent="0.25">
      <c r="AA391" s="1410"/>
    </row>
    <row r="392" spans="27:27" x14ac:dyDescent="0.25">
      <c r="AA392" s="1410"/>
    </row>
    <row r="393" spans="27:27" x14ac:dyDescent="0.25">
      <c r="AA393" s="1410"/>
    </row>
    <row r="394" spans="27:27" x14ac:dyDescent="0.25">
      <c r="AA394" s="1410"/>
    </row>
    <row r="395" spans="27:27" x14ac:dyDescent="0.25">
      <c r="AA395" s="1410"/>
    </row>
    <row r="396" spans="27:27" x14ac:dyDescent="0.25">
      <c r="AA396" s="1410"/>
    </row>
    <row r="397" spans="27:27" x14ac:dyDescent="0.25">
      <c r="AA397" s="1410"/>
    </row>
    <row r="398" spans="27:27" x14ac:dyDescent="0.25">
      <c r="AA398" s="1410"/>
    </row>
    <row r="399" spans="27:27" x14ac:dyDescent="0.25">
      <c r="AA399" s="1410"/>
    </row>
    <row r="400" spans="27:27" x14ac:dyDescent="0.25">
      <c r="AA400" s="1410"/>
    </row>
    <row r="401" spans="27:27" x14ac:dyDescent="0.25">
      <c r="AA401" s="1410"/>
    </row>
    <row r="402" spans="27:27" x14ac:dyDescent="0.25">
      <c r="AA402" s="1410"/>
    </row>
    <row r="403" spans="27:27" x14ac:dyDescent="0.25">
      <c r="AA403" s="1410"/>
    </row>
    <row r="404" spans="27:27" x14ac:dyDescent="0.25">
      <c r="AA404" s="1410"/>
    </row>
    <row r="405" spans="27:27" x14ac:dyDescent="0.25">
      <c r="AA405" s="1410"/>
    </row>
    <row r="406" spans="27:27" x14ac:dyDescent="0.25">
      <c r="AA406" s="1410"/>
    </row>
    <row r="407" spans="27:27" x14ac:dyDescent="0.25">
      <c r="AA407" s="1410"/>
    </row>
    <row r="408" spans="27:27" x14ac:dyDescent="0.25">
      <c r="AA408" s="1410"/>
    </row>
    <row r="409" spans="27:27" x14ac:dyDescent="0.25">
      <c r="AA409" s="1410"/>
    </row>
    <row r="410" spans="27:27" x14ac:dyDescent="0.25">
      <c r="AA410" s="1410"/>
    </row>
    <row r="411" spans="27:27" x14ac:dyDescent="0.25">
      <c r="AA411" s="1410"/>
    </row>
    <row r="412" spans="27:27" x14ac:dyDescent="0.25">
      <c r="AA412" s="1410"/>
    </row>
    <row r="413" spans="27:27" x14ac:dyDescent="0.25">
      <c r="AA413" s="1410"/>
    </row>
    <row r="414" spans="27:27" x14ac:dyDescent="0.25">
      <c r="AA414" s="1410"/>
    </row>
    <row r="415" spans="27:27" x14ac:dyDescent="0.25">
      <c r="AA415" s="1410"/>
    </row>
    <row r="416" spans="27:27" x14ac:dyDescent="0.25">
      <c r="AA416" s="1410"/>
    </row>
    <row r="417" spans="27:27" x14ac:dyDescent="0.25">
      <c r="AA417" s="1410"/>
    </row>
    <row r="418" spans="27:27" x14ac:dyDescent="0.25">
      <c r="AA418" s="1410"/>
    </row>
    <row r="419" spans="27:27" x14ac:dyDescent="0.25">
      <c r="AA419" s="1410"/>
    </row>
    <row r="420" spans="27:27" x14ac:dyDescent="0.25">
      <c r="AA420" s="1410"/>
    </row>
    <row r="421" spans="27:27" x14ac:dyDescent="0.25">
      <c r="AA421" s="1410"/>
    </row>
    <row r="422" spans="27:27" x14ac:dyDescent="0.25">
      <c r="AA422" s="1410"/>
    </row>
    <row r="423" spans="27:27" x14ac:dyDescent="0.25">
      <c r="AA423" s="1410"/>
    </row>
    <row r="424" spans="27:27" x14ac:dyDescent="0.25">
      <c r="AA424" s="1410"/>
    </row>
    <row r="425" spans="27:27" x14ac:dyDescent="0.25">
      <c r="AA425" s="1410"/>
    </row>
    <row r="426" spans="27:27" x14ac:dyDescent="0.25">
      <c r="AA426" s="1410"/>
    </row>
    <row r="427" spans="27:27" x14ac:dyDescent="0.25">
      <c r="AA427" s="1410"/>
    </row>
    <row r="428" spans="27:27" x14ac:dyDescent="0.25">
      <c r="AA428" s="1410"/>
    </row>
    <row r="429" spans="27:27" x14ac:dyDescent="0.25">
      <c r="AA429" s="1410"/>
    </row>
    <row r="430" spans="27:27" x14ac:dyDescent="0.25">
      <c r="AA430" s="1410"/>
    </row>
    <row r="431" spans="27:27" x14ac:dyDescent="0.25">
      <c r="AA431" s="1410"/>
    </row>
    <row r="432" spans="27:27" x14ac:dyDescent="0.25">
      <c r="AA432" s="1410"/>
    </row>
    <row r="433" spans="27:27" x14ac:dyDescent="0.25">
      <c r="AA433" s="1410"/>
    </row>
    <row r="434" spans="27:27" x14ac:dyDescent="0.25">
      <c r="AA434" s="1410"/>
    </row>
    <row r="435" spans="27:27" x14ac:dyDescent="0.25">
      <c r="AA435" s="1410"/>
    </row>
    <row r="436" spans="27:27" x14ac:dyDescent="0.25">
      <c r="AA436" s="1410"/>
    </row>
    <row r="437" spans="27:27" x14ac:dyDescent="0.25">
      <c r="AA437" s="1410"/>
    </row>
    <row r="438" spans="27:27" x14ac:dyDescent="0.25">
      <c r="AA438" s="1410"/>
    </row>
    <row r="439" spans="27:27" x14ac:dyDescent="0.25">
      <c r="AA439" s="1410"/>
    </row>
    <row r="440" spans="27:27" x14ac:dyDescent="0.25">
      <c r="AA440" s="1410"/>
    </row>
    <row r="441" spans="27:27" x14ac:dyDescent="0.25">
      <c r="AA441" s="1410"/>
    </row>
    <row r="442" spans="27:27" x14ac:dyDescent="0.25">
      <c r="AA442" s="1410"/>
    </row>
    <row r="443" spans="27:27" x14ac:dyDescent="0.25">
      <c r="AA443" s="1410"/>
    </row>
    <row r="444" spans="27:27" x14ac:dyDescent="0.25">
      <c r="AA444" s="1410"/>
    </row>
    <row r="445" spans="27:27" x14ac:dyDescent="0.25">
      <c r="AA445" s="1410"/>
    </row>
    <row r="446" spans="27:27" x14ac:dyDescent="0.25">
      <c r="AA446" s="1410"/>
    </row>
    <row r="447" spans="27:27" x14ac:dyDescent="0.25">
      <c r="AA447" s="1410"/>
    </row>
    <row r="448" spans="27:27" x14ac:dyDescent="0.25">
      <c r="AA448" s="1410"/>
    </row>
    <row r="449" spans="27:27" x14ac:dyDescent="0.25">
      <c r="AA449" s="1410"/>
    </row>
    <row r="450" spans="27:27" x14ac:dyDescent="0.25">
      <c r="AA450" s="1410"/>
    </row>
    <row r="451" spans="27:27" x14ac:dyDescent="0.25">
      <c r="AA451" s="1410"/>
    </row>
    <row r="452" spans="27:27" x14ac:dyDescent="0.25">
      <c r="AA452" s="1410"/>
    </row>
    <row r="453" spans="27:27" x14ac:dyDescent="0.25">
      <c r="AA453" s="1410"/>
    </row>
    <row r="454" spans="27:27" x14ac:dyDescent="0.25">
      <c r="AA454" s="1410"/>
    </row>
    <row r="455" spans="27:27" x14ac:dyDescent="0.25">
      <c r="AA455" s="1410"/>
    </row>
    <row r="456" spans="27:27" x14ac:dyDescent="0.25">
      <c r="AA456" s="1410"/>
    </row>
    <row r="457" spans="27:27" x14ac:dyDescent="0.25">
      <c r="AA457" s="1410"/>
    </row>
    <row r="458" spans="27:27" x14ac:dyDescent="0.25">
      <c r="AA458" s="1410"/>
    </row>
    <row r="459" spans="27:27" x14ac:dyDescent="0.25">
      <c r="AA459" s="1410"/>
    </row>
    <row r="460" spans="27:27" x14ac:dyDescent="0.25">
      <c r="AA460" s="1410"/>
    </row>
    <row r="461" spans="27:27" x14ac:dyDescent="0.25">
      <c r="AA461" s="1410"/>
    </row>
    <row r="462" spans="27:27" x14ac:dyDescent="0.25">
      <c r="AA462" s="1410"/>
    </row>
    <row r="463" spans="27:27" x14ac:dyDescent="0.25">
      <c r="AA463" s="1410"/>
    </row>
    <row r="464" spans="27:27" x14ac:dyDescent="0.25">
      <c r="AA464" s="1410"/>
    </row>
    <row r="465" spans="27:27" x14ac:dyDescent="0.25">
      <c r="AA465" s="1410"/>
    </row>
    <row r="466" spans="27:27" x14ac:dyDescent="0.25">
      <c r="AA466" s="1410"/>
    </row>
    <row r="467" spans="27:27" x14ac:dyDescent="0.25">
      <c r="AA467" s="1410"/>
    </row>
    <row r="468" spans="27:27" x14ac:dyDescent="0.25">
      <c r="AA468" s="1410"/>
    </row>
    <row r="469" spans="27:27" x14ac:dyDescent="0.25">
      <c r="AA469" s="1410"/>
    </row>
    <row r="470" spans="27:27" x14ac:dyDescent="0.25">
      <c r="AA470" s="1410"/>
    </row>
    <row r="471" spans="27:27" x14ac:dyDescent="0.25">
      <c r="AA471" s="1410"/>
    </row>
    <row r="472" spans="27:27" x14ac:dyDescent="0.25">
      <c r="AA472" s="1410"/>
    </row>
    <row r="473" spans="27:27" x14ac:dyDescent="0.25">
      <c r="AA473" s="1410"/>
    </row>
    <row r="474" spans="27:27" x14ac:dyDescent="0.25">
      <c r="AA474" s="1410"/>
    </row>
    <row r="475" spans="27:27" x14ac:dyDescent="0.25">
      <c r="AA475" s="1410"/>
    </row>
    <row r="476" spans="27:27" x14ac:dyDescent="0.25">
      <c r="AA476" s="1410"/>
    </row>
    <row r="477" spans="27:27" x14ac:dyDescent="0.25">
      <c r="AA477" s="1410"/>
    </row>
    <row r="478" spans="27:27" x14ac:dyDescent="0.25">
      <c r="AA478" s="1410"/>
    </row>
    <row r="479" spans="27:27" x14ac:dyDescent="0.25">
      <c r="AA479" s="1410"/>
    </row>
    <row r="480" spans="27:27" x14ac:dyDescent="0.25">
      <c r="AA480" s="1410"/>
    </row>
    <row r="481" spans="27:27" x14ac:dyDescent="0.25">
      <c r="AA481" s="1410"/>
    </row>
    <row r="482" spans="27:27" x14ac:dyDescent="0.25">
      <c r="AA482" s="1410"/>
    </row>
    <row r="483" spans="27:27" x14ac:dyDescent="0.25">
      <c r="AA483" s="1410"/>
    </row>
    <row r="484" spans="27:27" x14ac:dyDescent="0.25">
      <c r="AA484" s="1410"/>
    </row>
    <row r="485" spans="27:27" x14ac:dyDescent="0.25">
      <c r="AA485" s="1410"/>
    </row>
    <row r="486" spans="27:27" x14ac:dyDescent="0.25">
      <c r="AA486" s="1410"/>
    </row>
    <row r="487" spans="27:27" x14ac:dyDescent="0.25">
      <c r="AA487" s="1410"/>
    </row>
    <row r="488" spans="27:27" x14ac:dyDescent="0.25">
      <c r="AA488" s="1410"/>
    </row>
    <row r="489" spans="27:27" x14ac:dyDescent="0.25">
      <c r="AA489" s="1410"/>
    </row>
    <row r="490" spans="27:27" x14ac:dyDescent="0.25">
      <c r="AA490" s="1410"/>
    </row>
    <row r="491" spans="27:27" x14ac:dyDescent="0.25">
      <c r="AA491" s="1410"/>
    </row>
    <row r="492" spans="27:27" x14ac:dyDescent="0.25">
      <c r="AA492" s="1410"/>
    </row>
    <row r="493" spans="27:27" x14ac:dyDescent="0.25">
      <c r="AA493" s="1410"/>
    </row>
    <row r="494" spans="27:27" x14ac:dyDescent="0.25">
      <c r="AA494" s="1410"/>
    </row>
    <row r="495" spans="27:27" x14ac:dyDescent="0.25">
      <c r="AA495" s="1410"/>
    </row>
    <row r="496" spans="27:27" x14ac:dyDescent="0.25">
      <c r="AA496" s="1410"/>
    </row>
    <row r="497" spans="27:27" x14ac:dyDescent="0.25">
      <c r="AA497" s="1410"/>
    </row>
    <row r="498" spans="27:27" x14ac:dyDescent="0.25">
      <c r="AA498" s="1410"/>
    </row>
    <row r="499" spans="27:27" x14ac:dyDescent="0.25">
      <c r="AA499" s="1410"/>
    </row>
    <row r="500" spans="27:27" x14ac:dyDescent="0.25">
      <c r="AA500" s="1410"/>
    </row>
    <row r="501" spans="27:27" x14ac:dyDescent="0.25">
      <c r="AA501" s="1410"/>
    </row>
    <row r="502" spans="27:27" x14ac:dyDescent="0.25">
      <c r="AA502" s="1410"/>
    </row>
    <row r="503" spans="27:27" x14ac:dyDescent="0.25">
      <c r="AA503" s="1410"/>
    </row>
    <row r="504" spans="27:27" x14ac:dyDescent="0.25">
      <c r="AA504" s="1410"/>
    </row>
    <row r="505" spans="27:27" x14ac:dyDescent="0.25">
      <c r="AA505" s="1410"/>
    </row>
    <row r="506" spans="27:27" x14ac:dyDescent="0.25">
      <c r="AA506" s="1410"/>
    </row>
    <row r="507" spans="27:27" x14ac:dyDescent="0.25">
      <c r="AA507" s="1410"/>
    </row>
    <row r="508" spans="27:27" x14ac:dyDescent="0.25">
      <c r="AA508" s="1410"/>
    </row>
    <row r="509" spans="27:27" x14ac:dyDescent="0.25">
      <c r="AA509" s="1410"/>
    </row>
    <row r="510" spans="27:27" x14ac:dyDescent="0.25">
      <c r="AA510" s="1410"/>
    </row>
    <row r="511" spans="27:27" x14ac:dyDescent="0.25">
      <c r="AA511" s="1410"/>
    </row>
    <row r="512" spans="27:27" x14ac:dyDescent="0.25">
      <c r="AA512" s="1410"/>
    </row>
    <row r="513" spans="27:27" x14ac:dyDescent="0.25">
      <c r="AA513" s="1410"/>
    </row>
    <row r="514" spans="27:27" x14ac:dyDescent="0.25">
      <c r="AA514" s="1410"/>
    </row>
    <row r="515" spans="27:27" x14ac:dyDescent="0.25">
      <c r="AA515" s="1410"/>
    </row>
    <row r="516" spans="27:27" x14ac:dyDescent="0.25">
      <c r="AA516" s="1410"/>
    </row>
    <row r="517" spans="27:27" x14ac:dyDescent="0.25">
      <c r="AA517" s="1410"/>
    </row>
    <row r="518" spans="27:27" x14ac:dyDescent="0.25">
      <c r="AA518" s="1410"/>
    </row>
    <row r="519" spans="27:27" x14ac:dyDescent="0.25">
      <c r="AA519" s="1410"/>
    </row>
    <row r="520" spans="27:27" x14ac:dyDescent="0.25">
      <c r="AA520" s="1410"/>
    </row>
    <row r="521" spans="27:27" x14ac:dyDescent="0.25">
      <c r="AA521" s="1410"/>
    </row>
    <row r="522" spans="27:27" x14ac:dyDescent="0.25">
      <c r="AA522" s="1410"/>
    </row>
    <row r="523" spans="27:27" x14ac:dyDescent="0.25">
      <c r="AA523" s="1410"/>
    </row>
    <row r="524" spans="27:27" x14ac:dyDescent="0.25">
      <c r="AA524" s="1410"/>
    </row>
    <row r="525" spans="27:27" x14ac:dyDescent="0.25">
      <c r="AA525" s="1410"/>
    </row>
    <row r="526" spans="27:27" x14ac:dyDescent="0.25">
      <c r="AA526" s="1410"/>
    </row>
    <row r="527" spans="27:27" x14ac:dyDescent="0.25">
      <c r="AA527" s="1410"/>
    </row>
    <row r="528" spans="27:27" x14ac:dyDescent="0.25">
      <c r="AA528" s="1410"/>
    </row>
    <row r="529" spans="27:27" x14ac:dyDescent="0.25">
      <c r="AA529" s="1410"/>
    </row>
    <row r="530" spans="27:27" x14ac:dyDescent="0.25">
      <c r="AA530" s="1410"/>
    </row>
    <row r="531" spans="27:27" x14ac:dyDescent="0.25">
      <c r="AA531" s="1410"/>
    </row>
    <row r="532" spans="27:27" x14ac:dyDescent="0.25">
      <c r="AA532" s="1410"/>
    </row>
    <row r="533" spans="27:27" x14ac:dyDescent="0.25">
      <c r="AA533" s="1410"/>
    </row>
    <row r="534" spans="27:27" x14ac:dyDescent="0.25">
      <c r="AA534" s="1410"/>
    </row>
    <row r="535" spans="27:27" x14ac:dyDescent="0.25">
      <c r="AA535" s="1410"/>
    </row>
    <row r="536" spans="27:27" x14ac:dyDescent="0.25">
      <c r="AA536" s="1410"/>
    </row>
    <row r="537" spans="27:27" x14ac:dyDescent="0.25">
      <c r="AA537" s="1410"/>
    </row>
    <row r="538" spans="27:27" x14ac:dyDescent="0.25">
      <c r="AA538" s="1410"/>
    </row>
    <row r="539" spans="27:27" x14ac:dyDescent="0.25">
      <c r="AA539" s="1410"/>
    </row>
    <row r="540" spans="27:27" x14ac:dyDescent="0.25">
      <c r="AA540" s="1410"/>
    </row>
    <row r="541" spans="27:27" x14ac:dyDescent="0.25">
      <c r="AA541" s="1410"/>
    </row>
    <row r="542" spans="27:27" x14ac:dyDescent="0.25">
      <c r="AA542" s="1410"/>
    </row>
    <row r="543" spans="27:27" x14ac:dyDescent="0.25">
      <c r="AA543" s="1410"/>
    </row>
    <row r="544" spans="27:27" x14ac:dyDescent="0.25">
      <c r="AA544" s="1410"/>
    </row>
    <row r="545" spans="27:27" x14ac:dyDescent="0.25">
      <c r="AA545" s="1410"/>
    </row>
    <row r="546" spans="27:27" x14ac:dyDescent="0.25">
      <c r="AA546" s="1410"/>
    </row>
    <row r="547" spans="27:27" x14ac:dyDescent="0.25">
      <c r="AA547" s="1410"/>
    </row>
    <row r="548" spans="27:27" x14ac:dyDescent="0.25">
      <c r="AA548" s="1410"/>
    </row>
    <row r="549" spans="27:27" x14ac:dyDescent="0.25">
      <c r="AA549" s="1410"/>
    </row>
    <row r="550" spans="27:27" x14ac:dyDescent="0.25">
      <c r="AA550" s="1410"/>
    </row>
    <row r="551" spans="27:27" x14ac:dyDescent="0.25">
      <c r="AA551" s="1410"/>
    </row>
    <row r="552" spans="27:27" x14ac:dyDescent="0.25">
      <c r="AA552" s="1410"/>
    </row>
    <row r="553" spans="27:27" x14ac:dyDescent="0.25">
      <c r="AA553" s="1410"/>
    </row>
    <row r="554" spans="27:27" x14ac:dyDescent="0.25">
      <c r="AA554" s="1410"/>
    </row>
    <row r="555" spans="27:27" x14ac:dyDescent="0.25">
      <c r="AA555" s="1410"/>
    </row>
    <row r="556" spans="27:27" x14ac:dyDescent="0.25">
      <c r="AA556" s="1410"/>
    </row>
    <row r="557" spans="27:27" x14ac:dyDescent="0.25">
      <c r="AA557" s="1410"/>
    </row>
    <row r="558" spans="27:27" x14ac:dyDescent="0.25">
      <c r="AA558" s="1410"/>
    </row>
    <row r="559" spans="27:27" x14ac:dyDescent="0.25">
      <c r="AA559" s="1410"/>
    </row>
    <row r="560" spans="27:27" x14ac:dyDescent="0.25">
      <c r="AA560" s="1410"/>
    </row>
    <row r="561" spans="27:27" x14ac:dyDescent="0.25">
      <c r="AA561" s="1410"/>
    </row>
    <row r="562" spans="27:27" x14ac:dyDescent="0.25">
      <c r="AA562" s="1410"/>
    </row>
    <row r="563" spans="27:27" x14ac:dyDescent="0.25">
      <c r="AA563" s="1410"/>
    </row>
    <row r="564" spans="27:27" x14ac:dyDescent="0.25">
      <c r="AA564" s="1410"/>
    </row>
    <row r="565" spans="27:27" x14ac:dyDescent="0.25">
      <c r="AA565" s="1410"/>
    </row>
    <row r="566" spans="27:27" x14ac:dyDescent="0.25">
      <c r="AA566" s="1410"/>
    </row>
    <row r="567" spans="27:27" x14ac:dyDescent="0.25">
      <c r="AA567" s="1410"/>
    </row>
    <row r="568" spans="27:27" x14ac:dyDescent="0.25">
      <c r="AA568" s="1410"/>
    </row>
    <row r="569" spans="27:27" x14ac:dyDescent="0.25">
      <c r="AA569" s="1410"/>
    </row>
    <row r="570" spans="27:27" x14ac:dyDescent="0.25">
      <c r="AA570" s="1410"/>
    </row>
    <row r="571" spans="27:27" x14ac:dyDescent="0.25">
      <c r="AA571" s="1410"/>
    </row>
    <row r="572" spans="27:27" x14ac:dyDescent="0.25">
      <c r="AA572" s="1410"/>
    </row>
    <row r="573" spans="27:27" x14ac:dyDescent="0.25">
      <c r="AA573" s="1410"/>
    </row>
    <row r="574" spans="27:27" x14ac:dyDescent="0.25">
      <c r="AA574" s="1410"/>
    </row>
    <row r="575" spans="27:27" x14ac:dyDescent="0.25">
      <c r="AA575" s="1410"/>
    </row>
    <row r="576" spans="27:27" x14ac:dyDescent="0.25">
      <c r="AA576" s="1410"/>
    </row>
    <row r="577" spans="27:27" x14ac:dyDescent="0.25">
      <c r="AA577" s="1410"/>
    </row>
    <row r="578" spans="27:27" x14ac:dyDescent="0.25">
      <c r="AA578" s="1410"/>
    </row>
    <row r="579" spans="27:27" x14ac:dyDescent="0.25">
      <c r="AA579" s="1410"/>
    </row>
    <row r="580" spans="27:27" x14ac:dyDescent="0.25">
      <c r="AA580" s="1410"/>
    </row>
    <row r="581" spans="27:27" x14ac:dyDescent="0.25">
      <c r="AA581" s="1410"/>
    </row>
    <row r="582" spans="27:27" x14ac:dyDescent="0.25">
      <c r="AA582" s="1410"/>
    </row>
    <row r="583" spans="27:27" x14ac:dyDescent="0.25">
      <c r="AA583" s="1410"/>
    </row>
    <row r="584" spans="27:27" x14ac:dyDescent="0.25">
      <c r="AA584" s="1410"/>
    </row>
    <row r="585" spans="27:27" x14ac:dyDescent="0.25">
      <c r="AA585" s="1410"/>
    </row>
    <row r="586" spans="27:27" x14ac:dyDescent="0.25">
      <c r="AA586" s="1410"/>
    </row>
    <row r="587" spans="27:27" x14ac:dyDescent="0.25">
      <c r="AA587" s="1410"/>
    </row>
    <row r="588" spans="27:27" x14ac:dyDescent="0.25">
      <c r="AA588" s="1410"/>
    </row>
    <row r="589" spans="27:27" x14ac:dyDescent="0.25">
      <c r="AA589" s="1410"/>
    </row>
    <row r="590" spans="27:27" x14ac:dyDescent="0.25">
      <c r="AA590" s="1410"/>
    </row>
    <row r="591" spans="27:27" x14ac:dyDescent="0.25">
      <c r="AA591" s="1410"/>
    </row>
    <row r="592" spans="27:27" x14ac:dyDescent="0.25">
      <c r="AA592" s="1410"/>
    </row>
    <row r="593" spans="27:27" x14ac:dyDescent="0.25">
      <c r="AA593" s="1410"/>
    </row>
    <row r="594" spans="27:27" x14ac:dyDescent="0.25">
      <c r="AA594" s="1410"/>
    </row>
    <row r="595" spans="27:27" x14ac:dyDescent="0.25">
      <c r="AA595" s="1410"/>
    </row>
    <row r="596" spans="27:27" x14ac:dyDescent="0.25">
      <c r="AA596" s="1410"/>
    </row>
    <row r="597" spans="27:27" x14ac:dyDescent="0.25">
      <c r="AA597" s="1410"/>
    </row>
    <row r="598" spans="27:27" x14ac:dyDescent="0.25">
      <c r="AA598" s="1410"/>
    </row>
    <row r="599" spans="27:27" x14ac:dyDescent="0.25">
      <c r="AA599" s="1410"/>
    </row>
    <row r="600" spans="27:27" x14ac:dyDescent="0.25">
      <c r="AA600" s="1410"/>
    </row>
    <row r="601" spans="27:27" x14ac:dyDescent="0.25">
      <c r="AA601" s="1410"/>
    </row>
    <row r="602" spans="27:27" x14ac:dyDescent="0.25">
      <c r="AA602" s="1410"/>
    </row>
    <row r="603" spans="27:27" x14ac:dyDescent="0.25">
      <c r="AA603" s="1410"/>
    </row>
    <row r="604" spans="27:27" x14ac:dyDescent="0.25">
      <c r="AA604" s="1410"/>
    </row>
    <row r="605" spans="27:27" x14ac:dyDescent="0.25">
      <c r="AA605" s="1410"/>
    </row>
    <row r="606" spans="27:27" x14ac:dyDescent="0.25">
      <c r="AA606" s="1410"/>
    </row>
    <row r="607" spans="27:27" x14ac:dyDescent="0.25">
      <c r="AA607" s="1410"/>
    </row>
    <row r="608" spans="27:27" x14ac:dyDescent="0.25">
      <c r="AA608" s="1410"/>
    </row>
    <row r="609" spans="27:27" x14ac:dyDescent="0.25">
      <c r="AA609" s="1410"/>
    </row>
    <row r="610" spans="27:27" x14ac:dyDescent="0.25">
      <c r="AA610" s="1410"/>
    </row>
    <row r="611" spans="27:27" x14ac:dyDescent="0.25">
      <c r="AA611" s="1410"/>
    </row>
    <row r="612" spans="27:27" x14ac:dyDescent="0.25">
      <c r="AA612" s="1410"/>
    </row>
    <row r="613" spans="27:27" x14ac:dyDescent="0.25">
      <c r="AA613" s="1410"/>
    </row>
    <row r="614" spans="27:27" x14ac:dyDescent="0.25">
      <c r="AA614" s="1410"/>
    </row>
    <row r="615" spans="27:27" x14ac:dyDescent="0.25">
      <c r="AA615" s="1410"/>
    </row>
    <row r="616" spans="27:27" x14ac:dyDescent="0.25">
      <c r="AA616" s="1410"/>
    </row>
    <row r="617" spans="27:27" x14ac:dyDescent="0.25">
      <c r="AA617" s="1410"/>
    </row>
    <row r="618" spans="27:27" x14ac:dyDescent="0.25">
      <c r="AA618" s="1410"/>
    </row>
    <row r="619" spans="27:27" x14ac:dyDescent="0.25">
      <c r="AA619" s="1410"/>
    </row>
    <row r="620" spans="27:27" x14ac:dyDescent="0.25">
      <c r="AA620" s="1410"/>
    </row>
    <row r="621" spans="27:27" x14ac:dyDescent="0.25">
      <c r="AA621" s="1410"/>
    </row>
    <row r="622" spans="27:27" x14ac:dyDescent="0.25">
      <c r="AA622" s="1410"/>
    </row>
    <row r="623" spans="27:27" x14ac:dyDescent="0.25">
      <c r="AA623" s="1410"/>
    </row>
    <row r="624" spans="27:27" x14ac:dyDescent="0.25">
      <c r="AA624" s="1410"/>
    </row>
    <row r="625" spans="27:27" x14ac:dyDescent="0.25">
      <c r="AA625" s="1410"/>
    </row>
    <row r="626" spans="27:27" x14ac:dyDescent="0.25">
      <c r="AA626" s="1410"/>
    </row>
    <row r="627" spans="27:27" x14ac:dyDescent="0.25">
      <c r="AA627" s="1410"/>
    </row>
    <row r="628" spans="27:27" x14ac:dyDescent="0.25">
      <c r="AA628" s="1410"/>
    </row>
    <row r="629" spans="27:27" x14ac:dyDescent="0.25">
      <c r="AA629" s="1410"/>
    </row>
    <row r="630" spans="27:27" x14ac:dyDescent="0.25">
      <c r="AA630" s="1410"/>
    </row>
    <row r="631" spans="27:27" x14ac:dyDescent="0.25">
      <c r="AA631" s="1410"/>
    </row>
    <row r="632" spans="27:27" x14ac:dyDescent="0.25">
      <c r="AA632" s="1410"/>
    </row>
    <row r="633" spans="27:27" x14ac:dyDescent="0.25">
      <c r="AA633" s="1410"/>
    </row>
    <row r="634" spans="27:27" x14ac:dyDescent="0.25">
      <c r="AA634" s="1410"/>
    </row>
    <row r="635" spans="27:27" x14ac:dyDescent="0.25">
      <c r="AA635" s="1410"/>
    </row>
    <row r="636" spans="27:27" x14ac:dyDescent="0.25">
      <c r="AA636" s="1410"/>
    </row>
    <row r="637" spans="27:27" x14ac:dyDescent="0.25">
      <c r="AA637" s="1410"/>
    </row>
    <row r="638" spans="27:27" x14ac:dyDescent="0.25">
      <c r="AA638" s="1410"/>
    </row>
    <row r="639" spans="27:27" x14ac:dyDescent="0.25">
      <c r="AA639" s="1410"/>
    </row>
    <row r="640" spans="27:27" x14ac:dyDescent="0.25">
      <c r="AA640" s="1410"/>
    </row>
    <row r="641" spans="27:27" x14ac:dyDescent="0.25">
      <c r="AA641" s="1410"/>
    </row>
    <row r="642" spans="27:27" x14ac:dyDescent="0.25">
      <c r="AA642" s="1410"/>
    </row>
    <row r="643" spans="27:27" x14ac:dyDescent="0.25">
      <c r="AA643" s="1410"/>
    </row>
    <row r="644" spans="27:27" x14ac:dyDescent="0.25">
      <c r="AA644" s="1410"/>
    </row>
    <row r="645" spans="27:27" x14ac:dyDescent="0.25">
      <c r="AA645" s="1410"/>
    </row>
    <row r="646" spans="27:27" x14ac:dyDescent="0.25">
      <c r="AA646" s="1410"/>
    </row>
    <row r="647" spans="27:27" x14ac:dyDescent="0.25">
      <c r="AA647" s="1410"/>
    </row>
    <row r="648" spans="27:27" x14ac:dyDescent="0.25">
      <c r="AA648" s="1410"/>
    </row>
    <row r="649" spans="27:27" x14ac:dyDescent="0.25">
      <c r="AA649" s="1410"/>
    </row>
    <row r="650" spans="27:27" x14ac:dyDescent="0.25">
      <c r="AA650" s="1410"/>
    </row>
    <row r="651" spans="27:27" x14ac:dyDescent="0.25">
      <c r="AA651" s="1410"/>
    </row>
    <row r="652" spans="27:27" x14ac:dyDescent="0.25">
      <c r="AA652" s="1410"/>
    </row>
    <row r="653" spans="27:27" x14ac:dyDescent="0.25">
      <c r="AA653" s="1410"/>
    </row>
    <row r="654" spans="27:27" x14ac:dyDescent="0.25">
      <c r="AA654" s="1410"/>
    </row>
    <row r="655" spans="27:27" x14ac:dyDescent="0.25">
      <c r="AA655" s="1410"/>
    </row>
    <row r="656" spans="27:27" x14ac:dyDescent="0.25">
      <c r="AA656" s="1410"/>
    </row>
    <row r="657" spans="27:27" x14ac:dyDescent="0.25">
      <c r="AA657" s="1410"/>
    </row>
    <row r="658" spans="27:27" x14ac:dyDescent="0.25">
      <c r="AA658" s="1410"/>
    </row>
    <row r="659" spans="27:27" x14ac:dyDescent="0.25">
      <c r="AA659" s="1410"/>
    </row>
    <row r="660" spans="27:27" x14ac:dyDescent="0.25">
      <c r="AA660" s="1410"/>
    </row>
    <row r="661" spans="27:27" x14ac:dyDescent="0.25">
      <c r="AA661" s="1410"/>
    </row>
    <row r="662" spans="27:27" x14ac:dyDescent="0.25">
      <c r="AA662" s="1410"/>
    </row>
    <row r="663" spans="27:27" x14ac:dyDescent="0.25">
      <c r="AA663" s="1410"/>
    </row>
    <row r="664" spans="27:27" x14ac:dyDescent="0.25">
      <c r="AA664" s="1410"/>
    </row>
    <row r="665" spans="27:27" x14ac:dyDescent="0.25">
      <c r="AA665" s="1410"/>
    </row>
    <row r="666" spans="27:27" x14ac:dyDescent="0.25">
      <c r="AA666" s="1410"/>
    </row>
    <row r="667" spans="27:27" x14ac:dyDescent="0.25">
      <c r="AA667" s="1410"/>
    </row>
    <row r="668" spans="27:27" x14ac:dyDescent="0.25">
      <c r="AA668" s="1410"/>
    </row>
    <row r="669" spans="27:27" x14ac:dyDescent="0.25">
      <c r="AA669" s="1410"/>
    </row>
    <row r="670" spans="27:27" x14ac:dyDescent="0.25">
      <c r="AA670" s="1410"/>
    </row>
    <row r="671" spans="27:27" x14ac:dyDescent="0.25">
      <c r="AA671" s="1410"/>
    </row>
    <row r="672" spans="27:27" x14ac:dyDescent="0.25">
      <c r="AA672" s="1410"/>
    </row>
    <row r="673" spans="27:27" x14ac:dyDescent="0.25">
      <c r="AA673" s="1410"/>
    </row>
    <row r="674" spans="27:27" x14ac:dyDescent="0.25">
      <c r="AA674" s="1410"/>
    </row>
    <row r="675" spans="27:27" x14ac:dyDescent="0.25">
      <c r="AA675" s="1410"/>
    </row>
    <row r="676" spans="27:27" x14ac:dyDescent="0.25">
      <c r="AA676" s="1410"/>
    </row>
    <row r="677" spans="27:27" x14ac:dyDescent="0.25">
      <c r="AA677" s="1410"/>
    </row>
    <row r="678" spans="27:27" x14ac:dyDescent="0.25">
      <c r="AA678" s="1410"/>
    </row>
    <row r="679" spans="27:27" x14ac:dyDescent="0.25">
      <c r="AA679" s="1410"/>
    </row>
    <row r="680" spans="27:27" x14ac:dyDescent="0.25">
      <c r="AA680" s="1410"/>
    </row>
    <row r="681" spans="27:27" x14ac:dyDescent="0.25">
      <c r="AA681" s="1410"/>
    </row>
    <row r="682" spans="27:27" x14ac:dyDescent="0.25">
      <c r="AA682" s="1410"/>
    </row>
    <row r="683" spans="27:27" x14ac:dyDescent="0.25">
      <c r="AA683" s="1410"/>
    </row>
    <row r="684" spans="27:27" x14ac:dyDescent="0.25">
      <c r="AA684" s="1410"/>
    </row>
    <row r="685" spans="27:27" x14ac:dyDescent="0.25">
      <c r="AA685" s="1410"/>
    </row>
    <row r="686" spans="27:27" x14ac:dyDescent="0.25">
      <c r="AA686" s="1410"/>
    </row>
    <row r="687" spans="27:27" x14ac:dyDescent="0.25">
      <c r="AA687" s="1410"/>
    </row>
    <row r="688" spans="27:27" x14ac:dyDescent="0.25">
      <c r="AA688" s="1410"/>
    </row>
    <row r="689" spans="27:27" x14ac:dyDescent="0.25">
      <c r="AA689" s="1410"/>
    </row>
    <row r="690" spans="27:27" x14ac:dyDescent="0.25">
      <c r="AA690" s="1410"/>
    </row>
    <row r="691" spans="27:27" x14ac:dyDescent="0.25">
      <c r="AA691" s="1410"/>
    </row>
    <row r="692" spans="27:27" x14ac:dyDescent="0.25">
      <c r="AA692" s="1410"/>
    </row>
    <row r="693" spans="27:27" x14ac:dyDescent="0.25">
      <c r="AA693" s="1410"/>
    </row>
    <row r="694" spans="27:27" x14ac:dyDescent="0.25">
      <c r="AA694" s="1410"/>
    </row>
    <row r="695" spans="27:27" x14ac:dyDescent="0.25">
      <c r="AA695" s="1410"/>
    </row>
    <row r="696" spans="27:27" x14ac:dyDescent="0.25">
      <c r="AA696" s="1410"/>
    </row>
    <row r="697" spans="27:27" x14ac:dyDescent="0.25">
      <c r="AA697" s="1410"/>
    </row>
    <row r="698" spans="27:27" x14ac:dyDescent="0.25">
      <c r="AA698" s="1410"/>
    </row>
    <row r="699" spans="27:27" x14ac:dyDescent="0.25">
      <c r="AA699" s="1410"/>
    </row>
    <row r="700" spans="27:27" x14ac:dyDescent="0.25">
      <c r="AA700" s="1410"/>
    </row>
    <row r="701" spans="27:27" x14ac:dyDescent="0.25">
      <c r="AA701" s="1410"/>
    </row>
    <row r="702" spans="27:27" x14ac:dyDescent="0.25">
      <c r="AA702" s="1410"/>
    </row>
    <row r="703" spans="27:27" x14ac:dyDescent="0.25">
      <c r="AA703" s="1410"/>
    </row>
    <row r="704" spans="27:27" x14ac:dyDescent="0.25">
      <c r="AA704" s="1410"/>
    </row>
    <row r="705" spans="27:27" x14ac:dyDescent="0.25">
      <c r="AA705" s="1410"/>
    </row>
    <row r="706" spans="27:27" x14ac:dyDescent="0.25">
      <c r="AA706" s="1410"/>
    </row>
    <row r="707" spans="27:27" x14ac:dyDescent="0.25">
      <c r="AA707" s="1410"/>
    </row>
    <row r="708" spans="27:27" x14ac:dyDescent="0.25">
      <c r="AA708" s="1410"/>
    </row>
    <row r="709" spans="27:27" x14ac:dyDescent="0.25">
      <c r="AA709" s="1410"/>
    </row>
    <row r="710" spans="27:27" x14ac:dyDescent="0.25">
      <c r="AA710" s="1410"/>
    </row>
    <row r="711" spans="27:27" x14ac:dyDescent="0.25">
      <c r="AA711" s="1410"/>
    </row>
    <row r="712" spans="27:27" x14ac:dyDescent="0.25">
      <c r="AA712" s="1410"/>
    </row>
    <row r="713" spans="27:27" x14ac:dyDescent="0.25">
      <c r="AA713" s="1410"/>
    </row>
    <row r="714" spans="27:27" x14ac:dyDescent="0.25">
      <c r="AA714" s="1410"/>
    </row>
    <row r="715" spans="27:27" x14ac:dyDescent="0.25">
      <c r="AA715" s="1410"/>
    </row>
    <row r="716" spans="27:27" x14ac:dyDescent="0.25">
      <c r="AA716" s="1410"/>
    </row>
    <row r="717" spans="27:27" x14ac:dyDescent="0.25">
      <c r="AA717" s="1410"/>
    </row>
    <row r="718" spans="27:27" x14ac:dyDescent="0.25">
      <c r="AA718" s="1410"/>
    </row>
    <row r="719" spans="27:27" x14ac:dyDescent="0.25">
      <c r="AA719" s="1410"/>
    </row>
    <row r="720" spans="27:27" x14ac:dyDescent="0.25">
      <c r="AA720" s="1410"/>
    </row>
    <row r="721" spans="27:27" x14ac:dyDescent="0.25">
      <c r="AA721" s="1410"/>
    </row>
    <row r="722" spans="27:27" x14ac:dyDescent="0.25">
      <c r="AA722" s="1410"/>
    </row>
    <row r="723" spans="27:27" x14ac:dyDescent="0.25">
      <c r="AA723" s="1410"/>
    </row>
    <row r="724" spans="27:27" x14ac:dyDescent="0.25">
      <c r="AA724" s="1410"/>
    </row>
    <row r="725" spans="27:27" x14ac:dyDescent="0.25">
      <c r="AA725" s="1410"/>
    </row>
    <row r="726" spans="27:27" x14ac:dyDescent="0.25">
      <c r="AA726" s="1410"/>
    </row>
    <row r="727" spans="27:27" x14ac:dyDescent="0.25">
      <c r="AA727" s="1410"/>
    </row>
    <row r="728" spans="27:27" x14ac:dyDescent="0.25">
      <c r="AA728" s="1410"/>
    </row>
    <row r="729" spans="27:27" x14ac:dyDescent="0.25">
      <c r="AA729" s="1410"/>
    </row>
    <row r="730" spans="27:27" x14ac:dyDescent="0.25">
      <c r="AA730" s="1410"/>
    </row>
    <row r="731" spans="27:27" x14ac:dyDescent="0.25">
      <c r="AA731" s="1410"/>
    </row>
    <row r="732" spans="27:27" x14ac:dyDescent="0.25">
      <c r="AA732" s="1410"/>
    </row>
    <row r="733" spans="27:27" x14ac:dyDescent="0.25">
      <c r="AA733" s="1410"/>
    </row>
    <row r="734" spans="27:27" x14ac:dyDescent="0.25">
      <c r="AA734" s="1410"/>
    </row>
    <row r="735" spans="27:27" x14ac:dyDescent="0.25">
      <c r="AA735" s="1410"/>
    </row>
    <row r="736" spans="27:27" x14ac:dyDescent="0.25">
      <c r="AA736" s="1410"/>
    </row>
    <row r="737" spans="27:27" x14ac:dyDescent="0.25">
      <c r="AA737" s="1410"/>
    </row>
    <row r="738" spans="27:27" x14ac:dyDescent="0.25">
      <c r="AA738" s="1410"/>
    </row>
    <row r="739" spans="27:27" x14ac:dyDescent="0.25">
      <c r="AA739" s="1410"/>
    </row>
    <row r="740" spans="27:27" x14ac:dyDescent="0.25">
      <c r="AA740" s="1410"/>
    </row>
    <row r="741" spans="27:27" x14ac:dyDescent="0.25">
      <c r="AA741" s="1410"/>
    </row>
    <row r="742" spans="27:27" x14ac:dyDescent="0.25">
      <c r="AA742" s="1410"/>
    </row>
    <row r="743" spans="27:27" x14ac:dyDescent="0.25">
      <c r="AA743" s="1410"/>
    </row>
    <row r="744" spans="27:27" x14ac:dyDescent="0.25">
      <c r="AA744" s="1410"/>
    </row>
    <row r="745" spans="27:27" x14ac:dyDescent="0.25">
      <c r="AA745" s="1410"/>
    </row>
    <row r="746" spans="27:27" x14ac:dyDescent="0.25">
      <c r="AA746" s="1410"/>
    </row>
    <row r="747" spans="27:27" x14ac:dyDescent="0.25">
      <c r="AA747" s="1410"/>
    </row>
    <row r="748" spans="27:27" x14ac:dyDescent="0.25">
      <c r="AA748" s="1410"/>
    </row>
    <row r="749" spans="27:27" x14ac:dyDescent="0.25">
      <c r="AA749" s="1410"/>
    </row>
    <row r="750" spans="27:27" x14ac:dyDescent="0.25">
      <c r="AA750" s="1410"/>
    </row>
    <row r="751" spans="27:27" x14ac:dyDescent="0.25">
      <c r="AA751" s="1410"/>
    </row>
    <row r="752" spans="27:27" x14ac:dyDescent="0.25">
      <c r="AA752" s="1410"/>
    </row>
    <row r="753" spans="27:27" x14ac:dyDescent="0.25">
      <c r="AA753" s="1410"/>
    </row>
    <row r="754" spans="27:27" x14ac:dyDescent="0.25">
      <c r="AA754" s="1410"/>
    </row>
    <row r="755" spans="27:27" x14ac:dyDescent="0.25">
      <c r="AA755" s="1410"/>
    </row>
    <row r="756" spans="27:27" x14ac:dyDescent="0.25">
      <c r="AA756" s="1410"/>
    </row>
    <row r="757" spans="27:27" x14ac:dyDescent="0.25">
      <c r="AA757" s="1410"/>
    </row>
    <row r="758" spans="27:27" x14ac:dyDescent="0.25">
      <c r="AA758" s="1410"/>
    </row>
    <row r="759" spans="27:27" x14ac:dyDescent="0.25">
      <c r="AA759" s="1410"/>
    </row>
    <row r="760" spans="27:27" x14ac:dyDescent="0.25">
      <c r="AA760" s="1410"/>
    </row>
    <row r="761" spans="27:27" x14ac:dyDescent="0.25">
      <c r="AA761" s="1410"/>
    </row>
    <row r="762" spans="27:27" x14ac:dyDescent="0.25">
      <c r="AA762" s="1410"/>
    </row>
    <row r="763" spans="27:27" x14ac:dyDescent="0.25">
      <c r="AA763" s="1410"/>
    </row>
    <row r="764" spans="27:27" x14ac:dyDescent="0.25">
      <c r="AA764" s="1410"/>
    </row>
    <row r="765" spans="27:27" x14ac:dyDescent="0.25">
      <c r="AA765" s="1410"/>
    </row>
    <row r="766" spans="27:27" x14ac:dyDescent="0.25">
      <c r="AA766" s="1410"/>
    </row>
    <row r="767" spans="27:27" x14ac:dyDescent="0.25">
      <c r="AA767" s="1410"/>
    </row>
    <row r="768" spans="27:27" x14ac:dyDescent="0.25">
      <c r="AA768" s="1410"/>
    </row>
    <row r="769" spans="27:27" x14ac:dyDescent="0.25">
      <c r="AA769" s="1410"/>
    </row>
    <row r="770" spans="27:27" x14ac:dyDescent="0.25">
      <c r="AA770" s="1410"/>
    </row>
    <row r="771" spans="27:27" x14ac:dyDescent="0.25">
      <c r="AA771" s="1410"/>
    </row>
    <row r="772" spans="27:27" x14ac:dyDescent="0.25">
      <c r="AA772" s="1410"/>
    </row>
    <row r="773" spans="27:27" x14ac:dyDescent="0.25">
      <c r="AA773" s="1410"/>
    </row>
    <row r="774" spans="27:27" x14ac:dyDescent="0.25">
      <c r="AA774" s="1410"/>
    </row>
    <row r="775" spans="27:27" x14ac:dyDescent="0.25">
      <c r="AA775" s="1410"/>
    </row>
    <row r="776" spans="27:27" x14ac:dyDescent="0.25">
      <c r="AA776" s="1410"/>
    </row>
    <row r="777" spans="27:27" x14ac:dyDescent="0.25">
      <c r="AA777" s="1410"/>
    </row>
    <row r="778" spans="27:27" x14ac:dyDescent="0.25">
      <c r="AA778" s="1410"/>
    </row>
    <row r="779" spans="27:27" x14ac:dyDescent="0.25">
      <c r="AA779" s="1410"/>
    </row>
    <row r="780" spans="27:27" x14ac:dyDescent="0.25">
      <c r="AA780" s="1410"/>
    </row>
    <row r="781" spans="27:27" x14ac:dyDescent="0.25">
      <c r="AA781" s="1410"/>
    </row>
    <row r="782" spans="27:27" x14ac:dyDescent="0.25">
      <c r="AA782" s="1410"/>
    </row>
    <row r="783" spans="27:27" x14ac:dyDescent="0.25">
      <c r="AA783" s="1410"/>
    </row>
    <row r="784" spans="27:27" x14ac:dyDescent="0.25">
      <c r="AA784" s="1410"/>
    </row>
    <row r="785" spans="27:27" x14ac:dyDescent="0.25">
      <c r="AA785" s="1410"/>
    </row>
    <row r="786" spans="27:27" x14ac:dyDescent="0.25">
      <c r="AA786" s="1410"/>
    </row>
    <row r="787" spans="27:27" x14ac:dyDescent="0.25">
      <c r="AA787" s="1410"/>
    </row>
    <row r="788" spans="27:27" x14ac:dyDescent="0.25">
      <c r="AA788" s="1410"/>
    </row>
    <row r="789" spans="27:27" x14ac:dyDescent="0.25">
      <c r="AA789" s="1410"/>
    </row>
    <row r="790" spans="27:27" x14ac:dyDescent="0.25">
      <c r="AA790" s="1410"/>
    </row>
    <row r="791" spans="27:27" x14ac:dyDescent="0.25">
      <c r="AA791" s="1410"/>
    </row>
    <row r="792" spans="27:27" x14ac:dyDescent="0.25">
      <c r="AA792" s="1410"/>
    </row>
    <row r="793" spans="27:27" x14ac:dyDescent="0.25">
      <c r="AA793" s="1410"/>
    </row>
    <row r="794" spans="27:27" x14ac:dyDescent="0.25">
      <c r="AA794" s="1410"/>
    </row>
    <row r="795" spans="27:27" x14ac:dyDescent="0.25">
      <c r="AA795" s="1410"/>
    </row>
    <row r="796" spans="27:27" x14ac:dyDescent="0.25">
      <c r="AA796" s="1410"/>
    </row>
    <row r="797" spans="27:27" x14ac:dyDescent="0.25">
      <c r="AA797" s="1410"/>
    </row>
    <row r="798" spans="27:27" x14ac:dyDescent="0.25">
      <c r="AA798" s="1410"/>
    </row>
    <row r="799" spans="27:27" x14ac:dyDescent="0.25">
      <c r="AA799" s="1410"/>
    </row>
    <row r="800" spans="27:27" x14ac:dyDescent="0.25">
      <c r="AA800" s="1410"/>
    </row>
    <row r="801" spans="27:27" x14ac:dyDescent="0.25">
      <c r="AA801" s="1410"/>
    </row>
    <row r="802" spans="27:27" x14ac:dyDescent="0.25">
      <c r="AA802" s="1410"/>
    </row>
    <row r="803" spans="27:27" x14ac:dyDescent="0.25">
      <c r="AA803" s="1410"/>
    </row>
    <row r="804" spans="27:27" x14ac:dyDescent="0.25">
      <c r="AA804" s="1410"/>
    </row>
    <row r="805" spans="27:27" x14ac:dyDescent="0.25">
      <c r="AA805" s="1410"/>
    </row>
    <row r="806" spans="27:27" x14ac:dyDescent="0.25">
      <c r="AA806" s="1410"/>
    </row>
    <row r="807" spans="27:27" x14ac:dyDescent="0.25">
      <c r="AA807" s="1410"/>
    </row>
    <row r="808" spans="27:27" x14ac:dyDescent="0.25">
      <c r="AA808" s="1410"/>
    </row>
    <row r="809" spans="27:27" x14ac:dyDescent="0.25">
      <c r="AA809" s="1410"/>
    </row>
    <row r="810" spans="27:27" x14ac:dyDescent="0.25">
      <c r="AA810" s="1410"/>
    </row>
    <row r="811" spans="27:27" x14ac:dyDescent="0.25">
      <c r="AA811" s="1410"/>
    </row>
    <row r="812" spans="27:27" x14ac:dyDescent="0.25">
      <c r="AA812" s="1410"/>
    </row>
    <row r="813" spans="27:27" x14ac:dyDescent="0.25">
      <c r="AA813" s="1410"/>
    </row>
    <row r="814" spans="27:27" x14ac:dyDescent="0.25">
      <c r="AA814" s="1410"/>
    </row>
    <row r="815" spans="27:27" x14ac:dyDescent="0.25">
      <c r="AA815" s="1410"/>
    </row>
    <row r="816" spans="27:27" x14ac:dyDescent="0.25">
      <c r="AA816" s="1410"/>
    </row>
    <row r="817" spans="27:27" x14ac:dyDescent="0.25">
      <c r="AA817" s="1410"/>
    </row>
    <row r="818" spans="27:27" x14ac:dyDescent="0.25">
      <c r="AA818" s="1410"/>
    </row>
    <row r="819" spans="27:27" x14ac:dyDescent="0.25">
      <c r="AA819" s="1410"/>
    </row>
    <row r="820" spans="27:27" x14ac:dyDescent="0.25">
      <c r="AA820" s="1410"/>
    </row>
    <row r="821" spans="27:27" x14ac:dyDescent="0.25">
      <c r="AA821" s="1410"/>
    </row>
    <row r="822" spans="27:27" x14ac:dyDescent="0.25">
      <c r="AA822" s="1410"/>
    </row>
    <row r="823" spans="27:27" x14ac:dyDescent="0.25">
      <c r="AA823" s="1410"/>
    </row>
    <row r="824" spans="27:27" x14ac:dyDescent="0.25">
      <c r="AA824" s="1410"/>
    </row>
    <row r="825" spans="27:27" x14ac:dyDescent="0.25">
      <c r="AA825" s="1410"/>
    </row>
    <row r="826" spans="27:27" x14ac:dyDescent="0.25">
      <c r="AA826" s="1410"/>
    </row>
    <row r="827" spans="27:27" x14ac:dyDescent="0.25">
      <c r="AA827" s="1410"/>
    </row>
    <row r="828" spans="27:27" x14ac:dyDescent="0.25">
      <c r="AA828" s="1410"/>
    </row>
    <row r="829" spans="27:27" x14ac:dyDescent="0.25">
      <c r="AA829" s="1410"/>
    </row>
    <row r="830" spans="27:27" x14ac:dyDescent="0.25">
      <c r="AA830" s="1410"/>
    </row>
    <row r="831" spans="27:27" x14ac:dyDescent="0.25">
      <c r="AA831" s="1410"/>
    </row>
    <row r="832" spans="27:27" x14ac:dyDescent="0.25">
      <c r="AA832" s="1410"/>
    </row>
    <row r="833" spans="27:27" x14ac:dyDescent="0.25">
      <c r="AA833" s="1410"/>
    </row>
    <row r="834" spans="27:27" x14ac:dyDescent="0.25">
      <c r="AA834" s="1410"/>
    </row>
    <row r="835" spans="27:27" x14ac:dyDescent="0.25">
      <c r="AA835" s="1410"/>
    </row>
    <row r="836" spans="27:27" x14ac:dyDescent="0.25">
      <c r="AA836" s="1410"/>
    </row>
    <row r="837" spans="27:27" x14ac:dyDescent="0.25">
      <c r="AA837" s="1410"/>
    </row>
    <row r="838" spans="27:27" x14ac:dyDescent="0.25">
      <c r="AA838" s="1410"/>
    </row>
    <row r="839" spans="27:27" x14ac:dyDescent="0.25">
      <c r="AA839" s="1410"/>
    </row>
    <row r="840" spans="27:27" x14ac:dyDescent="0.25">
      <c r="AA840" s="1410"/>
    </row>
    <row r="841" spans="27:27" x14ac:dyDescent="0.25">
      <c r="AA841" s="1410"/>
    </row>
    <row r="842" spans="27:27" x14ac:dyDescent="0.25">
      <c r="AA842" s="1410"/>
    </row>
    <row r="843" spans="27:27" x14ac:dyDescent="0.25">
      <c r="AA843" s="1410"/>
    </row>
    <row r="844" spans="27:27" x14ac:dyDescent="0.25">
      <c r="AA844" s="1410"/>
    </row>
    <row r="845" spans="27:27" x14ac:dyDescent="0.25">
      <c r="AA845" s="1410"/>
    </row>
    <row r="846" spans="27:27" x14ac:dyDescent="0.25">
      <c r="AA846" s="1410"/>
    </row>
    <row r="847" spans="27:27" x14ac:dyDescent="0.25">
      <c r="AA847" s="1410"/>
    </row>
    <row r="848" spans="27:27" x14ac:dyDescent="0.25">
      <c r="AA848" s="1410"/>
    </row>
    <row r="849" spans="27:27" x14ac:dyDescent="0.25">
      <c r="AA849" s="1410"/>
    </row>
    <row r="850" spans="27:27" x14ac:dyDescent="0.25">
      <c r="AA850" s="1410"/>
    </row>
    <row r="851" spans="27:27" x14ac:dyDescent="0.25">
      <c r="AA851" s="1410"/>
    </row>
    <row r="852" spans="27:27" x14ac:dyDescent="0.25">
      <c r="AA852" s="1410"/>
    </row>
    <row r="853" spans="27:27" x14ac:dyDescent="0.25">
      <c r="AA853" s="1410"/>
    </row>
    <row r="854" spans="27:27" x14ac:dyDescent="0.25">
      <c r="AA854" s="1410"/>
    </row>
    <row r="855" spans="27:27" x14ac:dyDescent="0.25">
      <c r="AA855" s="1410"/>
    </row>
    <row r="856" spans="27:27" x14ac:dyDescent="0.25">
      <c r="AA856" s="1410"/>
    </row>
    <row r="857" spans="27:27" x14ac:dyDescent="0.25">
      <c r="AA857" s="1410"/>
    </row>
    <row r="858" spans="27:27" x14ac:dyDescent="0.25">
      <c r="AA858" s="1410"/>
    </row>
    <row r="859" spans="27:27" x14ac:dyDescent="0.25">
      <c r="AA859" s="1410"/>
    </row>
    <row r="860" spans="27:27" x14ac:dyDescent="0.25">
      <c r="AA860" s="1410"/>
    </row>
    <row r="861" spans="27:27" x14ac:dyDescent="0.25">
      <c r="AA861" s="1410"/>
    </row>
    <row r="862" spans="27:27" x14ac:dyDescent="0.25">
      <c r="AA862" s="1410"/>
    </row>
    <row r="863" spans="27:27" x14ac:dyDescent="0.25">
      <c r="AA863" s="1410"/>
    </row>
    <row r="864" spans="27:27" x14ac:dyDescent="0.25">
      <c r="AA864" s="1410"/>
    </row>
    <row r="865" spans="27:27" x14ac:dyDescent="0.25">
      <c r="AA865" s="1410"/>
    </row>
    <row r="866" spans="27:27" x14ac:dyDescent="0.25">
      <c r="AA866" s="1410"/>
    </row>
    <row r="867" spans="27:27" x14ac:dyDescent="0.25">
      <c r="AA867" s="1410"/>
    </row>
    <row r="868" spans="27:27" x14ac:dyDescent="0.25">
      <c r="AA868" s="1410"/>
    </row>
    <row r="869" spans="27:27" x14ac:dyDescent="0.25">
      <c r="AA869" s="1410"/>
    </row>
    <row r="870" spans="27:27" x14ac:dyDescent="0.25">
      <c r="AA870" s="1410"/>
    </row>
    <row r="871" spans="27:27" x14ac:dyDescent="0.25">
      <c r="AA871" s="1410"/>
    </row>
    <row r="872" spans="27:27" x14ac:dyDescent="0.25">
      <c r="AA872" s="1410"/>
    </row>
    <row r="873" spans="27:27" x14ac:dyDescent="0.25">
      <c r="AA873" s="1410"/>
    </row>
    <row r="874" spans="27:27" x14ac:dyDescent="0.25">
      <c r="AA874" s="1410"/>
    </row>
    <row r="875" spans="27:27" x14ac:dyDescent="0.25">
      <c r="AA875" s="1410"/>
    </row>
    <row r="876" spans="27:27" x14ac:dyDescent="0.25">
      <c r="AA876" s="1410"/>
    </row>
    <row r="877" spans="27:27" x14ac:dyDescent="0.25">
      <c r="AA877" s="1410"/>
    </row>
    <row r="878" spans="27:27" x14ac:dyDescent="0.25">
      <c r="AA878" s="1410"/>
    </row>
    <row r="879" spans="27:27" x14ac:dyDescent="0.25">
      <c r="AA879" s="1410"/>
    </row>
    <row r="880" spans="27:27" x14ac:dyDescent="0.25">
      <c r="AA880" s="1410"/>
    </row>
    <row r="881" spans="27:27" x14ac:dyDescent="0.25">
      <c r="AA881" s="1410"/>
    </row>
    <row r="882" spans="27:27" x14ac:dyDescent="0.25">
      <c r="AA882" s="1410"/>
    </row>
    <row r="883" spans="27:27" x14ac:dyDescent="0.25">
      <c r="AA883" s="1410"/>
    </row>
    <row r="884" spans="27:27" x14ac:dyDescent="0.25">
      <c r="AA884" s="1410"/>
    </row>
    <row r="885" spans="27:27" x14ac:dyDescent="0.25">
      <c r="AA885" s="1410"/>
    </row>
    <row r="886" spans="27:27" x14ac:dyDescent="0.25">
      <c r="AA886" s="1410"/>
    </row>
    <row r="887" spans="27:27" x14ac:dyDescent="0.25">
      <c r="AA887" s="1410"/>
    </row>
    <row r="888" spans="27:27" x14ac:dyDescent="0.25">
      <c r="AA888" s="1410"/>
    </row>
    <row r="889" spans="27:27" x14ac:dyDescent="0.25">
      <c r="AA889" s="1410"/>
    </row>
    <row r="890" spans="27:27" x14ac:dyDescent="0.25">
      <c r="AA890" s="1410"/>
    </row>
    <row r="891" spans="27:27" x14ac:dyDescent="0.25">
      <c r="AA891" s="1410"/>
    </row>
    <row r="892" spans="27:27" x14ac:dyDescent="0.25">
      <c r="AA892" s="1410"/>
    </row>
    <row r="893" spans="27:27" x14ac:dyDescent="0.25">
      <c r="AA893" s="1410"/>
    </row>
    <row r="894" spans="27:27" x14ac:dyDescent="0.25">
      <c r="AA894" s="1410"/>
    </row>
    <row r="895" spans="27:27" x14ac:dyDescent="0.25">
      <c r="AA895" s="1410"/>
    </row>
    <row r="896" spans="27:27" x14ac:dyDescent="0.25">
      <c r="AA896" s="1410"/>
    </row>
    <row r="897" spans="27:27" x14ac:dyDescent="0.25">
      <c r="AA897" s="1410"/>
    </row>
    <row r="898" spans="27:27" x14ac:dyDescent="0.25">
      <c r="AA898" s="1410"/>
    </row>
    <row r="899" spans="27:27" x14ac:dyDescent="0.25">
      <c r="AA899" s="1410"/>
    </row>
    <row r="900" spans="27:27" x14ac:dyDescent="0.25">
      <c r="AA900" s="1410"/>
    </row>
    <row r="901" spans="27:27" x14ac:dyDescent="0.25">
      <c r="AA901" s="1410"/>
    </row>
    <row r="902" spans="27:27" x14ac:dyDescent="0.25">
      <c r="AA902" s="1410"/>
    </row>
    <row r="903" spans="27:27" x14ac:dyDescent="0.25">
      <c r="AA903" s="1410"/>
    </row>
    <row r="904" spans="27:27" x14ac:dyDescent="0.25">
      <c r="AA904" s="1410"/>
    </row>
    <row r="905" spans="27:27" x14ac:dyDescent="0.25">
      <c r="AA905" s="1410"/>
    </row>
    <row r="906" spans="27:27" x14ac:dyDescent="0.25">
      <c r="AA906" s="1410"/>
    </row>
    <row r="907" spans="27:27" x14ac:dyDescent="0.25">
      <c r="AA907" s="1410"/>
    </row>
    <row r="908" spans="27:27" x14ac:dyDescent="0.25">
      <c r="AA908" s="1410"/>
    </row>
    <row r="909" spans="27:27" x14ac:dyDescent="0.25">
      <c r="AA909" s="1410"/>
    </row>
    <row r="910" spans="27:27" x14ac:dyDescent="0.25">
      <c r="AA910" s="1410"/>
    </row>
    <row r="911" spans="27:27" x14ac:dyDescent="0.25">
      <c r="AA911" s="1410"/>
    </row>
    <row r="912" spans="27:27" x14ac:dyDescent="0.25">
      <c r="AA912" s="1410"/>
    </row>
    <row r="913" spans="27:27" x14ac:dyDescent="0.25">
      <c r="AA913" s="1410"/>
    </row>
    <row r="914" spans="27:27" x14ac:dyDescent="0.25">
      <c r="AA914" s="1410"/>
    </row>
    <row r="915" spans="27:27" x14ac:dyDescent="0.25">
      <c r="AA915" s="1410"/>
    </row>
    <row r="916" spans="27:27" x14ac:dyDescent="0.25">
      <c r="AA916" s="1410"/>
    </row>
    <row r="917" spans="27:27" x14ac:dyDescent="0.25">
      <c r="AA917" s="1410"/>
    </row>
    <row r="918" spans="27:27" x14ac:dyDescent="0.25">
      <c r="AA918" s="1410"/>
    </row>
    <row r="919" spans="27:27" x14ac:dyDescent="0.25">
      <c r="AA919" s="1410"/>
    </row>
    <row r="920" spans="27:27" x14ac:dyDescent="0.25">
      <c r="AA920" s="1410"/>
    </row>
    <row r="921" spans="27:27" x14ac:dyDescent="0.25">
      <c r="AA921" s="1410"/>
    </row>
    <row r="922" spans="27:27" x14ac:dyDescent="0.25">
      <c r="AA922" s="1410"/>
    </row>
    <row r="923" spans="27:27" x14ac:dyDescent="0.25">
      <c r="AA923" s="1410"/>
    </row>
    <row r="924" spans="27:27" x14ac:dyDescent="0.25">
      <c r="AA924" s="1410"/>
    </row>
    <row r="925" spans="27:27" x14ac:dyDescent="0.25">
      <c r="AA925" s="1410"/>
    </row>
    <row r="926" spans="27:27" x14ac:dyDescent="0.25">
      <c r="AA926" s="1410"/>
    </row>
    <row r="927" spans="27:27" x14ac:dyDescent="0.25">
      <c r="AA927" s="1410"/>
    </row>
    <row r="928" spans="27:27" x14ac:dyDescent="0.25">
      <c r="AA928" s="1410"/>
    </row>
    <row r="929" spans="27:27" x14ac:dyDescent="0.25">
      <c r="AA929" s="1410"/>
    </row>
    <row r="930" spans="27:27" x14ac:dyDescent="0.25">
      <c r="AA930" s="1410"/>
    </row>
    <row r="931" spans="27:27" x14ac:dyDescent="0.25">
      <c r="AA931" s="1410"/>
    </row>
    <row r="932" spans="27:27" x14ac:dyDescent="0.25">
      <c r="AA932" s="1410"/>
    </row>
    <row r="933" spans="27:27" x14ac:dyDescent="0.25">
      <c r="AA933" s="1410"/>
    </row>
    <row r="934" spans="27:27" x14ac:dyDescent="0.25">
      <c r="AA934" s="1410"/>
    </row>
    <row r="935" spans="27:27" x14ac:dyDescent="0.25">
      <c r="AA935" s="1410"/>
    </row>
    <row r="936" spans="27:27" x14ac:dyDescent="0.25">
      <c r="AA936" s="1410"/>
    </row>
    <row r="937" spans="27:27" x14ac:dyDescent="0.25">
      <c r="AA937" s="1410"/>
    </row>
    <row r="938" spans="27:27" x14ac:dyDescent="0.25">
      <c r="AA938" s="1410"/>
    </row>
    <row r="939" spans="27:27" x14ac:dyDescent="0.25">
      <c r="AA939" s="1410"/>
    </row>
    <row r="940" spans="27:27" x14ac:dyDescent="0.25">
      <c r="AA940" s="1410"/>
    </row>
    <row r="941" spans="27:27" x14ac:dyDescent="0.25">
      <c r="AA941" s="1410"/>
    </row>
    <row r="942" spans="27:27" x14ac:dyDescent="0.25">
      <c r="AA942" s="1410"/>
    </row>
    <row r="943" spans="27:27" x14ac:dyDescent="0.25">
      <c r="AA943" s="1410"/>
    </row>
    <row r="944" spans="27:27" x14ac:dyDescent="0.25">
      <c r="AA944" s="1410"/>
    </row>
    <row r="945" spans="27:27" x14ac:dyDescent="0.25">
      <c r="AA945" s="1410"/>
    </row>
    <row r="946" spans="27:27" x14ac:dyDescent="0.25">
      <c r="AA946" s="1410"/>
    </row>
    <row r="947" spans="27:27" x14ac:dyDescent="0.25">
      <c r="AA947" s="1410"/>
    </row>
    <row r="948" spans="27:27" x14ac:dyDescent="0.25">
      <c r="AA948" s="1410"/>
    </row>
    <row r="949" spans="27:27" x14ac:dyDescent="0.25">
      <c r="AA949" s="1410"/>
    </row>
    <row r="950" spans="27:27" x14ac:dyDescent="0.25">
      <c r="AA950" s="1410"/>
    </row>
    <row r="951" spans="27:27" x14ac:dyDescent="0.25">
      <c r="AA951" s="1410"/>
    </row>
    <row r="952" spans="27:27" x14ac:dyDescent="0.25">
      <c r="AA952" s="1410"/>
    </row>
    <row r="953" spans="27:27" x14ac:dyDescent="0.25">
      <c r="AA953" s="1410"/>
    </row>
    <row r="954" spans="27:27" x14ac:dyDescent="0.25">
      <c r="AA954" s="1410"/>
    </row>
    <row r="955" spans="27:27" x14ac:dyDescent="0.25">
      <c r="AA955" s="1410"/>
    </row>
    <row r="956" spans="27:27" x14ac:dyDescent="0.25">
      <c r="AA956" s="1410"/>
    </row>
    <row r="957" spans="27:27" x14ac:dyDescent="0.25">
      <c r="AA957" s="1410"/>
    </row>
    <row r="958" spans="27:27" x14ac:dyDescent="0.25">
      <c r="AA958" s="1410"/>
    </row>
    <row r="959" spans="27:27" x14ac:dyDescent="0.25">
      <c r="AA959" s="1410"/>
    </row>
    <row r="960" spans="27:27" x14ac:dyDescent="0.25">
      <c r="AA960" s="1410"/>
    </row>
    <row r="961" spans="27:27" x14ac:dyDescent="0.25">
      <c r="AA961" s="1410"/>
    </row>
    <row r="962" spans="27:27" x14ac:dyDescent="0.25">
      <c r="AA962" s="1410"/>
    </row>
    <row r="963" spans="27:27" x14ac:dyDescent="0.25">
      <c r="AA963" s="1410"/>
    </row>
    <row r="964" spans="27:27" x14ac:dyDescent="0.25">
      <c r="AA964" s="1410"/>
    </row>
    <row r="965" spans="27:27" x14ac:dyDescent="0.25">
      <c r="AA965" s="1410"/>
    </row>
    <row r="966" spans="27:27" x14ac:dyDescent="0.25">
      <c r="AA966" s="1410"/>
    </row>
    <row r="967" spans="27:27" x14ac:dyDescent="0.25">
      <c r="AA967" s="1410"/>
    </row>
    <row r="968" spans="27:27" x14ac:dyDescent="0.25">
      <c r="AA968" s="1410"/>
    </row>
    <row r="969" spans="27:27" x14ac:dyDescent="0.25">
      <c r="AA969" s="1410"/>
    </row>
    <row r="970" spans="27:27" x14ac:dyDescent="0.25">
      <c r="AA970" s="1410"/>
    </row>
    <row r="971" spans="27:27" x14ac:dyDescent="0.25">
      <c r="AA971" s="1410"/>
    </row>
    <row r="972" spans="27:27" x14ac:dyDescent="0.25">
      <c r="AA972" s="1410"/>
    </row>
    <row r="973" spans="27:27" x14ac:dyDescent="0.25">
      <c r="AA973" s="1410"/>
    </row>
    <row r="974" spans="27:27" x14ac:dyDescent="0.25">
      <c r="AA974" s="1410"/>
    </row>
    <row r="975" spans="27:27" x14ac:dyDescent="0.25">
      <c r="AA975" s="1410"/>
    </row>
    <row r="976" spans="27:27" x14ac:dyDescent="0.25">
      <c r="AA976" s="1410"/>
    </row>
    <row r="977" spans="27:27" x14ac:dyDescent="0.25">
      <c r="AA977" s="1410"/>
    </row>
    <row r="978" spans="27:27" x14ac:dyDescent="0.25">
      <c r="AA978" s="1410"/>
    </row>
    <row r="979" spans="27:27" x14ac:dyDescent="0.25">
      <c r="AA979" s="1410"/>
    </row>
    <row r="980" spans="27:27" x14ac:dyDescent="0.25">
      <c r="AA980" s="1410"/>
    </row>
    <row r="981" spans="27:27" x14ac:dyDescent="0.25">
      <c r="AA981" s="1410"/>
    </row>
    <row r="982" spans="27:27" x14ac:dyDescent="0.25">
      <c r="AA982" s="1410"/>
    </row>
    <row r="983" spans="27:27" x14ac:dyDescent="0.25">
      <c r="AA983" s="1410"/>
    </row>
    <row r="984" spans="27:27" x14ac:dyDescent="0.25">
      <c r="AA984" s="1410"/>
    </row>
    <row r="985" spans="27:27" x14ac:dyDescent="0.25">
      <c r="AA985" s="1410"/>
    </row>
    <row r="986" spans="27:27" x14ac:dyDescent="0.25">
      <c r="AA986" s="1410"/>
    </row>
    <row r="987" spans="27:27" x14ac:dyDescent="0.25">
      <c r="AA987" s="1410"/>
    </row>
    <row r="988" spans="27:27" x14ac:dyDescent="0.25">
      <c r="AA988" s="1410"/>
    </row>
    <row r="989" spans="27:27" x14ac:dyDescent="0.25">
      <c r="AA989" s="1410"/>
    </row>
    <row r="990" spans="27:27" x14ac:dyDescent="0.25">
      <c r="AA990" s="1410"/>
    </row>
    <row r="991" spans="27:27" x14ac:dyDescent="0.25">
      <c r="AA991" s="1410"/>
    </row>
    <row r="992" spans="27:27" x14ac:dyDescent="0.25">
      <c r="AA992" s="1410"/>
    </row>
    <row r="993" spans="27:27" x14ac:dyDescent="0.25">
      <c r="AA993" s="1410"/>
    </row>
    <row r="994" spans="27:27" x14ac:dyDescent="0.25">
      <c r="AA994" s="1410"/>
    </row>
    <row r="995" spans="27:27" x14ac:dyDescent="0.25">
      <c r="AA995" s="1410"/>
    </row>
    <row r="996" spans="27:27" x14ac:dyDescent="0.25">
      <c r="AA996" s="1410"/>
    </row>
    <row r="997" spans="27:27" x14ac:dyDescent="0.25">
      <c r="AA997" s="1410"/>
    </row>
    <row r="998" spans="27:27" x14ac:dyDescent="0.25">
      <c r="AA998" s="1410"/>
    </row>
    <row r="999" spans="27:27" x14ac:dyDescent="0.25">
      <c r="AA999" s="1410"/>
    </row>
    <row r="1000" spans="27:27" x14ac:dyDescent="0.25">
      <c r="AA1000" s="1410"/>
    </row>
    <row r="1001" spans="27:27" x14ac:dyDescent="0.25">
      <c r="AA1001" s="1410"/>
    </row>
    <row r="1002" spans="27:27" x14ac:dyDescent="0.25">
      <c r="AA1002" s="1410"/>
    </row>
    <row r="1003" spans="27:27" x14ac:dyDescent="0.25">
      <c r="AA1003" s="1410"/>
    </row>
    <row r="1004" spans="27:27" x14ac:dyDescent="0.25">
      <c r="AA1004" s="1410"/>
    </row>
    <row r="1005" spans="27:27" x14ac:dyDescent="0.25">
      <c r="AA1005" s="1410"/>
    </row>
    <row r="1006" spans="27:27" x14ac:dyDescent="0.25">
      <c r="AA1006" s="1410"/>
    </row>
    <row r="1007" spans="27:27" x14ac:dyDescent="0.25">
      <c r="AA1007" s="1410"/>
    </row>
    <row r="1008" spans="27:27" x14ac:dyDescent="0.25">
      <c r="AA1008" s="1410"/>
    </row>
    <row r="1009" spans="27:27" x14ac:dyDescent="0.25">
      <c r="AA1009" s="1410"/>
    </row>
    <row r="1010" spans="27:27" x14ac:dyDescent="0.25">
      <c r="AA1010" s="1410"/>
    </row>
    <row r="1011" spans="27:27" x14ac:dyDescent="0.25">
      <c r="AA1011" s="1410"/>
    </row>
    <row r="1012" spans="27:27" x14ac:dyDescent="0.25">
      <c r="AA1012" s="1410"/>
    </row>
    <row r="1013" spans="27:27" x14ac:dyDescent="0.25">
      <c r="AA1013" s="1410"/>
    </row>
    <row r="1014" spans="27:27" x14ac:dyDescent="0.25">
      <c r="AA1014" s="1410"/>
    </row>
    <row r="1015" spans="27:27" x14ac:dyDescent="0.25">
      <c r="AA1015" s="1410"/>
    </row>
    <row r="1016" spans="27:27" x14ac:dyDescent="0.25">
      <c r="AA1016" s="1410"/>
    </row>
    <row r="1017" spans="27:27" x14ac:dyDescent="0.25">
      <c r="AA1017" s="1410"/>
    </row>
    <row r="1018" spans="27:27" x14ac:dyDescent="0.25">
      <c r="AA1018" s="1410"/>
    </row>
    <row r="1019" spans="27:27" x14ac:dyDescent="0.25">
      <c r="AA1019" s="1410"/>
    </row>
    <row r="1020" spans="27:27" x14ac:dyDescent="0.25">
      <c r="AA1020" s="1410"/>
    </row>
    <row r="1021" spans="27:27" x14ac:dyDescent="0.25">
      <c r="AA1021" s="1410"/>
    </row>
    <row r="1022" spans="27:27" x14ac:dyDescent="0.25">
      <c r="AA1022" s="1410"/>
    </row>
    <row r="1023" spans="27:27" x14ac:dyDescent="0.25">
      <c r="AA1023" s="1410"/>
    </row>
    <row r="1024" spans="27:27" x14ac:dyDescent="0.25">
      <c r="AA1024" s="1410"/>
    </row>
    <row r="1025" spans="27:27" x14ac:dyDescent="0.25">
      <c r="AA1025" s="1410"/>
    </row>
    <row r="1026" spans="27:27" x14ac:dyDescent="0.25">
      <c r="AA1026" s="1410"/>
    </row>
    <row r="1027" spans="27:27" x14ac:dyDescent="0.25">
      <c r="AA1027" s="1410"/>
    </row>
    <row r="1028" spans="27:27" x14ac:dyDescent="0.25">
      <c r="AA1028" s="1410"/>
    </row>
    <row r="1029" spans="27:27" x14ac:dyDescent="0.25">
      <c r="AA1029" s="1410"/>
    </row>
    <row r="1030" spans="27:27" x14ac:dyDescent="0.25">
      <c r="AA1030" s="1410"/>
    </row>
    <row r="1031" spans="27:27" x14ac:dyDescent="0.25">
      <c r="AA1031" s="1410"/>
    </row>
    <row r="1032" spans="27:27" x14ac:dyDescent="0.25">
      <c r="AA1032" s="1410"/>
    </row>
    <row r="1033" spans="27:27" x14ac:dyDescent="0.25">
      <c r="AA1033" s="1410"/>
    </row>
    <row r="1034" spans="27:27" x14ac:dyDescent="0.25">
      <c r="AA1034" s="1410"/>
    </row>
    <row r="1035" spans="27:27" x14ac:dyDescent="0.25">
      <c r="AA1035" s="1410"/>
    </row>
    <row r="1036" spans="27:27" x14ac:dyDescent="0.25">
      <c r="AA1036" s="1410"/>
    </row>
    <row r="1037" spans="27:27" x14ac:dyDescent="0.25">
      <c r="AA1037" s="1410"/>
    </row>
    <row r="1038" spans="27:27" x14ac:dyDescent="0.25">
      <c r="AA1038" s="1410"/>
    </row>
    <row r="1039" spans="27:27" x14ac:dyDescent="0.25">
      <c r="AA1039" s="1410"/>
    </row>
    <row r="1040" spans="27:27" x14ac:dyDescent="0.25">
      <c r="AA1040" s="1410"/>
    </row>
    <row r="1041" spans="27:27" x14ac:dyDescent="0.25">
      <c r="AA1041" s="1410"/>
    </row>
    <row r="1042" spans="27:27" x14ac:dyDescent="0.25">
      <c r="AA1042" s="1410"/>
    </row>
    <row r="1043" spans="27:27" x14ac:dyDescent="0.25">
      <c r="AA1043" s="1410"/>
    </row>
    <row r="1044" spans="27:27" x14ac:dyDescent="0.25">
      <c r="AA1044" s="1410"/>
    </row>
    <row r="1045" spans="27:27" x14ac:dyDescent="0.25">
      <c r="AA1045" s="1410"/>
    </row>
    <row r="1046" spans="27:27" x14ac:dyDescent="0.25">
      <c r="AA1046" s="1410"/>
    </row>
    <row r="1047" spans="27:27" x14ac:dyDescent="0.25">
      <c r="AA1047" s="1410"/>
    </row>
    <row r="1048" spans="27:27" x14ac:dyDescent="0.25">
      <c r="AA1048" s="1410"/>
    </row>
    <row r="1049" spans="27:27" x14ac:dyDescent="0.25">
      <c r="AA1049" s="1410"/>
    </row>
    <row r="1050" spans="27:27" x14ac:dyDescent="0.25">
      <c r="AA1050" s="1410"/>
    </row>
    <row r="1051" spans="27:27" x14ac:dyDescent="0.25">
      <c r="AA1051" s="1410"/>
    </row>
    <row r="1052" spans="27:27" x14ac:dyDescent="0.25">
      <c r="AA1052" s="1410"/>
    </row>
    <row r="1053" spans="27:27" x14ac:dyDescent="0.25">
      <c r="AA1053" s="1410"/>
    </row>
    <row r="1054" spans="27:27" x14ac:dyDescent="0.25">
      <c r="AA1054" s="1410"/>
    </row>
    <row r="1055" spans="27:27" x14ac:dyDescent="0.25">
      <c r="AA1055" s="1410"/>
    </row>
    <row r="1056" spans="27:27" x14ac:dyDescent="0.25">
      <c r="AA1056" s="1410"/>
    </row>
    <row r="1057" spans="27:27" x14ac:dyDescent="0.25">
      <c r="AA1057" s="1410"/>
    </row>
    <row r="1058" spans="27:27" x14ac:dyDescent="0.25">
      <c r="AA1058" s="1410"/>
    </row>
    <row r="1059" spans="27:27" x14ac:dyDescent="0.25">
      <c r="AA1059" s="1410"/>
    </row>
    <row r="1060" spans="27:27" x14ac:dyDescent="0.25">
      <c r="AA1060" s="1410"/>
    </row>
    <row r="1061" spans="27:27" x14ac:dyDescent="0.25">
      <c r="AA1061" s="1410"/>
    </row>
    <row r="1062" spans="27:27" x14ac:dyDescent="0.25">
      <c r="AA1062" s="1410"/>
    </row>
    <row r="1063" spans="27:27" x14ac:dyDescent="0.25">
      <c r="AA1063" s="1410"/>
    </row>
    <row r="1064" spans="27:27" x14ac:dyDescent="0.25">
      <c r="AA1064" s="1410"/>
    </row>
    <row r="1065" spans="27:27" x14ac:dyDescent="0.25">
      <c r="AA1065" s="1410"/>
    </row>
    <row r="1066" spans="27:27" x14ac:dyDescent="0.25">
      <c r="AA1066" s="1410"/>
    </row>
    <row r="1067" spans="27:27" x14ac:dyDescent="0.25">
      <c r="AA1067" s="1410"/>
    </row>
    <row r="1068" spans="27:27" x14ac:dyDescent="0.25">
      <c r="AA1068" s="1410"/>
    </row>
    <row r="1069" spans="27:27" x14ac:dyDescent="0.25">
      <c r="AA1069" s="1410"/>
    </row>
    <row r="1070" spans="27:27" x14ac:dyDescent="0.25">
      <c r="AA1070" s="1410"/>
    </row>
    <row r="1071" spans="27:27" x14ac:dyDescent="0.25">
      <c r="AA1071" s="1410"/>
    </row>
    <row r="1072" spans="27:27" x14ac:dyDescent="0.25">
      <c r="AA1072" s="1410"/>
    </row>
    <row r="1073" spans="27:27" x14ac:dyDescent="0.25">
      <c r="AA1073" s="1410"/>
    </row>
    <row r="1074" spans="27:27" x14ac:dyDescent="0.25">
      <c r="AA1074" s="1410"/>
    </row>
    <row r="1075" spans="27:27" x14ac:dyDescent="0.25">
      <c r="AA1075" s="1410"/>
    </row>
    <row r="1076" spans="27:27" x14ac:dyDescent="0.25">
      <c r="AA1076" s="1410"/>
    </row>
    <row r="1077" spans="27:27" x14ac:dyDescent="0.25">
      <c r="AA1077" s="1410"/>
    </row>
    <row r="1078" spans="27:27" x14ac:dyDescent="0.25">
      <c r="AA1078" s="1410"/>
    </row>
    <row r="1079" spans="27:27" x14ac:dyDescent="0.25">
      <c r="AA1079" s="1410"/>
    </row>
    <row r="1080" spans="27:27" x14ac:dyDescent="0.25">
      <c r="AA1080" s="1410"/>
    </row>
    <row r="1081" spans="27:27" x14ac:dyDescent="0.25">
      <c r="AA1081" s="1410"/>
    </row>
    <row r="1082" spans="27:27" x14ac:dyDescent="0.25">
      <c r="AA1082" s="1410"/>
    </row>
    <row r="1083" spans="27:27" x14ac:dyDescent="0.25">
      <c r="AA1083" s="1410"/>
    </row>
    <row r="1084" spans="27:27" x14ac:dyDescent="0.25">
      <c r="AA1084" s="1410"/>
    </row>
    <row r="1085" spans="27:27" x14ac:dyDescent="0.25">
      <c r="AA1085" s="1410"/>
    </row>
    <row r="1086" spans="27:27" x14ac:dyDescent="0.25">
      <c r="AA1086" s="1410"/>
    </row>
    <row r="1087" spans="27:27" x14ac:dyDescent="0.25">
      <c r="AA1087" s="1410"/>
    </row>
    <row r="1088" spans="27:27" x14ac:dyDescent="0.25">
      <c r="AA1088" s="1410"/>
    </row>
    <row r="1089" spans="27:27" x14ac:dyDescent="0.25">
      <c r="AA1089" s="1410"/>
    </row>
    <row r="1090" spans="27:27" x14ac:dyDescent="0.25">
      <c r="AA1090" s="1410"/>
    </row>
    <row r="1091" spans="27:27" x14ac:dyDescent="0.25">
      <c r="AA1091" s="1410"/>
    </row>
    <row r="1092" spans="27:27" x14ac:dyDescent="0.25">
      <c r="AA1092" s="1410"/>
    </row>
    <row r="1093" spans="27:27" x14ac:dyDescent="0.25">
      <c r="AA1093" s="1410"/>
    </row>
    <row r="1094" spans="27:27" x14ac:dyDescent="0.25">
      <c r="AA1094" s="1410"/>
    </row>
    <row r="1095" spans="27:27" x14ac:dyDescent="0.25">
      <c r="AA1095" s="1410"/>
    </row>
    <row r="1096" spans="27:27" x14ac:dyDescent="0.25">
      <c r="AA1096" s="1410"/>
    </row>
    <row r="1097" spans="27:27" x14ac:dyDescent="0.25">
      <c r="AA1097" s="1410"/>
    </row>
    <row r="1098" spans="27:27" x14ac:dyDescent="0.25">
      <c r="AA1098" s="1410"/>
    </row>
    <row r="1099" spans="27:27" x14ac:dyDescent="0.25">
      <c r="AA1099" s="1410"/>
    </row>
    <row r="1100" spans="27:27" x14ac:dyDescent="0.25">
      <c r="AA1100" s="1410"/>
    </row>
    <row r="1101" spans="27:27" x14ac:dyDescent="0.25">
      <c r="AA1101" s="1410"/>
    </row>
    <row r="1102" spans="27:27" x14ac:dyDescent="0.25">
      <c r="AA1102" s="1410"/>
    </row>
    <row r="1103" spans="27:27" x14ac:dyDescent="0.25">
      <c r="AA1103" s="1410"/>
    </row>
    <row r="1104" spans="27:27" x14ac:dyDescent="0.25">
      <c r="AA1104" s="1410"/>
    </row>
    <row r="1105" spans="27:27" x14ac:dyDescent="0.25">
      <c r="AA1105" s="1410"/>
    </row>
    <row r="1106" spans="27:27" x14ac:dyDescent="0.25">
      <c r="AA1106" s="1410"/>
    </row>
    <row r="1107" spans="27:27" x14ac:dyDescent="0.25">
      <c r="AA1107" s="1410"/>
    </row>
    <row r="1108" spans="27:27" x14ac:dyDescent="0.25">
      <c r="AA1108" s="1410"/>
    </row>
    <row r="1109" spans="27:27" x14ac:dyDescent="0.25">
      <c r="AA1109" s="1410"/>
    </row>
    <row r="1110" spans="27:27" x14ac:dyDescent="0.25">
      <c r="AA1110" s="1410"/>
    </row>
    <row r="1111" spans="27:27" x14ac:dyDescent="0.25">
      <c r="AA1111" s="1410"/>
    </row>
    <row r="1112" spans="27:27" x14ac:dyDescent="0.25">
      <c r="AA1112" s="1410"/>
    </row>
    <row r="1113" spans="27:27" x14ac:dyDescent="0.25">
      <c r="AA1113" s="1410"/>
    </row>
    <row r="1114" spans="27:27" x14ac:dyDescent="0.25">
      <c r="AA1114" s="1410"/>
    </row>
    <row r="1115" spans="27:27" x14ac:dyDescent="0.25">
      <c r="AA1115" s="1410"/>
    </row>
    <row r="1116" spans="27:27" x14ac:dyDescent="0.25">
      <c r="AA1116" s="1410"/>
    </row>
    <row r="1117" spans="27:27" x14ac:dyDescent="0.25">
      <c r="AA1117" s="1410"/>
    </row>
    <row r="1118" spans="27:27" x14ac:dyDescent="0.25">
      <c r="AA1118" s="1410"/>
    </row>
    <row r="1119" spans="27:27" x14ac:dyDescent="0.25">
      <c r="AA1119" s="1410"/>
    </row>
    <row r="1120" spans="27:27" x14ac:dyDescent="0.25">
      <c r="AA1120" s="1410"/>
    </row>
    <row r="1121" spans="27:27" x14ac:dyDescent="0.25">
      <c r="AA1121" s="1410"/>
    </row>
    <row r="1122" spans="27:27" x14ac:dyDescent="0.25">
      <c r="AA1122" s="1410"/>
    </row>
    <row r="1123" spans="27:27" x14ac:dyDescent="0.25">
      <c r="AA1123" s="1410"/>
    </row>
    <row r="1124" spans="27:27" x14ac:dyDescent="0.25">
      <c r="AA1124" s="1410"/>
    </row>
    <row r="1125" spans="27:27" x14ac:dyDescent="0.25">
      <c r="AA1125" s="1410"/>
    </row>
    <row r="1126" spans="27:27" x14ac:dyDescent="0.25">
      <c r="AA1126" s="1410"/>
    </row>
    <row r="1127" spans="27:27" x14ac:dyDescent="0.25">
      <c r="AA1127" s="1410"/>
    </row>
    <row r="1128" spans="27:27" x14ac:dyDescent="0.25">
      <c r="AA1128" s="1410"/>
    </row>
    <row r="1129" spans="27:27" x14ac:dyDescent="0.25">
      <c r="AA1129" s="1410"/>
    </row>
    <row r="1130" spans="27:27" x14ac:dyDescent="0.25">
      <c r="AA1130" s="1410"/>
    </row>
    <row r="1131" spans="27:27" x14ac:dyDescent="0.25">
      <c r="AA1131" s="1410"/>
    </row>
    <row r="1132" spans="27:27" x14ac:dyDescent="0.25">
      <c r="AA1132" s="1410"/>
    </row>
    <row r="1133" spans="27:27" x14ac:dyDescent="0.25">
      <c r="AA1133" s="1410"/>
    </row>
    <row r="1134" spans="27:27" x14ac:dyDescent="0.25">
      <c r="AA1134" s="1410"/>
    </row>
    <row r="1135" spans="27:27" x14ac:dyDescent="0.25">
      <c r="AA1135" s="1410"/>
    </row>
    <row r="1136" spans="27:27" x14ac:dyDescent="0.25">
      <c r="AA1136" s="1410"/>
    </row>
    <row r="1137" spans="27:27" x14ac:dyDescent="0.25">
      <c r="AA1137" s="1410"/>
    </row>
    <row r="1138" spans="27:27" x14ac:dyDescent="0.25">
      <c r="AA1138" s="1410"/>
    </row>
    <row r="1139" spans="27:27" x14ac:dyDescent="0.25">
      <c r="AA1139" s="1410"/>
    </row>
    <row r="1140" spans="27:27" x14ac:dyDescent="0.25">
      <c r="AA1140" s="1410"/>
    </row>
    <row r="1141" spans="27:27" x14ac:dyDescent="0.25">
      <c r="AA1141" s="1410"/>
    </row>
    <row r="1142" spans="27:27" x14ac:dyDescent="0.25">
      <c r="AA1142" s="1410"/>
    </row>
    <row r="1143" spans="27:27" x14ac:dyDescent="0.25">
      <c r="AA1143" s="1410"/>
    </row>
    <row r="1144" spans="27:27" x14ac:dyDescent="0.25">
      <c r="AA1144" s="1410"/>
    </row>
    <row r="1145" spans="27:27" x14ac:dyDescent="0.25">
      <c r="AA1145" s="1410"/>
    </row>
    <row r="1146" spans="27:27" x14ac:dyDescent="0.25">
      <c r="AA1146" s="1410"/>
    </row>
    <row r="1147" spans="27:27" x14ac:dyDescent="0.25">
      <c r="AA1147" s="1410"/>
    </row>
    <row r="1148" spans="27:27" x14ac:dyDescent="0.25">
      <c r="AA1148" s="1410"/>
    </row>
    <row r="1149" spans="27:27" x14ac:dyDescent="0.25">
      <c r="AA1149" s="1410"/>
    </row>
    <row r="1150" spans="27:27" x14ac:dyDescent="0.25">
      <c r="AA1150" s="1410"/>
    </row>
    <row r="1151" spans="27:27" x14ac:dyDescent="0.25">
      <c r="AA1151" s="1410"/>
    </row>
    <row r="1152" spans="27:27" x14ac:dyDescent="0.25">
      <c r="AA1152" s="1410"/>
    </row>
    <row r="1153" spans="27:27" x14ac:dyDescent="0.25">
      <c r="AA1153" s="1410"/>
    </row>
    <row r="1154" spans="27:27" x14ac:dyDescent="0.25">
      <c r="AA1154" s="1410"/>
    </row>
    <row r="1155" spans="27:27" x14ac:dyDescent="0.25">
      <c r="AA1155" s="1410"/>
    </row>
    <row r="1156" spans="27:27" x14ac:dyDescent="0.25">
      <c r="AA1156" s="1410"/>
    </row>
    <row r="1157" spans="27:27" x14ac:dyDescent="0.25">
      <c r="AA1157" s="1410"/>
    </row>
    <row r="1158" spans="27:27" x14ac:dyDescent="0.25">
      <c r="AA1158" s="1410"/>
    </row>
    <row r="1159" spans="27:27" x14ac:dyDescent="0.25">
      <c r="AA1159" s="1410"/>
    </row>
    <row r="1160" spans="27:27" x14ac:dyDescent="0.25">
      <c r="AA1160" s="1410"/>
    </row>
    <row r="1161" spans="27:27" x14ac:dyDescent="0.25">
      <c r="AA1161" s="1410"/>
    </row>
    <row r="1162" spans="27:27" x14ac:dyDescent="0.25">
      <c r="AA1162" s="1410"/>
    </row>
    <row r="1163" spans="27:27" x14ac:dyDescent="0.25">
      <c r="AA1163" s="1410"/>
    </row>
    <row r="1164" spans="27:27" x14ac:dyDescent="0.25">
      <c r="AA1164" s="1410"/>
    </row>
    <row r="1165" spans="27:27" x14ac:dyDescent="0.25">
      <c r="AA1165" s="1410"/>
    </row>
    <row r="1166" spans="27:27" x14ac:dyDescent="0.25">
      <c r="AA1166" s="1410"/>
    </row>
    <row r="1167" spans="27:27" x14ac:dyDescent="0.25">
      <c r="AA1167" s="1410"/>
    </row>
    <row r="1168" spans="27:27" x14ac:dyDescent="0.25">
      <c r="AA1168" s="1410"/>
    </row>
    <row r="1169" spans="27:27" x14ac:dyDescent="0.25">
      <c r="AA1169" s="1410"/>
    </row>
    <row r="1170" spans="27:27" x14ac:dyDescent="0.25">
      <c r="AA1170" s="1410"/>
    </row>
    <row r="1171" spans="27:27" x14ac:dyDescent="0.25">
      <c r="AA1171" s="1410"/>
    </row>
    <row r="1172" spans="27:27" x14ac:dyDescent="0.25">
      <c r="AA1172" s="1410"/>
    </row>
    <row r="1173" spans="27:27" x14ac:dyDescent="0.25">
      <c r="AA1173" s="1410"/>
    </row>
    <row r="1174" spans="27:27" x14ac:dyDescent="0.25">
      <c r="AA1174" s="1410"/>
    </row>
    <row r="1175" spans="27:27" x14ac:dyDescent="0.25">
      <c r="AA1175" s="1410"/>
    </row>
    <row r="1176" spans="27:27" x14ac:dyDescent="0.25">
      <c r="AA1176" s="1410"/>
    </row>
    <row r="1177" spans="27:27" x14ac:dyDescent="0.25">
      <c r="AA1177" s="1410"/>
    </row>
    <row r="1178" spans="27:27" x14ac:dyDescent="0.25">
      <c r="AA1178" s="1410"/>
    </row>
    <row r="1179" spans="27:27" x14ac:dyDescent="0.25">
      <c r="AA1179" s="1410"/>
    </row>
    <row r="1180" spans="27:27" x14ac:dyDescent="0.25">
      <c r="AA1180" s="1410"/>
    </row>
    <row r="1181" spans="27:27" x14ac:dyDescent="0.25">
      <c r="AA1181" s="1410"/>
    </row>
    <row r="1182" spans="27:27" x14ac:dyDescent="0.25">
      <c r="AA1182" s="1410"/>
    </row>
    <row r="1183" spans="27:27" x14ac:dyDescent="0.25">
      <c r="AA1183" s="1410"/>
    </row>
    <row r="1184" spans="27:27" x14ac:dyDescent="0.25">
      <c r="AA1184" s="1410"/>
    </row>
    <row r="1185" spans="27:27" x14ac:dyDescent="0.25">
      <c r="AA1185" s="1410"/>
    </row>
    <row r="1186" spans="27:27" x14ac:dyDescent="0.25">
      <c r="AA1186" s="1410"/>
    </row>
    <row r="1187" spans="27:27" x14ac:dyDescent="0.25">
      <c r="AA1187" s="1410"/>
    </row>
    <row r="1188" spans="27:27" x14ac:dyDescent="0.25">
      <c r="AA1188" s="1410"/>
    </row>
    <row r="1189" spans="27:27" x14ac:dyDescent="0.25">
      <c r="AA1189" s="1410"/>
    </row>
    <row r="1190" spans="27:27" x14ac:dyDescent="0.25">
      <c r="AA1190" s="1410"/>
    </row>
    <row r="1191" spans="27:27" x14ac:dyDescent="0.25">
      <c r="AA1191" s="1410"/>
    </row>
    <row r="1192" spans="27:27" x14ac:dyDescent="0.25">
      <c r="AA1192" s="1410"/>
    </row>
    <row r="1193" spans="27:27" x14ac:dyDescent="0.25">
      <c r="AA1193" s="1410"/>
    </row>
    <row r="1194" spans="27:27" x14ac:dyDescent="0.25">
      <c r="AA1194" s="1410"/>
    </row>
    <row r="1195" spans="27:27" x14ac:dyDescent="0.25">
      <c r="AA1195" s="1410"/>
    </row>
    <row r="1196" spans="27:27" x14ac:dyDescent="0.25">
      <c r="AA1196" s="1410"/>
    </row>
    <row r="1197" spans="27:27" x14ac:dyDescent="0.25">
      <c r="AA1197" s="1410"/>
    </row>
    <row r="1198" spans="27:27" x14ac:dyDescent="0.25">
      <c r="AA1198" s="1410"/>
    </row>
    <row r="1199" spans="27:27" x14ac:dyDescent="0.25">
      <c r="AA1199" s="1410"/>
    </row>
    <row r="1200" spans="27:27" x14ac:dyDescent="0.25">
      <c r="AA1200" s="1410"/>
    </row>
    <row r="1201" spans="27:27" x14ac:dyDescent="0.25">
      <c r="AA1201" s="1410"/>
    </row>
    <row r="1202" spans="27:27" x14ac:dyDescent="0.25">
      <c r="AA1202" s="1410"/>
    </row>
    <row r="1203" spans="27:27" x14ac:dyDescent="0.25">
      <c r="AA1203" s="1410"/>
    </row>
    <row r="1204" spans="27:27" x14ac:dyDescent="0.25">
      <c r="AA1204" s="1410"/>
    </row>
    <row r="1205" spans="27:27" x14ac:dyDescent="0.25">
      <c r="AA1205" s="1410"/>
    </row>
    <row r="1206" spans="27:27" x14ac:dyDescent="0.25">
      <c r="AA1206" s="1410"/>
    </row>
    <row r="1207" spans="27:27" x14ac:dyDescent="0.25">
      <c r="AA1207" s="1410"/>
    </row>
    <row r="1208" spans="27:27" x14ac:dyDescent="0.25">
      <c r="AA1208" s="1410"/>
    </row>
    <row r="1209" spans="27:27" x14ac:dyDescent="0.25">
      <c r="AA1209" s="1410"/>
    </row>
    <row r="1210" spans="27:27" x14ac:dyDescent="0.25">
      <c r="AA1210" s="1410"/>
    </row>
    <row r="1211" spans="27:27" x14ac:dyDescent="0.25">
      <c r="AA1211" s="1410"/>
    </row>
    <row r="1212" spans="27:27" x14ac:dyDescent="0.25">
      <c r="AA1212" s="1410"/>
    </row>
    <row r="1213" spans="27:27" x14ac:dyDescent="0.25">
      <c r="AA1213" s="1410"/>
    </row>
    <row r="1214" spans="27:27" x14ac:dyDescent="0.25">
      <c r="AA1214" s="1410"/>
    </row>
    <row r="1215" spans="27:27" x14ac:dyDescent="0.25">
      <c r="AA1215" s="1410"/>
    </row>
    <row r="1216" spans="27:27" x14ac:dyDescent="0.25">
      <c r="AA1216" s="1410"/>
    </row>
    <row r="1217" spans="27:27" x14ac:dyDescent="0.25">
      <c r="AA1217" s="1410"/>
    </row>
    <row r="1218" spans="27:27" x14ac:dyDescent="0.25">
      <c r="AA1218" s="1410"/>
    </row>
    <row r="1219" spans="27:27" x14ac:dyDescent="0.25">
      <c r="AA1219" s="1410"/>
    </row>
    <row r="1220" spans="27:27" x14ac:dyDescent="0.25">
      <c r="AA1220" s="1410"/>
    </row>
    <row r="1221" spans="27:27" x14ac:dyDescent="0.25">
      <c r="AA1221" s="1410"/>
    </row>
    <row r="1222" spans="27:27" x14ac:dyDescent="0.25">
      <c r="AA1222" s="1410"/>
    </row>
    <row r="1223" spans="27:27" x14ac:dyDescent="0.25">
      <c r="AA1223" s="1410"/>
    </row>
    <row r="1224" spans="27:27" x14ac:dyDescent="0.25">
      <c r="AA1224" s="1410"/>
    </row>
    <row r="1225" spans="27:27" x14ac:dyDescent="0.25">
      <c r="AA1225" s="1410"/>
    </row>
    <row r="1226" spans="27:27" x14ac:dyDescent="0.25">
      <c r="AA1226" s="1410"/>
    </row>
    <row r="1227" spans="27:27" x14ac:dyDescent="0.25">
      <c r="AA1227" s="1410"/>
    </row>
    <row r="1228" spans="27:27" x14ac:dyDescent="0.25">
      <c r="AA1228" s="1410"/>
    </row>
    <row r="1229" spans="27:27" x14ac:dyDescent="0.25">
      <c r="AA1229" s="1410"/>
    </row>
    <row r="1230" spans="27:27" x14ac:dyDescent="0.25">
      <c r="AA1230" s="1410"/>
    </row>
    <row r="1231" spans="27:27" x14ac:dyDescent="0.25">
      <c r="AA1231" s="1410"/>
    </row>
    <row r="1232" spans="27:27" x14ac:dyDescent="0.25">
      <c r="AA1232" s="1410"/>
    </row>
    <row r="1233" spans="27:27" x14ac:dyDescent="0.25">
      <c r="AA1233" s="1410"/>
    </row>
    <row r="1234" spans="27:27" x14ac:dyDescent="0.25">
      <c r="AA1234" s="1410"/>
    </row>
    <row r="1235" spans="27:27" x14ac:dyDescent="0.25">
      <c r="AA1235" s="1410"/>
    </row>
    <row r="1236" spans="27:27" x14ac:dyDescent="0.25">
      <c r="AA1236" s="1410"/>
    </row>
    <row r="1237" spans="27:27" x14ac:dyDescent="0.25">
      <c r="AA1237" s="1410"/>
    </row>
    <row r="1238" spans="27:27" x14ac:dyDescent="0.25">
      <c r="AA1238" s="1410"/>
    </row>
    <row r="1239" spans="27:27" x14ac:dyDescent="0.25">
      <c r="AA1239" s="1410"/>
    </row>
    <row r="1240" spans="27:27" x14ac:dyDescent="0.25">
      <c r="AA1240" s="1410"/>
    </row>
    <row r="1241" spans="27:27" x14ac:dyDescent="0.25">
      <c r="AA1241" s="1410"/>
    </row>
    <row r="1242" spans="27:27" x14ac:dyDescent="0.25">
      <c r="AA1242" s="1410"/>
    </row>
    <row r="1243" spans="27:27" x14ac:dyDescent="0.25">
      <c r="AA1243" s="1410"/>
    </row>
    <row r="1244" spans="27:27" x14ac:dyDescent="0.25">
      <c r="AA1244" s="1410"/>
    </row>
    <row r="1245" spans="27:27" x14ac:dyDescent="0.25">
      <c r="AA1245" s="1410"/>
    </row>
    <row r="1246" spans="27:27" x14ac:dyDescent="0.25">
      <c r="AA1246" s="1410"/>
    </row>
    <row r="1247" spans="27:27" x14ac:dyDescent="0.25">
      <c r="AA1247" s="1410"/>
    </row>
    <row r="1248" spans="27:27" x14ac:dyDescent="0.25">
      <c r="AA1248" s="1410"/>
    </row>
    <row r="1249" spans="27:27" x14ac:dyDescent="0.25">
      <c r="AA1249" s="1410"/>
    </row>
    <row r="1250" spans="27:27" x14ac:dyDescent="0.25">
      <c r="AA1250" s="1410"/>
    </row>
    <row r="1251" spans="27:27" x14ac:dyDescent="0.25">
      <c r="AA1251" s="1410"/>
    </row>
    <row r="1252" spans="27:27" x14ac:dyDescent="0.25">
      <c r="AA1252" s="1410"/>
    </row>
    <row r="1253" spans="27:27" x14ac:dyDescent="0.25">
      <c r="AA1253" s="1410"/>
    </row>
    <row r="1254" spans="27:27" x14ac:dyDescent="0.25">
      <c r="AA1254" s="1410"/>
    </row>
    <row r="1255" spans="27:27" x14ac:dyDescent="0.25">
      <c r="AA1255" s="1410"/>
    </row>
    <row r="1256" spans="27:27" x14ac:dyDescent="0.25">
      <c r="AA1256" s="1410"/>
    </row>
    <row r="1257" spans="27:27" x14ac:dyDescent="0.25">
      <c r="AA1257" s="1410"/>
    </row>
    <row r="1258" spans="27:27" x14ac:dyDescent="0.25">
      <c r="AA1258" s="1410"/>
    </row>
    <row r="1259" spans="27:27" x14ac:dyDescent="0.25">
      <c r="AA1259" s="1410"/>
    </row>
    <row r="1260" spans="27:27" x14ac:dyDescent="0.25">
      <c r="AA1260" s="1410"/>
    </row>
    <row r="1261" spans="27:27" x14ac:dyDescent="0.25">
      <c r="AA1261" s="1410"/>
    </row>
    <row r="1262" spans="27:27" x14ac:dyDescent="0.25">
      <c r="AA1262" s="1410"/>
    </row>
    <row r="1263" spans="27:27" x14ac:dyDescent="0.25">
      <c r="AA1263" s="1410"/>
    </row>
    <row r="1264" spans="27:27" x14ac:dyDescent="0.25">
      <c r="AA1264" s="1410"/>
    </row>
    <row r="1265" spans="27:27" x14ac:dyDescent="0.25">
      <c r="AA1265" s="1410"/>
    </row>
    <row r="1266" spans="27:27" x14ac:dyDescent="0.25">
      <c r="AA1266" s="1410"/>
    </row>
    <row r="1267" spans="27:27" x14ac:dyDescent="0.25">
      <c r="AA1267" s="1410"/>
    </row>
    <row r="1268" spans="27:27" x14ac:dyDescent="0.25">
      <c r="AA1268" s="1410"/>
    </row>
    <row r="1269" spans="27:27" x14ac:dyDescent="0.25">
      <c r="AA1269" s="1410"/>
    </row>
    <row r="1270" spans="27:27" x14ac:dyDescent="0.25">
      <c r="AA1270" s="1410"/>
    </row>
    <row r="1271" spans="27:27" x14ac:dyDescent="0.25">
      <c r="AA1271" s="1410"/>
    </row>
    <row r="1272" spans="27:27" x14ac:dyDescent="0.25">
      <c r="AA1272" s="1410"/>
    </row>
    <row r="1273" spans="27:27" x14ac:dyDescent="0.25">
      <c r="AA1273" s="1410"/>
    </row>
    <row r="1274" spans="27:27" x14ac:dyDescent="0.25">
      <c r="AA1274" s="1410"/>
    </row>
    <row r="1275" spans="27:27" x14ac:dyDescent="0.25">
      <c r="AA1275" s="1410"/>
    </row>
    <row r="1276" spans="27:27" x14ac:dyDescent="0.25">
      <c r="AA1276" s="1410"/>
    </row>
    <row r="1277" spans="27:27" x14ac:dyDescent="0.25">
      <c r="AA1277" s="1410"/>
    </row>
    <row r="1278" spans="27:27" x14ac:dyDescent="0.25">
      <c r="AA1278" s="1410"/>
    </row>
    <row r="1279" spans="27:27" x14ac:dyDescent="0.25">
      <c r="AA1279" s="1410"/>
    </row>
    <row r="1280" spans="27:27" x14ac:dyDescent="0.25">
      <c r="AA1280" s="1410"/>
    </row>
    <row r="1281" spans="27:27" x14ac:dyDescent="0.25">
      <c r="AA1281" s="1410"/>
    </row>
    <row r="1282" spans="27:27" x14ac:dyDescent="0.25">
      <c r="AA1282" s="1410"/>
    </row>
    <row r="1283" spans="27:27" x14ac:dyDescent="0.25">
      <c r="AA1283" s="1410"/>
    </row>
    <row r="1284" spans="27:27" x14ac:dyDescent="0.25">
      <c r="AA1284" s="1410"/>
    </row>
    <row r="1285" spans="27:27" x14ac:dyDescent="0.25">
      <c r="AA1285" s="1410"/>
    </row>
    <row r="1286" spans="27:27" x14ac:dyDescent="0.25">
      <c r="AA1286" s="1410"/>
    </row>
    <row r="1287" spans="27:27" x14ac:dyDescent="0.25">
      <c r="AA1287" s="1410"/>
    </row>
    <row r="1288" spans="27:27" x14ac:dyDescent="0.25">
      <c r="AA1288" s="1410"/>
    </row>
    <row r="1289" spans="27:27" x14ac:dyDescent="0.25">
      <c r="AA1289" s="1410"/>
    </row>
    <row r="1290" spans="27:27" x14ac:dyDescent="0.25">
      <c r="AA1290" s="1410"/>
    </row>
    <row r="1291" spans="27:27" x14ac:dyDescent="0.25">
      <c r="AA1291" s="1410"/>
    </row>
    <row r="1292" spans="27:27" x14ac:dyDescent="0.25">
      <c r="AA1292" s="1410"/>
    </row>
    <row r="1293" spans="27:27" x14ac:dyDescent="0.25">
      <c r="AA1293" s="1410"/>
    </row>
    <row r="1294" spans="27:27" x14ac:dyDescent="0.25">
      <c r="AA1294" s="1410"/>
    </row>
    <row r="1295" spans="27:27" x14ac:dyDescent="0.25">
      <c r="AA1295" s="1410"/>
    </row>
    <row r="1296" spans="27:27" x14ac:dyDescent="0.25">
      <c r="AA1296" s="1410"/>
    </row>
    <row r="1297" spans="27:27" x14ac:dyDescent="0.25">
      <c r="AA1297" s="1410"/>
    </row>
    <row r="1298" spans="27:27" x14ac:dyDescent="0.25">
      <c r="AA1298" s="1410"/>
    </row>
    <row r="1299" spans="27:27" x14ac:dyDescent="0.25">
      <c r="AA1299" s="1410"/>
    </row>
    <row r="1300" spans="27:27" x14ac:dyDescent="0.25">
      <c r="AA1300" s="1410"/>
    </row>
    <row r="1301" spans="27:27" x14ac:dyDescent="0.25">
      <c r="AA1301" s="1410"/>
    </row>
    <row r="1302" spans="27:27" x14ac:dyDescent="0.25">
      <c r="AA1302" s="1410"/>
    </row>
    <row r="1303" spans="27:27" x14ac:dyDescent="0.25">
      <c r="AA1303" s="1410"/>
    </row>
    <row r="1304" spans="27:27" x14ac:dyDescent="0.25">
      <c r="AA1304" s="1410"/>
    </row>
    <row r="1305" spans="27:27" x14ac:dyDescent="0.25">
      <c r="AA1305" s="1410"/>
    </row>
    <row r="1306" spans="27:27" x14ac:dyDescent="0.25">
      <c r="AA1306" s="1410"/>
    </row>
    <row r="1307" spans="27:27" x14ac:dyDescent="0.25">
      <c r="AA1307" s="1410"/>
    </row>
    <row r="1308" spans="27:27" x14ac:dyDescent="0.25">
      <c r="AA1308" s="1410"/>
    </row>
    <row r="1309" spans="27:27" x14ac:dyDescent="0.25">
      <c r="AA1309" s="1410"/>
    </row>
    <row r="1310" spans="27:27" x14ac:dyDescent="0.25">
      <c r="AA1310" s="1410"/>
    </row>
    <row r="1311" spans="27:27" x14ac:dyDescent="0.25">
      <c r="AA1311" s="1410"/>
    </row>
    <row r="1312" spans="27:27" x14ac:dyDescent="0.25">
      <c r="AA1312" s="1410"/>
    </row>
    <row r="1313" spans="27:27" x14ac:dyDescent="0.25">
      <c r="AA1313" s="1410"/>
    </row>
    <row r="1314" spans="27:27" x14ac:dyDescent="0.25">
      <c r="AA1314" s="1410"/>
    </row>
    <row r="1315" spans="27:27" x14ac:dyDescent="0.25">
      <c r="AA1315" s="1410"/>
    </row>
    <row r="1316" spans="27:27" x14ac:dyDescent="0.25">
      <c r="AA1316" s="1410"/>
    </row>
    <row r="1317" spans="27:27" x14ac:dyDescent="0.25">
      <c r="AA1317" s="1410"/>
    </row>
    <row r="1318" spans="27:27" x14ac:dyDescent="0.25">
      <c r="AA1318" s="1410"/>
    </row>
    <row r="1319" spans="27:27" x14ac:dyDescent="0.25">
      <c r="AA1319" s="1410"/>
    </row>
    <row r="1320" spans="27:27" x14ac:dyDescent="0.25">
      <c r="AA1320" s="1410"/>
    </row>
    <row r="1321" spans="27:27" x14ac:dyDescent="0.25">
      <c r="AA1321" s="1410"/>
    </row>
    <row r="1322" spans="27:27" x14ac:dyDescent="0.25">
      <c r="AA1322" s="1410"/>
    </row>
    <row r="1323" spans="27:27" x14ac:dyDescent="0.25">
      <c r="AA1323" s="1410"/>
    </row>
    <row r="1324" spans="27:27" x14ac:dyDescent="0.25">
      <c r="AA1324" s="1410"/>
    </row>
    <row r="1325" spans="27:27" x14ac:dyDescent="0.25">
      <c r="AA1325" s="1410"/>
    </row>
    <row r="1326" spans="27:27" x14ac:dyDescent="0.25">
      <c r="AA1326" s="1410"/>
    </row>
    <row r="1327" spans="27:27" x14ac:dyDescent="0.25">
      <c r="AA1327" s="1410"/>
    </row>
    <row r="1328" spans="27:27" x14ac:dyDescent="0.25">
      <c r="AA1328" s="1410"/>
    </row>
    <row r="1329" spans="27:27" x14ac:dyDescent="0.25">
      <c r="AA1329" s="1410"/>
    </row>
    <row r="1330" spans="27:27" x14ac:dyDescent="0.25">
      <c r="AA1330" s="1410"/>
    </row>
    <row r="1331" spans="27:27" x14ac:dyDescent="0.25">
      <c r="AA1331" s="1410"/>
    </row>
    <row r="1332" spans="27:27" x14ac:dyDescent="0.25">
      <c r="AA1332" s="1410"/>
    </row>
    <row r="1333" spans="27:27" x14ac:dyDescent="0.25">
      <c r="AA1333" s="1410"/>
    </row>
    <row r="1334" spans="27:27" x14ac:dyDescent="0.25">
      <c r="AA1334" s="1410"/>
    </row>
    <row r="1335" spans="27:27" x14ac:dyDescent="0.25">
      <c r="AA1335" s="1410"/>
    </row>
    <row r="1336" spans="27:27" x14ac:dyDescent="0.25">
      <c r="AA1336" s="1410"/>
    </row>
    <row r="1337" spans="27:27" x14ac:dyDescent="0.25">
      <c r="AA1337" s="1410"/>
    </row>
    <row r="1338" spans="27:27" x14ac:dyDescent="0.25">
      <c r="AA1338" s="1410"/>
    </row>
    <row r="1339" spans="27:27" x14ac:dyDescent="0.25">
      <c r="AA1339" s="1410"/>
    </row>
    <row r="1340" spans="27:27" x14ac:dyDescent="0.25">
      <c r="AA1340" s="1410"/>
    </row>
    <row r="1341" spans="27:27" x14ac:dyDescent="0.25">
      <c r="AA1341" s="1410"/>
    </row>
    <row r="1342" spans="27:27" x14ac:dyDescent="0.25">
      <c r="AA1342" s="1410"/>
    </row>
    <row r="1343" spans="27:27" x14ac:dyDescent="0.25">
      <c r="AA1343" s="1410"/>
    </row>
    <row r="1344" spans="27:27" x14ac:dyDescent="0.25">
      <c r="AA1344" s="1410"/>
    </row>
    <row r="1345" spans="27:27" x14ac:dyDescent="0.25">
      <c r="AA1345" s="1410"/>
    </row>
    <row r="1346" spans="27:27" x14ac:dyDescent="0.25">
      <c r="AA1346" s="1410"/>
    </row>
    <row r="1347" spans="27:27" x14ac:dyDescent="0.25">
      <c r="AA1347" s="1410"/>
    </row>
    <row r="1348" spans="27:27" x14ac:dyDescent="0.25">
      <c r="AA1348" s="1410"/>
    </row>
    <row r="1349" spans="27:27" x14ac:dyDescent="0.25">
      <c r="AA1349" s="1410"/>
    </row>
    <row r="1350" spans="27:27" x14ac:dyDescent="0.25">
      <c r="AA1350" s="1410"/>
    </row>
    <row r="1351" spans="27:27" x14ac:dyDescent="0.25">
      <c r="AA1351" s="1410"/>
    </row>
    <row r="1352" spans="27:27" x14ac:dyDescent="0.25">
      <c r="AA1352" s="1410"/>
    </row>
    <row r="1353" spans="27:27" x14ac:dyDescent="0.25">
      <c r="AA1353" s="1410"/>
    </row>
    <row r="1354" spans="27:27" x14ac:dyDescent="0.25">
      <c r="AA1354" s="1410"/>
    </row>
    <row r="1355" spans="27:27" x14ac:dyDescent="0.25">
      <c r="AA1355" s="1410"/>
    </row>
    <row r="1356" spans="27:27" x14ac:dyDescent="0.25">
      <c r="AA1356" s="1410"/>
    </row>
    <row r="1357" spans="27:27" x14ac:dyDescent="0.25">
      <c r="AA1357" s="1410"/>
    </row>
    <row r="1358" spans="27:27" x14ac:dyDescent="0.25">
      <c r="AA1358" s="1410"/>
    </row>
    <row r="1359" spans="27:27" x14ac:dyDescent="0.25">
      <c r="AA1359" s="1410"/>
    </row>
    <row r="1360" spans="27:27" x14ac:dyDescent="0.25">
      <c r="AA1360" s="1410"/>
    </row>
    <row r="1361" spans="27:27" x14ac:dyDescent="0.25">
      <c r="AA1361" s="1410"/>
    </row>
    <row r="1362" spans="27:27" x14ac:dyDescent="0.25">
      <c r="AA1362" s="1410"/>
    </row>
    <row r="1363" spans="27:27" x14ac:dyDescent="0.25">
      <c r="AA1363" s="1410"/>
    </row>
    <row r="1364" spans="27:27" x14ac:dyDescent="0.25">
      <c r="AA1364" s="1410"/>
    </row>
    <row r="1365" spans="27:27" x14ac:dyDescent="0.25">
      <c r="AA1365" s="1410"/>
    </row>
    <row r="1366" spans="27:27" x14ac:dyDescent="0.25">
      <c r="AA1366" s="1410"/>
    </row>
    <row r="1367" spans="27:27" x14ac:dyDescent="0.25">
      <c r="AA1367" s="1410"/>
    </row>
    <row r="1368" spans="27:27" x14ac:dyDescent="0.25">
      <c r="AA1368" s="1410"/>
    </row>
    <row r="1369" spans="27:27" x14ac:dyDescent="0.25">
      <c r="AA1369" s="1410"/>
    </row>
    <row r="1370" spans="27:27" x14ac:dyDescent="0.25">
      <c r="AA1370" s="1410"/>
    </row>
    <row r="1371" spans="27:27" x14ac:dyDescent="0.25">
      <c r="AA1371" s="1410"/>
    </row>
    <row r="1372" spans="27:27" x14ac:dyDescent="0.25">
      <c r="AA1372" s="1410"/>
    </row>
    <row r="1373" spans="27:27" x14ac:dyDescent="0.25">
      <c r="AA1373" s="1410"/>
    </row>
    <row r="1374" spans="27:27" x14ac:dyDescent="0.25">
      <c r="AA1374" s="1410"/>
    </row>
    <row r="1375" spans="27:27" x14ac:dyDescent="0.25">
      <c r="AA1375" s="1410"/>
    </row>
    <row r="1376" spans="27:27" x14ac:dyDescent="0.25">
      <c r="AA1376" s="1410"/>
    </row>
    <row r="1377" spans="27:27" x14ac:dyDescent="0.25">
      <c r="AA1377" s="1410"/>
    </row>
    <row r="1378" spans="27:27" x14ac:dyDescent="0.25">
      <c r="AA1378" s="1410"/>
    </row>
    <row r="1379" spans="27:27" x14ac:dyDescent="0.25">
      <c r="AA1379" s="1410"/>
    </row>
    <row r="1380" spans="27:27" x14ac:dyDescent="0.25">
      <c r="AA1380" s="1410"/>
    </row>
    <row r="1381" spans="27:27" x14ac:dyDescent="0.25">
      <c r="AA1381" s="1410"/>
    </row>
    <row r="1382" spans="27:27" x14ac:dyDescent="0.25">
      <c r="AA1382" s="1410"/>
    </row>
    <row r="1383" spans="27:27" x14ac:dyDescent="0.25">
      <c r="AA1383" s="1410"/>
    </row>
    <row r="1384" spans="27:27" x14ac:dyDescent="0.25">
      <c r="AA1384" s="1410"/>
    </row>
    <row r="1385" spans="27:27" x14ac:dyDescent="0.25">
      <c r="AA1385" s="1410"/>
    </row>
    <row r="1386" spans="27:27" x14ac:dyDescent="0.25">
      <c r="AA1386" s="1410"/>
    </row>
    <row r="1387" spans="27:27" x14ac:dyDescent="0.25">
      <c r="AA1387" s="1410"/>
    </row>
    <row r="1388" spans="27:27" x14ac:dyDescent="0.25">
      <c r="AA1388" s="1410"/>
    </row>
    <row r="1389" spans="27:27" x14ac:dyDescent="0.25">
      <c r="AA1389" s="1410"/>
    </row>
    <row r="1390" spans="27:27" x14ac:dyDescent="0.25">
      <c r="AA1390" s="1410"/>
    </row>
    <row r="1391" spans="27:27" x14ac:dyDescent="0.25">
      <c r="AA1391" s="1410"/>
    </row>
    <row r="1392" spans="27:27" x14ac:dyDescent="0.25">
      <c r="AA1392" s="1410"/>
    </row>
    <row r="1393" spans="27:27" x14ac:dyDescent="0.25">
      <c r="AA1393" s="1410"/>
    </row>
    <row r="1394" spans="27:27" x14ac:dyDescent="0.25">
      <c r="AA1394" s="1410"/>
    </row>
    <row r="1395" spans="27:27" x14ac:dyDescent="0.25">
      <c r="AA1395" s="1410"/>
    </row>
    <row r="1396" spans="27:27" x14ac:dyDescent="0.25">
      <c r="AA1396" s="1410"/>
    </row>
    <row r="1397" spans="27:27" x14ac:dyDescent="0.25">
      <c r="AA1397" s="1410"/>
    </row>
    <row r="1398" spans="27:27" x14ac:dyDescent="0.25">
      <c r="AA1398" s="1410"/>
    </row>
    <row r="1399" spans="27:27" x14ac:dyDescent="0.25">
      <c r="AA1399" s="1410"/>
    </row>
    <row r="1400" spans="27:27" x14ac:dyDescent="0.25">
      <c r="AA1400" s="1410"/>
    </row>
    <row r="1401" spans="27:27" x14ac:dyDescent="0.25">
      <c r="AA1401" s="1410"/>
    </row>
    <row r="1402" spans="27:27" x14ac:dyDescent="0.25">
      <c r="AA1402" s="1410"/>
    </row>
    <row r="1403" spans="27:27" x14ac:dyDescent="0.25">
      <c r="AA1403" s="1410"/>
    </row>
    <row r="1404" spans="27:27" x14ac:dyDescent="0.25">
      <c r="AA1404" s="1410"/>
    </row>
    <row r="1405" spans="27:27" x14ac:dyDescent="0.25">
      <c r="AA1405" s="1410"/>
    </row>
    <row r="1406" spans="27:27" x14ac:dyDescent="0.25">
      <c r="AA1406" s="1410"/>
    </row>
    <row r="1407" spans="27:27" x14ac:dyDescent="0.25">
      <c r="AA1407" s="1410"/>
    </row>
    <row r="1408" spans="27:27" x14ac:dyDescent="0.25">
      <c r="AA1408" s="1410"/>
    </row>
    <row r="1409" spans="27:27" x14ac:dyDescent="0.25">
      <c r="AA1409" s="1410"/>
    </row>
    <row r="1410" spans="27:27" x14ac:dyDescent="0.25">
      <c r="AA1410" s="1410"/>
    </row>
    <row r="1411" spans="27:27" x14ac:dyDescent="0.25">
      <c r="AA1411" s="1410"/>
    </row>
    <row r="1412" spans="27:27" x14ac:dyDescent="0.25">
      <c r="AA1412" s="1410"/>
    </row>
    <row r="1413" spans="27:27" x14ac:dyDescent="0.25">
      <c r="AA1413" s="1410"/>
    </row>
    <row r="1414" spans="27:27" x14ac:dyDescent="0.25">
      <c r="AA1414" s="1410"/>
    </row>
    <row r="1415" spans="27:27" x14ac:dyDescent="0.25">
      <c r="AA1415" s="1410"/>
    </row>
    <row r="1416" spans="27:27" x14ac:dyDescent="0.25">
      <c r="AA1416" s="1410"/>
    </row>
    <row r="1417" spans="27:27" x14ac:dyDescent="0.25">
      <c r="AA1417" s="1410"/>
    </row>
    <row r="1418" spans="27:27" x14ac:dyDescent="0.25">
      <c r="AA1418" s="1410"/>
    </row>
    <row r="1419" spans="27:27" x14ac:dyDescent="0.25">
      <c r="AA1419" s="1410"/>
    </row>
    <row r="1420" spans="27:27" x14ac:dyDescent="0.25">
      <c r="AA1420" s="1410"/>
    </row>
    <row r="1421" spans="27:27" x14ac:dyDescent="0.25">
      <c r="AA1421" s="1410"/>
    </row>
    <row r="1422" spans="27:27" x14ac:dyDescent="0.25">
      <c r="AA1422" s="1410"/>
    </row>
    <row r="1423" spans="27:27" x14ac:dyDescent="0.25">
      <c r="AA1423" s="1410"/>
    </row>
    <row r="1424" spans="27:27" x14ac:dyDescent="0.25">
      <c r="AA1424" s="1410"/>
    </row>
    <row r="1425" spans="27:27" x14ac:dyDescent="0.25">
      <c r="AA1425" s="1410"/>
    </row>
    <row r="1426" spans="27:27" x14ac:dyDescent="0.25">
      <c r="AA1426" s="1410"/>
    </row>
    <row r="1427" spans="27:27" x14ac:dyDescent="0.25">
      <c r="AA1427" s="1410"/>
    </row>
    <row r="1428" spans="27:27" x14ac:dyDescent="0.25">
      <c r="AA1428" s="1410"/>
    </row>
    <row r="1429" spans="27:27" x14ac:dyDescent="0.25">
      <c r="AA1429" s="1410"/>
    </row>
    <row r="1430" spans="27:27" x14ac:dyDescent="0.25">
      <c r="AA1430" s="1410"/>
    </row>
    <row r="1431" spans="27:27" x14ac:dyDescent="0.25">
      <c r="AA1431" s="1410"/>
    </row>
    <row r="1432" spans="27:27" x14ac:dyDescent="0.25">
      <c r="AA1432" s="1410"/>
    </row>
    <row r="1433" spans="27:27" x14ac:dyDescent="0.25">
      <c r="AA1433" s="1410"/>
    </row>
    <row r="1434" spans="27:27" x14ac:dyDescent="0.25">
      <c r="AA1434" s="1410"/>
    </row>
    <row r="1435" spans="27:27" x14ac:dyDescent="0.25">
      <c r="AA1435" s="1410"/>
    </row>
    <row r="1436" spans="27:27" x14ac:dyDescent="0.25">
      <c r="AA1436" s="1410"/>
    </row>
    <row r="1437" spans="27:27" x14ac:dyDescent="0.25">
      <c r="AA1437" s="1410"/>
    </row>
    <row r="1438" spans="27:27" x14ac:dyDescent="0.25">
      <c r="AA1438" s="1410"/>
    </row>
    <row r="1439" spans="27:27" x14ac:dyDescent="0.25">
      <c r="AA1439" s="1410"/>
    </row>
    <row r="1440" spans="27:27" x14ac:dyDescent="0.25">
      <c r="AA1440" s="1410"/>
    </row>
    <row r="1441" spans="27:27" x14ac:dyDescent="0.25">
      <c r="AA1441" s="1410"/>
    </row>
    <row r="1442" spans="27:27" x14ac:dyDescent="0.25">
      <c r="AA1442" s="1410"/>
    </row>
    <row r="1443" spans="27:27" x14ac:dyDescent="0.25">
      <c r="AA1443" s="1410"/>
    </row>
    <row r="1444" spans="27:27" x14ac:dyDescent="0.25">
      <c r="AA1444" s="1410"/>
    </row>
    <row r="1445" spans="27:27" x14ac:dyDescent="0.25">
      <c r="AA1445" s="1410"/>
    </row>
    <row r="1446" spans="27:27" x14ac:dyDescent="0.25">
      <c r="AA1446" s="1410"/>
    </row>
    <row r="1447" spans="27:27" x14ac:dyDescent="0.25">
      <c r="AA1447" s="1410"/>
    </row>
    <row r="1448" spans="27:27" x14ac:dyDescent="0.25">
      <c r="AA1448" s="1410"/>
    </row>
    <row r="1449" spans="27:27" x14ac:dyDescent="0.25">
      <c r="AA1449" s="1410"/>
    </row>
    <row r="1450" spans="27:27" x14ac:dyDescent="0.25">
      <c r="AA1450" s="1410"/>
    </row>
    <row r="1451" spans="27:27" x14ac:dyDescent="0.25">
      <c r="AA1451" s="1410"/>
    </row>
    <row r="1452" spans="27:27" x14ac:dyDescent="0.25">
      <c r="AA1452" s="1410"/>
    </row>
    <row r="1453" spans="27:27" x14ac:dyDescent="0.25">
      <c r="AA1453" s="1410"/>
    </row>
    <row r="1454" spans="27:27" x14ac:dyDescent="0.25">
      <c r="AA1454" s="1410"/>
    </row>
    <row r="1455" spans="27:27" x14ac:dyDescent="0.25">
      <c r="AA1455" s="1410"/>
    </row>
    <row r="1456" spans="27:27" x14ac:dyDescent="0.25">
      <c r="AA1456" s="1410"/>
    </row>
    <row r="1457" spans="27:27" x14ac:dyDescent="0.25">
      <c r="AA1457" s="1410"/>
    </row>
    <row r="1458" spans="27:27" x14ac:dyDescent="0.25">
      <c r="AA1458" s="1410"/>
    </row>
    <row r="1459" spans="27:27" x14ac:dyDescent="0.25">
      <c r="AA1459" s="1410"/>
    </row>
    <row r="1460" spans="27:27" x14ac:dyDescent="0.25">
      <c r="AA1460" s="1410"/>
    </row>
    <row r="1461" spans="27:27" x14ac:dyDescent="0.25">
      <c r="AA1461" s="1410"/>
    </row>
    <row r="1462" spans="27:27" x14ac:dyDescent="0.25">
      <c r="AA1462" s="1410"/>
    </row>
    <row r="1463" spans="27:27" x14ac:dyDescent="0.25">
      <c r="AA1463" s="1410"/>
    </row>
    <row r="1464" spans="27:27" x14ac:dyDescent="0.25">
      <c r="AA1464" s="1410"/>
    </row>
    <row r="1465" spans="27:27" x14ac:dyDescent="0.25">
      <c r="AA1465" s="1410"/>
    </row>
    <row r="1466" spans="27:27" x14ac:dyDescent="0.25">
      <c r="AA1466" s="1410"/>
    </row>
    <row r="1467" spans="27:27" x14ac:dyDescent="0.25">
      <c r="AA1467" s="1410"/>
    </row>
    <row r="1468" spans="27:27" x14ac:dyDescent="0.25">
      <c r="AA1468" s="1410"/>
    </row>
    <row r="1469" spans="27:27" x14ac:dyDescent="0.25">
      <c r="AA1469" s="1410"/>
    </row>
    <row r="1470" spans="27:27" x14ac:dyDescent="0.25">
      <c r="AA1470" s="1410"/>
    </row>
    <row r="1471" spans="27:27" x14ac:dyDescent="0.25">
      <c r="AA1471" s="1410"/>
    </row>
    <row r="1472" spans="27:27" x14ac:dyDescent="0.25">
      <c r="AA1472" s="1410"/>
    </row>
    <row r="1473" spans="27:27" x14ac:dyDescent="0.25">
      <c r="AA1473" s="1410"/>
    </row>
    <row r="1474" spans="27:27" x14ac:dyDescent="0.25">
      <c r="AA1474" s="1410"/>
    </row>
    <row r="1475" spans="27:27" x14ac:dyDescent="0.25">
      <c r="AA1475" s="1410"/>
    </row>
    <row r="1476" spans="27:27" x14ac:dyDescent="0.25">
      <c r="AA1476" s="1410"/>
    </row>
    <row r="1477" spans="27:27" x14ac:dyDescent="0.25">
      <c r="AA1477" s="1410"/>
    </row>
    <row r="1478" spans="27:27" x14ac:dyDescent="0.25">
      <c r="AA1478" s="1410"/>
    </row>
    <row r="1479" spans="27:27" x14ac:dyDescent="0.25">
      <c r="AA1479" s="1410"/>
    </row>
    <row r="1480" spans="27:27" x14ac:dyDescent="0.25">
      <c r="AA1480" s="1410"/>
    </row>
    <row r="1481" spans="27:27" x14ac:dyDescent="0.25">
      <c r="AA1481" s="1410"/>
    </row>
    <row r="1482" spans="27:27" x14ac:dyDescent="0.25">
      <c r="AA1482" s="1410"/>
    </row>
    <row r="1483" spans="27:27" x14ac:dyDescent="0.25">
      <c r="AA1483" s="1410"/>
    </row>
    <row r="1484" spans="27:27" x14ac:dyDescent="0.25">
      <c r="AA1484" s="1410"/>
    </row>
    <row r="1485" spans="27:27" x14ac:dyDescent="0.25">
      <c r="AA1485" s="1410"/>
    </row>
    <row r="1486" spans="27:27" x14ac:dyDescent="0.25">
      <c r="AA1486" s="1410"/>
    </row>
    <row r="1487" spans="27:27" x14ac:dyDescent="0.25">
      <c r="AA1487" s="1410"/>
    </row>
    <row r="1488" spans="27:27" x14ac:dyDescent="0.25">
      <c r="AA1488" s="1410"/>
    </row>
    <row r="1489" spans="27:27" x14ac:dyDescent="0.25">
      <c r="AA1489" s="1410"/>
    </row>
    <row r="1490" spans="27:27" x14ac:dyDescent="0.25">
      <c r="AA1490" s="1410"/>
    </row>
    <row r="1491" spans="27:27" x14ac:dyDescent="0.25">
      <c r="AA1491" s="1410"/>
    </row>
    <row r="1492" spans="27:27" x14ac:dyDescent="0.25">
      <c r="AA1492" s="1410"/>
    </row>
    <row r="1493" spans="27:27" x14ac:dyDescent="0.25">
      <c r="AA1493" s="1410"/>
    </row>
    <row r="1494" spans="27:27" x14ac:dyDescent="0.25">
      <c r="AA1494" s="1410"/>
    </row>
    <row r="1495" spans="27:27" x14ac:dyDescent="0.25">
      <c r="AA1495" s="1410"/>
    </row>
    <row r="1496" spans="27:27" x14ac:dyDescent="0.25">
      <c r="AA1496" s="1410"/>
    </row>
    <row r="1497" spans="27:27" x14ac:dyDescent="0.25">
      <c r="AA1497" s="1410"/>
    </row>
    <row r="1498" spans="27:27" x14ac:dyDescent="0.25">
      <c r="AA1498" s="1410"/>
    </row>
    <row r="1499" spans="27:27" x14ac:dyDescent="0.25">
      <c r="AA1499" s="1410"/>
    </row>
    <row r="1500" spans="27:27" x14ac:dyDescent="0.25">
      <c r="AA1500" s="1410"/>
    </row>
    <row r="1501" spans="27:27" x14ac:dyDescent="0.25">
      <c r="AA1501" s="1410"/>
    </row>
    <row r="1502" spans="27:27" x14ac:dyDescent="0.25">
      <c r="AA1502" s="1410"/>
    </row>
    <row r="1503" spans="27:27" x14ac:dyDescent="0.25">
      <c r="AA1503" s="1410"/>
    </row>
    <row r="1504" spans="27:27" x14ac:dyDescent="0.25">
      <c r="AA1504" s="1410"/>
    </row>
    <row r="1505" spans="27:27" x14ac:dyDescent="0.25">
      <c r="AA1505" s="1410"/>
    </row>
    <row r="1506" spans="27:27" x14ac:dyDescent="0.25">
      <c r="AA1506" s="1410"/>
    </row>
    <row r="1507" spans="27:27" x14ac:dyDescent="0.25">
      <c r="AA1507" s="1410"/>
    </row>
    <row r="1508" spans="27:27" x14ac:dyDescent="0.25">
      <c r="AA1508" s="1410"/>
    </row>
    <row r="1509" spans="27:27" x14ac:dyDescent="0.25">
      <c r="AA1509" s="1410"/>
    </row>
    <row r="1510" spans="27:27" x14ac:dyDescent="0.25">
      <c r="AA1510" s="1410"/>
    </row>
    <row r="1511" spans="27:27" x14ac:dyDescent="0.25">
      <c r="AA1511" s="1410"/>
    </row>
    <row r="1512" spans="27:27" x14ac:dyDescent="0.25">
      <c r="AA1512" s="1410"/>
    </row>
    <row r="1513" spans="27:27" x14ac:dyDescent="0.25">
      <c r="AA1513" s="1410"/>
    </row>
    <row r="1514" spans="27:27" x14ac:dyDescent="0.25">
      <c r="AA1514" s="1410"/>
    </row>
    <row r="1515" spans="27:27" x14ac:dyDescent="0.25">
      <c r="AA1515" s="1410"/>
    </row>
    <row r="1516" spans="27:27" x14ac:dyDescent="0.25">
      <c r="AA1516" s="1410"/>
    </row>
    <row r="1517" spans="27:27" x14ac:dyDescent="0.25">
      <c r="AA1517" s="1410"/>
    </row>
    <row r="1518" spans="27:27" x14ac:dyDescent="0.25">
      <c r="AA1518" s="1410"/>
    </row>
    <row r="1519" spans="27:27" x14ac:dyDescent="0.25">
      <c r="AA1519" s="1410"/>
    </row>
    <row r="1520" spans="27:27" x14ac:dyDescent="0.25">
      <c r="AA1520" s="1410"/>
    </row>
    <row r="1521" spans="27:27" x14ac:dyDescent="0.25">
      <c r="AA1521" s="1410"/>
    </row>
    <row r="1522" spans="27:27" x14ac:dyDescent="0.25">
      <c r="AA1522" s="1410"/>
    </row>
    <row r="1523" spans="27:27" x14ac:dyDescent="0.25">
      <c r="AA1523" s="1410"/>
    </row>
    <row r="1524" spans="27:27" x14ac:dyDescent="0.25">
      <c r="AA1524" s="1410"/>
    </row>
    <row r="1525" spans="27:27" x14ac:dyDescent="0.25">
      <c r="AA1525" s="1410"/>
    </row>
    <row r="1526" spans="27:27" x14ac:dyDescent="0.25">
      <c r="AA1526" s="1410"/>
    </row>
    <row r="1527" spans="27:27" x14ac:dyDescent="0.25">
      <c r="AA1527" s="1410"/>
    </row>
    <row r="1528" spans="27:27" x14ac:dyDescent="0.25">
      <c r="AA1528" s="1410"/>
    </row>
    <row r="1529" spans="27:27" x14ac:dyDescent="0.25">
      <c r="AA1529" s="1410"/>
    </row>
    <row r="1530" spans="27:27" x14ac:dyDescent="0.25">
      <c r="AA1530" s="1410"/>
    </row>
    <row r="1531" spans="27:27" x14ac:dyDescent="0.25">
      <c r="AA1531" s="1410"/>
    </row>
    <row r="1532" spans="27:27" x14ac:dyDescent="0.25">
      <c r="AA1532" s="1410"/>
    </row>
    <row r="1533" spans="27:27" x14ac:dyDescent="0.25">
      <c r="AA1533" s="1410"/>
    </row>
    <row r="1534" spans="27:27" x14ac:dyDescent="0.25">
      <c r="AA1534" s="1410"/>
    </row>
    <row r="1535" spans="27:27" x14ac:dyDescent="0.25">
      <c r="AA1535" s="1410"/>
    </row>
    <row r="1536" spans="27:27" x14ac:dyDescent="0.25">
      <c r="AA1536" s="1410"/>
    </row>
    <row r="1537" spans="27:27" x14ac:dyDescent="0.25">
      <c r="AA1537" s="1410"/>
    </row>
    <row r="1538" spans="27:27" x14ac:dyDescent="0.25">
      <c r="AA1538" s="1410"/>
    </row>
    <row r="1539" spans="27:27" x14ac:dyDescent="0.25">
      <c r="AA1539" s="1410"/>
    </row>
    <row r="1540" spans="27:27" x14ac:dyDescent="0.25">
      <c r="AA1540" s="1410"/>
    </row>
    <row r="1541" spans="27:27" x14ac:dyDescent="0.25">
      <c r="AA1541" s="1410"/>
    </row>
    <row r="1542" spans="27:27" x14ac:dyDescent="0.25">
      <c r="AA1542" s="1410"/>
    </row>
    <row r="1543" spans="27:27" x14ac:dyDescent="0.25">
      <c r="AA1543" s="1410"/>
    </row>
    <row r="1544" spans="27:27" x14ac:dyDescent="0.25">
      <c r="AA1544" s="1410"/>
    </row>
    <row r="1545" spans="27:27" x14ac:dyDescent="0.25">
      <c r="AA1545" s="1410"/>
    </row>
    <row r="1546" spans="27:27" x14ac:dyDescent="0.25">
      <c r="AA1546" s="1410"/>
    </row>
    <row r="1547" spans="27:27" x14ac:dyDescent="0.25">
      <c r="AA1547" s="1410"/>
    </row>
    <row r="1548" spans="27:27" x14ac:dyDescent="0.25">
      <c r="AA1548" s="1410"/>
    </row>
    <row r="1549" spans="27:27" x14ac:dyDescent="0.25">
      <c r="AA1549" s="1410"/>
    </row>
    <row r="1550" spans="27:27" x14ac:dyDescent="0.25">
      <c r="AA1550" s="1410"/>
    </row>
    <row r="1551" spans="27:27" x14ac:dyDescent="0.25">
      <c r="AA1551" s="1410"/>
    </row>
    <row r="1552" spans="27:27" x14ac:dyDescent="0.25">
      <c r="AA1552" s="1410"/>
    </row>
    <row r="1553" spans="27:27" x14ac:dyDescent="0.25">
      <c r="AA1553" s="1410"/>
    </row>
    <row r="1554" spans="27:27" x14ac:dyDescent="0.25">
      <c r="AA1554" s="1410"/>
    </row>
    <row r="1555" spans="27:27" x14ac:dyDescent="0.25">
      <c r="AA1555" s="1410"/>
    </row>
    <row r="1556" spans="27:27" x14ac:dyDescent="0.25">
      <c r="AA1556" s="1410"/>
    </row>
    <row r="1557" spans="27:27" x14ac:dyDescent="0.25">
      <c r="AA1557" s="1410"/>
    </row>
    <row r="1558" spans="27:27" x14ac:dyDescent="0.25">
      <c r="AA1558" s="1410"/>
    </row>
    <row r="1559" spans="27:27" x14ac:dyDescent="0.25">
      <c r="AA1559" s="1410"/>
    </row>
    <row r="1560" spans="27:27" x14ac:dyDescent="0.25">
      <c r="AA1560" s="1410"/>
    </row>
    <row r="1561" spans="27:27" x14ac:dyDescent="0.25">
      <c r="AA1561" s="1410"/>
    </row>
    <row r="1562" spans="27:27" x14ac:dyDescent="0.25">
      <c r="AA1562" s="1410"/>
    </row>
    <row r="1563" spans="27:27" x14ac:dyDescent="0.25">
      <c r="AA1563" s="1410"/>
    </row>
    <row r="1564" spans="27:27" x14ac:dyDescent="0.25">
      <c r="AA1564" s="1410"/>
    </row>
    <row r="1565" spans="27:27" x14ac:dyDescent="0.25">
      <c r="AA1565" s="1410"/>
    </row>
    <row r="1566" spans="27:27" x14ac:dyDescent="0.25">
      <c r="AA1566" s="1410"/>
    </row>
    <row r="1567" spans="27:27" x14ac:dyDescent="0.25">
      <c r="AA1567" s="1410"/>
    </row>
    <row r="1568" spans="27:27" x14ac:dyDescent="0.25">
      <c r="AA1568" s="1410"/>
    </row>
    <row r="1569" spans="27:27" x14ac:dyDescent="0.25">
      <c r="AA1569" s="1410"/>
    </row>
    <row r="1570" spans="27:27" x14ac:dyDescent="0.25">
      <c r="AA1570" s="1410"/>
    </row>
    <row r="1571" spans="27:27" x14ac:dyDescent="0.25">
      <c r="AA1571" s="1410"/>
    </row>
    <row r="1572" spans="27:27" x14ac:dyDescent="0.25">
      <c r="AA1572" s="1410"/>
    </row>
    <row r="1573" spans="27:27" x14ac:dyDescent="0.25">
      <c r="AA1573" s="1410"/>
    </row>
    <row r="1574" spans="27:27" x14ac:dyDescent="0.25">
      <c r="AA1574" s="1410"/>
    </row>
    <row r="1575" spans="27:27" x14ac:dyDescent="0.25">
      <c r="AA1575" s="1410"/>
    </row>
  </sheetData>
  <mergeCells count="4">
    <mergeCell ref="A3:A5"/>
    <mergeCell ref="B3:I3"/>
    <mergeCell ref="K3:W3"/>
    <mergeCell ref="K4:K5"/>
  </mergeCells>
  <printOptions horizontalCentered="1"/>
  <pageMargins left="0.75" right="0.75" top="0.75" bottom="0.75" header="0.3" footer="0"/>
  <pageSetup paperSize="9" scale="54"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9"/>
  <sheetViews>
    <sheetView zoomScaleNormal="100" zoomScaleSheetLayoutView="110" workbookViewId="0">
      <pane xSplit="1" ySplit="41" topLeftCell="B42" activePane="bottomRight" state="frozen"/>
      <selection activeCell="I35" sqref="I35"/>
      <selection pane="topRight" activeCell="I35" sqref="I35"/>
      <selection pane="bottomLeft" activeCell="I35" sqref="I35"/>
      <selection pane="bottomRight"/>
    </sheetView>
  </sheetViews>
  <sheetFormatPr defaultRowHeight="16.5" x14ac:dyDescent="0.3"/>
  <cols>
    <col min="1" max="6" width="13.85546875" style="1460" customWidth="1"/>
    <col min="7" max="7" width="12.5703125" style="1460" customWidth="1"/>
    <col min="8" max="8" width="12.42578125" style="1460" customWidth="1"/>
    <col min="9" max="256" width="9.140625" style="1460"/>
    <col min="257" max="262" width="13.85546875" style="1460" customWidth="1"/>
    <col min="263" max="263" width="12.5703125" style="1460" customWidth="1"/>
    <col min="264" max="264" width="12.42578125" style="1460" customWidth="1"/>
    <col min="265" max="512" width="9.140625" style="1460"/>
    <col min="513" max="518" width="13.85546875" style="1460" customWidth="1"/>
    <col min="519" max="519" width="12.5703125" style="1460" customWidth="1"/>
    <col min="520" max="520" width="12.42578125" style="1460" customWidth="1"/>
    <col min="521" max="768" width="9.140625" style="1460"/>
    <col min="769" max="774" width="13.85546875" style="1460" customWidth="1"/>
    <col min="775" max="775" width="12.5703125" style="1460" customWidth="1"/>
    <col min="776" max="776" width="12.42578125" style="1460" customWidth="1"/>
    <col min="777" max="1024" width="9.140625" style="1460"/>
    <col min="1025" max="1030" width="13.85546875" style="1460" customWidth="1"/>
    <col min="1031" max="1031" width="12.5703125" style="1460" customWidth="1"/>
    <col min="1032" max="1032" width="12.42578125" style="1460" customWidth="1"/>
    <col min="1033" max="1280" width="9.140625" style="1460"/>
    <col min="1281" max="1286" width="13.85546875" style="1460" customWidth="1"/>
    <col min="1287" max="1287" width="12.5703125" style="1460" customWidth="1"/>
    <col min="1288" max="1288" width="12.42578125" style="1460" customWidth="1"/>
    <col min="1289" max="1536" width="9.140625" style="1460"/>
    <col min="1537" max="1542" width="13.85546875" style="1460" customWidth="1"/>
    <col min="1543" max="1543" width="12.5703125" style="1460" customWidth="1"/>
    <col min="1544" max="1544" width="12.42578125" style="1460" customWidth="1"/>
    <col min="1545" max="1792" width="9.140625" style="1460"/>
    <col min="1793" max="1798" width="13.85546875" style="1460" customWidth="1"/>
    <col min="1799" max="1799" width="12.5703125" style="1460" customWidth="1"/>
    <col min="1800" max="1800" width="12.42578125" style="1460" customWidth="1"/>
    <col min="1801" max="2048" width="9.140625" style="1460"/>
    <col min="2049" max="2054" width="13.85546875" style="1460" customWidth="1"/>
    <col min="2055" max="2055" width="12.5703125" style="1460" customWidth="1"/>
    <col min="2056" max="2056" width="12.42578125" style="1460" customWidth="1"/>
    <col min="2057" max="2304" width="9.140625" style="1460"/>
    <col min="2305" max="2310" width="13.85546875" style="1460" customWidth="1"/>
    <col min="2311" max="2311" width="12.5703125" style="1460" customWidth="1"/>
    <col min="2312" max="2312" width="12.42578125" style="1460" customWidth="1"/>
    <col min="2313" max="2560" width="9.140625" style="1460"/>
    <col min="2561" max="2566" width="13.85546875" style="1460" customWidth="1"/>
    <col min="2567" max="2567" width="12.5703125" style="1460" customWidth="1"/>
    <col min="2568" max="2568" width="12.42578125" style="1460" customWidth="1"/>
    <col min="2569" max="2816" width="9.140625" style="1460"/>
    <col min="2817" max="2822" width="13.85546875" style="1460" customWidth="1"/>
    <col min="2823" max="2823" width="12.5703125" style="1460" customWidth="1"/>
    <col min="2824" max="2824" width="12.42578125" style="1460" customWidth="1"/>
    <col min="2825" max="3072" width="9.140625" style="1460"/>
    <col min="3073" max="3078" width="13.85546875" style="1460" customWidth="1"/>
    <col min="3079" max="3079" width="12.5703125" style="1460" customWidth="1"/>
    <col min="3080" max="3080" width="12.42578125" style="1460" customWidth="1"/>
    <col min="3081" max="3328" width="9.140625" style="1460"/>
    <col min="3329" max="3334" width="13.85546875" style="1460" customWidth="1"/>
    <col min="3335" max="3335" width="12.5703125" style="1460" customWidth="1"/>
    <col min="3336" max="3336" width="12.42578125" style="1460" customWidth="1"/>
    <col min="3337" max="3584" width="9.140625" style="1460"/>
    <col min="3585" max="3590" width="13.85546875" style="1460" customWidth="1"/>
    <col min="3591" max="3591" width="12.5703125" style="1460" customWidth="1"/>
    <col min="3592" max="3592" width="12.42578125" style="1460" customWidth="1"/>
    <col min="3593" max="3840" width="9.140625" style="1460"/>
    <col min="3841" max="3846" width="13.85546875" style="1460" customWidth="1"/>
    <col min="3847" max="3847" width="12.5703125" style="1460" customWidth="1"/>
    <col min="3848" max="3848" width="12.42578125" style="1460" customWidth="1"/>
    <col min="3849" max="4096" width="9.140625" style="1460"/>
    <col min="4097" max="4102" width="13.85546875" style="1460" customWidth="1"/>
    <col min="4103" max="4103" width="12.5703125" style="1460" customWidth="1"/>
    <col min="4104" max="4104" width="12.42578125" style="1460" customWidth="1"/>
    <col min="4105" max="4352" width="9.140625" style="1460"/>
    <col min="4353" max="4358" width="13.85546875" style="1460" customWidth="1"/>
    <col min="4359" max="4359" width="12.5703125" style="1460" customWidth="1"/>
    <col min="4360" max="4360" width="12.42578125" style="1460" customWidth="1"/>
    <col min="4361" max="4608" width="9.140625" style="1460"/>
    <col min="4609" max="4614" width="13.85546875" style="1460" customWidth="1"/>
    <col min="4615" max="4615" width="12.5703125" style="1460" customWidth="1"/>
    <col min="4616" max="4616" width="12.42578125" style="1460" customWidth="1"/>
    <col min="4617" max="4864" width="9.140625" style="1460"/>
    <col min="4865" max="4870" width="13.85546875" style="1460" customWidth="1"/>
    <col min="4871" max="4871" width="12.5703125" style="1460" customWidth="1"/>
    <col min="4872" max="4872" width="12.42578125" style="1460" customWidth="1"/>
    <col min="4873" max="5120" width="9.140625" style="1460"/>
    <col min="5121" max="5126" width="13.85546875" style="1460" customWidth="1"/>
    <col min="5127" max="5127" width="12.5703125" style="1460" customWidth="1"/>
    <col min="5128" max="5128" width="12.42578125" style="1460" customWidth="1"/>
    <col min="5129" max="5376" width="9.140625" style="1460"/>
    <col min="5377" max="5382" width="13.85546875" style="1460" customWidth="1"/>
    <col min="5383" max="5383" width="12.5703125" style="1460" customWidth="1"/>
    <col min="5384" max="5384" width="12.42578125" style="1460" customWidth="1"/>
    <col min="5385" max="5632" width="9.140625" style="1460"/>
    <col min="5633" max="5638" width="13.85546875" style="1460" customWidth="1"/>
    <col min="5639" max="5639" width="12.5703125" style="1460" customWidth="1"/>
    <col min="5640" max="5640" width="12.42578125" style="1460" customWidth="1"/>
    <col min="5641" max="5888" width="9.140625" style="1460"/>
    <col min="5889" max="5894" width="13.85546875" style="1460" customWidth="1"/>
    <col min="5895" max="5895" width="12.5703125" style="1460" customWidth="1"/>
    <col min="5896" max="5896" width="12.42578125" style="1460" customWidth="1"/>
    <col min="5897" max="6144" width="9.140625" style="1460"/>
    <col min="6145" max="6150" width="13.85546875" style="1460" customWidth="1"/>
    <col min="6151" max="6151" width="12.5703125" style="1460" customWidth="1"/>
    <col min="6152" max="6152" width="12.42578125" style="1460" customWidth="1"/>
    <col min="6153" max="6400" width="9.140625" style="1460"/>
    <col min="6401" max="6406" width="13.85546875" style="1460" customWidth="1"/>
    <col min="6407" max="6407" width="12.5703125" style="1460" customWidth="1"/>
    <col min="6408" max="6408" width="12.42578125" style="1460" customWidth="1"/>
    <col min="6409" max="6656" width="9.140625" style="1460"/>
    <col min="6657" max="6662" width="13.85546875" style="1460" customWidth="1"/>
    <col min="6663" max="6663" width="12.5703125" style="1460" customWidth="1"/>
    <col min="6664" max="6664" width="12.42578125" style="1460" customWidth="1"/>
    <col min="6665" max="6912" width="9.140625" style="1460"/>
    <col min="6913" max="6918" width="13.85546875" style="1460" customWidth="1"/>
    <col min="6919" max="6919" width="12.5703125" style="1460" customWidth="1"/>
    <col min="6920" max="6920" width="12.42578125" style="1460" customWidth="1"/>
    <col min="6921" max="7168" width="9.140625" style="1460"/>
    <col min="7169" max="7174" width="13.85546875" style="1460" customWidth="1"/>
    <col min="7175" max="7175" width="12.5703125" style="1460" customWidth="1"/>
    <col min="7176" max="7176" width="12.42578125" style="1460" customWidth="1"/>
    <col min="7177" max="7424" width="9.140625" style="1460"/>
    <col min="7425" max="7430" width="13.85546875" style="1460" customWidth="1"/>
    <col min="7431" max="7431" width="12.5703125" style="1460" customWidth="1"/>
    <col min="7432" max="7432" width="12.42578125" style="1460" customWidth="1"/>
    <col min="7433" max="7680" width="9.140625" style="1460"/>
    <col min="7681" max="7686" width="13.85546875" style="1460" customWidth="1"/>
    <col min="7687" max="7687" width="12.5703125" style="1460" customWidth="1"/>
    <col min="7688" max="7688" width="12.42578125" style="1460" customWidth="1"/>
    <col min="7689" max="7936" width="9.140625" style="1460"/>
    <col min="7937" max="7942" width="13.85546875" style="1460" customWidth="1"/>
    <col min="7943" max="7943" width="12.5703125" style="1460" customWidth="1"/>
    <col min="7944" max="7944" width="12.42578125" style="1460" customWidth="1"/>
    <col min="7945" max="8192" width="9.140625" style="1460"/>
    <col min="8193" max="8198" width="13.85546875" style="1460" customWidth="1"/>
    <col min="8199" max="8199" width="12.5703125" style="1460" customWidth="1"/>
    <col min="8200" max="8200" width="12.42578125" style="1460" customWidth="1"/>
    <col min="8201" max="8448" width="9.140625" style="1460"/>
    <col min="8449" max="8454" width="13.85546875" style="1460" customWidth="1"/>
    <col min="8455" max="8455" width="12.5703125" style="1460" customWidth="1"/>
    <col min="8456" max="8456" width="12.42578125" style="1460" customWidth="1"/>
    <col min="8457" max="8704" width="9.140625" style="1460"/>
    <col min="8705" max="8710" width="13.85546875" style="1460" customWidth="1"/>
    <col min="8711" max="8711" width="12.5703125" style="1460" customWidth="1"/>
    <col min="8712" max="8712" width="12.42578125" style="1460" customWidth="1"/>
    <col min="8713" max="8960" width="9.140625" style="1460"/>
    <col min="8961" max="8966" width="13.85546875" style="1460" customWidth="1"/>
    <col min="8967" max="8967" width="12.5703125" style="1460" customWidth="1"/>
    <col min="8968" max="8968" width="12.42578125" style="1460" customWidth="1"/>
    <col min="8969" max="9216" width="9.140625" style="1460"/>
    <col min="9217" max="9222" width="13.85546875" style="1460" customWidth="1"/>
    <col min="9223" max="9223" width="12.5703125" style="1460" customWidth="1"/>
    <col min="9224" max="9224" width="12.42578125" style="1460" customWidth="1"/>
    <col min="9225" max="9472" width="9.140625" style="1460"/>
    <col min="9473" max="9478" width="13.85546875" style="1460" customWidth="1"/>
    <col min="9479" max="9479" width="12.5703125" style="1460" customWidth="1"/>
    <col min="9480" max="9480" width="12.42578125" style="1460" customWidth="1"/>
    <col min="9481" max="9728" width="9.140625" style="1460"/>
    <col min="9729" max="9734" width="13.85546875" style="1460" customWidth="1"/>
    <col min="9735" max="9735" width="12.5703125" style="1460" customWidth="1"/>
    <col min="9736" max="9736" width="12.42578125" style="1460" customWidth="1"/>
    <col min="9737" max="9984" width="9.140625" style="1460"/>
    <col min="9985" max="9990" width="13.85546875" style="1460" customWidth="1"/>
    <col min="9991" max="9991" width="12.5703125" style="1460" customWidth="1"/>
    <col min="9992" max="9992" width="12.42578125" style="1460" customWidth="1"/>
    <col min="9993" max="10240" width="9.140625" style="1460"/>
    <col min="10241" max="10246" width="13.85546875" style="1460" customWidth="1"/>
    <col min="10247" max="10247" width="12.5703125" style="1460" customWidth="1"/>
    <col min="10248" max="10248" width="12.42578125" style="1460" customWidth="1"/>
    <col min="10249" max="10496" width="9.140625" style="1460"/>
    <col min="10497" max="10502" width="13.85546875" style="1460" customWidth="1"/>
    <col min="10503" max="10503" width="12.5703125" style="1460" customWidth="1"/>
    <col min="10504" max="10504" width="12.42578125" style="1460" customWidth="1"/>
    <col min="10505" max="10752" width="9.140625" style="1460"/>
    <col min="10753" max="10758" width="13.85546875" style="1460" customWidth="1"/>
    <col min="10759" max="10759" width="12.5703125" style="1460" customWidth="1"/>
    <col min="10760" max="10760" width="12.42578125" style="1460" customWidth="1"/>
    <col min="10761" max="11008" width="9.140625" style="1460"/>
    <col min="11009" max="11014" width="13.85546875" style="1460" customWidth="1"/>
    <col min="11015" max="11015" width="12.5703125" style="1460" customWidth="1"/>
    <col min="11016" max="11016" width="12.42578125" style="1460" customWidth="1"/>
    <col min="11017" max="11264" width="9.140625" style="1460"/>
    <col min="11265" max="11270" width="13.85546875" style="1460" customWidth="1"/>
    <col min="11271" max="11271" width="12.5703125" style="1460" customWidth="1"/>
    <col min="11272" max="11272" width="12.42578125" style="1460" customWidth="1"/>
    <col min="11273" max="11520" width="9.140625" style="1460"/>
    <col min="11521" max="11526" width="13.85546875" style="1460" customWidth="1"/>
    <col min="11527" max="11527" width="12.5703125" style="1460" customWidth="1"/>
    <col min="11528" max="11528" width="12.42578125" style="1460" customWidth="1"/>
    <col min="11529" max="11776" width="9.140625" style="1460"/>
    <col min="11777" max="11782" width="13.85546875" style="1460" customWidth="1"/>
    <col min="11783" max="11783" width="12.5703125" style="1460" customWidth="1"/>
    <col min="11784" max="11784" width="12.42578125" style="1460" customWidth="1"/>
    <col min="11785" max="12032" width="9.140625" style="1460"/>
    <col min="12033" max="12038" width="13.85546875" style="1460" customWidth="1"/>
    <col min="12039" max="12039" width="12.5703125" style="1460" customWidth="1"/>
    <col min="12040" max="12040" width="12.42578125" style="1460" customWidth="1"/>
    <col min="12041" max="12288" width="9.140625" style="1460"/>
    <col min="12289" max="12294" width="13.85546875" style="1460" customWidth="1"/>
    <col min="12295" max="12295" width="12.5703125" style="1460" customWidth="1"/>
    <col min="12296" max="12296" width="12.42578125" style="1460" customWidth="1"/>
    <col min="12297" max="12544" width="9.140625" style="1460"/>
    <col min="12545" max="12550" width="13.85546875" style="1460" customWidth="1"/>
    <col min="12551" max="12551" width="12.5703125" style="1460" customWidth="1"/>
    <col min="12552" max="12552" width="12.42578125" style="1460" customWidth="1"/>
    <col min="12553" max="12800" width="9.140625" style="1460"/>
    <col min="12801" max="12806" width="13.85546875" style="1460" customWidth="1"/>
    <col min="12807" max="12807" width="12.5703125" style="1460" customWidth="1"/>
    <col min="12808" max="12808" width="12.42578125" style="1460" customWidth="1"/>
    <col min="12809" max="13056" width="9.140625" style="1460"/>
    <col min="13057" max="13062" width="13.85546875" style="1460" customWidth="1"/>
    <col min="13063" max="13063" width="12.5703125" style="1460" customWidth="1"/>
    <col min="13064" max="13064" width="12.42578125" style="1460" customWidth="1"/>
    <col min="13065" max="13312" width="9.140625" style="1460"/>
    <col min="13313" max="13318" width="13.85546875" style="1460" customWidth="1"/>
    <col min="13319" max="13319" width="12.5703125" style="1460" customWidth="1"/>
    <col min="13320" max="13320" width="12.42578125" style="1460" customWidth="1"/>
    <col min="13321" max="13568" width="9.140625" style="1460"/>
    <col min="13569" max="13574" width="13.85546875" style="1460" customWidth="1"/>
    <col min="13575" max="13575" width="12.5703125" style="1460" customWidth="1"/>
    <col min="13576" max="13576" width="12.42578125" style="1460" customWidth="1"/>
    <col min="13577" max="13824" width="9.140625" style="1460"/>
    <col min="13825" max="13830" width="13.85546875" style="1460" customWidth="1"/>
    <col min="13831" max="13831" width="12.5703125" style="1460" customWidth="1"/>
    <col min="13832" max="13832" width="12.42578125" style="1460" customWidth="1"/>
    <col min="13833" max="14080" width="9.140625" style="1460"/>
    <col min="14081" max="14086" width="13.85546875" style="1460" customWidth="1"/>
    <col min="14087" max="14087" width="12.5703125" style="1460" customWidth="1"/>
    <col min="14088" max="14088" width="12.42578125" style="1460" customWidth="1"/>
    <col min="14089" max="14336" width="9.140625" style="1460"/>
    <col min="14337" max="14342" width="13.85546875" style="1460" customWidth="1"/>
    <col min="14343" max="14343" width="12.5703125" style="1460" customWidth="1"/>
    <col min="14344" max="14344" width="12.42578125" style="1460" customWidth="1"/>
    <col min="14345" max="14592" width="9.140625" style="1460"/>
    <col min="14593" max="14598" width="13.85546875" style="1460" customWidth="1"/>
    <col min="14599" max="14599" width="12.5703125" style="1460" customWidth="1"/>
    <col min="14600" max="14600" width="12.42578125" style="1460" customWidth="1"/>
    <col min="14601" max="14848" width="9.140625" style="1460"/>
    <col min="14849" max="14854" width="13.85546875" style="1460" customWidth="1"/>
    <col min="14855" max="14855" width="12.5703125" style="1460" customWidth="1"/>
    <col min="14856" max="14856" width="12.42578125" style="1460" customWidth="1"/>
    <col min="14857" max="15104" width="9.140625" style="1460"/>
    <col min="15105" max="15110" width="13.85546875" style="1460" customWidth="1"/>
    <col min="15111" max="15111" width="12.5703125" style="1460" customWidth="1"/>
    <col min="15112" max="15112" width="12.42578125" style="1460" customWidth="1"/>
    <col min="15113" max="15360" width="9.140625" style="1460"/>
    <col min="15361" max="15366" width="13.85546875" style="1460" customWidth="1"/>
    <col min="15367" max="15367" width="12.5703125" style="1460" customWidth="1"/>
    <col min="15368" max="15368" width="12.42578125" style="1460" customWidth="1"/>
    <col min="15369" max="15616" width="9.140625" style="1460"/>
    <col min="15617" max="15622" width="13.85546875" style="1460" customWidth="1"/>
    <col min="15623" max="15623" width="12.5703125" style="1460" customWidth="1"/>
    <col min="15624" max="15624" width="12.42578125" style="1460" customWidth="1"/>
    <col min="15625" max="15872" width="9.140625" style="1460"/>
    <col min="15873" max="15878" width="13.85546875" style="1460" customWidth="1"/>
    <col min="15879" max="15879" width="12.5703125" style="1460" customWidth="1"/>
    <col min="15880" max="15880" width="12.42578125" style="1460" customWidth="1"/>
    <col min="15881" max="16128" width="9.140625" style="1460"/>
    <col min="16129" max="16134" width="13.85546875" style="1460" customWidth="1"/>
    <col min="16135" max="16135" width="12.5703125" style="1460" customWidth="1"/>
    <col min="16136" max="16136" width="12.42578125" style="1460" customWidth="1"/>
    <col min="16137" max="16384" width="9.140625" style="1460"/>
  </cols>
  <sheetData>
    <row r="1" spans="1:6" s="1457" customFormat="1" ht="17.25" x14ac:dyDescent="0.3">
      <c r="A1" s="1454" t="s">
        <v>3431</v>
      </c>
      <c r="B1" s="1455"/>
      <c r="C1" s="1455"/>
      <c r="D1" s="1455"/>
      <c r="E1" s="1455"/>
      <c r="F1" s="1456"/>
    </row>
    <row r="2" spans="1:6" ht="13.5" customHeight="1" thickBot="1" x14ac:dyDescent="0.35">
      <c r="A2" s="1454"/>
      <c r="B2" s="1458"/>
      <c r="C2" s="1458"/>
      <c r="D2" s="1458"/>
      <c r="E2" s="1458"/>
      <c r="F2" s="1459"/>
    </row>
    <row r="3" spans="1:6" ht="18" thickTop="1" thickBot="1" x14ac:dyDescent="0.35">
      <c r="A3" s="1461"/>
      <c r="B3" s="1462" t="s">
        <v>3432</v>
      </c>
      <c r="C3" s="1463" t="s">
        <v>3433</v>
      </c>
      <c r="D3" s="1463" t="s">
        <v>3432</v>
      </c>
      <c r="E3" s="1464" t="s">
        <v>3434</v>
      </c>
      <c r="F3" s="1465"/>
    </row>
    <row r="4" spans="1:6" x14ac:dyDescent="0.3">
      <c r="A4" s="1466"/>
      <c r="B4" s="1467" t="s">
        <v>3435</v>
      </c>
      <c r="C4" s="1468" t="s">
        <v>3436</v>
      </c>
      <c r="D4" s="1469" t="s">
        <v>3435</v>
      </c>
      <c r="E4" s="1470" t="s">
        <v>3437</v>
      </c>
      <c r="F4" s="1471" t="s">
        <v>3433</v>
      </c>
    </row>
    <row r="5" spans="1:6" ht="17.25" thickBot="1" x14ac:dyDescent="0.35">
      <c r="A5" s="1472"/>
      <c r="B5" s="1473" t="s">
        <v>3438</v>
      </c>
      <c r="C5" s="1474"/>
      <c r="D5" s="1474" t="s">
        <v>3439</v>
      </c>
      <c r="E5" s="1474" t="s">
        <v>3438</v>
      </c>
      <c r="F5" s="1475" t="s">
        <v>3440</v>
      </c>
    </row>
    <row r="6" spans="1:6" s="1481" customFormat="1" ht="17.25" hidden="1" thickTop="1" x14ac:dyDescent="0.3">
      <c r="A6" s="1476">
        <v>40179</v>
      </c>
      <c r="B6" s="1477">
        <v>403964</v>
      </c>
      <c r="C6" s="1478">
        <v>19483893</v>
      </c>
      <c r="D6" s="1478">
        <v>20</v>
      </c>
      <c r="E6" s="1479">
        <v>20198</v>
      </c>
      <c r="F6" s="1480">
        <v>974195</v>
      </c>
    </row>
    <row r="7" spans="1:6" s="1481" customFormat="1" ht="17.25" hidden="1" thickTop="1" x14ac:dyDescent="0.3">
      <c r="A7" s="1476">
        <v>40210</v>
      </c>
      <c r="B7" s="1477">
        <v>381478</v>
      </c>
      <c r="C7" s="1478">
        <v>17757496</v>
      </c>
      <c r="D7" s="1478">
        <v>18</v>
      </c>
      <c r="E7" s="1479">
        <v>21193</v>
      </c>
      <c r="F7" s="1480">
        <v>986528</v>
      </c>
    </row>
    <row r="8" spans="1:6" s="1481" customFormat="1" ht="17.25" hidden="1" thickTop="1" x14ac:dyDescent="0.3">
      <c r="A8" s="1476">
        <v>40238</v>
      </c>
      <c r="B8" s="1477">
        <v>476460</v>
      </c>
      <c r="C8" s="1478">
        <v>21813844</v>
      </c>
      <c r="D8" s="1478">
        <v>21</v>
      </c>
      <c r="E8" s="1479">
        <v>22688</v>
      </c>
      <c r="F8" s="1480">
        <v>1038755</v>
      </c>
    </row>
    <row r="9" spans="1:6" s="1481" customFormat="1" ht="17.25" hidden="1" thickTop="1" x14ac:dyDescent="0.3">
      <c r="A9" s="1476">
        <v>40269</v>
      </c>
      <c r="B9" s="1477">
        <v>478241</v>
      </c>
      <c r="C9" s="1478">
        <v>22600161</v>
      </c>
      <c r="D9" s="1478">
        <v>22</v>
      </c>
      <c r="E9" s="1479">
        <v>21738</v>
      </c>
      <c r="F9" s="1480">
        <v>1027280</v>
      </c>
    </row>
    <row r="10" spans="1:6" s="1481" customFormat="1" ht="17.25" hidden="1" thickTop="1" x14ac:dyDescent="0.3">
      <c r="A10" s="1476">
        <v>40299</v>
      </c>
      <c r="B10" s="1477">
        <v>419366</v>
      </c>
      <c r="C10" s="1478">
        <v>20193361</v>
      </c>
      <c r="D10" s="1478">
        <v>20</v>
      </c>
      <c r="E10" s="1479">
        <v>20969</v>
      </c>
      <c r="F10" s="1480">
        <v>1009668</v>
      </c>
    </row>
    <row r="11" spans="1:6" s="1481" customFormat="1" ht="17.25" hidden="1" thickTop="1" x14ac:dyDescent="0.3">
      <c r="A11" s="1476">
        <v>40330</v>
      </c>
      <c r="B11" s="1477">
        <v>448294</v>
      </c>
      <c r="C11" s="1478">
        <v>21051307</v>
      </c>
      <c r="D11" s="1478">
        <v>22</v>
      </c>
      <c r="E11" s="1479">
        <v>20377</v>
      </c>
      <c r="F11" s="1480">
        <v>956878</v>
      </c>
    </row>
    <row r="12" spans="1:6" s="1481" customFormat="1" ht="17.25" hidden="1" thickTop="1" x14ac:dyDescent="0.3">
      <c r="A12" s="1476">
        <v>40360</v>
      </c>
      <c r="B12" s="1477">
        <v>447586</v>
      </c>
      <c r="C12" s="1478">
        <v>21884958</v>
      </c>
      <c r="D12" s="1478">
        <v>22</v>
      </c>
      <c r="E12" s="1479">
        <v>20345</v>
      </c>
      <c r="F12" s="1480">
        <v>994771</v>
      </c>
    </row>
    <row r="13" spans="1:6" s="1481" customFormat="1" ht="17.25" hidden="1" thickTop="1" x14ac:dyDescent="0.3">
      <c r="A13" s="1476">
        <v>40391</v>
      </c>
      <c r="B13" s="1477">
        <v>435490</v>
      </c>
      <c r="C13" s="1478">
        <v>21023041</v>
      </c>
      <c r="D13" s="1478">
        <v>22</v>
      </c>
      <c r="E13" s="1479">
        <v>19795</v>
      </c>
      <c r="F13" s="1480">
        <v>955593</v>
      </c>
    </row>
    <row r="14" spans="1:6" s="1481" customFormat="1" ht="17.25" hidden="1" thickTop="1" x14ac:dyDescent="0.3">
      <c r="A14" s="1476">
        <v>40422</v>
      </c>
      <c r="B14" s="1477">
        <v>431049</v>
      </c>
      <c r="C14" s="1478">
        <v>20726682</v>
      </c>
      <c r="D14" s="1478">
        <v>21</v>
      </c>
      <c r="E14" s="1479">
        <v>20526</v>
      </c>
      <c r="F14" s="1480">
        <v>986985</v>
      </c>
    </row>
    <row r="15" spans="1:6" s="1481" customFormat="1" ht="17.25" hidden="1" thickTop="1" x14ac:dyDescent="0.3">
      <c r="A15" s="1476">
        <v>40452</v>
      </c>
      <c r="B15" s="1477">
        <v>443872</v>
      </c>
      <c r="C15" s="1478">
        <v>21052303</v>
      </c>
      <c r="D15" s="1478">
        <v>21</v>
      </c>
      <c r="E15" s="1479">
        <v>21137</v>
      </c>
      <c r="F15" s="1480">
        <v>1002491</v>
      </c>
    </row>
    <row r="16" spans="1:6" s="1481" customFormat="1" ht="17.25" hidden="1" thickTop="1" x14ac:dyDescent="0.3">
      <c r="A16" s="1476">
        <v>40483</v>
      </c>
      <c r="B16" s="1477">
        <v>478387</v>
      </c>
      <c r="C16" s="1478">
        <v>22094405.145189997</v>
      </c>
      <c r="D16" s="1478">
        <v>20</v>
      </c>
      <c r="E16" s="1479">
        <v>23919.35</v>
      </c>
      <c r="F16" s="1480">
        <v>1104720.2572594997</v>
      </c>
    </row>
    <row r="17" spans="1:6" s="1481" customFormat="1" ht="17.25" hidden="1" thickTop="1" x14ac:dyDescent="0.3">
      <c r="A17" s="1476">
        <v>40513</v>
      </c>
      <c r="B17" s="1477">
        <v>562286</v>
      </c>
      <c r="C17" s="1478">
        <v>29385611</v>
      </c>
      <c r="D17" s="1478">
        <v>23</v>
      </c>
      <c r="E17" s="1479">
        <v>26776</v>
      </c>
      <c r="F17" s="1480">
        <v>1399315</v>
      </c>
    </row>
    <row r="18" spans="1:6" s="1481" customFormat="1" ht="17.25" hidden="1" thickTop="1" x14ac:dyDescent="0.3">
      <c r="A18" s="1476">
        <v>40544</v>
      </c>
      <c r="B18" s="1482">
        <v>404261</v>
      </c>
      <c r="C18" s="1483">
        <v>18665282</v>
      </c>
      <c r="D18" s="1483">
        <v>19</v>
      </c>
      <c r="E18" s="1484">
        <v>21277</v>
      </c>
      <c r="F18" s="1485">
        <v>982383</v>
      </c>
    </row>
    <row r="19" spans="1:6" s="1481" customFormat="1" ht="17.25" hidden="1" thickTop="1" x14ac:dyDescent="0.3">
      <c r="A19" s="1476">
        <v>40575</v>
      </c>
      <c r="B19" s="1482">
        <v>410417</v>
      </c>
      <c r="C19" s="1483">
        <v>20754567</v>
      </c>
      <c r="D19" s="1483">
        <v>18</v>
      </c>
      <c r="E19" s="1484">
        <v>22801</v>
      </c>
      <c r="F19" s="1485">
        <v>1153032</v>
      </c>
    </row>
    <row r="20" spans="1:6" s="1481" customFormat="1" ht="17.25" hidden="1" thickTop="1" x14ac:dyDescent="0.3">
      <c r="A20" s="1476">
        <v>40603</v>
      </c>
      <c r="B20" s="1482">
        <v>480048</v>
      </c>
      <c r="C20" s="1483">
        <v>22665919</v>
      </c>
      <c r="D20" s="1483">
        <v>22</v>
      </c>
      <c r="E20" s="1484">
        <v>21820</v>
      </c>
      <c r="F20" s="1485">
        <v>1030269</v>
      </c>
    </row>
    <row r="21" spans="1:6" s="1481" customFormat="1" ht="17.25" hidden="1" thickTop="1" x14ac:dyDescent="0.3">
      <c r="A21" s="1476">
        <v>40634</v>
      </c>
      <c r="B21" s="1482">
        <v>429435</v>
      </c>
      <c r="C21" s="1483">
        <v>20514130</v>
      </c>
      <c r="D21" s="1483">
        <v>20</v>
      </c>
      <c r="E21" s="1484">
        <v>21472</v>
      </c>
      <c r="F21" s="1485">
        <v>1025707</v>
      </c>
    </row>
    <row r="22" spans="1:6" s="1481" customFormat="1" ht="17.25" hidden="1" thickTop="1" x14ac:dyDescent="0.3">
      <c r="A22" s="1476">
        <v>40664</v>
      </c>
      <c r="B22" s="1482">
        <v>472258</v>
      </c>
      <c r="C22" s="1483">
        <v>22338190</v>
      </c>
      <c r="D22" s="1483">
        <v>22</v>
      </c>
      <c r="E22" s="1484">
        <v>21466</v>
      </c>
      <c r="F22" s="1485">
        <v>1015372</v>
      </c>
    </row>
    <row r="23" spans="1:6" s="1481" customFormat="1" ht="17.25" hidden="1" thickTop="1" x14ac:dyDescent="0.3">
      <c r="A23" s="1476">
        <v>40695</v>
      </c>
      <c r="B23" s="1482">
        <v>459609</v>
      </c>
      <c r="C23" s="1483">
        <v>23452306</v>
      </c>
      <c r="D23" s="1483">
        <v>22</v>
      </c>
      <c r="E23" s="1484">
        <v>20891</v>
      </c>
      <c r="F23" s="1485">
        <v>1066014</v>
      </c>
    </row>
    <row r="24" spans="1:6" s="1481" customFormat="1" ht="17.25" hidden="1" thickTop="1" x14ac:dyDescent="0.3">
      <c r="A24" s="1476">
        <v>40725</v>
      </c>
      <c r="B24" s="1482">
        <v>436511</v>
      </c>
      <c r="C24" s="1483">
        <v>22202850</v>
      </c>
      <c r="D24" s="1483">
        <v>21</v>
      </c>
      <c r="E24" s="1484">
        <v>20786</v>
      </c>
      <c r="F24" s="1485">
        <v>1057279</v>
      </c>
    </row>
    <row r="25" spans="1:6" s="1481" customFormat="1" ht="17.25" hidden="1" thickTop="1" x14ac:dyDescent="0.3">
      <c r="A25" s="1476">
        <v>40756</v>
      </c>
      <c r="B25" s="1482">
        <v>446499</v>
      </c>
      <c r="C25" s="1483">
        <v>21637527</v>
      </c>
      <c r="D25" s="1483">
        <v>22</v>
      </c>
      <c r="E25" s="1484">
        <v>20295</v>
      </c>
      <c r="F25" s="1485">
        <v>983524</v>
      </c>
    </row>
    <row r="26" spans="1:6" s="1481" customFormat="1" ht="17.25" hidden="1" thickTop="1" x14ac:dyDescent="0.3">
      <c r="A26" s="1476">
        <v>40787</v>
      </c>
      <c r="B26" s="1482">
        <v>439837</v>
      </c>
      <c r="C26" s="1483">
        <v>20864985</v>
      </c>
      <c r="D26" s="1483">
        <v>21</v>
      </c>
      <c r="E26" s="1484">
        <v>20945</v>
      </c>
      <c r="F26" s="1485">
        <v>993571</v>
      </c>
    </row>
    <row r="27" spans="1:6" s="1481" customFormat="1" ht="17.25" hidden="1" thickTop="1" x14ac:dyDescent="0.3">
      <c r="A27" s="1476">
        <v>40817</v>
      </c>
      <c r="B27" s="1482">
        <v>429409</v>
      </c>
      <c r="C27" s="1483">
        <v>21844470</v>
      </c>
      <c r="D27" s="1483">
        <v>20</v>
      </c>
      <c r="E27" s="1484">
        <v>21470</v>
      </c>
      <c r="F27" s="1485">
        <v>1092223</v>
      </c>
    </row>
    <row r="28" spans="1:6" s="1481" customFormat="1" ht="17.25" hidden="1" thickTop="1" x14ac:dyDescent="0.3">
      <c r="A28" s="1476">
        <v>40848</v>
      </c>
      <c r="B28" s="1482">
        <v>441789</v>
      </c>
      <c r="C28" s="1483">
        <v>21637089</v>
      </c>
      <c r="D28" s="1483">
        <v>20</v>
      </c>
      <c r="E28" s="1484">
        <v>22089</v>
      </c>
      <c r="F28" s="1485">
        <v>1081854</v>
      </c>
    </row>
    <row r="29" spans="1:6" s="1481" customFormat="1" ht="17.25" hidden="1" thickTop="1" x14ac:dyDescent="0.3">
      <c r="A29" s="1476">
        <v>40878</v>
      </c>
      <c r="B29" s="1482">
        <v>509153</v>
      </c>
      <c r="C29" s="1483">
        <v>26909768</v>
      </c>
      <c r="D29" s="1483">
        <v>22</v>
      </c>
      <c r="E29" s="1484">
        <v>23143</v>
      </c>
      <c r="F29" s="1485">
        <v>1223171</v>
      </c>
    </row>
    <row r="30" spans="1:6" s="1481" customFormat="1" ht="16.5" hidden="1" customHeight="1" x14ac:dyDescent="0.3">
      <c r="A30" s="1476">
        <v>40909</v>
      </c>
      <c r="B30" s="1482">
        <v>411557</v>
      </c>
      <c r="C30" s="1483">
        <v>20402574</v>
      </c>
      <c r="D30" s="1483">
        <v>20</v>
      </c>
      <c r="E30" s="1484">
        <v>20578</v>
      </c>
      <c r="F30" s="1485">
        <v>1020129</v>
      </c>
    </row>
    <row r="31" spans="1:6" s="1481" customFormat="1" ht="16.5" hidden="1" customHeight="1" x14ac:dyDescent="0.3">
      <c r="A31" s="1476">
        <v>40940</v>
      </c>
      <c r="B31" s="1482">
        <v>401302</v>
      </c>
      <c r="C31" s="1483">
        <v>20239873</v>
      </c>
      <c r="D31" s="1483">
        <v>18</v>
      </c>
      <c r="E31" s="1484">
        <v>22295</v>
      </c>
      <c r="F31" s="1485">
        <v>1124437</v>
      </c>
    </row>
    <row r="32" spans="1:6" s="1481" customFormat="1" ht="16.5" hidden="1" customHeight="1" x14ac:dyDescent="0.3">
      <c r="A32" s="1476">
        <v>40969</v>
      </c>
      <c r="B32" s="1482">
        <v>432715</v>
      </c>
      <c r="C32" s="1483">
        <v>21349071</v>
      </c>
      <c r="D32" s="1483">
        <v>20</v>
      </c>
      <c r="E32" s="1484">
        <v>21636</v>
      </c>
      <c r="F32" s="1485">
        <v>1067454</v>
      </c>
    </row>
    <row r="33" spans="1:6" s="1481" customFormat="1" ht="16.5" hidden="1" customHeight="1" x14ac:dyDescent="0.3">
      <c r="A33" s="1476">
        <v>41000</v>
      </c>
      <c r="B33" s="1482">
        <v>436837</v>
      </c>
      <c r="C33" s="1483">
        <v>21910904</v>
      </c>
      <c r="D33" s="1483">
        <v>21</v>
      </c>
      <c r="E33" s="1484">
        <v>20802</v>
      </c>
      <c r="F33" s="1485">
        <v>1043376</v>
      </c>
    </row>
    <row r="34" spans="1:6" s="1481" customFormat="1" ht="16.5" hidden="1" customHeight="1" x14ac:dyDescent="0.3">
      <c r="A34" s="1476">
        <v>41030</v>
      </c>
      <c r="B34" s="1482">
        <v>470150</v>
      </c>
      <c r="C34" s="1483">
        <v>22379207</v>
      </c>
      <c r="D34" s="1483">
        <v>22</v>
      </c>
      <c r="E34" s="1484">
        <v>21370</v>
      </c>
      <c r="F34" s="1485">
        <v>1017237</v>
      </c>
    </row>
    <row r="35" spans="1:6" s="1481" customFormat="1" ht="16.5" hidden="1" customHeight="1" x14ac:dyDescent="0.3">
      <c r="A35" s="1476">
        <v>41061</v>
      </c>
      <c r="B35" s="1482">
        <v>423483</v>
      </c>
      <c r="C35" s="1483">
        <v>21139261</v>
      </c>
      <c r="D35" s="1483">
        <v>21</v>
      </c>
      <c r="E35" s="1484">
        <v>20166</v>
      </c>
      <c r="F35" s="1485">
        <v>1006631</v>
      </c>
    </row>
    <row r="36" spans="1:6" s="1481" customFormat="1" ht="16.5" hidden="1" customHeight="1" x14ac:dyDescent="0.3">
      <c r="A36" s="1476">
        <v>41091</v>
      </c>
      <c r="B36" s="1482">
        <v>453418</v>
      </c>
      <c r="C36" s="1483">
        <v>23746073</v>
      </c>
      <c r="D36" s="1483">
        <v>22</v>
      </c>
      <c r="E36" s="1484">
        <v>20610</v>
      </c>
      <c r="F36" s="1485">
        <v>1079367</v>
      </c>
    </row>
    <row r="37" spans="1:6" s="1481" customFormat="1" ht="16.5" hidden="1" customHeight="1" x14ac:dyDescent="0.3">
      <c r="A37" s="1476">
        <v>41122</v>
      </c>
      <c r="B37" s="1482">
        <v>428256</v>
      </c>
      <c r="C37" s="1483">
        <v>21776630</v>
      </c>
      <c r="D37" s="1483">
        <v>21</v>
      </c>
      <c r="E37" s="1484">
        <v>20393</v>
      </c>
      <c r="F37" s="1485">
        <v>1036982</v>
      </c>
    </row>
    <row r="38" spans="1:6" s="1481" customFormat="1" ht="16.5" hidden="1" customHeight="1" x14ac:dyDescent="0.3">
      <c r="A38" s="1476">
        <v>41153</v>
      </c>
      <c r="B38" s="1482">
        <v>397667</v>
      </c>
      <c r="C38" s="1483">
        <v>20543860</v>
      </c>
      <c r="D38" s="1483">
        <v>19</v>
      </c>
      <c r="E38" s="1484">
        <v>20930</v>
      </c>
      <c r="F38" s="1485">
        <v>1081256</v>
      </c>
    </row>
    <row r="39" spans="1:6" s="1481" customFormat="1" ht="16.5" hidden="1" customHeight="1" x14ac:dyDescent="0.3">
      <c r="A39" s="1476">
        <v>41183</v>
      </c>
      <c r="B39" s="1482">
        <v>476909</v>
      </c>
      <c r="C39" s="1483">
        <v>25001750</v>
      </c>
      <c r="D39" s="1483">
        <v>23</v>
      </c>
      <c r="E39" s="1484">
        <v>20735</v>
      </c>
      <c r="F39" s="1485">
        <v>1087033</v>
      </c>
    </row>
    <row r="40" spans="1:6" s="1481" customFormat="1" ht="16.5" hidden="1" customHeight="1" x14ac:dyDescent="0.3">
      <c r="A40" s="1476">
        <v>41214</v>
      </c>
      <c r="B40" s="1482">
        <v>423120</v>
      </c>
      <c r="C40" s="1483">
        <v>21648556</v>
      </c>
      <c r="D40" s="1483">
        <v>20</v>
      </c>
      <c r="E40" s="1484">
        <v>21156</v>
      </c>
      <c r="F40" s="1485">
        <v>1082428</v>
      </c>
    </row>
    <row r="41" spans="1:6" s="1481" customFormat="1" ht="16.5" hidden="1" customHeight="1" x14ac:dyDescent="0.3">
      <c r="A41" s="1476">
        <v>41244</v>
      </c>
      <c r="B41" s="1482">
        <v>458402</v>
      </c>
      <c r="C41" s="1483">
        <v>25455656</v>
      </c>
      <c r="D41" s="1483">
        <v>20</v>
      </c>
      <c r="E41" s="1484">
        <v>22920</v>
      </c>
      <c r="F41" s="1485">
        <v>1272783</v>
      </c>
    </row>
    <row r="42" spans="1:6" s="1481" customFormat="1" ht="16.5" hidden="1" customHeight="1" thickTop="1" x14ac:dyDescent="0.3">
      <c r="A42" s="1486">
        <v>41653</v>
      </c>
      <c r="B42" s="1482">
        <v>374235</v>
      </c>
      <c r="C42" s="1483">
        <v>19560273</v>
      </c>
      <c r="D42" s="1483">
        <v>19</v>
      </c>
      <c r="E42" s="1484">
        <v>19697</v>
      </c>
      <c r="F42" s="1485">
        <v>1029488</v>
      </c>
    </row>
    <row r="43" spans="1:6" s="1481" customFormat="1" ht="16.5" hidden="1" customHeight="1" x14ac:dyDescent="0.3">
      <c r="A43" s="1486">
        <v>41671</v>
      </c>
      <c r="B43" s="1482">
        <v>372478</v>
      </c>
      <c r="C43" s="1483">
        <v>19906878</v>
      </c>
      <c r="D43" s="1483">
        <v>18</v>
      </c>
      <c r="E43" s="1484">
        <v>20693</v>
      </c>
      <c r="F43" s="1485">
        <v>1105938</v>
      </c>
    </row>
    <row r="44" spans="1:6" s="1481" customFormat="1" ht="16.5" hidden="1" customHeight="1" x14ac:dyDescent="0.3">
      <c r="A44" s="1486">
        <v>41699</v>
      </c>
      <c r="B44" s="1482">
        <v>385697</v>
      </c>
      <c r="C44" s="1483">
        <v>19847409</v>
      </c>
      <c r="D44" s="1483">
        <v>19</v>
      </c>
      <c r="E44" s="1484">
        <v>20300</v>
      </c>
      <c r="F44" s="1485">
        <v>1044600</v>
      </c>
    </row>
    <row r="45" spans="1:6" s="1481" customFormat="1" ht="16.5" hidden="1" customHeight="1" x14ac:dyDescent="0.3">
      <c r="A45" s="1486">
        <v>41743</v>
      </c>
      <c r="B45" s="1482">
        <v>444814</v>
      </c>
      <c r="C45" s="1483">
        <v>23067406</v>
      </c>
      <c r="D45" s="1483">
        <v>22</v>
      </c>
      <c r="E45" s="1484">
        <v>20219</v>
      </c>
      <c r="F45" s="1485">
        <v>1048518</v>
      </c>
    </row>
    <row r="46" spans="1:6" s="1481" customFormat="1" ht="16.5" hidden="1" customHeight="1" x14ac:dyDescent="0.3">
      <c r="A46" s="1486">
        <v>41773</v>
      </c>
      <c r="B46" s="1482">
        <v>421691</v>
      </c>
      <c r="C46" s="1483">
        <v>22238506</v>
      </c>
      <c r="D46" s="1483">
        <v>21</v>
      </c>
      <c r="E46" s="1484">
        <v>20081</v>
      </c>
      <c r="F46" s="1485">
        <v>1058976</v>
      </c>
    </row>
    <row r="47" spans="1:6" s="1481" customFormat="1" ht="16.5" hidden="1" customHeight="1" x14ac:dyDescent="0.3">
      <c r="A47" s="1486">
        <v>41791</v>
      </c>
      <c r="B47" s="1482">
        <v>403572</v>
      </c>
      <c r="C47" s="1483">
        <v>21524293</v>
      </c>
      <c r="D47" s="1483">
        <v>21</v>
      </c>
      <c r="E47" s="1484">
        <v>19218</v>
      </c>
      <c r="F47" s="1485">
        <v>1024966</v>
      </c>
    </row>
    <row r="48" spans="1:6" s="1481" customFormat="1" ht="16.5" hidden="1" customHeight="1" x14ac:dyDescent="0.3">
      <c r="A48" s="1486">
        <v>41821</v>
      </c>
      <c r="B48" s="1482">
        <v>432321</v>
      </c>
      <c r="C48" s="1483">
        <v>22733366</v>
      </c>
      <c r="D48" s="1483">
        <v>22</v>
      </c>
      <c r="E48" s="1484">
        <v>19651</v>
      </c>
      <c r="F48" s="1485">
        <v>1033335</v>
      </c>
    </row>
    <row r="49" spans="1:6" s="1481" customFormat="1" ht="16.5" hidden="1" customHeight="1" x14ac:dyDescent="0.3">
      <c r="A49" s="1486">
        <v>41852</v>
      </c>
      <c r="B49" s="1482">
        <v>383127</v>
      </c>
      <c r="C49" s="1483">
        <v>20032811</v>
      </c>
      <c r="D49" s="1483">
        <v>20</v>
      </c>
      <c r="E49" s="1484">
        <v>19156</v>
      </c>
      <c r="F49" s="1485">
        <v>1001641</v>
      </c>
    </row>
    <row r="50" spans="1:6" s="1481" customFormat="1" ht="16.5" hidden="1" customHeight="1" x14ac:dyDescent="0.3">
      <c r="A50" s="1486">
        <v>41883</v>
      </c>
      <c r="B50" s="1482">
        <v>413404</v>
      </c>
      <c r="C50" s="1483">
        <v>21889470</v>
      </c>
      <c r="D50" s="1483">
        <v>22</v>
      </c>
      <c r="E50" s="1484">
        <v>18791</v>
      </c>
      <c r="F50" s="1485">
        <v>994976</v>
      </c>
    </row>
    <row r="51" spans="1:6" s="1481" customFormat="1" ht="16.5" hidden="1" customHeight="1" x14ac:dyDescent="0.3">
      <c r="A51" s="1486">
        <v>41913</v>
      </c>
      <c r="B51" s="1482">
        <v>419457</v>
      </c>
      <c r="C51" s="1483">
        <v>22474559</v>
      </c>
      <c r="D51" s="1483">
        <v>22</v>
      </c>
      <c r="E51" s="1484">
        <v>19066</v>
      </c>
      <c r="F51" s="1485">
        <v>1021571</v>
      </c>
    </row>
    <row r="52" spans="1:6" s="1481" customFormat="1" ht="16.5" hidden="1" customHeight="1" x14ac:dyDescent="0.3">
      <c r="A52" s="1486">
        <v>41944</v>
      </c>
      <c r="B52" s="1482">
        <v>375825</v>
      </c>
      <c r="C52" s="1483">
        <v>20664615</v>
      </c>
      <c r="D52" s="1483">
        <v>20</v>
      </c>
      <c r="E52" s="1484">
        <v>18791</v>
      </c>
      <c r="F52" s="1485">
        <v>1033231</v>
      </c>
    </row>
    <row r="53" spans="1:6" s="1481" customFormat="1" ht="16.5" hidden="1" customHeight="1" x14ac:dyDescent="0.3">
      <c r="A53" s="1486">
        <v>41974</v>
      </c>
      <c r="B53" s="1482">
        <v>455435</v>
      </c>
      <c r="C53" s="1483">
        <v>25291403</v>
      </c>
      <c r="D53" s="1483">
        <v>21</v>
      </c>
      <c r="E53" s="1484">
        <v>21687</v>
      </c>
      <c r="F53" s="1485">
        <v>1204353</v>
      </c>
    </row>
    <row r="54" spans="1:6" s="1481" customFormat="1" ht="16.5" hidden="1" customHeight="1" thickTop="1" x14ac:dyDescent="0.3">
      <c r="A54" s="1486">
        <v>42005</v>
      </c>
      <c r="B54" s="1482">
        <v>363305</v>
      </c>
      <c r="C54" s="1483">
        <v>17953593</v>
      </c>
      <c r="D54" s="1483">
        <v>20</v>
      </c>
      <c r="E54" s="1484">
        <v>18165</v>
      </c>
      <c r="F54" s="1485">
        <v>897680</v>
      </c>
    </row>
    <row r="55" spans="1:6" s="1481" customFormat="1" ht="16.5" hidden="1" customHeight="1" x14ac:dyDescent="0.3">
      <c r="A55" s="1486">
        <v>42036</v>
      </c>
      <c r="B55" s="1482">
        <v>337515</v>
      </c>
      <c r="C55" s="1483">
        <v>18506021</v>
      </c>
      <c r="D55" s="1483">
        <v>17</v>
      </c>
      <c r="E55" s="1484">
        <v>19854</v>
      </c>
      <c r="F55" s="1485">
        <v>1088589</v>
      </c>
    </row>
    <row r="56" spans="1:6" s="1481" customFormat="1" ht="16.5" hidden="1" customHeight="1" x14ac:dyDescent="0.3">
      <c r="A56" s="1486">
        <v>42064</v>
      </c>
      <c r="B56" s="1482">
        <v>321981</v>
      </c>
      <c r="C56" s="1483">
        <v>16981424</v>
      </c>
      <c r="D56" s="1483">
        <v>21</v>
      </c>
      <c r="E56" s="1484">
        <v>15332</v>
      </c>
      <c r="F56" s="1485">
        <v>808639</v>
      </c>
    </row>
    <row r="57" spans="1:6" s="1481" customFormat="1" ht="16.5" hidden="1" customHeight="1" x14ac:dyDescent="0.3">
      <c r="A57" s="1486">
        <v>42095</v>
      </c>
      <c r="B57" s="1482">
        <v>398233</v>
      </c>
      <c r="C57" s="1483">
        <v>20767752</v>
      </c>
      <c r="D57" s="1483">
        <v>22</v>
      </c>
      <c r="E57" s="1484">
        <v>18102</v>
      </c>
      <c r="F57" s="1485">
        <v>943989</v>
      </c>
    </row>
    <row r="58" spans="1:6" s="1481" customFormat="1" ht="16.5" hidden="1" customHeight="1" x14ac:dyDescent="0.3">
      <c r="A58" s="1486">
        <v>42125</v>
      </c>
      <c r="B58" s="1482">
        <v>351700</v>
      </c>
      <c r="C58" s="1483">
        <v>18484938</v>
      </c>
      <c r="D58" s="1483">
        <v>20</v>
      </c>
      <c r="E58" s="1484">
        <v>17585</v>
      </c>
      <c r="F58" s="1485">
        <v>924247</v>
      </c>
    </row>
    <row r="59" spans="1:6" s="1481" customFormat="1" ht="16.5" hidden="1" customHeight="1" x14ac:dyDescent="0.3">
      <c r="A59" s="1486">
        <v>42156</v>
      </c>
      <c r="B59" s="1482">
        <v>402427</v>
      </c>
      <c r="C59" s="1483">
        <v>22461853</v>
      </c>
      <c r="D59" s="1483">
        <v>22</v>
      </c>
      <c r="E59" s="1484">
        <v>18292</v>
      </c>
      <c r="F59" s="1485">
        <v>1021039</v>
      </c>
    </row>
    <row r="60" spans="1:6" s="1481" customFormat="1" ht="16.5" hidden="1" customHeight="1" x14ac:dyDescent="0.3">
      <c r="A60" s="1486">
        <v>42186</v>
      </c>
      <c r="B60" s="1482">
        <v>408924</v>
      </c>
      <c r="C60" s="1483">
        <v>22778237</v>
      </c>
      <c r="D60" s="1483">
        <v>23</v>
      </c>
      <c r="E60" s="1484">
        <v>17779</v>
      </c>
      <c r="F60" s="1485">
        <v>990358</v>
      </c>
    </row>
    <row r="61" spans="1:6" s="1481" customFormat="1" ht="16.5" hidden="1" customHeight="1" x14ac:dyDescent="0.3">
      <c r="A61" s="1486">
        <v>42217</v>
      </c>
      <c r="B61" s="1482">
        <v>364553</v>
      </c>
      <c r="C61" s="1483">
        <v>19314158</v>
      </c>
      <c r="D61" s="1483">
        <v>21</v>
      </c>
      <c r="E61" s="1484">
        <v>17360</v>
      </c>
      <c r="F61" s="1485">
        <v>919722</v>
      </c>
    </row>
    <row r="62" spans="1:6" s="1481" customFormat="1" ht="16.5" hidden="1" customHeight="1" x14ac:dyDescent="0.3">
      <c r="A62" s="1486">
        <v>42248</v>
      </c>
      <c r="B62" s="1482">
        <v>382301</v>
      </c>
      <c r="C62" s="1483">
        <v>19976716</v>
      </c>
      <c r="D62" s="1483">
        <v>21</v>
      </c>
      <c r="E62" s="1484">
        <v>18205</v>
      </c>
      <c r="F62" s="1485">
        <v>951272</v>
      </c>
    </row>
    <row r="63" spans="1:6" s="1481" customFormat="1" ht="16.5" hidden="1" customHeight="1" x14ac:dyDescent="0.3">
      <c r="A63" s="1486">
        <v>42278</v>
      </c>
      <c r="B63" s="1482">
        <v>407755</v>
      </c>
      <c r="C63" s="1483">
        <v>21167741</v>
      </c>
      <c r="D63" s="1483">
        <v>22</v>
      </c>
      <c r="E63" s="1484">
        <v>18534</v>
      </c>
      <c r="F63" s="1485">
        <v>962170</v>
      </c>
    </row>
    <row r="64" spans="1:6" s="1481" customFormat="1" ht="16.5" hidden="1" customHeight="1" x14ac:dyDescent="0.3">
      <c r="A64" s="1486">
        <v>42309</v>
      </c>
      <c r="B64" s="1482">
        <v>373606</v>
      </c>
      <c r="C64" s="1483">
        <v>18662222</v>
      </c>
      <c r="D64" s="1483">
        <v>19</v>
      </c>
      <c r="E64" s="1484">
        <v>19663</v>
      </c>
      <c r="F64" s="1485">
        <v>982222</v>
      </c>
    </row>
    <row r="65" spans="1:6" s="1481" customFormat="1" ht="16.5" hidden="1" customHeight="1" x14ac:dyDescent="0.3">
      <c r="A65" s="1486">
        <v>42339</v>
      </c>
      <c r="B65" s="1482">
        <v>449448</v>
      </c>
      <c r="C65" s="1483">
        <v>25270380</v>
      </c>
      <c r="D65" s="1483">
        <v>22</v>
      </c>
      <c r="E65" s="1484">
        <v>20429</v>
      </c>
      <c r="F65" s="1485">
        <v>1148654</v>
      </c>
    </row>
    <row r="66" spans="1:6" s="1481" customFormat="1" ht="16.5" hidden="1" customHeight="1" x14ac:dyDescent="0.3">
      <c r="A66" s="1486">
        <v>42370</v>
      </c>
      <c r="B66" s="1482">
        <v>332953</v>
      </c>
      <c r="C66" s="1483">
        <v>16843614</v>
      </c>
      <c r="D66" s="1483">
        <v>20</v>
      </c>
      <c r="E66" s="1484">
        <v>16648</v>
      </c>
      <c r="F66" s="1485">
        <v>842181</v>
      </c>
    </row>
    <row r="67" spans="1:6" s="1481" customFormat="1" ht="16.5" hidden="1" customHeight="1" x14ac:dyDescent="0.3">
      <c r="A67" s="1486">
        <v>42401</v>
      </c>
      <c r="B67" s="1482">
        <v>346286</v>
      </c>
      <c r="C67" s="1483">
        <v>19258711</v>
      </c>
      <c r="D67" s="1483">
        <v>19</v>
      </c>
      <c r="E67" s="1484">
        <v>18226</v>
      </c>
      <c r="F67" s="1485">
        <v>1013616</v>
      </c>
    </row>
    <row r="68" spans="1:6" s="1481" customFormat="1" ht="16.5" hidden="1" customHeight="1" x14ac:dyDescent="0.3">
      <c r="A68" s="1486">
        <v>42430</v>
      </c>
      <c r="B68" s="1482">
        <v>392250</v>
      </c>
      <c r="C68" s="1483">
        <v>20945508</v>
      </c>
      <c r="D68" s="1483">
        <v>22</v>
      </c>
      <c r="E68" s="1484">
        <v>17830</v>
      </c>
      <c r="F68" s="1485">
        <v>952069</v>
      </c>
    </row>
    <row r="69" spans="1:6" s="1481" customFormat="1" ht="16.5" hidden="1" customHeight="1" x14ac:dyDescent="0.3">
      <c r="A69" s="1486">
        <v>42461</v>
      </c>
      <c r="B69" s="1482">
        <v>354308</v>
      </c>
      <c r="C69" s="1483">
        <v>18585728</v>
      </c>
      <c r="D69" s="1483">
        <v>20</v>
      </c>
      <c r="E69" s="1484">
        <v>17715</v>
      </c>
      <c r="F69" s="1485">
        <v>929286</v>
      </c>
    </row>
    <row r="70" spans="1:6" s="1481" customFormat="1" ht="16.5" hidden="1" customHeight="1" x14ac:dyDescent="0.3">
      <c r="A70" s="1486">
        <v>42491</v>
      </c>
      <c r="B70" s="1482">
        <v>386095</v>
      </c>
      <c r="C70" s="1483">
        <v>21254863</v>
      </c>
      <c r="D70" s="1483">
        <v>22</v>
      </c>
      <c r="E70" s="1484">
        <v>17550</v>
      </c>
      <c r="F70" s="1485">
        <v>966130</v>
      </c>
    </row>
    <row r="71" spans="1:6" s="1481" customFormat="1" ht="16.5" hidden="1" customHeight="1" x14ac:dyDescent="0.3">
      <c r="A71" s="1486">
        <v>42522</v>
      </c>
      <c r="B71" s="1482">
        <v>381449</v>
      </c>
      <c r="C71" s="1483">
        <v>22063492</v>
      </c>
      <c r="D71" s="1483">
        <v>22</v>
      </c>
      <c r="E71" s="1484">
        <v>17339</v>
      </c>
      <c r="F71" s="1485">
        <v>1002886</v>
      </c>
    </row>
    <row r="72" spans="1:6" s="1481" customFormat="1" ht="16.5" hidden="1" customHeight="1" x14ac:dyDescent="0.3">
      <c r="A72" s="1486">
        <v>42552</v>
      </c>
      <c r="B72" s="1482">
        <v>363559</v>
      </c>
      <c r="C72" s="1483">
        <v>22425493</v>
      </c>
      <c r="D72" s="1483">
        <v>20</v>
      </c>
      <c r="E72" s="1484">
        <f>B72/D72</f>
        <v>18177.95</v>
      </c>
      <c r="F72" s="1485">
        <f>C72/D72</f>
        <v>1121274.6499999999</v>
      </c>
    </row>
    <row r="73" spans="1:6" s="1481" customFormat="1" ht="16.5" hidden="1" customHeight="1" x14ac:dyDescent="0.3">
      <c r="A73" s="1486">
        <v>42583</v>
      </c>
      <c r="B73" s="1482">
        <v>386287</v>
      </c>
      <c r="C73" s="1483">
        <v>21038007</v>
      </c>
      <c r="D73" s="1483">
        <v>22</v>
      </c>
      <c r="E73" s="1484">
        <f>B73/D73</f>
        <v>17558.5</v>
      </c>
      <c r="F73" s="1485">
        <f>C73/D73</f>
        <v>956273.04545454541</v>
      </c>
    </row>
    <row r="74" spans="1:6" s="1481" customFormat="1" ht="16.5" hidden="1" customHeight="1" x14ac:dyDescent="0.3">
      <c r="A74" s="1486">
        <v>42614</v>
      </c>
      <c r="B74" s="1482">
        <v>365155</v>
      </c>
      <c r="C74" s="1483">
        <v>19410018</v>
      </c>
      <c r="D74" s="1483">
        <v>21</v>
      </c>
      <c r="E74" s="1484">
        <v>17388</v>
      </c>
      <c r="F74" s="1485">
        <v>924287</v>
      </c>
    </row>
    <row r="75" spans="1:6" s="1481" customFormat="1" ht="16.5" hidden="1" customHeight="1" x14ac:dyDescent="0.3">
      <c r="A75" s="1486">
        <v>42644</v>
      </c>
      <c r="B75" s="1482">
        <v>382182</v>
      </c>
      <c r="C75" s="1483">
        <v>20935481</v>
      </c>
      <c r="D75" s="1483">
        <v>21</v>
      </c>
      <c r="E75" s="1484">
        <v>18199</v>
      </c>
      <c r="F75" s="1485">
        <v>996928</v>
      </c>
    </row>
    <row r="76" spans="1:6" s="1481" customFormat="1" ht="16.5" hidden="1" customHeight="1" x14ac:dyDescent="0.3">
      <c r="A76" s="1486">
        <v>42675</v>
      </c>
      <c r="B76" s="1482">
        <v>377752</v>
      </c>
      <c r="C76" s="1483">
        <v>21384728</v>
      </c>
      <c r="D76" s="1483">
        <v>21</v>
      </c>
      <c r="E76" s="1484">
        <v>17988</v>
      </c>
      <c r="F76" s="1485">
        <v>1018320</v>
      </c>
    </row>
    <row r="77" spans="1:6" s="1481" customFormat="1" ht="16.5" hidden="1" customHeight="1" x14ac:dyDescent="0.3">
      <c r="A77" s="1486">
        <v>42705</v>
      </c>
      <c r="B77" s="1482">
        <v>422965</v>
      </c>
      <c r="C77" s="1483">
        <v>26388957</v>
      </c>
      <c r="D77" s="1483">
        <v>22</v>
      </c>
      <c r="E77" s="1484">
        <v>19226</v>
      </c>
      <c r="F77" s="1485">
        <v>1199498</v>
      </c>
    </row>
    <row r="78" spans="1:6" s="1481" customFormat="1" ht="16.5" hidden="1" customHeight="1" thickTop="1" x14ac:dyDescent="0.3">
      <c r="A78" s="1486">
        <v>42736</v>
      </c>
      <c r="B78" s="1482">
        <v>333247</v>
      </c>
      <c r="C78" s="1483">
        <v>19554231</v>
      </c>
      <c r="D78" s="1483">
        <v>21</v>
      </c>
      <c r="E78" s="1484">
        <v>15869</v>
      </c>
      <c r="F78" s="1485">
        <v>931154</v>
      </c>
    </row>
    <row r="79" spans="1:6" s="1481" customFormat="1" ht="16.5" hidden="1" customHeight="1" x14ac:dyDescent="0.3">
      <c r="A79" s="1486">
        <v>42767</v>
      </c>
      <c r="B79" s="1482">
        <v>299566</v>
      </c>
      <c r="C79" s="1483">
        <v>17632668</v>
      </c>
      <c r="D79" s="1483">
        <v>17</v>
      </c>
      <c r="E79" s="1484">
        <v>17622</v>
      </c>
      <c r="F79" s="1485">
        <v>1037216</v>
      </c>
    </row>
    <row r="80" spans="1:6" s="1481" customFormat="1" ht="16.5" hidden="1" customHeight="1" x14ac:dyDescent="0.3">
      <c r="A80" s="1487">
        <v>42795</v>
      </c>
      <c r="B80" s="1482">
        <v>376579</v>
      </c>
      <c r="C80" s="1483">
        <v>21707266</v>
      </c>
      <c r="D80" s="1483">
        <v>22</v>
      </c>
      <c r="E80" s="1484">
        <v>17117</v>
      </c>
      <c r="F80" s="1485">
        <v>986694</v>
      </c>
    </row>
    <row r="81" spans="1:6" s="1481" customFormat="1" ht="16.5" hidden="1" customHeight="1" x14ac:dyDescent="0.3">
      <c r="A81" s="1487">
        <v>42826</v>
      </c>
      <c r="B81" s="1482">
        <v>329937</v>
      </c>
      <c r="C81" s="1483">
        <v>18200962</v>
      </c>
      <c r="D81" s="1483">
        <v>20</v>
      </c>
      <c r="E81" s="1484">
        <v>16497</v>
      </c>
      <c r="F81" s="1485">
        <v>910048</v>
      </c>
    </row>
    <row r="82" spans="1:6" s="1481" customFormat="1" ht="16.5" hidden="1" customHeight="1" x14ac:dyDescent="0.3">
      <c r="A82" s="1487">
        <v>42856</v>
      </c>
      <c r="B82" s="1482">
        <v>376131</v>
      </c>
      <c r="C82" s="1483">
        <v>20968771</v>
      </c>
      <c r="D82" s="1483">
        <v>22</v>
      </c>
      <c r="E82" s="1484">
        <v>17097</v>
      </c>
      <c r="F82" s="1485">
        <v>953126</v>
      </c>
    </row>
    <row r="83" spans="1:6" s="1481" customFormat="1" ht="16.5" hidden="1" customHeight="1" x14ac:dyDescent="0.3">
      <c r="A83" s="1487">
        <v>42887</v>
      </c>
      <c r="B83" s="1482">
        <v>350441</v>
      </c>
      <c r="C83" s="1483">
        <v>20765102</v>
      </c>
      <c r="D83" s="1483">
        <v>21</v>
      </c>
      <c r="E83" s="1484">
        <v>16688</v>
      </c>
      <c r="F83" s="1485">
        <v>988814</v>
      </c>
    </row>
    <row r="84" spans="1:6" s="1481" customFormat="1" ht="16.5" hidden="1" customHeight="1" x14ac:dyDescent="0.3">
      <c r="A84" s="1487">
        <v>42917</v>
      </c>
      <c r="B84" s="1482">
        <v>362477</v>
      </c>
      <c r="C84" s="1483">
        <v>21388311</v>
      </c>
      <c r="D84" s="1483">
        <v>21</v>
      </c>
      <c r="E84" s="1484">
        <v>17261</v>
      </c>
      <c r="F84" s="1485">
        <v>1018491</v>
      </c>
    </row>
    <row r="85" spans="1:6" s="1481" customFormat="1" ht="16.5" hidden="1" customHeight="1" x14ac:dyDescent="0.3">
      <c r="A85" s="1487">
        <v>42948</v>
      </c>
      <c r="B85" s="1482">
        <v>366407</v>
      </c>
      <c r="C85" s="1483">
        <v>22007564</v>
      </c>
      <c r="D85" s="1483">
        <v>23</v>
      </c>
      <c r="E85" s="1484">
        <v>15931</v>
      </c>
      <c r="F85" s="1485">
        <v>956851</v>
      </c>
    </row>
    <row r="86" spans="1:6" s="1481" customFormat="1" ht="16.5" hidden="1" customHeight="1" x14ac:dyDescent="0.3">
      <c r="A86" s="1487">
        <v>42979</v>
      </c>
      <c r="B86" s="1482" t="s">
        <v>3441</v>
      </c>
      <c r="C86" s="1483">
        <v>19348779.507919997</v>
      </c>
      <c r="D86" s="1483">
        <v>21</v>
      </c>
      <c r="E86" s="1484">
        <v>16192</v>
      </c>
      <c r="F86" s="1485">
        <f t="shared" ref="F86:F95" si="0">C86/D86</f>
        <v>921370.45275809511</v>
      </c>
    </row>
    <row r="87" spans="1:6" s="1481" customFormat="1" ht="16.5" hidden="1" customHeight="1" x14ac:dyDescent="0.3">
      <c r="A87" s="1487">
        <v>43009</v>
      </c>
      <c r="B87" s="1482">
        <v>374068</v>
      </c>
      <c r="C87" s="1483">
        <v>21358023.867759999</v>
      </c>
      <c r="D87" s="1483">
        <v>21</v>
      </c>
      <c r="E87" s="1484">
        <f t="shared" ref="E87:E95" si="1">B87/D87</f>
        <v>17812.761904761905</v>
      </c>
      <c r="F87" s="1485">
        <f t="shared" si="0"/>
        <v>1017048.755607619</v>
      </c>
    </row>
    <row r="88" spans="1:6" s="1481" customFormat="1" ht="16.5" hidden="1" customHeight="1" x14ac:dyDescent="0.3">
      <c r="A88" s="1487">
        <v>43040</v>
      </c>
      <c r="B88" s="1482">
        <v>350281</v>
      </c>
      <c r="C88" s="1483">
        <v>20956958.023009997</v>
      </c>
      <c r="D88" s="1483">
        <v>20</v>
      </c>
      <c r="E88" s="1484">
        <f t="shared" si="1"/>
        <v>17514.05</v>
      </c>
      <c r="F88" s="1485">
        <f t="shared" si="0"/>
        <v>1047847.9011504998</v>
      </c>
    </row>
    <row r="89" spans="1:6" s="1481" customFormat="1" ht="16.5" hidden="1" customHeight="1" x14ac:dyDescent="0.3">
      <c r="A89" s="1487">
        <v>43070</v>
      </c>
      <c r="B89" s="1482">
        <v>378188</v>
      </c>
      <c r="C89" s="1483">
        <v>23668660.373259999</v>
      </c>
      <c r="D89" s="1483">
        <v>20</v>
      </c>
      <c r="E89" s="1488">
        <f t="shared" si="1"/>
        <v>18909.400000000001</v>
      </c>
      <c r="F89" s="1485">
        <f t="shared" si="0"/>
        <v>1183433.0186629998</v>
      </c>
    </row>
    <row r="90" spans="1:6" s="1481" customFormat="1" ht="16.5" hidden="1" customHeight="1" thickTop="1" x14ac:dyDescent="0.3">
      <c r="A90" s="1487">
        <v>43101</v>
      </c>
      <c r="B90" s="1482">
        <v>292584</v>
      </c>
      <c r="C90" s="1483">
        <v>17379508.057810001</v>
      </c>
      <c r="D90" s="1483">
        <v>19</v>
      </c>
      <c r="E90" s="1488">
        <f t="shared" si="1"/>
        <v>15399.157894736842</v>
      </c>
      <c r="F90" s="1485">
        <f t="shared" si="0"/>
        <v>914710.95041105268</v>
      </c>
    </row>
    <row r="91" spans="1:6" s="1481" customFormat="1" ht="16.5" hidden="1" customHeight="1" x14ac:dyDescent="0.3">
      <c r="A91" s="1487">
        <v>43132</v>
      </c>
      <c r="B91" s="1482">
        <v>307077</v>
      </c>
      <c r="C91" s="1483">
        <v>18985747.210549999</v>
      </c>
      <c r="D91" s="1483">
        <v>17</v>
      </c>
      <c r="E91" s="1488">
        <f t="shared" si="1"/>
        <v>18063.352941176472</v>
      </c>
      <c r="F91" s="1485">
        <f t="shared" si="0"/>
        <v>1116808.6594441177</v>
      </c>
    </row>
    <row r="92" spans="1:6" s="1481" customFormat="1" ht="16.5" hidden="1" customHeight="1" x14ac:dyDescent="0.3">
      <c r="A92" s="1487">
        <v>43160</v>
      </c>
      <c r="B92" s="1482">
        <v>347656</v>
      </c>
      <c r="C92" s="1483">
        <v>21870184.150139999</v>
      </c>
      <c r="D92" s="1483">
        <v>21</v>
      </c>
      <c r="E92" s="1488">
        <f t="shared" si="1"/>
        <v>16555.047619047618</v>
      </c>
      <c r="F92" s="1485">
        <f t="shared" si="0"/>
        <v>1041437.3404828571</v>
      </c>
    </row>
    <row r="93" spans="1:6" s="1481" customFormat="1" ht="16.5" hidden="1" customHeight="1" x14ac:dyDescent="0.3">
      <c r="A93" s="1487">
        <v>43191</v>
      </c>
      <c r="B93" s="1482">
        <v>331779</v>
      </c>
      <c r="C93" s="1483">
        <v>19673641.375490002</v>
      </c>
      <c r="D93" s="1483">
        <v>21</v>
      </c>
      <c r="E93" s="1488">
        <f t="shared" si="1"/>
        <v>15799</v>
      </c>
      <c r="F93" s="1485">
        <f t="shared" si="0"/>
        <v>936840.06549952389</v>
      </c>
    </row>
    <row r="94" spans="1:6" s="1481" customFormat="1" ht="16.5" hidden="1" customHeight="1" x14ac:dyDescent="0.3">
      <c r="A94" s="1487">
        <v>43221</v>
      </c>
      <c r="B94" s="1482">
        <v>360411</v>
      </c>
      <c r="C94" s="1483">
        <v>21922757.34144</v>
      </c>
      <c r="D94" s="1483">
        <v>22</v>
      </c>
      <c r="E94" s="1488">
        <f t="shared" si="1"/>
        <v>16382.318181818182</v>
      </c>
      <c r="F94" s="1485">
        <f t="shared" si="0"/>
        <v>996488.97006545449</v>
      </c>
    </row>
    <row r="95" spans="1:6" s="1481" customFormat="1" ht="16.5" hidden="1" customHeight="1" x14ac:dyDescent="0.3">
      <c r="A95" s="1487">
        <v>43252</v>
      </c>
      <c r="B95" s="1482">
        <v>332647</v>
      </c>
      <c r="C95" s="1483">
        <v>21395267.240619998</v>
      </c>
      <c r="D95" s="1483">
        <v>21</v>
      </c>
      <c r="E95" s="1488">
        <f t="shared" si="1"/>
        <v>15840.333333333334</v>
      </c>
      <c r="F95" s="1485">
        <f t="shared" si="0"/>
        <v>1018822.2495533333</v>
      </c>
    </row>
    <row r="96" spans="1:6" s="1481" customFormat="1" ht="16.5" hidden="1" customHeight="1" x14ac:dyDescent="0.3">
      <c r="A96" s="1487">
        <v>43282</v>
      </c>
      <c r="B96" s="1482">
        <v>359155</v>
      </c>
      <c r="C96" s="1483">
        <v>23138113.858569998</v>
      </c>
      <c r="D96" s="1483">
        <v>22</v>
      </c>
      <c r="E96" s="1488">
        <f>B96/D96</f>
        <v>16325.227272727272</v>
      </c>
      <c r="F96" s="1485">
        <f>C96/D96</f>
        <v>1051732.4481168182</v>
      </c>
    </row>
    <row r="97" spans="1:8" s="1481" customFormat="1" ht="16.5" hidden="1" customHeight="1" x14ac:dyDescent="0.3">
      <c r="A97" s="1487">
        <v>43313</v>
      </c>
      <c r="B97" s="1482">
        <v>343282</v>
      </c>
      <c r="C97" s="1483">
        <v>20681552.049419999</v>
      </c>
      <c r="D97" s="1483">
        <v>22</v>
      </c>
      <c r="E97" s="1488">
        <f t="shared" ref="E97:E107" si="2">B97/D97</f>
        <v>15603.727272727272</v>
      </c>
      <c r="F97" s="1485">
        <f t="shared" ref="F97:F107" si="3">C97/D97</f>
        <v>940070.54770090908</v>
      </c>
    </row>
    <row r="98" spans="1:8" s="1481" customFormat="1" ht="16.5" hidden="1" customHeight="1" x14ac:dyDescent="0.3">
      <c r="A98" s="1487">
        <v>43344</v>
      </c>
      <c r="B98" s="1482">
        <v>308293</v>
      </c>
      <c r="C98" s="1483">
        <v>19208187.700319998</v>
      </c>
      <c r="D98" s="1483">
        <v>19</v>
      </c>
      <c r="E98" s="1488">
        <f t="shared" si="2"/>
        <v>16225.947368421053</v>
      </c>
      <c r="F98" s="1485">
        <f t="shared" si="3"/>
        <v>1010957.2473852631</v>
      </c>
    </row>
    <row r="99" spans="1:8" s="1481" customFormat="1" ht="16.5" hidden="1" customHeight="1" x14ac:dyDescent="0.3">
      <c r="A99" s="1487">
        <v>43374</v>
      </c>
      <c r="B99" s="1482">
        <v>374586</v>
      </c>
      <c r="C99" s="1483">
        <v>23150506.235209998</v>
      </c>
      <c r="D99" s="1483">
        <v>23</v>
      </c>
      <c r="E99" s="1488">
        <f t="shared" si="2"/>
        <v>16286.347826086956</v>
      </c>
      <c r="F99" s="1485">
        <f t="shared" si="3"/>
        <v>1006543.7493569565</v>
      </c>
    </row>
    <row r="100" spans="1:8" s="1481" customFormat="1" ht="16.5" hidden="1" customHeight="1" x14ac:dyDescent="0.3">
      <c r="A100" s="1487">
        <v>43405</v>
      </c>
      <c r="B100" s="1482">
        <v>329488</v>
      </c>
      <c r="C100" s="1483">
        <v>21138510.430319998</v>
      </c>
      <c r="D100" s="1483">
        <v>20</v>
      </c>
      <c r="E100" s="1488">
        <f t="shared" si="2"/>
        <v>16474.400000000001</v>
      </c>
      <c r="F100" s="1485">
        <f t="shared" si="3"/>
        <v>1056925.5215159999</v>
      </c>
    </row>
    <row r="101" spans="1:8" s="1481" customFormat="1" ht="16.5" hidden="1" customHeight="1" x14ac:dyDescent="0.3">
      <c r="A101" s="1487">
        <v>43435</v>
      </c>
      <c r="B101" s="1482">
        <v>359586</v>
      </c>
      <c r="C101" s="1483">
        <v>24480920.75618</v>
      </c>
      <c r="D101" s="1483">
        <v>20</v>
      </c>
      <c r="E101" s="1488">
        <f t="shared" si="2"/>
        <v>17979.3</v>
      </c>
      <c r="F101" s="1485">
        <f t="shared" si="3"/>
        <v>1224046.0378089999</v>
      </c>
    </row>
    <row r="102" spans="1:8" s="1481" customFormat="1" ht="16.5" customHeight="1" thickTop="1" x14ac:dyDescent="0.3">
      <c r="A102" s="1487">
        <v>43466</v>
      </c>
      <c r="B102" s="1482">
        <v>303171</v>
      </c>
      <c r="C102" s="1483">
        <v>18734708.507720001</v>
      </c>
      <c r="D102" s="1483">
        <v>20</v>
      </c>
      <c r="E102" s="1488">
        <f t="shared" si="2"/>
        <v>15158.55</v>
      </c>
      <c r="F102" s="1485">
        <f t="shared" si="3"/>
        <v>936735.42538600008</v>
      </c>
    </row>
    <row r="103" spans="1:8" s="1481" customFormat="1" ht="16.5" customHeight="1" x14ac:dyDescent="0.3">
      <c r="A103" s="1487">
        <v>43497</v>
      </c>
      <c r="B103" s="1482">
        <v>296126</v>
      </c>
      <c r="C103" s="1483">
        <v>18861320.791299999</v>
      </c>
      <c r="D103" s="1483">
        <v>18</v>
      </c>
      <c r="E103" s="1488">
        <f t="shared" si="2"/>
        <v>16451.444444444445</v>
      </c>
      <c r="F103" s="1485">
        <f t="shared" si="3"/>
        <v>1047851.1550722221</v>
      </c>
    </row>
    <row r="104" spans="1:8" s="1481" customFormat="1" ht="16.5" customHeight="1" x14ac:dyDescent="0.3">
      <c r="A104" s="1486">
        <v>43525</v>
      </c>
      <c r="B104" s="1482">
        <v>310407</v>
      </c>
      <c r="C104" s="1483">
        <v>19774779.53396</v>
      </c>
      <c r="D104" s="1483">
        <v>19</v>
      </c>
      <c r="E104" s="1488">
        <f t="shared" si="2"/>
        <v>16337.21052631579</v>
      </c>
      <c r="F104" s="1485">
        <f t="shared" si="3"/>
        <v>1040777.870208421</v>
      </c>
    </row>
    <row r="105" spans="1:8" s="1481" customFormat="1" ht="16.5" customHeight="1" x14ac:dyDescent="0.3">
      <c r="A105" s="1486">
        <v>43556</v>
      </c>
      <c r="B105" s="1482">
        <v>336596</v>
      </c>
      <c r="C105" s="1483">
        <v>21802760.409910001</v>
      </c>
      <c r="D105" s="1483">
        <v>22</v>
      </c>
      <c r="E105" s="1488">
        <f t="shared" si="2"/>
        <v>15299.818181818182</v>
      </c>
      <c r="F105" s="1485">
        <f t="shared" si="3"/>
        <v>991034.56408681825</v>
      </c>
    </row>
    <row r="106" spans="1:8" s="1481" customFormat="1" ht="16.5" customHeight="1" x14ac:dyDescent="0.3">
      <c r="A106" s="1486">
        <v>43586</v>
      </c>
      <c r="B106" s="1482">
        <v>345552</v>
      </c>
      <c r="C106" s="1483">
        <v>21459985.209910002</v>
      </c>
      <c r="D106" s="1483">
        <v>22</v>
      </c>
      <c r="E106" s="1488">
        <f t="shared" si="2"/>
        <v>15706.90909090909</v>
      </c>
      <c r="F106" s="1485">
        <f t="shared" si="3"/>
        <v>975453.87317772734</v>
      </c>
    </row>
    <row r="107" spans="1:8" s="1481" customFormat="1" ht="16.5" customHeight="1" x14ac:dyDescent="0.3">
      <c r="A107" s="1486">
        <v>43617</v>
      </c>
      <c r="B107" s="1482">
        <v>299956</v>
      </c>
      <c r="C107" s="1483">
        <v>19406042.668680001</v>
      </c>
      <c r="D107" s="1483">
        <v>19</v>
      </c>
      <c r="E107" s="1488">
        <f t="shared" si="2"/>
        <v>15787.157894736842</v>
      </c>
      <c r="F107" s="1485">
        <f t="shared" si="3"/>
        <v>1021370.6667726316</v>
      </c>
    </row>
    <row r="108" spans="1:8" s="1481" customFormat="1" ht="16.5" customHeight="1" x14ac:dyDescent="0.3">
      <c r="A108" s="1486">
        <v>43647</v>
      </c>
      <c r="B108" s="1482">
        <v>352706</v>
      </c>
      <c r="C108" s="1483">
        <v>23511883</v>
      </c>
      <c r="D108" s="1483">
        <v>24</v>
      </c>
      <c r="E108" s="1488">
        <v>14696</v>
      </c>
      <c r="F108" s="1485">
        <v>979662</v>
      </c>
    </row>
    <row r="109" spans="1:8" s="1481" customFormat="1" ht="16.5" customHeight="1" x14ac:dyDescent="0.3">
      <c r="A109" s="1486">
        <v>43678</v>
      </c>
      <c r="B109" s="1482">
        <v>323083</v>
      </c>
      <c r="C109" s="1483">
        <v>20639796</v>
      </c>
      <c r="D109" s="1483">
        <v>22</v>
      </c>
      <c r="E109" s="1488">
        <v>14686</v>
      </c>
      <c r="F109" s="1485">
        <v>938173</v>
      </c>
    </row>
    <row r="110" spans="1:8" s="1481" customFormat="1" ht="16.5" customHeight="1" x14ac:dyDescent="0.3">
      <c r="A110" s="1486">
        <v>43709</v>
      </c>
      <c r="B110" s="1482">
        <v>306192</v>
      </c>
      <c r="C110" s="1483">
        <v>19671886</v>
      </c>
      <c r="D110" s="1483">
        <v>19</v>
      </c>
      <c r="E110" s="1488">
        <v>16115</v>
      </c>
      <c r="F110" s="1485">
        <v>1035362</v>
      </c>
    </row>
    <row r="111" spans="1:8" s="1481" customFormat="1" ht="16.5" customHeight="1" x14ac:dyDescent="0.3">
      <c r="A111" s="1486">
        <v>43739</v>
      </c>
      <c r="B111" s="1482">
        <v>348062</v>
      </c>
      <c r="C111" s="1483">
        <v>23115113</v>
      </c>
      <c r="D111" s="1483">
        <v>23</v>
      </c>
      <c r="E111" s="1488">
        <v>15133</v>
      </c>
      <c r="F111" s="1485">
        <v>1005005</v>
      </c>
    </row>
    <row r="112" spans="1:8" s="1481" customFormat="1" ht="16.5" customHeight="1" x14ac:dyDescent="0.3">
      <c r="A112" s="1486">
        <v>43770</v>
      </c>
      <c r="B112" s="1482">
        <v>288235</v>
      </c>
      <c r="C112" s="1483">
        <v>19849123</v>
      </c>
      <c r="D112" s="1483">
        <v>19</v>
      </c>
      <c r="E112" s="1488">
        <v>15170</v>
      </c>
      <c r="F112" s="1485">
        <v>1044690.6842105263</v>
      </c>
      <c r="G112" s="1489"/>
      <c r="H112" s="1489"/>
    </row>
    <row r="113" spans="1:8" s="1481" customFormat="1" ht="16.5" customHeight="1" x14ac:dyDescent="0.3">
      <c r="A113" s="1486">
        <v>43800</v>
      </c>
      <c r="B113" s="1482">
        <v>326459</v>
      </c>
      <c r="C113" s="1483">
        <v>22789769</v>
      </c>
      <c r="D113" s="1483">
        <v>20</v>
      </c>
      <c r="E113" s="1488">
        <v>16323</v>
      </c>
      <c r="F113" s="1485">
        <v>1139488</v>
      </c>
      <c r="G113" s="1489"/>
    </row>
    <row r="114" spans="1:8" s="1481" customFormat="1" ht="16.5" customHeight="1" x14ac:dyDescent="0.3">
      <c r="A114" s="1486">
        <v>43831</v>
      </c>
      <c r="B114" s="1482">
        <v>299054</v>
      </c>
      <c r="C114" s="1483">
        <v>19308602</v>
      </c>
      <c r="D114" s="1483">
        <v>21</v>
      </c>
      <c r="E114" s="1488">
        <f>B114/D114</f>
        <v>14240.666666666666</v>
      </c>
      <c r="F114" s="1485">
        <f>C114/D114</f>
        <v>919457.23809523811</v>
      </c>
      <c r="G114" s="1489"/>
    </row>
    <row r="115" spans="1:8" s="1481" customFormat="1" ht="16.5" customHeight="1" x14ac:dyDescent="0.3">
      <c r="A115" s="1486">
        <v>43862</v>
      </c>
      <c r="B115" s="1482">
        <v>276438</v>
      </c>
      <c r="C115" s="1483">
        <v>18996340</v>
      </c>
      <c r="D115" s="1483">
        <v>19</v>
      </c>
      <c r="E115" s="1488">
        <v>14549</v>
      </c>
      <c r="F115" s="1485">
        <v>999807</v>
      </c>
      <c r="G115" s="1489"/>
    </row>
    <row r="116" spans="1:8" s="1481" customFormat="1" ht="16.5" customHeight="1" x14ac:dyDescent="0.3">
      <c r="A116" s="1486">
        <v>43891</v>
      </c>
      <c r="B116" s="1482">
        <v>220677</v>
      </c>
      <c r="C116" s="1483">
        <v>15467866</v>
      </c>
      <c r="D116" s="1483">
        <v>20</v>
      </c>
      <c r="E116" s="1488">
        <v>11034</v>
      </c>
      <c r="F116" s="1485">
        <v>773393</v>
      </c>
      <c r="G116" s="1490"/>
      <c r="H116" s="1490"/>
    </row>
    <row r="117" spans="1:8" s="1481" customFormat="1" ht="16.5" customHeight="1" x14ac:dyDescent="0.3">
      <c r="A117" s="1486">
        <v>43922</v>
      </c>
      <c r="B117" s="1482">
        <v>46320</v>
      </c>
      <c r="C117" s="1483">
        <v>4279920</v>
      </c>
      <c r="D117" s="1483">
        <v>22</v>
      </c>
      <c r="E117" s="1488">
        <v>2105</v>
      </c>
      <c r="F117" s="1485">
        <v>194542</v>
      </c>
      <c r="G117" s="1490"/>
      <c r="H117" s="1490"/>
    </row>
    <row r="118" spans="1:8" s="1481" customFormat="1" ht="16.5" customHeight="1" x14ac:dyDescent="0.3">
      <c r="A118" s="1486">
        <v>43952</v>
      </c>
      <c r="B118" s="1482">
        <v>111773</v>
      </c>
      <c r="C118" s="1483">
        <v>8215720</v>
      </c>
      <c r="D118" s="1483">
        <v>20</v>
      </c>
      <c r="E118" s="1488">
        <v>5589</v>
      </c>
      <c r="F118" s="1485">
        <v>410786</v>
      </c>
      <c r="G118" s="1490"/>
      <c r="H118" s="1490"/>
    </row>
    <row r="119" spans="1:8" s="1481" customFormat="1" ht="16.5" customHeight="1" x14ac:dyDescent="0.3">
      <c r="A119" s="1486">
        <v>43983</v>
      </c>
      <c r="B119" s="1482">
        <v>268105</v>
      </c>
      <c r="C119" s="1483">
        <v>18631420.579580002</v>
      </c>
      <c r="D119" s="1483">
        <v>22</v>
      </c>
      <c r="E119" s="1488">
        <v>12187</v>
      </c>
      <c r="F119" s="1485">
        <v>846883</v>
      </c>
      <c r="G119" s="1490"/>
      <c r="H119" s="1490"/>
    </row>
    <row r="120" spans="1:8" s="1481" customFormat="1" ht="16.5" customHeight="1" x14ac:dyDescent="0.3">
      <c r="A120" s="1486">
        <v>44013</v>
      </c>
      <c r="B120" s="1482">
        <v>306880</v>
      </c>
      <c r="C120" s="1491">
        <v>19736919.805229999</v>
      </c>
      <c r="D120" s="1483">
        <v>23</v>
      </c>
      <c r="E120" s="1488">
        <v>13342.608695652174</v>
      </c>
      <c r="F120" s="1485">
        <v>858126.94805347826</v>
      </c>
      <c r="G120" s="1490"/>
      <c r="H120" s="1490"/>
    </row>
    <row r="121" spans="1:8" s="1481" customFormat="1" ht="16.5" customHeight="1" x14ac:dyDescent="0.3">
      <c r="A121" s="1486">
        <v>44044</v>
      </c>
      <c r="B121" s="1482">
        <v>269550</v>
      </c>
      <c r="C121" s="1491">
        <v>18006330.041310001</v>
      </c>
      <c r="D121" s="1483">
        <v>21</v>
      </c>
      <c r="E121" s="1488">
        <v>12835.714285714286</v>
      </c>
      <c r="F121" s="1485">
        <v>857444.2876814286</v>
      </c>
      <c r="G121" s="1490"/>
      <c r="H121" s="1490"/>
    </row>
    <row r="122" spans="1:8" s="1481" customFormat="1" ht="16.5" customHeight="1" x14ac:dyDescent="0.3">
      <c r="A122" s="1486">
        <v>44075</v>
      </c>
      <c r="B122" s="1482">
        <v>299429</v>
      </c>
      <c r="C122" s="1491">
        <v>19189024.049240001</v>
      </c>
      <c r="D122" s="1483">
        <v>22</v>
      </c>
      <c r="E122" s="1488">
        <v>13610.40909090909</v>
      </c>
      <c r="F122" s="1485">
        <v>872228.36587454553</v>
      </c>
      <c r="G122" s="1490"/>
      <c r="H122" s="1490"/>
    </row>
    <row r="123" spans="1:8" s="1481" customFormat="1" ht="16.5" customHeight="1" x14ac:dyDescent="0.3">
      <c r="A123" s="1486">
        <v>44105</v>
      </c>
      <c r="B123" s="1482">
        <v>271994</v>
      </c>
      <c r="C123" s="1491">
        <v>18658872.524130002</v>
      </c>
      <c r="D123" s="1483">
        <v>22</v>
      </c>
      <c r="E123" s="1488">
        <v>12363.363636363636</v>
      </c>
      <c r="F123" s="1485">
        <v>848130.56927863648</v>
      </c>
      <c r="G123" s="1490"/>
      <c r="H123" s="1490"/>
    </row>
    <row r="124" spans="1:8" s="1481" customFormat="1" ht="16.5" customHeight="1" x14ac:dyDescent="0.3">
      <c r="A124" s="1486">
        <v>44136</v>
      </c>
      <c r="B124" s="1482">
        <v>253117</v>
      </c>
      <c r="C124" s="1491">
        <v>18306867.328189999</v>
      </c>
      <c r="D124" s="1483">
        <v>20</v>
      </c>
      <c r="E124" s="1488">
        <v>12655.85</v>
      </c>
      <c r="F124" s="1485">
        <v>915343.3664094999</v>
      </c>
      <c r="G124" s="1490"/>
      <c r="H124" s="1490"/>
    </row>
    <row r="125" spans="1:8" s="1481" customFormat="1" ht="16.5" customHeight="1" x14ac:dyDescent="0.3">
      <c r="A125" s="1486">
        <v>44166</v>
      </c>
      <c r="B125" s="1482">
        <v>307721</v>
      </c>
      <c r="C125" s="1491">
        <f>22509929991.01/1000</f>
        <v>22509929.991009999</v>
      </c>
      <c r="D125" s="1483">
        <v>22</v>
      </c>
      <c r="E125" s="1488">
        <f>B125/D125</f>
        <v>13987.318181818182</v>
      </c>
      <c r="F125" s="1485">
        <f>C125/D125</f>
        <v>1023178.6359549999</v>
      </c>
      <c r="G125" s="1490"/>
      <c r="H125" s="1490"/>
    </row>
    <row r="126" spans="1:8" s="1481" customFormat="1" ht="16.5" customHeight="1" x14ac:dyDescent="0.3">
      <c r="A126" s="1486">
        <v>44197</v>
      </c>
      <c r="B126" s="1482">
        <v>222895</v>
      </c>
      <c r="C126" s="1491">
        <v>13999919</v>
      </c>
      <c r="D126" s="1483">
        <v>19</v>
      </c>
      <c r="E126" s="1488">
        <v>11731</v>
      </c>
      <c r="F126" s="1485">
        <v>736838</v>
      </c>
      <c r="G126" s="1490"/>
      <c r="H126" s="1490"/>
    </row>
    <row r="127" spans="1:8" s="1481" customFormat="1" ht="16.5" customHeight="1" x14ac:dyDescent="0.3">
      <c r="A127" s="1486">
        <v>44228</v>
      </c>
      <c r="B127" s="1482">
        <v>256176</v>
      </c>
      <c r="C127" s="1491">
        <v>17085719</v>
      </c>
      <c r="D127" s="1483">
        <v>18</v>
      </c>
      <c r="E127" s="1488">
        <v>14232</v>
      </c>
      <c r="F127" s="1485">
        <v>949207</v>
      </c>
      <c r="G127" s="1490"/>
      <c r="H127" s="1490"/>
    </row>
    <row r="128" spans="1:8" s="1481" customFormat="1" ht="16.5" customHeight="1" x14ac:dyDescent="0.3">
      <c r="A128" s="1486">
        <v>44256</v>
      </c>
      <c r="B128" s="1482">
        <v>175365</v>
      </c>
      <c r="C128" s="1491">
        <v>11535504</v>
      </c>
      <c r="D128" s="1483">
        <v>21</v>
      </c>
      <c r="E128" s="1488">
        <v>8351</v>
      </c>
      <c r="F128" s="1485">
        <v>549310</v>
      </c>
      <c r="G128" s="1490"/>
      <c r="H128" s="1490"/>
    </row>
    <row r="129" spans="1:8" s="1481" customFormat="1" ht="16.5" customHeight="1" x14ac:dyDescent="0.3">
      <c r="A129" s="1486">
        <v>44287</v>
      </c>
      <c r="B129" s="1482">
        <v>178406</v>
      </c>
      <c r="C129" s="1491">
        <v>11502786</v>
      </c>
      <c r="D129" s="1483">
        <v>20</v>
      </c>
      <c r="E129" s="1488">
        <v>8920</v>
      </c>
      <c r="F129" s="1485">
        <v>575139.30000000005</v>
      </c>
      <c r="G129" s="1490"/>
      <c r="H129" s="1490"/>
    </row>
    <row r="130" spans="1:8" s="1481" customFormat="1" ht="16.5" customHeight="1" x14ac:dyDescent="0.3">
      <c r="A130" s="1486">
        <v>44317</v>
      </c>
      <c r="B130" s="1482">
        <v>249196</v>
      </c>
      <c r="C130" s="1491">
        <v>16571618</v>
      </c>
      <c r="D130" s="1483">
        <v>20</v>
      </c>
      <c r="E130" s="1488">
        <v>12460</v>
      </c>
      <c r="F130" s="1485">
        <v>828581</v>
      </c>
      <c r="G130" s="1490"/>
      <c r="H130" s="1490"/>
    </row>
    <row r="131" spans="1:8" s="1481" customFormat="1" ht="16.5" customHeight="1" x14ac:dyDescent="0.3">
      <c r="A131" s="1486">
        <v>44348</v>
      </c>
      <c r="B131" s="1482">
        <v>284745</v>
      </c>
      <c r="C131" s="1491">
        <v>20089746</v>
      </c>
      <c r="D131" s="1483">
        <v>22</v>
      </c>
      <c r="E131" s="1488">
        <v>12943</v>
      </c>
      <c r="F131" s="1485">
        <v>913170</v>
      </c>
      <c r="G131" s="1490"/>
      <c r="H131" s="1490"/>
    </row>
    <row r="132" spans="1:8" s="1481" customFormat="1" ht="16.5" customHeight="1" thickBot="1" x14ac:dyDescent="0.35">
      <c r="A132" s="1492">
        <v>44378</v>
      </c>
      <c r="B132" s="1493">
        <v>274891</v>
      </c>
      <c r="C132" s="1494">
        <v>18730118</v>
      </c>
      <c r="D132" s="1495">
        <v>22</v>
      </c>
      <c r="E132" s="1496">
        <v>12495</v>
      </c>
      <c r="F132" s="1497">
        <v>851369</v>
      </c>
      <c r="G132" s="1490"/>
      <c r="H132" s="1490"/>
    </row>
    <row r="133" spans="1:8" x14ac:dyDescent="0.3">
      <c r="A133" s="1498"/>
      <c r="B133" s="1499"/>
      <c r="C133" s="1499"/>
      <c r="D133" s="1498"/>
      <c r="E133" s="1498"/>
      <c r="F133" s="1498"/>
    </row>
    <row r="134" spans="1:8" x14ac:dyDescent="0.3">
      <c r="A134" s="1498" t="s">
        <v>3442</v>
      </c>
      <c r="B134" s="1500"/>
      <c r="C134" s="1500"/>
      <c r="D134" s="1501"/>
      <c r="E134" s="1501"/>
      <c r="F134" s="1501"/>
    </row>
    <row r="135" spans="1:8" ht="17.25" x14ac:dyDescent="0.3">
      <c r="A135" s="1501"/>
      <c r="B135" s="1501"/>
      <c r="C135" s="1501"/>
      <c r="D135" s="1502"/>
      <c r="E135" s="1502"/>
      <c r="F135" s="1503"/>
      <c r="G135" s="1503"/>
    </row>
    <row r="139" spans="1:8" x14ac:dyDescent="0.3">
      <c r="E139" s="1460" t="s">
        <v>3430</v>
      </c>
    </row>
  </sheetData>
  <printOptions horizontalCentered="1"/>
  <pageMargins left="0.75" right="0.75" top="0.75" bottom="0.75" header="0.3"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Z92"/>
  <sheetViews>
    <sheetView zoomScale="110" zoomScaleNormal="110" zoomScaleSheetLayoutView="90" workbookViewId="0">
      <pane xSplit="1" ySplit="4" topLeftCell="B5" activePane="bottomRight" state="frozen"/>
      <selection activeCell="S48" sqref="S48"/>
      <selection pane="topRight" activeCell="S48" sqref="S48"/>
      <selection pane="bottomLeft" activeCell="S48" sqref="S48"/>
      <selection pane="bottomRight" activeCell="F63" sqref="F63"/>
    </sheetView>
  </sheetViews>
  <sheetFormatPr defaultColWidth="9.140625" defaultRowHeight="15.75" x14ac:dyDescent="0.3"/>
  <cols>
    <col min="1" max="1" width="24.5703125" style="847" customWidth="1"/>
    <col min="2" max="8" width="15.7109375" style="847" customWidth="1"/>
    <col min="9" max="16384" width="9.140625" style="847"/>
  </cols>
  <sheetData>
    <row r="1" spans="1:26" s="838" customFormat="1" ht="21.75" customHeight="1" x14ac:dyDescent="0.3">
      <c r="A1" s="836" t="s">
        <v>3239</v>
      </c>
      <c r="B1" s="837"/>
      <c r="C1" s="837"/>
      <c r="D1" s="837"/>
    </row>
    <row r="2" spans="1:26" s="838" customFormat="1" ht="10.5" customHeight="1" thickBot="1" x14ac:dyDescent="0.35">
      <c r="A2" s="836"/>
      <c r="B2" s="837"/>
      <c r="C2" s="837"/>
      <c r="D2" s="837"/>
    </row>
    <row r="3" spans="1:26" s="841" customFormat="1" ht="17.25" thickTop="1" x14ac:dyDescent="0.3">
      <c r="A3" s="3595"/>
      <c r="B3" s="839" t="s">
        <v>103</v>
      </c>
      <c r="C3" s="839" t="s">
        <v>1256</v>
      </c>
      <c r="D3" s="839" t="s">
        <v>1257</v>
      </c>
      <c r="E3" s="839" t="s">
        <v>1243</v>
      </c>
      <c r="F3" s="839" t="s">
        <v>1244</v>
      </c>
      <c r="G3" s="839" t="s">
        <v>1245</v>
      </c>
      <c r="H3" s="840" t="s">
        <v>1258</v>
      </c>
    </row>
    <row r="4" spans="1:26" s="841" customFormat="1" ht="17.25" thickBot="1" x14ac:dyDescent="0.35">
      <c r="A4" s="3596"/>
      <c r="B4" s="842" t="s">
        <v>1259</v>
      </c>
      <c r="C4" s="842" t="s">
        <v>1260</v>
      </c>
      <c r="D4" s="842" t="s">
        <v>1261</v>
      </c>
      <c r="E4" s="842" t="s">
        <v>5443</v>
      </c>
      <c r="F4" s="842" t="s">
        <v>1262</v>
      </c>
      <c r="G4" s="842" t="s">
        <v>1263</v>
      </c>
      <c r="H4" s="843" t="s">
        <v>1264</v>
      </c>
    </row>
    <row r="5" spans="1:26" ht="20.100000000000001" hidden="1" customHeight="1" x14ac:dyDescent="0.3">
      <c r="A5" s="844">
        <v>2015</v>
      </c>
      <c r="B5" s="845">
        <v>2051.9291666666663</v>
      </c>
      <c r="C5" s="845">
        <v>3451.8066666666659</v>
      </c>
      <c r="D5" s="845">
        <v>4843.0933333333323</v>
      </c>
      <c r="E5" s="845">
        <v>6575.0391666666665</v>
      </c>
      <c r="F5" s="845">
        <v>27382.92</v>
      </c>
      <c r="G5" s="845">
        <v>3657.4021750000006</v>
      </c>
      <c r="H5" s="846">
        <v>51960.082499999997</v>
      </c>
      <c r="J5" s="848"/>
      <c r="K5" s="848"/>
      <c r="L5" s="848"/>
      <c r="M5" s="848"/>
      <c r="N5" s="848"/>
    </row>
    <row r="6" spans="1:26" ht="20.100000000000001" hidden="1" customHeight="1" x14ac:dyDescent="0.3">
      <c r="A6" s="844">
        <v>2016</v>
      </c>
      <c r="B6" s="845">
        <v>2105.8283333333334</v>
      </c>
      <c r="C6" s="845">
        <v>3030.4758333333334</v>
      </c>
      <c r="D6" s="845">
        <v>4466.9908333333333</v>
      </c>
      <c r="E6" s="845">
        <v>6551.5750000000007</v>
      </c>
      <c r="F6" s="845">
        <v>26506.634999999998</v>
      </c>
      <c r="G6" s="845">
        <v>2978.1446083333335</v>
      </c>
      <c r="H6" s="846">
        <v>51568.446666666678</v>
      </c>
      <c r="J6" s="848"/>
      <c r="K6" s="848"/>
      <c r="L6" s="848"/>
      <c r="M6" s="848"/>
      <c r="N6" s="848"/>
    </row>
    <row r="7" spans="1:26" ht="20.100000000000001" customHeight="1" x14ac:dyDescent="0.3">
      <c r="A7" s="844" t="s">
        <v>3240</v>
      </c>
      <c r="B7" s="849">
        <v>2465</v>
      </c>
      <c r="C7" s="845">
        <v>3485</v>
      </c>
      <c r="D7" s="845">
        <v>5175</v>
      </c>
      <c r="E7" s="845">
        <v>7367</v>
      </c>
      <c r="F7" s="845">
        <v>31163</v>
      </c>
      <c r="G7" s="845">
        <v>3257</v>
      </c>
      <c r="H7" s="846">
        <v>55045.680833333339</v>
      </c>
      <c r="J7" s="848"/>
      <c r="K7" s="848"/>
      <c r="L7" s="848"/>
      <c r="M7" s="848"/>
      <c r="N7" s="848"/>
    </row>
    <row r="8" spans="1:26" ht="19.5" customHeight="1" x14ac:dyDescent="0.3">
      <c r="A8" s="844">
        <v>2018</v>
      </c>
      <c r="B8" s="845">
        <v>2738</v>
      </c>
      <c r="C8" s="845">
        <v>3370</v>
      </c>
      <c r="D8" s="845">
        <v>5288</v>
      </c>
      <c r="E8" s="845">
        <v>7348</v>
      </c>
      <c r="F8" s="845">
        <v>35684</v>
      </c>
      <c r="G8" s="845">
        <v>2920</v>
      </c>
      <c r="H8" s="846">
        <v>56077.149999999994</v>
      </c>
      <c r="J8" s="848"/>
      <c r="K8" s="848"/>
      <c r="L8" s="848"/>
      <c r="M8" s="848"/>
      <c r="N8" s="848"/>
    </row>
    <row r="9" spans="1:26" ht="19.5" customHeight="1" x14ac:dyDescent="0.3">
      <c r="A9" s="844">
        <v>2019</v>
      </c>
      <c r="B9" s="845">
        <v>2938</v>
      </c>
      <c r="C9" s="845">
        <v>3466</v>
      </c>
      <c r="D9" s="845">
        <v>5517</v>
      </c>
      <c r="E9" s="845">
        <v>7306</v>
      </c>
      <c r="F9" s="845">
        <v>38716</v>
      </c>
      <c r="G9" s="845">
        <v>2929</v>
      </c>
      <c r="H9" s="846">
        <v>56227.616666666669</v>
      </c>
      <c r="J9" s="848"/>
      <c r="K9" s="848"/>
      <c r="L9" s="848"/>
      <c r="M9" s="848"/>
      <c r="N9" s="848"/>
    </row>
    <row r="10" spans="1:26" ht="19.5" customHeight="1" thickBot="1" x14ac:dyDescent="0.35">
      <c r="A10" s="850">
        <v>2020</v>
      </c>
      <c r="B10" s="851">
        <v>3217</v>
      </c>
      <c r="C10" s="851">
        <v>3218</v>
      </c>
      <c r="D10" s="851">
        <v>4993</v>
      </c>
      <c r="E10" s="851">
        <v>6143</v>
      </c>
      <c r="F10" s="851">
        <v>37947</v>
      </c>
      <c r="G10" s="851">
        <v>3110</v>
      </c>
      <c r="H10" s="852">
        <v>53369.854166666664</v>
      </c>
      <c r="J10" s="848"/>
      <c r="K10" s="848"/>
      <c r="L10" s="848"/>
      <c r="M10" s="848"/>
      <c r="N10" s="848"/>
    </row>
    <row r="11" spans="1:26" ht="18" hidden="1" customHeight="1" x14ac:dyDescent="0.3">
      <c r="A11" s="853" t="s">
        <v>1265</v>
      </c>
      <c r="B11" s="854">
        <v>1994.99</v>
      </c>
      <c r="C11" s="854">
        <v>3351.44</v>
      </c>
      <c r="D11" s="854">
        <v>4604.25</v>
      </c>
      <c r="E11" s="854">
        <v>6749.4</v>
      </c>
      <c r="F11" s="854">
        <v>29182.95</v>
      </c>
      <c r="G11" s="854">
        <v>3210.3625000000002</v>
      </c>
      <c r="H11" s="855">
        <v>51266.81</v>
      </c>
      <c r="J11" s="848"/>
      <c r="K11" s="848"/>
      <c r="L11" s="848"/>
      <c r="M11" s="848"/>
      <c r="N11" s="848"/>
      <c r="T11" s="856"/>
      <c r="U11" s="856"/>
      <c r="V11" s="856"/>
      <c r="W11" s="856"/>
      <c r="X11" s="856"/>
      <c r="Y11" s="856"/>
      <c r="Z11" s="856"/>
    </row>
    <row r="12" spans="1:26" ht="18" hidden="1" customHeight="1" x14ac:dyDescent="0.3">
      <c r="A12" s="857" t="s">
        <v>104</v>
      </c>
      <c r="B12" s="854">
        <v>2104.5</v>
      </c>
      <c r="C12" s="854">
        <v>3599</v>
      </c>
      <c r="D12" s="854">
        <v>4951.4799999999996</v>
      </c>
      <c r="E12" s="854">
        <v>6946.66</v>
      </c>
      <c r="F12" s="854">
        <v>29361.5</v>
      </c>
      <c r="G12" s="854">
        <v>3310.3031000000001</v>
      </c>
      <c r="H12" s="858">
        <v>53344.2</v>
      </c>
      <c r="J12" s="848"/>
      <c r="K12" s="848"/>
      <c r="L12" s="848"/>
      <c r="M12" s="848"/>
      <c r="N12" s="848"/>
      <c r="T12" s="856"/>
      <c r="U12" s="856"/>
      <c r="V12" s="856"/>
      <c r="W12" s="856"/>
      <c r="X12" s="856"/>
      <c r="Y12" s="856"/>
      <c r="Z12" s="856"/>
    </row>
    <row r="13" spans="1:26" ht="18" hidden="1" customHeight="1" x14ac:dyDescent="0.3">
      <c r="A13" s="857" t="s">
        <v>1077</v>
      </c>
      <c r="B13" s="854">
        <v>2067.89</v>
      </c>
      <c r="C13" s="854">
        <v>3697.38</v>
      </c>
      <c r="D13" s="854">
        <v>5033.6400000000003</v>
      </c>
      <c r="E13" s="854">
        <v>6773.04</v>
      </c>
      <c r="F13" s="854">
        <v>27957.49</v>
      </c>
      <c r="G13" s="854">
        <v>3747.8987999999999</v>
      </c>
      <c r="H13" s="858">
        <v>52181.95</v>
      </c>
      <c r="J13" s="848"/>
      <c r="K13" s="848"/>
      <c r="L13" s="848"/>
      <c r="M13" s="848"/>
      <c r="N13" s="848"/>
      <c r="T13" s="856"/>
      <c r="U13" s="856"/>
      <c r="V13" s="856"/>
      <c r="W13" s="856"/>
      <c r="X13" s="856"/>
      <c r="Y13" s="856"/>
      <c r="Z13" s="856"/>
    </row>
    <row r="14" spans="1:26" ht="18" hidden="1" customHeight="1" x14ac:dyDescent="0.3">
      <c r="A14" s="857" t="s">
        <v>105</v>
      </c>
      <c r="B14" s="854">
        <v>2085.5100000000002</v>
      </c>
      <c r="C14" s="854">
        <v>3615.59</v>
      </c>
      <c r="D14" s="854">
        <v>5046.49</v>
      </c>
      <c r="E14" s="854">
        <v>6960.63</v>
      </c>
      <c r="F14" s="854">
        <v>27011.31</v>
      </c>
      <c r="G14" s="854">
        <v>4441.6552000000001</v>
      </c>
      <c r="H14" s="858">
        <v>54440.43</v>
      </c>
      <c r="J14" s="848"/>
      <c r="K14" s="848"/>
      <c r="L14" s="848"/>
      <c r="M14" s="848"/>
      <c r="N14" s="848"/>
      <c r="T14" s="856"/>
      <c r="U14" s="856"/>
      <c r="V14" s="856"/>
      <c r="W14" s="856"/>
      <c r="X14" s="856"/>
      <c r="Y14" s="856"/>
      <c r="Z14" s="856"/>
    </row>
    <row r="15" spans="1:26" ht="18" hidden="1" customHeight="1" x14ac:dyDescent="0.3">
      <c r="A15" s="857" t="s">
        <v>106</v>
      </c>
      <c r="B15" s="854">
        <v>2107.39</v>
      </c>
      <c r="C15" s="854">
        <v>3570.78</v>
      </c>
      <c r="D15" s="854">
        <v>5007.8900000000003</v>
      </c>
      <c r="E15" s="854">
        <v>6984.43</v>
      </c>
      <c r="F15" s="854">
        <v>27828.44</v>
      </c>
      <c r="G15" s="854">
        <v>4611.7442000000001</v>
      </c>
      <c r="H15" s="858">
        <v>52270.86</v>
      </c>
      <c r="J15" s="848"/>
      <c r="K15" s="848"/>
      <c r="L15" s="848"/>
      <c r="M15" s="848"/>
      <c r="N15" s="848"/>
      <c r="T15" s="856"/>
      <c r="U15" s="856"/>
      <c r="V15" s="856"/>
      <c r="W15" s="856"/>
      <c r="X15" s="856"/>
      <c r="Y15" s="856"/>
      <c r="Z15" s="856"/>
    </row>
    <row r="16" spans="1:26" ht="18" hidden="1" customHeight="1" x14ac:dyDescent="0.3">
      <c r="A16" s="857" t="s">
        <v>1078</v>
      </c>
      <c r="B16" s="845">
        <v>2063.11</v>
      </c>
      <c r="C16" s="845">
        <v>3424.3</v>
      </c>
      <c r="D16" s="854">
        <v>4790.2</v>
      </c>
      <c r="E16" s="845">
        <v>6520.98</v>
      </c>
      <c r="F16" s="845">
        <v>27780.83</v>
      </c>
      <c r="G16" s="845">
        <v>4277.2218999999996</v>
      </c>
      <c r="H16" s="846">
        <v>51806.95</v>
      </c>
      <c r="J16" s="848"/>
      <c r="K16" s="848"/>
      <c r="L16" s="848"/>
      <c r="M16" s="848"/>
      <c r="N16" s="848"/>
      <c r="T16" s="856"/>
      <c r="U16" s="856"/>
      <c r="V16" s="856"/>
      <c r="W16" s="856"/>
      <c r="X16" s="856"/>
      <c r="Y16" s="856"/>
      <c r="Z16" s="856"/>
    </row>
    <row r="17" spans="1:26" ht="18" hidden="1" customHeight="1" x14ac:dyDescent="0.3">
      <c r="A17" s="857" t="s">
        <v>1079</v>
      </c>
      <c r="B17" s="854">
        <v>2103.84</v>
      </c>
      <c r="C17" s="854">
        <v>3600.69</v>
      </c>
      <c r="D17" s="854">
        <v>5082.6099999999997</v>
      </c>
      <c r="E17" s="854">
        <v>6696.28</v>
      </c>
      <c r="F17" s="854">
        <v>28114.560000000001</v>
      </c>
      <c r="G17" s="854">
        <v>3663.7256000000002</v>
      </c>
      <c r="H17" s="858">
        <v>52053.27</v>
      </c>
      <c r="J17" s="848"/>
      <c r="K17" s="848"/>
      <c r="L17" s="848"/>
      <c r="M17" s="848"/>
      <c r="N17" s="848"/>
      <c r="T17" s="856"/>
      <c r="U17" s="856"/>
      <c r="V17" s="856"/>
      <c r="W17" s="856"/>
      <c r="X17" s="856"/>
      <c r="Y17" s="856"/>
      <c r="Z17" s="856"/>
    </row>
    <row r="18" spans="1:26" ht="18" hidden="1" customHeight="1" x14ac:dyDescent="0.3">
      <c r="A18" s="857" t="s">
        <v>107</v>
      </c>
      <c r="B18" s="854">
        <v>1972.18</v>
      </c>
      <c r="C18" s="854">
        <v>3269.63</v>
      </c>
      <c r="D18" s="854">
        <v>4652.95</v>
      </c>
      <c r="E18" s="854">
        <v>6247.94</v>
      </c>
      <c r="F18" s="854">
        <v>26283.09</v>
      </c>
      <c r="G18" s="854">
        <v>3205.9854999999998</v>
      </c>
      <c r="H18" s="858">
        <v>49972.33</v>
      </c>
      <c r="J18" s="848"/>
      <c r="K18" s="848"/>
      <c r="L18" s="848"/>
      <c r="M18" s="848"/>
      <c r="N18" s="848"/>
      <c r="T18" s="856"/>
      <c r="U18" s="856"/>
      <c r="V18" s="856"/>
      <c r="W18" s="856"/>
      <c r="X18" s="856"/>
      <c r="Y18" s="856"/>
      <c r="Z18" s="856"/>
    </row>
    <row r="19" spans="1:26" ht="18" hidden="1" customHeight="1" x14ac:dyDescent="0.3">
      <c r="A19" s="857" t="s">
        <v>108</v>
      </c>
      <c r="B19" s="854">
        <v>1920.03</v>
      </c>
      <c r="C19" s="854">
        <v>3100.67</v>
      </c>
      <c r="D19" s="854">
        <v>4455.29</v>
      </c>
      <c r="E19" s="854">
        <v>6061.61</v>
      </c>
      <c r="F19" s="854">
        <v>26154.83</v>
      </c>
      <c r="G19" s="854">
        <v>3052.7813999999998</v>
      </c>
      <c r="H19" s="858">
        <v>50088.86</v>
      </c>
      <c r="J19" s="848"/>
      <c r="K19" s="848"/>
      <c r="L19" s="848"/>
      <c r="M19" s="848"/>
      <c r="N19" s="848"/>
      <c r="T19" s="856"/>
      <c r="U19" s="856"/>
      <c r="V19" s="856"/>
      <c r="W19" s="856"/>
      <c r="X19" s="856"/>
      <c r="Y19" s="856"/>
      <c r="Z19" s="856"/>
    </row>
    <row r="20" spans="1:26" ht="18" hidden="1" customHeight="1" x14ac:dyDescent="0.3">
      <c r="A20" s="857" t="s">
        <v>109</v>
      </c>
      <c r="B20" s="854">
        <v>2079.36</v>
      </c>
      <c r="C20" s="854">
        <v>3418.23</v>
      </c>
      <c r="D20" s="854">
        <v>4897.66</v>
      </c>
      <c r="E20" s="854">
        <v>6361.09</v>
      </c>
      <c r="F20" s="854">
        <v>26656.83</v>
      </c>
      <c r="G20" s="854">
        <v>3382.5612000000001</v>
      </c>
      <c r="H20" s="858">
        <v>53793.74</v>
      </c>
      <c r="J20" s="848"/>
      <c r="K20" s="848"/>
      <c r="L20" s="848"/>
      <c r="M20" s="848"/>
      <c r="N20" s="848"/>
      <c r="T20" s="856"/>
      <c r="U20" s="856"/>
      <c r="V20" s="856"/>
      <c r="W20" s="856"/>
      <c r="X20" s="856"/>
      <c r="Y20" s="856"/>
      <c r="Z20" s="856"/>
    </row>
    <row r="21" spans="1:26" ht="18" hidden="1" customHeight="1" x14ac:dyDescent="0.3">
      <c r="A21" s="857" t="s">
        <v>110</v>
      </c>
      <c r="B21" s="854">
        <v>2080.41</v>
      </c>
      <c r="C21" s="854">
        <v>3506.45</v>
      </c>
      <c r="D21" s="854">
        <v>4957.6000000000004</v>
      </c>
      <c r="E21" s="854">
        <v>6356.09</v>
      </c>
      <c r="F21" s="854">
        <v>26145.67</v>
      </c>
      <c r="G21" s="854">
        <v>3445.4047999999998</v>
      </c>
      <c r="H21" s="858">
        <v>51607.83</v>
      </c>
      <c r="J21" s="848"/>
      <c r="K21" s="848"/>
      <c r="L21" s="848"/>
      <c r="M21" s="848"/>
      <c r="N21" s="848"/>
      <c r="T21" s="856"/>
      <c r="U21" s="856"/>
      <c r="V21" s="856"/>
      <c r="W21" s="856"/>
      <c r="X21" s="856"/>
      <c r="Y21" s="856"/>
      <c r="Z21" s="856"/>
    </row>
    <row r="22" spans="1:26" ht="18" hidden="1" customHeight="1" thickBot="1" x14ac:dyDescent="0.35">
      <c r="A22" s="859" t="s">
        <v>111</v>
      </c>
      <c r="B22" s="851">
        <v>2043.94</v>
      </c>
      <c r="C22" s="851">
        <v>3267.52</v>
      </c>
      <c r="D22" s="851">
        <v>4637.0600000000004</v>
      </c>
      <c r="E22" s="851">
        <v>6242.32</v>
      </c>
      <c r="F22" s="851">
        <v>26117.54</v>
      </c>
      <c r="G22" s="851">
        <v>3539.1819</v>
      </c>
      <c r="H22" s="852">
        <v>50693.760000000002</v>
      </c>
      <c r="J22" s="848"/>
      <c r="K22" s="848"/>
      <c r="L22" s="848"/>
      <c r="M22" s="848"/>
      <c r="N22" s="848"/>
      <c r="T22" s="856"/>
      <c r="U22" s="856"/>
      <c r="V22" s="856"/>
      <c r="W22" s="856"/>
      <c r="X22" s="856"/>
      <c r="Y22" s="856"/>
      <c r="Z22" s="856"/>
    </row>
    <row r="23" spans="1:26" ht="19.5" hidden="1" customHeight="1" x14ac:dyDescent="0.3">
      <c r="A23" s="857" t="s">
        <v>1266</v>
      </c>
      <c r="B23" s="854">
        <v>1940.24</v>
      </c>
      <c r="C23" s="854">
        <v>3045.09</v>
      </c>
      <c r="D23" s="854">
        <v>4417.0200000000004</v>
      </c>
      <c r="E23" s="854">
        <v>6083.79</v>
      </c>
      <c r="F23" s="854">
        <v>24870.69</v>
      </c>
      <c r="G23" s="854">
        <v>2737.5996</v>
      </c>
      <c r="H23" s="855">
        <v>49141.94</v>
      </c>
      <c r="J23" s="848"/>
      <c r="K23" s="848"/>
      <c r="L23" s="848"/>
      <c r="M23" s="848"/>
      <c r="N23" s="848"/>
      <c r="T23" s="856"/>
      <c r="U23" s="856"/>
      <c r="V23" s="856"/>
      <c r="W23" s="856"/>
      <c r="X23" s="856"/>
      <c r="Y23" s="856"/>
      <c r="Z23" s="856"/>
    </row>
    <row r="24" spans="1:26" ht="20.100000000000001" hidden="1" customHeight="1" x14ac:dyDescent="0.3">
      <c r="A24" s="857" t="s">
        <v>104</v>
      </c>
      <c r="B24" s="845">
        <v>1932.23</v>
      </c>
      <c r="C24" s="845">
        <v>2945.75</v>
      </c>
      <c r="D24" s="845">
        <v>4353.55</v>
      </c>
      <c r="E24" s="845">
        <v>6097.09</v>
      </c>
      <c r="F24" s="845">
        <v>23002</v>
      </c>
      <c r="G24" s="845">
        <v>2687.9787999999999</v>
      </c>
      <c r="H24" s="846">
        <v>49415.31</v>
      </c>
      <c r="J24" s="848"/>
      <c r="K24" s="848"/>
      <c r="L24" s="848"/>
      <c r="M24" s="848"/>
      <c r="N24" s="848"/>
      <c r="T24" s="856"/>
      <c r="U24" s="856"/>
      <c r="V24" s="856"/>
      <c r="W24" s="856"/>
      <c r="X24" s="856"/>
      <c r="Y24" s="856"/>
      <c r="Z24" s="856"/>
    </row>
    <row r="25" spans="1:26" ht="20.100000000000001" hidden="1" customHeight="1" x14ac:dyDescent="0.3">
      <c r="A25" s="857" t="s">
        <v>1077</v>
      </c>
      <c r="B25" s="845">
        <v>2059.7399999999998</v>
      </c>
      <c r="C25" s="845">
        <v>3004.93</v>
      </c>
      <c r="D25" s="845">
        <v>4385.0600000000004</v>
      </c>
      <c r="E25" s="845">
        <v>6174.9</v>
      </c>
      <c r="F25" s="845">
        <v>25341.86</v>
      </c>
      <c r="G25" s="845">
        <v>3003.9151999999999</v>
      </c>
      <c r="H25" s="846">
        <v>52250.28</v>
      </c>
      <c r="J25" s="848"/>
      <c r="K25" s="848"/>
      <c r="L25" s="848"/>
      <c r="M25" s="848"/>
      <c r="N25" s="848"/>
      <c r="T25" s="856"/>
      <c r="U25" s="856"/>
      <c r="V25" s="856"/>
      <c r="W25" s="856"/>
      <c r="X25" s="856"/>
      <c r="Y25" s="856"/>
      <c r="Z25" s="856"/>
    </row>
    <row r="26" spans="1:26" ht="20.100000000000001" hidden="1" customHeight="1" x14ac:dyDescent="0.3">
      <c r="A26" s="857" t="s">
        <v>105</v>
      </c>
      <c r="B26" s="845">
        <v>2065.3000000000002</v>
      </c>
      <c r="C26" s="845">
        <v>3028.21</v>
      </c>
      <c r="D26" s="845">
        <v>4428.96</v>
      </c>
      <c r="E26" s="845">
        <v>6241.89</v>
      </c>
      <c r="F26" s="845">
        <v>25606.62</v>
      </c>
      <c r="G26" s="845">
        <v>2938.3235</v>
      </c>
      <c r="H26" s="846">
        <v>52957.32</v>
      </c>
      <c r="J26" s="848"/>
      <c r="K26" s="848"/>
      <c r="L26" s="848"/>
      <c r="M26" s="848"/>
      <c r="N26" s="848"/>
      <c r="T26" s="856"/>
      <c r="U26" s="856"/>
      <c r="V26" s="856"/>
      <c r="W26" s="856"/>
      <c r="X26" s="856"/>
      <c r="Y26" s="856"/>
      <c r="Z26" s="856"/>
    </row>
    <row r="27" spans="1:26" ht="20.100000000000001" hidden="1" customHeight="1" x14ac:dyDescent="0.3">
      <c r="A27" s="857" t="s">
        <v>106</v>
      </c>
      <c r="B27" s="845">
        <v>2096.96</v>
      </c>
      <c r="C27" s="845">
        <v>3063.48</v>
      </c>
      <c r="D27" s="845">
        <v>4505.62</v>
      </c>
      <c r="E27" s="845">
        <v>6230.79</v>
      </c>
      <c r="F27" s="845">
        <v>26667.96</v>
      </c>
      <c r="G27" s="845">
        <v>2916.616</v>
      </c>
      <c r="H27" s="846">
        <v>53905.21</v>
      </c>
      <c r="J27" s="848"/>
      <c r="K27" s="848"/>
      <c r="L27" s="848"/>
      <c r="M27" s="848"/>
      <c r="N27" s="848"/>
      <c r="T27" s="856"/>
      <c r="U27" s="856"/>
      <c r="V27" s="856"/>
      <c r="W27" s="856"/>
      <c r="X27" s="856"/>
      <c r="Y27" s="856"/>
      <c r="Z27" s="856"/>
    </row>
    <row r="28" spans="1:26" ht="20.100000000000001" hidden="1" customHeight="1" x14ac:dyDescent="0.3">
      <c r="A28" s="857" t="s">
        <v>1078</v>
      </c>
      <c r="B28" s="845">
        <v>2098.86</v>
      </c>
      <c r="C28" s="845">
        <v>2864.74</v>
      </c>
      <c r="D28" s="845">
        <v>4237.4799999999996</v>
      </c>
      <c r="E28" s="845">
        <v>6504.33</v>
      </c>
      <c r="F28" s="845">
        <v>26999.72</v>
      </c>
      <c r="G28" s="845">
        <v>2929.6057000000001</v>
      </c>
      <c r="H28" s="846">
        <v>52217.72</v>
      </c>
      <c r="J28" s="848"/>
      <c r="K28" s="848"/>
      <c r="L28" s="848"/>
      <c r="M28" s="848"/>
      <c r="N28" s="848"/>
      <c r="T28" s="856"/>
      <c r="U28" s="856"/>
      <c r="V28" s="856"/>
      <c r="W28" s="856"/>
      <c r="X28" s="856"/>
      <c r="Y28" s="856"/>
      <c r="Z28" s="856"/>
    </row>
    <row r="29" spans="1:26" ht="20.100000000000001" hidden="1" customHeight="1" x14ac:dyDescent="0.3">
      <c r="A29" s="857" t="s">
        <v>1079</v>
      </c>
      <c r="B29" s="845">
        <v>2173.6</v>
      </c>
      <c r="C29" s="845">
        <v>2990.76</v>
      </c>
      <c r="D29" s="845">
        <v>4439.8100000000004</v>
      </c>
      <c r="E29" s="845">
        <v>6724.43</v>
      </c>
      <c r="F29" s="845">
        <v>28051.86</v>
      </c>
      <c r="G29" s="845">
        <v>2979.3388</v>
      </c>
      <c r="H29" s="846">
        <v>52797.58</v>
      </c>
      <c r="J29" s="848"/>
      <c r="K29" s="848"/>
      <c r="L29" s="848"/>
      <c r="M29" s="848"/>
      <c r="N29" s="848"/>
      <c r="T29" s="856"/>
      <c r="U29" s="856"/>
      <c r="V29" s="856"/>
      <c r="W29" s="856"/>
      <c r="X29" s="856"/>
      <c r="Y29" s="856"/>
      <c r="Z29" s="856"/>
    </row>
    <row r="30" spans="1:26" ht="20.100000000000001" hidden="1" customHeight="1" x14ac:dyDescent="0.3">
      <c r="A30" s="857" t="s">
        <v>107</v>
      </c>
      <c r="B30" s="845">
        <v>2170.9499999999998</v>
      </c>
      <c r="C30" s="845">
        <v>3023.13</v>
      </c>
      <c r="D30" s="845">
        <v>4438.22</v>
      </c>
      <c r="E30" s="845">
        <v>6781.51</v>
      </c>
      <c r="F30" s="845">
        <v>28452.17</v>
      </c>
      <c r="G30" s="845">
        <v>3085.491</v>
      </c>
      <c r="H30" s="846">
        <v>52733.120000000003</v>
      </c>
      <c r="J30" s="848"/>
      <c r="K30" s="848"/>
      <c r="L30" s="848"/>
      <c r="M30" s="848"/>
      <c r="N30" s="848"/>
      <c r="T30" s="856"/>
      <c r="U30" s="856"/>
      <c r="V30" s="856"/>
      <c r="W30" s="856"/>
      <c r="X30" s="856"/>
      <c r="Y30" s="856"/>
      <c r="Z30" s="856"/>
    </row>
    <row r="31" spans="1:26" ht="20.100000000000001" hidden="1" customHeight="1" x14ac:dyDescent="0.3">
      <c r="A31" s="857" t="s">
        <v>108</v>
      </c>
      <c r="B31" s="845">
        <v>2168.27</v>
      </c>
      <c r="C31" s="845">
        <v>3002.24</v>
      </c>
      <c r="D31" s="845">
        <v>4448.26</v>
      </c>
      <c r="E31" s="845">
        <v>6899.33</v>
      </c>
      <c r="F31" s="845">
        <v>27865.96</v>
      </c>
      <c r="G31" s="845">
        <v>3004.703</v>
      </c>
      <c r="H31" s="846">
        <v>51949.83</v>
      </c>
      <c r="J31" s="848"/>
      <c r="K31" s="848"/>
      <c r="L31" s="848"/>
      <c r="M31" s="848"/>
      <c r="N31" s="848"/>
      <c r="T31" s="856"/>
      <c r="U31" s="856"/>
      <c r="V31" s="856"/>
      <c r="W31" s="856"/>
      <c r="X31" s="856"/>
      <c r="Y31" s="856"/>
      <c r="Z31" s="856"/>
    </row>
    <row r="32" spans="1:26" ht="20.100000000000001" hidden="1" customHeight="1" x14ac:dyDescent="0.3">
      <c r="A32" s="857" t="s">
        <v>109</v>
      </c>
      <c r="B32" s="845">
        <v>2126.15</v>
      </c>
      <c r="C32" s="845">
        <v>3055.25</v>
      </c>
      <c r="D32" s="845">
        <v>4509.26</v>
      </c>
      <c r="E32" s="845">
        <v>6954.22</v>
      </c>
      <c r="F32" s="845">
        <v>27941.51</v>
      </c>
      <c r="G32" s="845">
        <v>3100.4920000000002</v>
      </c>
      <c r="H32" s="846">
        <v>50590.080000000002</v>
      </c>
      <c r="J32" s="848"/>
      <c r="K32" s="848"/>
      <c r="L32" s="848"/>
      <c r="M32" s="848"/>
      <c r="N32" s="848"/>
      <c r="T32" s="856"/>
      <c r="U32" s="856"/>
      <c r="V32" s="856"/>
      <c r="W32" s="856"/>
      <c r="X32" s="856"/>
      <c r="Y32" s="856"/>
      <c r="Z32" s="856"/>
    </row>
    <row r="33" spans="1:26" ht="20.100000000000001" hidden="1" customHeight="1" x14ac:dyDescent="0.3">
      <c r="A33" s="857" t="s">
        <v>110</v>
      </c>
      <c r="B33" s="845">
        <v>2198.81</v>
      </c>
      <c r="C33" s="845">
        <v>3051.61</v>
      </c>
      <c r="D33" s="845">
        <v>4578.34</v>
      </c>
      <c r="E33" s="845">
        <v>6783.79</v>
      </c>
      <c r="F33" s="845">
        <v>26652.81</v>
      </c>
      <c r="G33" s="845">
        <v>3250.0344</v>
      </c>
      <c r="H33" s="846">
        <v>50209.43</v>
      </c>
      <c r="J33" s="848"/>
      <c r="K33" s="848"/>
      <c r="L33" s="848"/>
      <c r="M33" s="848"/>
      <c r="N33" s="848"/>
      <c r="T33" s="856"/>
      <c r="U33" s="856"/>
      <c r="V33" s="856"/>
      <c r="W33" s="856"/>
      <c r="X33" s="856"/>
      <c r="Y33" s="856"/>
      <c r="Z33" s="856"/>
    </row>
    <row r="34" spans="1:26" ht="20.100000000000001" hidden="1" customHeight="1" thickBot="1" x14ac:dyDescent="0.35">
      <c r="A34" s="859" t="s">
        <v>111</v>
      </c>
      <c r="B34" s="860">
        <v>2238.83</v>
      </c>
      <c r="C34" s="860">
        <v>3290.52</v>
      </c>
      <c r="D34" s="860">
        <v>4862.3100000000004</v>
      </c>
      <c r="E34" s="860">
        <v>7142.83</v>
      </c>
      <c r="F34" s="860">
        <v>26626.46</v>
      </c>
      <c r="G34" s="860">
        <v>3103.6372999999999</v>
      </c>
      <c r="H34" s="861">
        <v>50653.54</v>
      </c>
      <c r="J34" s="848"/>
      <c r="K34" s="848"/>
      <c r="L34" s="848"/>
      <c r="M34" s="848"/>
      <c r="N34" s="848"/>
      <c r="T34" s="856"/>
      <c r="U34" s="856"/>
      <c r="V34" s="856"/>
      <c r="W34" s="856"/>
      <c r="X34" s="856"/>
      <c r="Y34" s="856"/>
      <c r="Z34" s="856"/>
    </row>
    <row r="35" spans="1:26" ht="20.100000000000001" hidden="1" customHeight="1" x14ac:dyDescent="0.3">
      <c r="A35" s="857" t="s">
        <v>3241</v>
      </c>
      <c r="B35" s="862">
        <v>2278.87</v>
      </c>
      <c r="C35" s="862">
        <v>3230.68</v>
      </c>
      <c r="D35" s="862">
        <v>4748.8999999999996</v>
      </c>
      <c r="E35" s="862">
        <v>7099.15</v>
      </c>
      <c r="F35" s="862">
        <v>27655.96</v>
      </c>
      <c r="G35" s="862">
        <v>3159.1660000000002</v>
      </c>
      <c r="H35" s="863">
        <v>52788.12</v>
      </c>
      <c r="J35" s="848"/>
      <c r="K35" s="848"/>
      <c r="L35" s="848"/>
      <c r="M35" s="848"/>
      <c r="N35" s="848"/>
      <c r="T35" s="856"/>
      <c r="U35" s="856"/>
      <c r="V35" s="856"/>
      <c r="W35" s="856"/>
      <c r="X35" s="856"/>
      <c r="Y35" s="856"/>
      <c r="Z35" s="856"/>
    </row>
    <row r="36" spans="1:26" ht="20.100000000000001" hidden="1" customHeight="1" x14ac:dyDescent="0.3">
      <c r="A36" s="857" t="s">
        <v>104</v>
      </c>
      <c r="B36" s="862">
        <v>2363.64</v>
      </c>
      <c r="C36" s="862">
        <v>3319.61</v>
      </c>
      <c r="D36" s="862">
        <v>4858.58</v>
      </c>
      <c r="E36" s="862">
        <v>7263.44</v>
      </c>
      <c r="F36" s="862">
        <v>28743.32</v>
      </c>
      <c r="G36" s="862">
        <v>3241.7330999999999</v>
      </c>
      <c r="H36" s="863">
        <v>51146.05</v>
      </c>
      <c r="J36" s="848"/>
      <c r="K36" s="848"/>
      <c r="L36" s="848"/>
      <c r="M36" s="848"/>
      <c r="N36" s="848"/>
      <c r="T36" s="856"/>
      <c r="U36" s="856"/>
      <c r="V36" s="856"/>
      <c r="W36" s="856"/>
      <c r="X36" s="856"/>
      <c r="Y36" s="856"/>
      <c r="Z36" s="856"/>
    </row>
    <row r="37" spans="1:26" ht="20.100000000000001" hidden="1" customHeight="1" x14ac:dyDescent="0.3">
      <c r="A37" s="857" t="s">
        <v>1077</v>
      </c>
      <c r="B37" s="862">
        <v>2362.7199999999998</v>
      </c>
      <c r="C37" s="862">
        <v>3500.93</v>
      </c>
      <c r="D37" s="862">
        <v>5122.51</v>
      </c>
      <c r="E37" s="862">
        <v>7322.92</v>
      </c>
      <c r="F37" s="862">
        <v>29620.5</v>
      </c>
      <c r="G37" s="862">
        <v>3222.5142000000001</v>
      </c>
      <c r="H37" s="863">
        <v>52056.06</v>
      </c>
      <c r="J37" s="848"/>
      <c r="K37" s="848"/>
      <c r="L37" s="848"/>
      <c r="M37" s="848"/>
      <c r="N37" s="848"/>
      <c r="T37" s="856"/>
      <c r="U37" s="856"/>
      <c r="V37" s="856"/>
      <c r="W37" s="856"/>
      <c r="X37" s="856"/>
      <c r="Y37" s="856"/>
      <c r="Z37" s="856"/>
    </row>
    <row r="38" spans="1:26" ht="20.100000000000001" hidden="1" customHeight="1" x14ac:dyDescent="0.3">
      <c r="A38" s="857" t="s">
        <v>105</v>
      </c>
      <c r="B38" s="862">
        <v>2384.1999999999998</v>
      </c>
      <c r="C38" s="862">
        <v>3559.59</v>
      </c>
      <c r="D38" s="862">
        <v>5267.33</v>
      </c>
      <c r="E38" s="862">
        <v>7203.94</v>
      </c>
      <c r="F38" s="862">
        <v>29918.400000000001</v>
      </c>
      <c r="G38" s="862">
        <v>3154.6583999999998</v>
      </c>
      <c r="H38" s="863">
        <v>53817.31</v>
      </c>
      <c r="J38" s="848"/>
      <c r="K38" s="848"/>
      <c r="L38" s="848"/>
      <c r="M38" s="848"/>
      <c r="N38" s="848"/>
      <c r="T38" s="856"/>
      <c r="U38" s="856"/>
      <c r="V38" s="856"/>
      <c r="W38" s="856"/>
      <c r="X38" s="856"/>
      <c r="Y38" s="856"/>
      <c r="Z38" s="856"/>
    </row>
    <row r="39" spans="1:26" ht="20.100000000000001" hidden="1" customHeight="1" x14ac:dyDescent="0.3">
      <c r="A39" s="857" t="s">
        <v>106</v>
      </c>
      <c r="B39" s="862">
        <v>2411.8000000000002</v>
      </c>
      <c r="C39" s="862">
        <v>3554.59</v>
      </c>
      <c r="D39" s="862">
        <v>5283.63</v>
      </c>
      <c r="E39" s="862">
        <v>7519.95</v>
      </c>
      <c r="F39" s="862">
        <v>31145.8</v>
      </c>
      <c r="G39" s="862">
        <v>3117.1777999999999</v>
      </c>
      <c r="H39" s="863">
        <v>53562.57</v>
      </c>
      <c r="J39" s="848"/>
      <c r="K39" s="848"/>
      <c r="L39" s="848"/>
      <c r="M39" s="848"/>
      <c r="N39" s="848"/>
      <c r="T39" s="856"/>
      <c r="U39" s="856"/>
      <c r="V39" s="856"/>
      <c r="W39" s="856"/>
      <c r="X39" s="856"/>
      <c r="Y39" s="856"/>
      <c r="Z39" s="856"/>
    </row>
    <row r="40" spans="1:26" ht="20.100000000000001" hidden="1" customHeight="1" x14ac:dyDescent="0.3">
      <c r="A40" s="857" t="s">
        <v>1078</v>
      </c>
      <c r="B40" s="862">
        <v>2423.41</v>
      </c>
      <c r="C40" s="862">
        <v>3441.88</v>
      </c>
      <c r="D40" s="862">
        <v>5120.68</v>
      </c>
      <c r="E40" s="862">
        <v>7312.72</v>
      </c>
      <c r="F40" s="862">
        <v>30921.61</v>
      </c>
      <c r="G40" s="862">
        <v>3192.4268999999999</v>
      </c>
      <c r="H40" s="863">
        <v>51611.01</v>
      </c>
      <c r="J40" s="848"/>
      <c r="K40" s="848"/>
      <c r="L40" s="848"/>
      <c r="M40" s="848"/>
      <c r="N40" s="848"/>
      <c r="T40" s="856"/>
      <c r="U40" s="856"/>
      <c r="V40" s="856"/>
      <c r="W40" s="856"/>
      <c r="X40" s="856"/>
      <c r="Y40" s="856"/>
      <c r="Z40" s="856"/>
    </row>
    <row r="41" spans="1:26" ht="20.100000000000001" hidden="1" customHeight="1" x14ac:dyDescent="0.3">
      <c r="A41" s="857" t="s">
        <v>1079</v>
      </c>
      <c r="B41" s="862">
        <v>2470.3000000000002</v>
      </c>
      <c r="C41" s="862">
        <v>3449.36</v>
      </c>
      <c r="D41" s="862">
        <v>5093.7700000000004</v>
      </c>
      <c r="E41" s="862">
        <v>7372</v>
      </c>
      <c r="F41" s="862">
        <v>32514.94</v>
      </c>
      <c r="G41" s="862">
        <v>3273.0282999999999</v>
      </c>
      <c r="H41" s="863">
        <v>55207.41</v>
      </c>
      <c r="J41" s="848"/>
      <c r="K41" s="848"/>
      <c r="L41" s="848"/>
      <c r="M41" s="848"/>
      <c r="N41" s="848"/>
      <c r="T41" s="856"/>
      <c r="U41" s="856"/>
      <c r="V41" s="856"/>
      <c r="W41" s="856"/>
      <c r="X41" s="856"/>
      <c r="Y41" s="856"/>
      <c r="Z41" s="856"/>
    </row>
    <row r="42" spans="1:26" ht="20.100000000000001" hidden="1" customHeight="1" x14ac:dyDescent="0.3">
      <c r="A42" s="857" t="s">
        <v>107</v>
      </c>
      <c r="B42" s="862">
        <v>2471.65</v>
      </c>
      <c r="C42" s="862">
        <v>3421.47</v>
      </c>
      <c r="D42" s="862">
        <v>5085.59</v>
      </c>
      <c r="E42" s="862">
        <v>7430.62</v>
      </c>
      <c r="F42" s="862">
        <v>31730.49</v>
      </c>
      <c r="G42" s="862">
        <v>3360.8103000000001</v>
      </c>
      <c r="H42" s="863">
        <v>56522.11</v>
      </c>
      <c r="J42" s="848"/>
      <c r="K42" s="848"/>
      <c r="L42" s="848"/>
      <c r="M42" s="848"/>
      <c r="N42" s="848"/>
      <c r="T42" s="856"/>
      <c r="U42" s="856"/>
      <c r="V42" s="856"/>
      <c r="W42" s="856"/>
      <c r="X42" s="856"/>
      <c r="Y42" s="856"/>
      <c r="Z42" s="856"/>
    </row>
    <row r="43" spans="1:26" ht="20.100000000000001" hidden="1" customHeight="1" x14ac:dyDescent="0.3">
      <c r="A43" s="857" t="s">
        <v>1267</v>
      </c>
      <c r="B43" s="862">
        <v>2519.36</v>
      </c>
      <c r="C43" s="862">
        <v>3594.85</v>
      </c>
      <c r="D43" s="862">
        <v>5329.81</v>
      </c>
      <c r="E43" s="862">
        <v>7372.76</v>
      </c>
      <c r="F43" s="862">
        <v>31283.72</v>
      </c>
      <c r="G43" s="862">
        <v>3348.9431</v>
      </c>
      <c r="H43" s="863">
        <v>55579.92</v>
      </c>
      <c r="J43" s="848"/>
      <c r="K43" s="848"/>
      <c r="L43" s="848"/>
      <c r="M43" s="848"/>
      <c r="N43" s="848"/>
      <c r="T43" s="856"/>
      <c r="U43" s="856"/>
      <c r="V43" s="856"/>
      <c r="W43" s="856"/>
      <c r="X43" s="856"/>
      <c r="Y43" s="856"/>
      <c r="Z43" s="856"/>
    </row>
    <row r="44" spans="1:26" ht="20.100000000000001" hidden="1" customHeight="1" x14ac:dyDescent="0.3">
      <c r="A44" s="857" t="s">
        <v>1268</v>
      </c>
      <c r="B44" s="862">
        <v>2575.2600000000002</v>
      </c>
      <c r="C44" s="862">
        <v>3673.95</v>
      </c>
      <c r="D44" s="862">
        <v>5503.29</v>
      </c>
      <c r="E44" s="862">
        <v>7493.08</v>
      </c>
      <c r="F44" s="862">
        <v>33213.129999999997</v>
      </c>
      <c r="G44" s="862">
        <v>3393.3416999999999</v>
      </c>
      <c r="H44" s="863">
        <v>58980.11</v>
      </c>
      <c r="J44" s="848"/>
      <c r="K44" s="848"/>
      <c r="L44" s="848"/>
      <c r="M44" s="848"/>
      <c r="N44" s="848"/>
      <c r="T44" s="856"/>
      <c r="U44" s="856"/>
      <c r="V44" s="856"/>
      <c r="W44" s="856"/>
      <c r="X44" s="856"/>
      <c r="Y44" s="856"/>
      <c r="Z44" s="856"/>
    </row>
    <row r="45" spans="1:26" ht="20.100000000000001" hidden="1" customHeight="1" x14ac:dyDescent="0.3">
      <c r="A45" s="857" t="s">
        <v>110</v>
      </c>
      <c r="B45" s="862">
        <v>2647.58</v>
      </c>
      <c r="C45" s="862">
        <v>3569.93</v>
      </c>
      <c r="D45" s="862">
        <v>5372.79</v>
      </c>
      <c r="E45" s="862">
        <v>7326.67</v>
      </c>
      <c r="F45" s="862">
        <v>33149.35</v>
      </c>
      <c r="G45" s="862">
        <v>3317.1884</v>
      </c>
      <c r="H45" s="863">
        <v>59772.83</v>
      </c>
      <c r="J45" s="848"/>
      <c r="K45" s="848"/>
      <c r="L45" s="848"/>
      <c r="M45" s="848"/>
      <c r="N45" s="848"/>
      <c r="T45" s="856"/>
      <c r="U45" s="856"/>
      <c r="V45" s="856"/>
      <c r="W45" s="856"/>
      <c r="X45" s="856"/>
      <c r="Y45" s="856"/>
      <c r="Z45" s="856"/>
    </row>
    <row r="46" spans="1:26" ht="20.100000000000001" hidden="1" customHeight="1" thickBot="1" x14ac:dyDescent="0.35">
      <c r="A46" s="859" t="s">
        <v>111</v>
      </c>
      <c r="B46" s="860">
        <v>2673.61</v>
      </c>
      <c r="C46" s="860">
        <v>3503.96</v>
      </c>
      <c r="D46" s="860">
        <v>5312.56</v>
      </c>
      <c r="E46" s="860">
        <v>7687.77</v>
      </c>
      <c r="F46" s="860">
        <v>34056.83</v>
      </c>
      <c r="G46" s="860">
        <v>3307.1720999999998</v>
      </c>
      <c r="H46" s="861">
        <v>59504.67</v>
      </c>
      <c r="J46" s="848"/>
      <c r="K46" s="848"/>
      <c r="L46" s="848"/>
      <c r="M46" s="848"/>
      <c r="N46" s="848"/>
      <c r="T46" s="856"/>
      <c r="U46" s="856"/>
      <c r="V46" s="856"/>
      <c r="W46" s="856"/>
      <c r="X46" s="856"/>
      <c r="Y46" s="856"/>
      <c r="Z46" s="856"/>
    </row>
    <row r="47" spans="1:26" ht="20.100000000000001" hidden="1" customHeight="1" x14ac:dyDescent="0.3">
      <c r="A47" s="857" t="s">
        <v>1082</v>
      </c>
      <c r="B47" s="862">
        <v>2823.81</v>
      </c>
      <c r="C47" s="862">
        <v>3609.29</v>
      </c>
      <c r="D47" s="862">
        <v>5481.93</v>
      </c>
      <c r="E47" s="862">
        <v>7533.55</v>
      </c>
      <c r="F47" s="862">
        <v>35965.019999999997</v>
      </c>
      <c r="G47" s="862">
        <v>3480.8334</v>
      </c>
      <c r="H47" s="863">
        <v>59506.12</v>
      </c>
      <c r="J47" s="848"/>
      <c r="K47" s="848"/>
      <c r="L47" s="848"/>
      <c r="M47" s="848"/>
      <c r="N47" s="848"/>
      <c r="T47" s="856"/>
      <c r="U47" s="856"/>
      <c r="V47" s="856"/>
      <c r="W47" s="856"/>
      <c r="X47" s="856"/>
      <c r="Y47" s="856"/>
      <c r="Z47" s="856"/>
    </row>
    <row r="48" spans="1:26" ht="20.100000000000001" hidden="1" customHeight="1" x14ac:dyDescent="0.3">
      <c r="A48" s="857" t="s">
        <v>104</v>
      </c>
      <c r="B48" s="862">
        <v>2713.83</v>
      </c>
      <c r="C48" s="862">
        <v>3438.96</v>
      </c>
      <c r="D48" s="862">
        <v>5320.49</v>
      </c>
      <c r="E48" s="862">
        <v>7231.91</v>
      </c>
      <c r="F48" s="862">
        <v>34184.04</v>
      </c>
      <c r="G48" s="862">
        <v>3259.4079999999999</v>
      </c>
      <c r="H48" s="863">
        <v>58325.09</v>
      </c>
      <c r="J48" s="848"/>
      <c r="K48" s="848"/>
      <c r="L48" s="848"/>
      <c r="M48" s="848"/>
      <c r="N48" s="848"/>
      <c r="T48" s="856"/>
      <c r="U48" s="856"/>
      <c r="V48" s="856"/>
      <c r="W48" s="856"/>
      <c r="X48" s="856"/>
      <c r="Y48" s="856"/>
      <c r="Z48" s="856"/>
    </row>
    <row r="49" spans="1:26" ht="20.100000000000001" hidden="1" customHeight="1" x14ac:dyDescent="0.3">
      <c r="A49" s="857" t="s">
        <v>1077</v>
      </c>
      <c r="B49" s="862">
        <v>2640.87</v>
      </c>
      <c r="C49" s="862">
        <v>3361.5</v>
      </c>
      <c r="D49" s="862">
        <v>5167.3</v>
      </c>
      <c r="E49" s="862">
        <v>7056.61</v>
      </c>
      <c r="F49" s="862">
        <v>32968.68</v>
      </c>
      <c r="G49" s="862">
        <v>3168.8966</v>
      </c>
      <c r="H49" s="863">
        <v>55474.52</v>
      </c>
      <c r="J49" s="848"/>
      <c r="K49" s="848"/>
      <c r="L49" s="848"/>
      <c r="M49" s="848"/>
      <c r="N49" s="848"/>
      <c r="T49" s="856"/>
      <c r="U49" s="856"/>
      <c r="V49" s="856"/>
      <c r="W49" s="856"/>
      <c r="X49" s="856"/>
      <c r="Y49" s="856"/>
      <c r="Z49" s="856"/>
    </row>
    <row r="50" spans="1:26" ht="20.100000000000001" hidden="1" customHeight="1" x14ac:dyDescent="0.3">
      <c r="A50" s="857" t="s">
        <v>105</v>
      </c>
      <c r="B50" s="862">
        <v>2648.05</v>
      </c>
      <c r="C50" s="862">
        <v>3536.52</v>
      </c>
      <c r="D50" s="862">
        <v>5520.5</v>
      </c>
      <c r="E50" s="862">
        <v>7509.3</v>
      </c>
      <c r="F50" s="862">
        <v>35160.36</v>
      </c>
      <c r="G50" s="862">
        <v>3082.2316000000001</v>
      </c>
      <c r="H50" s="863">
        <v>58252.12</v>
      </c>
      <c r="J50" s="848"/>
      <c r="K50" s="848"/>
      <c r="L50" s="848"/>
      <c r="M50" s="848"/>
      <c r="N50" s="848"/>
      <c r="T50" s="856"/>
      <c r="U50" s="856"/>
      <c r="V50" s="856"/>
      <c r="W50" s="856"/>
      <c r="X50" s="856"/>
      <c r="Y50" s="856"/>
      <c r="Z50" s="856"/>
    </row>
    <row r="51" spans="1:26" ht="20.100000000000001" hidden="1" customHeight="1" x14ac:dyDescent="0.3">
      <c r="A51" s="857" t="s">
        <v>106</v>
      </c>
      <c r="B51" s="862">
        <v>2705.27</v>
      </c>
      <c r="C51" s="862">
        <v>3406.65</v>
      </c>
      <c r="D51" s="862">
        <v>5398.4</v>
      </c>
      <c r="E51" s="862">
        <v>7678.2</v>
      </c>
      <c r="F51" s="862">
        <v>35322.379999999997</v>
      </c>
      <c r="G51" s="862">
        <v>3095.4737</v>
      </c>
      <c r="H51" s="863">
        <v>56157.89</v>
      </c>
      <c r="J51" s="848"/>
      <c r="K51" s="848"/>
      <c r="L51" s="848"/>
      <c r="M51" s="848"/>
      <c r="N51" s="848"/>
      <c r="T51" s="856"/>
      <c r="U51" s="856"/>
      <c r="V51" s="856"/>
      <c r="W51" s="856"/>
      <c r="X51" s="856"/>
      <c r="Y51" s="856"/>
      <c r="Z51" s="856"/>
    </row>
    <row r="52" spans="1:26" ht="20.100000000000001" hidden="1" customHeight="1" x14ac:dyDescent="0.3">
      <c r="A52" s="857" t="s">
        <v>112</v>
      </c>
      <c r="B52" s="862">
        <v>2718.37</v>
      </c>
      <c r="C52" s="862">
        <v>3395.6</v>
      </c>
      <c r="D52" s="862">
        <v>5323.53</v>
      </c>
      <c r="E52" s="862">
        <v>7636.93</v>
      </c>
      <c r="F52" s="862">
        <v>35423.480000000003</v>
      </c>
      <c r="G52" s="862">
        <v>2847.4180999999999</v>
      </c>
      <c r="H52" s="863">
        <v>57610.98</v>
      </c>
      <c r="J52" s="848"/>
      <c r="K52" s="848"/>
      <c r="L52" s="848"/>
      <c r="M52" s="848"/>
      <c r="N52" s="848"/>
      <c r="T52" s="856"/>
      <c r="U52" s="856"/>
      <c r="V52" s="856"/>
      <c r="W52" s="856"/>
      <c r="X52" s="856"/>
      <c r="Y52" s="856"/>
      <c r="Z52" s="856"/>
    </row>
    <row r="53" spans="1:26" ht="20.100000000000001" hidden="1" customHeight="1" x14ac:dyDescent="0.3">
      <c r="A53" s="857" t="s">
        <v>113</v>
      </c>
      <c r="B53" s="862">
        <v>2816.29</v>
      </c>
      <c r="C53" s="862">
        <v>3525.49</v>
      </c>
      <c r="D53" s="862">
        <v>5511.3</v>
      </c>
      <c r="E53" s="862">
        <v>7748.76</v>
      </c>
      <c r="F53" s="862">
        <v>37606.58</v>
      </c>
      <c r="G53" s="862">
        <v>2876.4009000000001</v>
      </c>
      <c r="H53" s="863">
        <v>57432.46</v>
      </c>
      <c r="J53" s="848"/>
      <c r="K53" s="848"/>
      <c r="L53" s="848"/>
      <c r="M53" s="848"/>
      <c r="N53" s="848"/>
      <c r="T53" s="856"/>
      <c r="U53" s="856"/>
      <c r="V53" s="856"/>
      <c r="W53" s="856"/>
      <c r="X53" s="856"/>
      <c r="Y53" s="856"/>
      <c r="Z53" s="856"/>
    </row>
    <row r="54" spans="1:26" ht="20.100000000000001" hidden="1" customHeight="1" x14ac:dyDescent="0.3">
      <c r="A54" s="857" t="s">
        <v>107</v>
      </c>
      <c r="B54" s="862">
        <v>2901.52</v>
      </c>
      <c r="C54" s="862">
        <v>3392.9</v>
      </c>
      <c r="D54" s="862">
        <v>5406.85</v>
      </c>
      <c r="E54" s="862">
        <v>7432.42</v>
      </c>
      <c r="F54" s="862">
        <v>38645.07</v>
      </c>
      <c r="G54" s="862">
        <v>2725.2498999999998</v>
      </c>
      <c r="H54" s="863">
        <v>58668.480000000003</v>
      </c>
      <c r="J54" s="848"/>
      <c r="K54" s="848"/>
      <c r="L54" s="848"/>
      <c r="M54" s="848"/>
      <c r="N54" s="848"/>
      <c r="T54" s="856"/>
      <c r="U54" s="856"/>
      <c r="V54" s="856"/>
      <c r="W54" s="856"/>
      <c r="X54" s="856"/>
      <c r="Y54" s="856"/>
      <c r="Z54" s="856"/>
    </row>
    <row r="55" spans="1:26" ht="20.100000000000001" hidden="1" customHeight="1" x14ac:dyDescent="0.3">
      <c r="A55" s="857" t="s">
        <v>1267</v>
      </c>
      <c r="B55" s="862">
        <v>2913.98</v>
      </c>
      <c r="C55" s="862">
        <v>3399.2</v>
      </c>
      <c r="D55" s="862">
        <v>5493.49</v>
      </c>
      <c r="E55" s="862">
        <v>7510.2</v>
      </c>
      <c r="F55" s="862">
        <v>36227.14</v>
      </c>
      <c r="G55" s="862">
        <v>2821.3501000000001</v>
      </c>
      <c r="H55" s="863">
        <v>55708.47</v>
      </c>
      <c r="J55" s="848"/>
      <c r="K55" s="848"/>
      <c r="L55" s="848"/>
      <c r="M55" s="848"/>
      <c r="N55" s="848"/>
      <c r="T55" s="856"/>
      <c r="U55" s="856"/>
      <c r="V55" s="856"/>
      <c r="W55" s="856"/>
      <c r="X55" s="856"/>
      <c r="Y55" s="856"/>
      <c r="Z55" s="856"/>
    </row>
    <row r="56" spans="1:26" ht="20.100000000000001" hidden="1" customHeight="1" x14ac:dyDescent="0.3">
      <c r="A56" s="857" t="s">
        <v>109</v>
      </c>
      <c r="B56" s="862">
        <v>2711.74</v>
      </c>
      <c r="C56" s="862">
        <v>3197.51</v>
      </c>
      <c r="D56" s="862">
        <v>5093.4399999999996</v>
      </c>
      <c r="E56" s="862">
        <v>7128.1</v>
      </c>
      <c r="F56" s="862">
        <v>34442.050000000003</v>
      </c>
      <c r="G56" s="862">
        <v>2602.7831999999999</v>
      </c>
      <c r="H56" s="863">
        <v>52388.87</v>
      </c>
      <c r="J56" s="848"/>
      <c r="K56" s="848"/>
      <c r="L56" s="848"/>
      <c r="M56" s="848"/>
      <c r="N56" s="848"/>
      <c r="T56" s="856"/>
      <c r="U56" s="856"/>
      <c r="V56" s="856"/>
      <c r="W56" s="856"/>
      <c r="X56" s="856"/>
      <c r="Y56" s="856"/>
      <c r="Z56" s="856"/>
    </row>
    <row r="57" spans="1:26" ht="20.100000000000001" hidden="1" customHeight="1" x14ac:dyDescent="0.3">
      <c r="A57" s="857" t="s">
        <v>110</v>
      </c>
      <c r="B57" s="862">
        <v>2760.17</v>
      </c>
      <c r="C57" s="862">
        <v>3173.13</v>
      </c>
      <c r="D57" s="862">
        <v>5003.92</v>
      </c>
      <c r="E57" s="862">
        <v>6980.24</v>
      </c>
      <c r="F57" s="862">
        <v>36194.300000000003</v>
      </c>
      <c r="G57" s="862">
        <v>2588.1875</v>
      </c>
      <c r="H57" s="863">
        <v>50663.94</v>
      </c>
      <c r="J57" s="848"/>
      <c r="K57" s="848"/>
      <c r="L57" s="848"/>
      <c r="M57" s="848"/>
      <c r="N57" s="848"/>
      <c r="T57" s="856"/>
      <c r="U57" s="856"/>
      <c r="V57" s="856"/>
      <c r="W57" s="856"/>
      <c r="X57" s="856"/>
      <c r="Y57" s="856"/>
      <c r="Z57" s="856"/>
    </row>
    <row r="58" spans="1:26" ht="20.100000000000001" hidden="1" customHeight="1" thickBot="1" x14ac:dyDescent="0.35">
      <c r="A58" s="859" t="s">
        <v>111</v>
      </c>
      <c r="B58" s="860">
        <v>2506.85</v>
      </c>
      <c r="C58" s="860">
        <v>3001.42</v>
      </c>
      <c r="D58" s="860">
        <v>4730.6899999999996</v>
      </c>
      <c r="E58" s="860">
        <v>6728.13</v>
      </c>
      <c r="F58" s="860">
        <v>36068.33</v>
      </c>
      <c r="G58" s="860">
        <v>2493.8962000000001</v>
      </c>
      <c r="H58" s="861">
        <v>52736.86</v>
      </c>
      <c r="J58" s="848"/>
      <c r="K58" s="848"/>
      <c r="L58" s="848"/>
      <c r="M58" s="848"/>
      <c r="N58" s="848"/>
      <c r="T58" s="856"/>
      <c r="U58" s="856"/>
      <c r="V58" s="856"/>
      <c r="W58" s="856"/>
      <c r="X58" s="856"/>
      <c r="Y58" s="856"/>
      <c r="Z58" s="856"/>
    </row>
    <row r="59" spans="1:26" ht="20.100000000000001" customHeight="1" x14ac:dyDescent="0.3">
      <c r="A59" s="864" t="s">
        <v>3242</v>
      </c>
      <c r="B59" s="862">
        <v>2704.1</v>
      </c>
      <c r="C59" s="862">
        <v>3159.43</v>
      </c>
      <c r="D59" s="862">
        <v>4992.72</v>
      </c>
      <c r="E59" s="862">
        <v>6968.85</v>
      </c>
      <c r="F59" s="862">
        <v>36256.69</v>
      </c>
      <c r="G59" s="862">
        <v>2584.5720000000001</v>
      </c>
      <c r="H59" s="863">
        <v>54156.75</v>
      </c>
      <c r="J59" s="848"/>
      <c r="K59" s="848"/>
      <c r="L59" s="848"/>
      <c r="M59" s="848"/>
      <c r="N59" s="848"/>
      <c r="T59" s="856"/>
      <c r="U59" s="856"/>
      <c r="V59" s="856"/>
      <c r="W59" s="856"/>
      <c r="X59" s="856"/>
      <c r="Y59" s="856"/>
      <c r="Z59" s="856"/>
    </row>
    <row r="60" spans="1:26" ht="20.100000000000001" customHeight="1" x14ac:dyDescent="0.3">
      <c r="A60" s="857" t="s">
        <v>104</v>
      </c>
      <c r="B60" s="862">
        <v>2784.49</v>
      </c>
      <c r="C60" s="862">
        <v>3298.26</v>
      </c>
      <c r="D60" s="862">
        <v>5240.53</v>
      </c>
      <c r="E60" s="862">
        <v>7074.73</v>
      </c>
      <c r="F60" s="862">
        <v>35867.440000000002</v>
      </c>
      <c r="G60" s="862">
        <v>2940.9537999999998</v>
      </c>
      <c r="H60" s="863">
        <v>56002.080000000002</v>
      </c>
      <c r="J60" s="848"/>
      <c r="K60" s="848"/>
      <c r="L60" s="848"/>
      <c r="M60" s="848"/>
      <c r="N60" s="848"/>
      <c r="T60" s="856"/>
      <c r="U60" s="856"/>
      <c r="V60" s="856"/>
      <c r="W60" s="856"/>
      <c r="X60" s="856"/>
      <c r="Y60" s="856"/>
      <c r="Z60" s="856"/>
    </row>
    <row r="61" spans="1:26" ht="20.100000000000001" customHeight="1" x14ac:dyDescent="0.3">
      <c r="A61" s="857" t="s">
        <v>1077</v>
      </c>
      <c r="B61" s="862">
        <v>2834.4</v>
      </c>
      <c r="C61" s="862">
        <v>3351.71</v>
      </c>
      <c r="D61" s="862">
        <v>5350.53</v>
      </c>
      <c r="E61" s="862">
        <v>7279.19</v>
      </c>
      <c r="F61" s="862">
        <v>38672.910000000003</v>
      </c>
      <c r="G61" s="862">
        <v>3090.7579999999998</v>
      </c>
      <c r="H61" s="863">
        <v>56462.55</v>
      </c>
      <c r="T61" s="856"/>
      <c r="U61" s="856"/>
      <c r="V61" s="856"/>
      <c r="W61" s="856"/>
      <c r="X61" s="856"/>
      <c r="Y61" s="856"/>
      <c r="Z61" s="856"/>
    </row>
    <row r="62" spans="1:26" ht="20.100000000000001" customHeight="1" x14ac:dyDescent="0.3">
      <c r="A62" s="857" t="s">
        <v>105</v>
      </c>
      <c r="B62" s="862">
        <v>2945.83</v>
      </c>
      <c r="C62" s="862">
        <v>3514.62</v>
      </c>
      <c r="D62" s="862">
        <v>5586.41</v>
      </c>
      <c r="E62" s="862">
        <v>7418.22</v>
      </c>
      <c r="F62" s="862">
        <v>39031.550000000003</v>
      </c>
      <c r="G62" s="862">
        <v>3078.3389000000002</v>
      </c>
      <c r="H62" s="863">
        <v>58528.4</v>
      </c>
      <c r="T62" s="856"/>
      <c r="U62" s="856"/>
      <c r="V62" s="856"/>
      <c r="W62" s="856"/>
      <c r="X62" s="856"/>
      <c r="Y62" s="856"/>
      <c r="Z62" s="856"/>
    </row>
    <row r="63" spans="1:26" ht="20.100000000000001" customHeight="1" x14ac:dyDescent="0.3">
      <c r="A63" s="857" t="s">
        <v>106</v>
      </c>
      <c r="B63" s="862">
        <v>2752.06</v>
      </c>
      <c r="C63" s="862">
        <v>3280.43</v>
      </c>
      <c r="D63" s="862">
        <v>5207.63</v>
      </c>
      <c r="E63" s="862">
        <v>7161.71</v>
      </c>
      <c r="F63" s="862">
        <v>39714.199999999997</v>
      </c>
      <c r="G63" s="862">
        <v>2898.6961000000001</v>
      </c>
      <c r="H63" s="863">
        <v>55650.41</v>
      </c>
      <c r="T63" s="856"/>
      <c r="U63" s="856"/>
      <c r="V63" s="856"/>
      <c r="W63" s="856"/>
      <c r="X63" s="856"/>
      <c r="Y63" s="856"/>
      <c r="Z63" s="856"/>
    </row>
    <row r="64" spans="1:26" ht="20.100000000000001" customHeight="1" x14ac:dyDescent="0.3">
      <c r="A64" s="857" t="s">
        <v>112</v>
      </c>
      <c r="B64" s="862">
        <v>2941.76</v>
      </c>
      <c r="C64" s="862">
        <v>3473.69</v>
      </c>
      <c r="D64" s="862">
        <v>5538.97</v>
      </c>
      <c r="E64" s="862">
        <v>7425.63</v>
      </c>
      <c r="F64" s="862">
        <v>39394.639999999999</v>
      </c>
      <c r="G64" s="862">
        <v>2978.8784000000001</v>
      </c>
      <c r="H64" s="863">
        <v>58203.839999999997</v>
      </c>
      <c r="T64" s="856"/>
      <c r="U64" s="856"/>
      <c r="V64" s="856"/>
      <c r="W64" s="856"/>
      <c r="X64" s="856"/>
      <c r="Y64" s="856"/>
      <c r="Z64" s="856"/>
    </row>
    <row r="65" spans="1:26" ht="20.100000000000001" customHeight="1" x14ac:dyDescent="0.3">
      <c r="A65" s="857" t="s">
        <v>113</v>
      </c>
      <c r="B65" s="862">
        <v>2980.38</v>
      </c>
      <c r="C65" s="862">
        <v>3466.85</v>
      </c>
      <c r="D65" s="862">
        <v>5518.9</v>
      </c>
      <c r="E65" s="862">
        <v>7586.78</v>
      </c>
      <c r="F65" s="862">
        <v>37481.120000000003</v>
      </c>
      <c r="G65" s="862">
        <v>2932.5057999999999</v>
      </c>
      <c r="H65" s="863">
        <v>56784.61</v>
      </c>
      <c r="T65" s="856"/>
      <c r="U65" s="856"/>
      <c r="V65" s="856"/>
      <c r="W65" s="856"/>
      <c r="X65" s="856"/>
      <c r="Y65" s="856"/>
      <c r="Z65" s="856"/>
    </row>
    <row r="66" spans="1:26" ht="20.100000000000001" customHeight="1" x14ac:dyDescent="0.3">
      <c r="A66" s="857" t="s">
        <v>107</v>
      </c>
      <c r="B66" s="862">
        <v>2926.46</v>
      </c>
      <c r="C66" s="862">
        <v>3426.76</v>
      </c>
      <c r="D66" s="862">
        <v>5480.48</v>
      </c>
      <c r="E66" s="862">
        <v>7207.18</v>
      </c>
      <c r="F66" s="862">
        <v>37332.79</v>
      </c>
      <c r="G66" s="862">
        <v>2886.2365</v>
      </c>
      <c r="H66" s="863">
        <v>55259.57</v>
      </c>
      <c r="T66" s="856"/>
      <c r="U66" s="856"/>
      <c r="V66" s="856"/>
      <c r="W66" s="856"/>
      <c r="X66" s="856"/>
      <c r="Y66" s="856"/>
      <c r="Z66" s="856"/>
    </row>
    <row r="67" spans="1:26" ht="20.100000000000001" customHeight="1" x14ac:dyDescent="0.3">
      <c r="A67" s="857" t="s">
        <v>108</v>
      </c>
      <c r="B67" s="862">
        <v>2976.74</v>
      </c>
      <c r="C67" s="862">
        <v>3569.45</v>
      </c>
      <c r="D67" s="862">
        <v>5677.79</v>
      </c>
      <c r="E67" s="862">
        <v>7408.21</v>
      </c>
      <c r="F67" s="862">
        <v>38667.33</v>
      </c>
      <c r="G67" s="862">
        <v>2905.1891999999998</v>
      </c>
      <c r="H67" s="863">
        <v>54824.97</v>
      </c>
      <c r="T67" s="856"/>
      <c r="U67" s="856"/>
      <c r="V67" s="856"/>
      <c r="W67" s="856"/>
      <c r="X67" s="856"/>
      <c r="Y67" s="856"/>
      <c r="Z67" s="856"/>
    </row>
    <row r="68" spans="1:26" ht="20.100000000000001" customHeight="1" x14ac:dyDescent="0.3">
      <c r="A68" s="857" t="s">
        <v>109</v>
      </c>
      <c r="B68" s="862">
        <v>3037.56</v>
      </c>
      <c r="C68" s="862">
        <v>3604.41</v>
      </c>
      <c r="D68" s="862">
        <v>5729.86</v>
      </c>
      <c r="E68" s="862">
        <v>7248.38</v>
      </c>
      <c r="F68" s="862">
        <v>40129.050000000003</v>
      </c>
      <c r="G68" s="862">
        <v>2929.0560999999998</v>
      </c>
      <c r="H68" s="863">
        <v>56425.11</v>
      </c>
      <c r="T68" s="856"/>
      <c r="U68" s="856"/>
      <c r="V68" s="856"/>
      <c r="W68" s="856"/>
      <c r="X68" s="856"/>
      <c r="Y68" s="856"/>
      <c r="Z68" s="856"/>
    </row>
    <row r="69" spans="1:26" ht="20.100000000000001" customHeight="1" x14ac:dyDescent="0.3">
      <c r="A69" s="857" t="s">
        <v>110</v>
      </c>
      <c r="B69" s="862">
        <v>3140.98</v>
      </c>
      <c r="C69" s="862">
        <v>3703.58</v>
      </c>
      <c r="D69" s="862">
        <v>5905.17</v>
      </c>
      <c r="E69" s="862">
        <v>7346.53</v>
      </c>
      <c r="F69" s="862">
        <v>40793.81</v>
      </c>
      <c r="G69" s="862">
        <v>2871.9812999999999</v>
      </c>
      <c r="H69" s="863">
        <v>55349.01</v>
      </c>
      <c r="T69" s="856"/>
      <c r="U69" s="856"/>
      <c r="V69" s="856"/>
      <c r="W69" s="856"/>
      <c r="X69" s="856"/>
      <c r="Y69" s="856"/>
      <c r="Z69" s="856"/>
    </row>
    <row r="70" spans="1:26" ht="20.100000000000001" customHeight="1" thickBot="1" x14ac:dyDescent="0.35">
      <c r="A70" s="865" t="s">
        <v>111</v>
      </c>
      <c r="B70" s="866">
        <v>3230.78</v>
      </c>
      <c r="C70" s="866">
        <v>3745.15</v>
      </c>
      <c r="D70" s="866">
        <v>5978.06</v>
      </c>
      <c r="E70" s="866">
        <v>7542.44</v>
      </c>
      <c r="F70" s="866">
        <v>41253.74</v>
      </c>
      <c r="G70" s="866">
        <v>3050.1239999999998</v>
      </c>
      <c r="H70" s="867">
        <v>57084.1</v>
      </c>
      <c r="T70" s="856"/>
      <c r="U70" s="856"/>
      <c r="V70" s="856"/>
      <c r="W70" s="856"/>
      <c r="X70" s="856"/>
      <c r="Y70" s="856"/>
      <c r="Z70" s="856"/>
    </row>
    <row r="71" spans="1:26" ht="20.100000000000001" customHeight="1" thickTop="1" x14ac:dyDescent="0.3">
      <c r="A71" s="868" t="s">
        <v>1095</v>
      </c>
      <c r="B71" s="869">
        <v>3225.52</v>
      </c>
      <c r="C71" s="869">
        <v>3640.91</v>
      </c>
      <c r="D71" s="869">
        <v>5806.34</v>
      </c>
      <c r="E71" s="869">
        <v>7286.01</v>
      </c>
      <c r="F71" s="869">
        <v>40723.49</v>
      </c>
      <c r="G71" s="869">
        <v>2976.5281</v>
      </c>
      <c r="H71" s="870">
        <v>56079.54</v>
      </c>
      <c r="T71" s="856"/>
      <c r="U71" s="856"/>
      <c r="V71" s="856"/>
      <c r="W71" s="856"/>
      <c r="X71" s="856"/>
      <c r="Y71" s="856"/>
      <c r="Z71" s="856"/>
    </row>
    <row r="72" spans="1:26" ht="20.100000000000001" customHeight="1" x14ac:dyDescent="0.3">
      <c r="A72" s="857" t="s">
        <v>1269</v>
      </c>
      <c r="B72" s="862">
        <v>2954.22</v>
      </c>
      <c r="C72" s="862">
        <v>3329.49</v>
      </c>
      <c r="D72" s="862">
        <v>5309.9</v>
      </c>
      <c r="E72" s="862">
        <v>6580.61</v>
      </c>
      <c r="F72" s="862">
        <v>38297.29</v>
      </c>
      <c r="G72" s="862">
        <v>2880.3038000000001</v>
      </c>
      <c r="H72" s="863">
        <v>51038.18</v>
      </c>
      <c r="T72" s="856"/>
      <c r="U72" s="856"/>
      <c r="V72" s="856"/>
      <c r="W72" s="856"/>
      <c r="X72" s="856"/>
      <c r="Y72" s="856"/>
      <c r="Z72" s="856"/>
    </row>
    <row r="73" spans="1:26" ht="20.100000000000001" customHeight="1" x14ac:dyDescent="0.3">
      <c r="A73" s="857" t="s">
        <v>1077</v>
      </c>
      <c r="B73" s="862">
        <v>2585</v>
      </c>
      <c r="C73" s="862">
        <v>2787</v>
      </c>
      <c r="D73" s="862">
        <v>4396</v>
      </c>
      <c r="E73" s="862">
        <v>5672</v>
      </c>
      <c r="F73" s="862">
        <v>29468.49</v>
      </c>
      <c r="G73" s="862">
        <v>2750</v>
      </c>
      <c r="H73" s="863">
        <v>44490.31</v>
      </c>
      <c r="T73" s="856"/>
      <c r="U73" s="856"/>
      <c r="V73" s="856"/>
      <c r="W73" s="856"/>
      <c r="X73" s="856"/>
      <c r="Y73" s="856"/>
      <c r="Z73" s="856"/>
    </row>
    <row r="74" spans="1:26" ht="20.100000000000001" customHeight="1" x14ac:dyDescent="0.3">
      <c r="A74" s="857" t="s">
        <v>105</v>
      </c>
      <c r="B74" s="862">
        <v>2912</v>
      </c>
      <c r="C74" s="862">
        <v>2928</v>
      </c>
      <c r="D74" s="862">
        <v>4572</v>
      </c>
      <c r="E74" s="862">
        <v>5901</v>
      </c>
      <c r="F74" s="862">
        <v>33718</v>
      </c>
      <c r="G74" s="862">
        <v>2860</v>
      </c>
      <c r="H74" s="863">
        <v>50336.72</v>
      </c>
      <c r="T74" s="856"/>
      <c r="U74" s="856"/>
      <c r="V74" s="856"/>
      <c r="W74" s="856"/>
      <c r="X74" s="856"/>
      <c r="Y74" s="856"/>
      <c r="Z74" s="856"/>
    </row>
    <row r="75" spans="1:26" ht="20.100000000000001" customHeight="1" x14ac:dyDescent="0.3">
      <c r="A75" s="857" t="s">
        <v>106</v>
      </c>
      <c r="B75" s="862">
        <v>3044.31</v>
      </c>
      <c r="C75" s="862">
        <v>3050.2</v>
      </c>
      <c r="D75" s="862">
        <v>4695.4399999999996</v>
      </c>
      <c r="E75" s="862">
        <v>6076.6</v>
      </c>
      <c r="F75" s="862">
        <v>32424.1</v>
      </c>
      <c r="G75" s="862">
        <v>2852.3512000000001</v>
      </c>
      <c r="H75" s="863">
        <v>50483</v>
      </c>
      <c r="T75" s="856"/>
      <c r="U75" s="856"/>
      <c r="V75" s="856"/>
      <c r="W75" s="856"/>
      <c r="X75" s="856"/>
      <c r="Y75" s="856"/>
      <c r="Z75" s="856"/>
    </row>
    <row r="76" spans="1:26" ht="20.100000000000001" customHeight="1" x14ac:dyDescent="0.3">
      <c r="A76" s="857" t="s">
        <v>112</v>
      </c>
      <c r="B76" s="862">
        <v>3100.29</v>
      </c>
      <c r="C76" s="862">
        <v>3234.07</v>
      </c>
      <c r="D76" s="862">
        <v>4935.99</v>
      </c>
      <c r="E76" s="862">
        <v>6169.74</v>
      </c>
      <c r="F76" s="862">
        <v>34915.800000000003</v>
      </c>
      <c r="G76" s="862">
        <v>2984.6741000000002</v>
      </c>
      <c r="H76" s="863">
        <v>54362.36</v>
      </c>
      <c r="T76" s="856"/>
      <c r="U76" s="856"/>
      <c r="V76" s="856"/>
      <c r="W76" s="856"/>
      <c r="X76" s="856"/>
      <c r="Y76" s="856"/>
      <c r="Z76" s="856"/>
    </row>
    <row r="77" spans="1:26" ht="20.100000000000001" customHeight="1" x14ac:dyDescent="0.3">
      <c r="A77" s="857" t="s">
        <v>113</v>
      </c>
      <c r="B77" s="862">
        <v>3271.12</v>
      </c>
      <c r="C77" s="862">
        <v>3174.32</v>
      </c>
      <c r="D77" s="862">
        <v>4783.6899999999996</v>
      </c>
      <c r="E77" s="862">
        <v>5897.76</v>
      </c>
      <c r="F77" s="862">
        <v>37606.89</v>
      </c>
      <c r="G77" s="862">
        <v>3310.0065</v>
      </c>
      <c r="H77" s="863">
        <v>55721.8</v>
      </c>
      <c r="T77" s="856"/>
      <c r="U77" s="856"/>
      <c r="V77" s="856"/>
      <c r="W77" s="856"/>
      <c r="X77" s="856"/>
      <c r="Y77" s="856"/>
      <c r="Z77" s="856"/>
    </row>
    <row r="78" spans="1:26" ht="20.100000000000001" customHeight="1" x14ac:dyDescent="0.3">
      <c r="A78" s="857" t="s">
        <v>107</v>
      </c>
      <c r="B78" s="862">
        <v>3500.31</v>
      </c>
      <c r="C78" s="862">
        <v>3272.51</v>
      </c>
      <c r="D78" s="862">
        <v>4947.22</v>
      </c>
      <c r="E78" s="862">
        <v>5963.57</v>
      </c>
      <c r="F78" s="862">
        <v>38628.29</v>
      </c>
      <c r="G78" s="862">
        <v>3395.6774999999998</v>
      </c>
      <c r="H78" s="863">
        <v>55476.11</v>
      </c>
      <c r="T78" s="856"/>
      <c r="U78" s="856"/>
      <c r="V78" s="856"/>
      <c r="W78" s="856"/>
      <c r="X78" s="856"/>
      <c r="Y78" s="856"/>
      <c r="Z78" s="856"/>
    </row>
    <row r="79" spans="1:26" ht="20.100000000000001" customHeight="1" x14ac:dyDescent="0.3">
      <c r="A79" s="857" t="s">
        <v>108</v>
      </c>
      <c r="B79" s="862">
        <v>3363</v>
      </c>
      <c r="C79" s="862">
        <v>3193.61</v>
      </c>
      <c r="D79" s="862">
        <v>4803.4399999999996</v>
      </c>
      <c r="E79" s="862">
        <v>5866.1</v>
      </c>
      <c r="F79" s="862">
        <v>38067.93</v>
      </c>
      <c r="G79" s="862">
        <v>3218.0520999999999</v>
      </c>
      <c r="H79" s="863">
        <v>54264.959999999999</v>
      </c>
      <c r="T79" s="856"/>
      <c r="U79" s="856"/>
      <c r="V79" s="856"/>
      <c r="W79" s="856"/>
      <c r="X79" s="856"/>
      <c r="Y79" s="856"/>
      <c r="Z79" s="856"/>
    </row>
    <row r="80" spans="1:26" ht="20.100000000000001" customHeight="1" x14ac:dyDescent="0.3">
      <c r="A80" s="857" t="s">
        <v>109</v>
      </c>
      <c r="B80" s="862">
        <v>3269.96</v>
      </c>
      <c r="C80" s="862">
        <v>2958.21</v>
      </c>
      <c r="D80" s="862">
        <v>4594.24</v>
      </c>
      <c r="E80" s="862">
        <v>5577.27</v>
      </c>
      <c r="F80" s="862">
        <v>39614.07</v>
      </c>
      <c r="G80" s="862">
        <v>3224.5324999999998</v>
      </c>
      <c r="H80" s="863">
        <v>51684.7</v>
      </c>
      <c r="T80" s="856"/>
      <c r="U80" s="856"/>
      <c r="V80" s="856"/>
      <c r="W80" s="856"/>
      <c r="X80" s="856"/>
      <c r="Y80" s="856"/>
      <c r="Z80" s="856"/>
    </row>
    <row r="81" spans="1:26" ht="20.100000000000001" customHeight="1" x14ac:dyDescent="0.3">
      <c r="A81" s="857" t="s">
        <v>110</v>
      </c>
      <c r="B81" s="862">
        <v>3622</v>
      </c>
      <c r="C81" s="862">
        <v>3493</v>
      </c>
      <c r="D81" s="862">
        <v>5519</v>
      </c>
      <c r="E81" s="862">
        <v>6266</v>
      </c>
      <c r="F81" s="862">
        <v>44150</v>
      </c>
      <c r="G81" s="862">
        <v>3392</v>
      </c>
      <c r="H81" s="863">
        <v>57091.89</v>
      </c>
      <c r="T81" s="856"/>
      <c r="U81" s="856"/>
      <c r="V81" s="856"/>
      <c r="W81" s="856"/>
      <c r="X81" s="856"/>
      <c r="Y81" s="856"/>
      <c r="Z81" s="856"/>
    </row>
    <row r="82" spans="1:26" ht="20.100000000000001" customHeight="1" thickBot="1" x14ac:dyDescent="0.35">
      <c r="A82" s="865" t="s">
        <v>111</v>
      </c>
      <c r="B82" s="866">
        <v>3756</v>
      </c>
      <c r="C82" s="866">
        <v>3553</v>
      </c>
      <c r="D82" s="866">
        <v>5551</v>
      </c>
      <c r="E82" s="866">
        <v>6461</v>
      </c>
      <c r="F82" s="866">
        <v>47751</v>
      </c>
      <c r="G82" s="866">
        <v>3473</v>
      </c>
      <c r="H82" s="867">
        <v>59408.68</v>
      </c>
      <c r="T82" s="856"/>
      <c r="U82" s="856"/>
      <c r="V82" s="856"/>
      <c r="W82" s="856"/>
      <c r="X82" s="856"/>
      <c r="Y82" s="856"/>
      <c r="Z82" s="856"/>
    </row>
    <row r="83" spans="1:26" ht="20.100000000000001" customHeight="1" thickTop="1" x14ac:dyDescent="0.3">
      <c r="A83" s="857" t="s">
        <v>1103</v>
      </c>
      <c r="B83" s="862">
        <v>3714.24</v>
      </c>
      <c r="C83" s="862">
        <v>3481.44</v>
      </c>
      <c r="D83" s="862">
        <v>5399.21</v>
      </c>
      <c r="E83" s="862">
        <v>6407.46</v>
      </c>
      <c r="F83" s="862">
        <v>46285.77</v>
      </c>
      <c r="G83" s="862">
        <v>3483.0691999999999</v>
      </c>
      <c r="H83" s="863">
        <v>62472.1</v>
      </c>
      <c r="T83" s="856"/>
      <c r="U83" s="856"/>
      <c r="V83" s="856"/>
      <c r="W83" s="856"/>
      <c r="X83" s="856"/>
      <c r="Y83" s="856"/>
      <c r="Z83" s="856"/>
    </row>
    <row r="84" spans="1:26" ht="20.100000000000001" customHeight="1" x14ac:dyDescent="0.3">
      <c r="A84" s="857" t="s">
        <v>1270</v>
      </c>
      <c r="B84" s="862">
        <v>3811.15</v>
      </c>
      <c r="C84" s="862">
        <v>3636.44</v>
      </c>
      <c r="D84" s="862">
        <v>5703.22</v>
      </c>
      <c r="E84" s="862">
        <v>6483.43</v>
      </c>
      <c r="F84" s="862">
        <v>49099.99</v>
      </c>
      <c r="G84" s="862">
        <v>3509.0803999999998</v>
      </c>
      <c r="H84" s="863">
        <v>66138.05</v>
      </c>
      <c r="T84" s="856"/>
      <c r="U84" s="856"/>
      <c r="V84" s="856"/>
      <c r="W84" s="856"/>
      <c r="X84" s="856"/>
      <c r="Y84" s="856"/>
      <c r="Z84" s="856"/>
    </row>
    <row r="85" spans="1:26" ht="20.100000000000001" customHeight="1" x14ac:dyDescent="0.3">
      <c r="A85" s="857" t="s">
        <v>1077</v>
      </c>
      <c r="B85" s="862">
        <v>3972.89</v>
      </c>
      <c r="C85" s="862">
        <v>3919.21</v>
      </c>
      <c r="D85" s="862">
        <v>6067.23</v>
      </c>
      <c r="E85" s="862">
        <v>6713.63</v>
      </c>
      <c r="F85" s="862">
        <v>49509.15</v>
      </c>
      <c r="G85" s="862">
        <v>3441.9115000000002</v>
      </c>
      <c r="H85" s="863">
        <v>66485.289999999994</v>
      </c>
      <c r="T85" s="856"/>
      <c r="U85" s="856"/>
      <c r="V85" s="856"/>
      <c r="W85" s="856"/>
      <c r="X85" s="856"/>
      <c r="Y85" s="856"/>
      <c r="Z85" s="856"/>
    </row>
    <row r="86" spans="1:26" ht="20.100000000000001" customHeight="1" x14ac:dyDescent="0.3">
      <c r="A86" s="857" t="s">
        <v>105</v>
      </c>
      <c r="B86" s="862">
        <v>4181.17</v>
      </c>
      <c r="C86" s="862">
        <v>3974.74</v>
      </c>
      <c r="D86" s="862">
        <v>6269.48</v>
      </c>
      <c r="E86" s="862">
        <v>6969.81</v>
      </c>
      <c r="F86" s="862">
        <v>48782.36</v>
      </c>
      <c r="G86" s="862">
        <v>3446.8564000000001</v>
      </c>
      <c r="H86" s="863">
        <v>66937</v>
      </c>
      <c r="T86" s="856"/>
      <c r="U86" s="856"/>
      <c r="V86" s="856"/>
      <c r="W86" s="856"/>
      <c r="X86" s="856"/>
      <c r="Y86" s="856"/>
      <c r="Z86" s="856"/>
    </row>
    <row r="87" spans="1:26" ht="20.100000000000001" customHeight="1" x14ac:dyDescent="0.3">
      <c r="A87" s="857" t="s">
        <v>106</v>
      </c>
      <c r="B87" s="862">
        <v>4204.1099999999997</v>
      </c>
      <c r="C87" s="862">
        <v>4039.46</v>
      </c>
      <c r="D87" s="862">
        <v>6447.17</v>
      </c>
      <c r="E87" s="862">
        <v>7022.61</v>
      </c>
      <c r="F87" s="862">
        <v>51937.440000000002</v>
      </c>
      <c r="G87" s="862">
        <v>3615.4773</v>
      </c>
      <c r="H87" s="863">
        <v>67964.039999999994</v>
      </c>
      <c r="T87" s="856"/>
      <c r="U87" s="856"/>
      <c r="V87" s="856"/>
      <c r="W87" s="856"/>
      <c r="X87" s="856"/>
      <c r="Y87" s="856"/>
      <c r="Z87" s="856"/>
    </row>
    <row r="88" spans="1:26" ht="20.100000000000001" customHeight="1" x14ac:dyDescent="0.3">
      <c r="A88" s="857" t="s">
        <v>112</v>
      </c>
      <c r="B88" s="862">
        <v>4297.5</v>
      </c>
      <c r="C88" s="862">
        <v>4064.3</v>
      </c>
      <c r="D88" s="862">
        <v>6507.83</v>
      </c>
      <c r="E88" s="862">
        <v>7037.47</v>
      </c>
      <c r="F88" s="862">
        <v>52482.71</v>
      </c>
      <c r="G88" s="862">
        <v>3591.1970000000001</v>
      </c>
      <c r="H88" s="863">
        <v>66248.740000000005</v>
      </c>
      <c r="T88" s="856"/>
      <c r="U88" s="856"/>
      <c r="V88" s="856"/>
      <c r="W88" s="856"/>
      <c r="X88" s="856"/>
      <c r="Y88" s="856"/>
      <c r="Z88" s="856"/>
    </row>
    <row r="89" spans="1:26" ht="20.100000000000001" customHeight="1" thickBot="1" x14ac:dyDescent="0.35">
      <c r="A89" s="865" t="s">
        <v>113</v>
      </c>
      <c r="B89" s="866">
        <v>4395.26</v>
      </c>
      <c r="C89" s="866">
        <v>4089.3</v>
      </c>
      <c r="D89" s="866">
        <v>6612.76</v>
      </c>
      <c r="E89" s="866">
        <v>7032.3</v>
      </c>
      <c r="F89" s="866">
        <v>52586.84</v>
      </c>
      <c r="G89" s="866">
        <v>3397.3573999999999</v>
      </c>
      <c r="H89" s="867">
        <v>68970.78</v>
      </c>
      <c r="T89" s="856"/>
      <c r="U89" s="856"/>
      <c r="V89" s="856"/>
      <c r="W89" s="856"/>
      <c r="X89" s="856"/>
      <c r="Y89" s="856"/>
      <c r="Z89" s="856"/>
    </row>
    <row r="90" spans="1:26" s="1148" customFormat="1" ht="19.5" thickTop="1" x14ac:dyDescent="0.3">
      <c r="A90" s="1148" t="s">
        <v>3243</v>
      </c>
    </row>
    <row r="91" spans="1:26" s="1148" customFormat="1" ht="17.25" x14ac:dyDescent="0.3">
      <c r="A91" s="1148" t="s">
        <v>1271</v>
      </c>
      <c r="B91" s="1149"/>
      <c r="C91" s="1149"/>
      <c r="D91" s="1149"/>
      <c r="E91" s="1149"/>
      <c r="F91" s="1149"/>
      <c r="G91" s="1149"/>
      <c r="H91" s="1149"/>
    </row>
    <row r="92" spans="1:26" x14ac:dyDescent="0.3">
      <c r="B92" s="848"/>
      <c r="C92" s="848"/>
      <c r="D92" s="848"/>
      <c r="E92" s="848"/>
      <c r="F92" s="848"/>
      <c r="G92" s="848"/>
      <c r="H92" s="848"/>
    </row>
  </sheetData>
  <mergeCells count="1">
    <mergeCell ref="A3:A4"/>
  </mergeCells>
  <pageMargins left="0.75" right="0.75" top="0.75" bottom="0.75" header="0.3" footer="0"/>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137"/>
  <sheetViews>
    <sheetView zoomScaleNormal="100" zoomScaleSheetLayoutView="110" workbookViewId="0">
      <pane xSplit="1" ySplit="77" topLeftCell="B123" activePane="bottomRight" state="frozen"/>
      <selection activeCell="I35" sqref="I35"/>
      <selection pane="topRight" activeCell="I35" sqref="I35"/>
      <selection pane="bottomLeft" activeCell="I35" sqref="I35"/>
      <selection pane="bottomRight"/>
    </sheetView>
  </sheetViews>
  <sheetFormatPr defaultRowHeight="16.5" x14ac:dyDescent="0.3"/>
  <cols>
    <col min="1" max="1" width="14.7109375" style="1510" customWidth="1"/>
    <col min="2" max="2" width="17.140625" style="1510" customWidth="1"/>
    <col min="3" max="3" width="15" style="1510" customWidth="1"/>
    <col min="4" max="4" width="12.28515625" style="1510" bestFit="1" customWidth="1"/>
    <col min="5" max="5" width="14.140625" style="1510" bestFit="1" customWidth="1"/>
    <col min="6" max="6" width="17.42578125" style="1510" customWidth="1"/>
    <col min="7" max="7" width="8.42578125" style="1510" customWidth="1"/>
    <col min="8" max="256" width="9.140625" style="1510"/>
    <col min="257" max="257" width="14.7109375" style="1510" customWidth="1"/>
    <col min="258" max="258" width="17.140625" style="1510" customWidth="1"/>
    <col min="259" max="259" width="15" style="1510" customWidth="1"/>
    <col min="260" max="260" width="12.28515625" style="1510" bestFit="1" customWidth="1"/>
    <col min="261" max="261" width="14.140625" style="1510" bestFit="1" customWidth="1"/>
    <col min="262" max="262" width="17.42578125" style="1510" customWidth="1"/>
    <col min="263" max="263" width="8.42578125" style="1510" customWidth="1"/>
    <col min="264" max="512" width="9.140625" style="1510"/>
    <col min="513" max="513" width="14.7109375" style="1510" customWidth="1"/>
    <col min="514" max="514" width="17.140625" style="1510" customWidth="1"/>
    <col min="515" max="515" width="15" style="1510" customWidth="1"/>
    <col min="516" max="516" width="12.28515625" style="1510" bestFit="1" customWidth="1"/>
    <col min="517" max="517" width="14.140625" style="1510" bestFit="1" customWidth="1"/>
    <col min="518" max="518" width="17.42578125" style="1510" customWidth="1"/>
    <col min="519" max="519" width="8.42578125" style="1510" customWidth="1"/>
    <col min="520" max="768" width="9.140625" style="1510"/>
    <col min="769" max="769" width="14.7109375" style="1510" customWidth="1"/>
    <col min="770" max="770" width="17.140625" style="1510" customWidth="1"/>
    <col min="771" max="771" width="15" style="1510" customWidth="1"/>
    <col min="772" max="772" width="12.28515625" style="1510" bestFit="1" customWidth="1"/>
    <col min="773" max="773" width="14.140625" style="1510" bestFit="1" customWidth="1"/>
    <col min="774" max="774" width="17.42578125" style="1510" customWidth="1"/>
    <col min="775" max="775" width="8.42578125" style="1510" customWidth="1"/>
    <col min="776" max="1024" width="9.140625" style="1510"/>
    <col min="1025" max="1025" width="14.7109375" style="1510" customWidth="1"/>
    <col min="1026" max="1026" width="17.140625" style="1510" customWidth="1"/>
    <col min="1027" max="1027" width="15" style="1510" customWidth="1"/>
    <col min="1028" max="1028" width="12.28515625" style="1510" bestFit="1" customWidth="1"/>
    <col min="1029" max="1029" width="14.140625" style="1510" bestFit="1" customWidth="1"/>
    <col min="1030" max="1030" width="17.42578125" style="1510" customWidth="1"/>
    <col min="1031" max="1031" width="8.42578125" style="1510" customWidth="1"/>
    <col min="1032" max="1280" width="9.140625" style="1510"/>
    <col min="1281" max="1281" width="14.7109375" style="1510" customWidth="1"/>
    <col min="1282" max="1282" width="17.140625" style="1510" customWidth="1"/>
    <col min="1283" max="1283" width="15" style="1510" customWidth="1"/>
    <col min="1284" max="1284" width="12.28515625" style="1510" bestFit="1" customWidth="1"/>
    <col min="1285" max="1285" width="14.140625" style="1510" bestFit="1" customWidth="1"/>
    <col min="1286" max="1286" width="17.42578125" style="1510" customWidth="1"/>
    <col min="1287" max="1287" width="8.42578125" style="1510" customWidth="1"/>
    <col min="1288" max="1536" width="9.140625" style="1510"/>
    <col min="1537" max="1537" width="14.7109375" style="1510" customWidth="1"/>
    <col min="1538" max="1538" width="17.140625" style="1510" customWidth="1"/>
    <col min="1539" max="1539" width="15" style="1510" customWidth="1"/>
    <col min="1540" max="1540" width="12.28515625" style="1510" bestFit="1" customWidth="1"/>
    <col min="1541" max="1541" width="14.140625" style="1510" bestFit="1" customWidth="1"/>
    <col min="1542" max="1542" width="17.42578125" style="1510" customWidth="1"/>
    <col min="1543" max="1543" width="8.42578125" style="1510" customWidth="1"/>
    <col min="1544" max="1792" width="9.140625" style="1510"/>
    <col min="1793" max="1793" width="14.7109375" style="1510" customWidth="1"/>
    <col min="1794" max="1794" width="17.140625" style="1510" customWidth="1"/>
    <col min="1795" max="1795" width="15" style="1510" customWidth="1"/>
    <col min="1796" max="1796" width="12.28515625" style="1510" bestFit="1" customWidth="1"/>
    <col min="1797" max="1797" width="14.140625" style="1510" bestFit="1" customWidth="1"/>
    <col min="1798" max="1798" width="17.42578125" style="1510" customWidth="1"/>
    <col min="1799" max="1799" width="8.42578125" style="1510" customWidth="1"/>
    <col min="1800" max="2048" width="9.140625" style="1510"/>
    <col min="2049" max="2049" width="14.7109375" style="1510" customWidth="1"/>
    <col min="2050" max="2050" width="17.140625" style="1510" customWidth="1"/>
    <col min="2051" max="2051" width="15" style="1510" customWidth="1"/>
    <col min="2052" max="2052" width="12.28515625" style="1510" bestFit="1" customWidth="1"/>
    <col min="2053" max="2053" width="14.140625" style="1510" bestFit="1" customWidth="1"/>
    <col min="2054" max="2054" width="17.42578125" style="1510" customWidth="1"/>
    <col min="2055" max="2055" width="8.42578125" style="1510" customWidth="1"/>
    <col min="2056" max="2304" width="9.140625" style="1510"/>
    <col min="2305" max="2305" width="14.7109375" style="1510" customWidth="1"/>
    <col min="2306" max="2306" width="17.140625" style="1510" customWidth="1"/>
    <col min="2307" max="2307" width="15" style="1510" customWidth="1"/>
    <col min="2308" max="2308" width="12.28515625" style="1510" bestFit="1" customWidth="1"/>
    <col min="2309" max="2309" width="14.140625" style="1510" bestFit="1" customWidth="1"/>
    <col min="2310" max="2310" width="17.42578125" style="1510" customWidth="1"/>
    <col min="2311" max="2311" width="8.42578125" style="1510" customWidth="1"/>
    <col min="2312" max="2560" width="9.140625" style="1510"/>
    <col min="2561" max="2561" width="14.7109375" style="1510" customWidth="1"/>
    <col min="2562" max="2562" width="17.140625" style="1510" customWidth="1"/>
    <col min="2563" max="2563" width="15" style="1510" customWidth="1"/>
    <col min="2564" max="2564" width="12.28515625" style="1510" bestFit="1" customWidth="1"/>
    <col min="2565" max="2565" width="14.140625" style="1510" bestFit="1" customWidth="1"/>
    <col min="2566" max="2566" width="17.42578125" style="1510" customWidth="1"/>
    <col min="2567" max="2567" width="8.42578125" style="1510" customWidth="1"/>
    <col min="2568" max="2816" width="9.140625" style="1510"/>
    <col min="2817" max="2817" width="14.7109375" style="1510" customWidth="1"/>
    <col min="2818" max="2818" width="17.140625" style="1510" customWidth="1"/>
    <col min="2819" max="2819" width="15" style="1510" customWidth="1"/>
    <col min="2820" max="2820" width="12.28515625" style="1510" bestFit="1" customWidth="1"/>
    <col min="2821" max="2821" width="14.140625" style="1510" bestFit="1" customWidth="1"/>
    <col min="2822" max="2822" width="17.42578125" style="1510" customWidth="1"/>
    <col min="2823" max="2823" width="8.42578125" style="1510" customWidth="1"/>
    <col min="2824" max="3072" width="9.140625" style="1510"/>
    <col min="3073" max="3073" width="14.7109375" style="1510" customWidth="1"/>
    <col min="3074" max="3074" width="17.140625" style="1510" customWidth="1"/>
    <col min="3075" max="3075" width="15" style="1510" customWidth="1"/>
    <col min="3076" max="3076" width="12.28515625" style="1510" bestFit="1" customWidth="1"/>
    <col min="3077" max="3077" width="14.140625" style="1510" bestFit="1" customWidth="1"/>
    <col min="3078" max="3078" width="17.42578125" style="1510" customWidth="1"/>
    <col min="3079" max="3079" width="8.42578125" style="1510" customWidth="1"/>
    <col min="3080" max="3328" width="9.140625" style="1510"/>
    <col min="3329" max="3329" width="14.7109375" style="1510" customWidth="1"/>
    <col min="3330" max="3330" width="17.140625" style="1510" customWidth="1"/>
    <col min="3331" max="3331" width="15" style="1510" customWidth="1"/>
    <col min="3332" max="3332" width="12.28515625" style="1510" bestFit="1" customWidth="1"/>
    <col min="3333" max="3333" width="14.140625" style="1510" bestFit="1" customWidth="1"/>
    <col min="3334" max="3334" width="17.42578125" style="1510" customWidth="1"/>
    <col min="3335" max="3335" width="8.42578125" style="1510" customWidth="1"/>
    <col min="3336" max="3584" width="9.140625" style="1510"/>
    <col min="3585" max="3585" width="14.7109375" style="1510" customWidth="1"/>
    <col min="3586" max="3586" width="17.140625" style="1510" customWidth="1"/>
    <col min="3587" max="3587" width="15" style="1510" customWidth="1"/>
    <col min="3588" max="3588" width="12.28515625" style="1510" bestFit="1" customWidth="1"/>
    <col min="3589" max="3589" width="14.140625" style="1510" bestFit="1" customWidth="1"/>
    <col min="3590" max="3590" width="17.42578125" style="1510" customWidth="1"/>
    <col min="3591" max="3591" width="8.42578125" style="1510" customWidth="1"/>
    <col min="3592" max="3840" width="9.140625" style="1510"/>
    <col min="3841" max="3841" width="14.7109375" style="1510" customWidth="1"/>
    <col min="3842" max="3842" width="17.140625" style="1510" customWidth="1"/>
    <col min="3843" max="3843" width="15" style="1510" customWidth="1"/>
    <col min="3844" max="3844" width="12.28515625" style="1510" bestFit="1" customWidth="1"/>
    <col min="3845" max="3845" width="14.140625" style="1510" bestFit="1" customWidth="1"/>
    <col min="3846" max="3846" width="17.42578125" style="1510" customWidth="1"/>
    <col min="3847" max="3847" width="8.42578125" style="1510" customWidth="1"/>
    <col min="3848" max="4096" width="9.140625" style="1510"/>
    <col min="4097" max="4097" width="14.7109375" style="1510" customWidth="1"/>
    <col min="4098" max="4098" width="17.140625" style="1510" customWidth="1"/>
    <col min="4099" max="4099" width="15" style="1510" customWidth="1"/>
    <col min="4100" max="4100" width="12.28515625" style="1510" bestFit="1" customWidth="1"/>
    <col min="4101" max="4101" width="14.140625" style="1510" bestFit="1" customWidth="1"/>
    <col min="4102" max="4102" width="17.42578125" style="1510" customWidth="1"/>
    <col min="4103" max="4103" width="8.42578125" style="1510" customWidth="1"/>
    <col min="4104" max="4352" width="9.140625" style="1510"/>
    <col min="4353" max="4353" width="14.7109375" style="1510" customWidth="1"/>
    <col min="4354" max="4354" width="17.140625" style="1510" customWidth="1"/>
    <col min="4355" max="4355" width="15" style="1510" customWidth="1"/>
    <col min="4356" max="4356" width="12.28515625" style="1510" bestFit="1" customWidth="1"/>
    <col min="4357" max="4357" width="14.140625" style="1510" bestFit="1" customWidth="1"/>
    <col min="4358" max="4358" width="17.42578125" style="1510" customWidth="1"/>
    <col min="4359" max="4359" width="8.42578125" style="1510" customWidth="1"/>
    <col min="4360" max="4608" width="9.140625" style="1510"/>
    <col min="4609" max="4609" width="14.7109375" style="1510" customWidth="1"/>
    <col min="4610" max="4610" width="17.140625" style="1510" customWidth="1"/>
    <col min="4611" max="4611" width="15" style="1510" customWidth="1"/>
    <col min="4612" max="4612" width="12.28515625" style="1510" bestFit="1" customWidth="1"/>
    <col min="4613" max="4613" width="14.140625" style="1510" bestFit="1" customWidth="1"/>
    <col min="4614" max="4614" width="17.42578125" style="1510" customWidth="1"/>
    <col min="4615" max="4615" width="8.42578125" style="1510" customWidth="1"/>
    <col min="4616" max="4864" width="9.140625" style="1510"/>
    <col min="4865" max="4865" width="14.7109375" style="1510" customWidth="1"/>
    <col min="4866" max="4866" width="17.140625" style="1510" customWidth="1"/>
    <col min="4867" max="4867" width="15" style="1510" customWidth="1"/>
    <col min="4868" max="4868" width="12.28515625" style="1510" bestFit="1" customWidth="1"/>
    <col min="4869" max="4869" width="14.140625" style="1510" bestFit="1" customWidth="1"/>
    <col min="4870" max="4870" width="17.42578125" style="1510" customWidth="1"/>
    <col min="4871" max="4871" width="8.42578125" style="1510" customWidth="1"/>
    <col min="4872" max="5120" width="9.140625" style="1510"/>
    <col min="5121" max="5121" width="14.7109375" style="1510" customWidth="1"/>
    <col min="5122" max="5122" width="17.140625" style="1510" customWidth="1"/>
    <col min="5123" max="5123" width="15" style="1510" customWidth="1"/>
    <col min="5124" max="5124" width="12.28515625" style="1510" bestFit="1" customWidth="1"/>
    <col min="5125" max="5125" width="14.140625" style="1510" bestFit="1" customWidth="1"/>
    <col min="5126" max="5126" width="17.42578125" style="1510" customWidth="1"/>
    <col min="5127" max="5127" width="8.42578125" style="1510" customWidth="1"/>
    <col min="5128" max="5376" width="9.140625" style="1510"/>
    <col min="5377" max="5377" width="14.7109375" style="1510" customWidth="1"/>
    <col min="5378" max="5378" width="17.140625" style="1510" customWidth="1"/>
    <col min="5379" max="5379" width="15" style="1510" customWidth="1"/>
    <col min="5380" max="5380" width="12.28515625" style="1510" bestFit="1" customWidth="1"/>
    <col min="5381" max="5381" width="14.140625" style="1510" bestFit="1" customWidth="1"/>
    <col min="5382" max="5382" width="17.42578125" style="1510" customWidth="1"/>
    <col min="5383" max="5383" width="8.42578125" style="1510" customWidth="1"/>
    <col min="5384" max="5632" width="9.140625" style="1510"/>
    <col min="5633" max="5633" width="14.7109375" style="1510" customWidth="1"/>
    <col min="5634" max="5634" width="17.140625" style="1510" customWidth="1"/>
    <col min="5635" max="5635" width="15" style="1510" customWidth="1"/>
    <col min="5636" max="5636" width="12.28515625" style="1510" bestFit="1" customWidth="1"/>
    <col min="5637" max="5637" width="14.140625" style="1510" bestFit="1" customWidth="1"/>
    <col min="5638" max="5638" width="17.42578125" style="1510" customWidth="1"/>
    <col min="5639" max="5639" width="8.42578125" style="1510" customWidth="1"/>
    <col min="5640" max="5888" width="9.140625" style="1510"/>
    <col min="5889" max="5889" width="14.7109375" style="1510" customWidth="1"/>
    <col min="5890" max="5890" width="17.140625" style="1510" customWidth="1"/>
    <col min="5891" max="5891" width="15" style="1510" customWidth="1"/>
    <col min="5892" max="5892" width="12.28515625" style="1510" bestFit="1" customWidth="1"/>
    <col min="5893" max="5893" width="14.140625" style="1510" bestFit="1" customWidth="1"/>
    <col min="5894" max="5894" width="17.42578125" style="1510" customWidth="1"/>
    <col min="5895" max="5895" width="8.42578125" style="1510" customWidth="1"/>
    <col min="5896" max="6144" width="9.140625" style="1510"/>
    <col min="6145" max="6145" width="14.7109375" style="1510" customWidth="1"/>
    <col min="6146" max="6146" width="17.140625" style="1510" customWidth="1"/>
    <col min="6147" max="6147" width="15" style="1510" customWidth="1"/>
    <col min="6148" max="6148" width="12.28515625" style="1510" bestFit="1" customWidth="1"/>
    <col min="6149" max="6149" width="14.140625" style="1510" bestFit="1" customWidth="1"/>
    <col min="6150" max="6150" width="17.42578125" style="1510" customWidth="1"/>
    <col min="6151" max="6151" width="8.42578125" style="1510" customWidth="1"/>
    <col min="6152" max="6400" width="9.140625" style="1510"/>
    <col min="6401" max="6401" width="14.7109375" style="1510" customWidth="1"/>
    <col min="6402" max="6402" width="17.140625" style="1510" customWidth="1"/>
    <col min="6403" max="6403" width="15" style="1510" customWidth="1"/>
    <col min="6404" max="6404" width="12.28515625" style="1510" bestFit="1" customWidth="1"/>
    <col min="6405" max="6405" width="14.140625" style="1510" bestFit="1" customWidth="1"/>
    <col min="6406" max="6406" width="17.42578125" style="1510" customWidth="1"/>
    <col min="6407" max="6407" width="8.42578125" style="1510" customWidth="1"/>
    <col min="6408" max="6656" width="9.140625" style="1510"/>
    <col min="6657" max="6657" width="14.7109375" style="1510" customWidth="1"/>
    <col min="6658" max="6658" width="17.140625" style="1510" customWidth="1"/>
    <col min="6659" max="6659" width="15" style="1510" customWidth="1"/>
    <col min="6660" max="6660" width="12.28515625" style="1510" bestFit="1" customWidth="1"/>
    <col min="6661" max="6661" width="14.140625" style="1510" bestFit="1" customWidth="1"/>
    <col min="6662" max="6662" width="17.42578125" style="1510" customWidth="1"/>
    <col min="6663" max="6663" width="8.42578125" style="1510" customWidth="1"/>
    <col min="6664" max="6912" width="9.140625" style="1510"/>
    <col min="6913" max="6913" width="14.7109375" style="1510" customWidth="1"/>
    <col min="6914" max="6914" width="17.140625" style="1510" customWidth="1"/>
    <col min="6915" max="6915" width="15" style="1510" customWidth="1"/>
    <col min="6916" max="6916" width="12.28515625" style="1510" bestFit="1" customWidth="1"/>
    <col min="6917" max="6917" width="14.140625" style="1510" bestFit="1" customWidth="1"/>
    <col min="6918" max="6918" width="17.42578125" style="1510" customWidth="1"/>
    <col min="6919" max="6919" width="8.42578125" style="1510" customWidth="1"/>
    <col min="6920" max="7168" width="9.140625" style="1510"/>
    <col min="7169" max="7169" width="14.7109375" style="1510" customWidth="1"/>
    <col min="7170" max="7170" width="17.140625" style="1510" customWidth="1"/>
    <col min="7171" max="7171" width="15" style="1510" customWidth="1"/>
    <col min="7172" max="7172" width="12.28515625" style="1510" bestFit="1" customWidth="1"/>
    <col min="7173" max="7173" width="14.140625" style="1510" bestFit="1" customWidth="1"/>
    <col min="7174" max="7174" width="17.42578125" style="1510" customWidth="1"/>
    <col min="7175" max="7175" width="8.42578125" style="1510" customWidth="1"/>
    <col min="7176" max="7424" width="9.140625" style="1510"/>
    <col min="7425" max="7425" width="14.7109375" style="1510" customWidth="1"/>
    <col min="7426" max="7426" width="17.140625" style="1510" customWidth="1"/>
    <col min="7427" max="7427" width="15" style="1510" customWidth="1"/>
    <col min="7428" max="7428" width="12.28515625" style="1510" bestFit="1" customWidth="1"/>
    <col min="7429" max="7429" width="14.140625" style="1510" bestFit="1" customWidth="1"/>
    <col min="7430" max="7430" width="17.42578125" style="1510" customWidth="1"/>
    <col min="7431" max="7431" width="8.42578125" style="1510" customWidth="1"/>
    <col min="7432" max="7680" width="9.140625" style="1510"/>
    <col min="7681" max="7681" width="14.7109375" style="1510" customWidth="1"/>
    <col min="7682" max="7682" width="17.140625" style="1510" customWidth="1"/>
    <col min="7683" max="7683" width="15" style="1510" customWidth="1"/>
    <col min="7684" max="7684" width="12.28515625" style="1510" bestFit="1" customWidth="1"/>
    <col min="7685" max="7685" width="14.140625" style="1510" bestFit="1" customWidth="1"/>
    <col min="7686" max="7686" width="17.42578125" style="1510" customWidth="1"/>
    <col min="7687" max="7687" width="8.42578125" style="1510" customWidth="1"/>
    <col min="7688" max="7936" width="9.140625" style="1510"/>
    <col min="7937" max="7937" width="14.7109375" style="1510" customWidth="1"/>
    <col min="7938" max="7938" width="17.140625" style="1510" customWidth="1"/>
    <col min="7939" max="7939" width="15" style="1510" customWidth="1"/>
    <col min="7940" max="7940" width="12.28515625" style="1510" bestFit="1" customWidth="1"/>
    <col min="7941" max="7941" width="14.140625" style="1510" bestFit="1" customWidth="1"/>
    <col min="7942" max="7942" width="17.42578125" style="1510" customWidth="1"/>
    <col min="7943" max="7943" width="8.42578125" style="1510" customWidth="1"/>
    <col min="7944" max="8192" width="9.140625" style="1510"/>
    <col min="8193" max="8193" width="14.7109375" style="1510" customWidth="1"/>
    <col min="8194" max="8194" width="17.140625" style="1510" customWidth="1"/>
    <col min="8195" max="8195" width="15" style="1510" customWidth="1"/>
    <col min="8196" max="8196" width="12.28515625" style="1510" bestFit="1" customWidth="1"/>
    <col min="8197" max="8197" width="14.140625" style="1510" bestFit="1" customWidth="1"/>
    <col min="8198" max="8198" width="17.42578125" style="1510" customWidth="1"/>
    <col min="8199" max="8199" width="8.42578125" style="1510" customWidth="1"/>
    <col min="8200" max="8448" width="9.140625" style="1510"/>
    <col min="8449" max="8449" width="14.7109375" style="1510" customWidth="1"/>
    <col min="8450" max="8450" width="17.140625" style="1510" customWidth="1"/>
    <col min="8451" max="8451" width="15" style="1510" customWidth="1"/>
    <col min="8452" max="8452" width="12.28515625" style="1510" bestFit="1" customWidth="1"/>
    <col min="8453" max="8453" width="14.140625" style="1510" bestFit="1" customWidth="1"/>
    <col min="8454" max="8454" width="17.42578125" style="1510" customWidth="1"/>
    <col min="8455" max="8455" width="8.42578125" style="1510" customWidth="1"/>
    <col min="8456" max="8704" width="9.140625" style="1510"/>
    <col min="8705" max="8705" width="14.7109375" style="1510" customWidth="1"/>
    <col min="8706" max="8706" width="17.140625" style="1510" customWidth="1"/>
    <col min="8707" max="8707" width="15" style="1510" customWidth="1"/>
    <col min="8708" max="8708" width="12.28515625" style="1510" bestFit="1" customWidth="1"/>
    <col min="8709" max="8709" width="14.140625" style="1510" bestFit="1" customWidth="1"/>
    <col min="8710" max="8710" width="17.42578125" style="1510" customWidth="1"/>
    <col min="8711" max="8711" width="8.42578125" style="1510" customWidth="1"/>
    <col min="8712" max="8960" width="9.140625" style="1510"/>
    <col min="8961" max="8961" width="14.7109375" style="1510" customWidth="1"/>
    <col min="8962" max="8962" width="17.140625" style="1510" customWidth="1"/>
    <col min="8963" max="8963" width="15" style="1510" customWidth="1"/>
    <col min="8964" max="8964" width="12.28515625" style="1510" bestFit="1" customWidth="1"/>
    <col min="8965" max="8965" width="14.140625" style="1510" bestFit="1" customWidth="1"/>
    <col min="8966" max="8966" width="17.42578125" style="1510" customWidth="1"/>
    <col min="8967" max="8967" width="8.42578125" style="1510" customWidth="1"/>
    <col min="8968" max="9216" width="9.140625" style="1510"/>
    <col min="9217" max="9217" width="14.7109375" style="1510" customWidth="1"/>
    <col min="9218" max="9218" width="17.140625" style="1510" customWidth="1"/>
    <col min="9219" max="9219" width="15" style="1510" customWidth="1"/>
    <col min="9220" max="9220" width="12.28515625" style="1510" bestFit="1" customWidth="1"/>
    <col min="9221" max="9221" width="14.140625" style="1510" bestFit="1" customWidth="1"/>
    <col min="9222" max="9222" width="17.42578125" style="1510" customWidth="1"/>
    <col min="9223" max="9223" width="8.42578125" style="1510" customWidth="1"/>
    <col min="9224" max="9472" width="9.140625" style="1510"/>
    <col min="9473" max="9473" width="14.7109375" style="1510" customWidth="1"/>
    <col min="9474" max="9474" width="17.140625" style="1510" customWidth="1"/>
    <col min="9475" max="9475" width="15" style="1510" customWidth="1"/>
    <col min="9476" max="9476" width="12.28515625" style="1510" bestFit="1" customWidth="1"/>
    <col min="9477" max="9477" width="14.140625" style="1510" bestFit="1" customWidth="1"/>
    <col min="9478" max="9478" width="17.42578125" style="1510" customWidth="1"/>
    <col min="9479" max="9479" width="8.42578125" style="1510" customWidth="1"/>
    <col min="9480" max="9728" width="9.140625" style="1510"/>
    <col min="9729" max="9729" width="14.7109375" style="1510" customWidth="1"/>
    <col min="9730" max="9730" width="17.140625" style="1510" customWidth="1"/>
    <col min="9731" max="9731" width="15" style="1510" customWidth="1"/>
    <col min="9732" max="9732" width="12.28515625" style="1510" bestFit="1" customWidth="1"/>
    <col min="9733" max="9733" width="14.140625" style="1510" bestFit="1" customWidth="1"/>
    <col min="9734" max="9734" width="17.42578125" style="1510" customWidth="1"/>
    <col min="9735" max="9735" width="8.42578125" style="1510" customWidth="1"/>
    <col min="9736" max="9984" width="9.140625" style="1510"/>
    <col min="9985" max="9985" width="14.7109375" style="1510" customWidth="1"/>
    <col min="9986" max="9986" width="17.140625" style="1510" customWidth="1"/>
    <col min="9987" max="9987" width="15" style="1510" customWidth="1"/>
    <col min="9988" max="9988" width="12.28515625" style="1510" bestFit="1" customWidth="1"/>
    <col min="9989" max="9989" width="14.140625" style="1510" bestFit="1" customWidth="1"/>
    <col min="9990" max="9990" width="17.42578125" style="1510" customWidth="1"/>
    <col min="9991" max="9991" width="8.42578125" style="1510" customWidth="1"/>
    <col min="9992" max="10240" width="9.140625" style="1510"/>
    <col min="10241" max="10241" width="14.7109375" style="1510" customWidth="1"/>
    <col min="10242" max="10242" width="17.140625" style="1510" customWidth="1"/>
    <col min="10243" max="10243" width="15" style="1510" customWidth="1"/>
    <col min="10244" max="10244" width="12.28515625" style="1510" bestFit="1" customWidth="1"/>
    <col min="10245" max="10245" width="14.140625" style="1510" bestFit="1" customWidth="1"/>
    <col min="10246" max="10246" width="17.42578125" style="1510" customWidth="1"/>
    <col min="10247" max="10247" width="8.42578125" style="1510" customWidth="1"/>
    <col min="10248" max="10496" width="9.140625" style="1510"/>
    <col min="10497" max="10497" width="14.7109375" style="1510" customWidth="1"/>
    <col min="10498" max="10498" width="17.140625" style="1510" customWidth="1"/>
    <col min="10499" max="10499" width="15" style="1510" customWidth="1"/>
    <col min="10500" max="10500" width="12.28515625" style="1510" bestFit="1" customWidth="1"/>
    <col min="10501" max="10501" width="14.140625" style="1510" bestFit="1" customWidth="1"/>
    <col min="10502" max="10502" width="17.42578125" style="1510" customWidth="1"/>
    <col min="10503" max="10503" width="8.42578125" style="1510" customWidth="1"/>
    <col min="10504" max="10752" width="9.140625" style="1510"/>
    <col min="10753" max="10753" width="14.7109375" style="1510" customWidth="1"/>
    <col min="10754" max="10754" width="17.140625" style="1510" customWidth="1"/>
    <col min="10755" max="10755" width="15" style="1510" customWidth="1"/>
    <col min="10756" max="10756" width="12.28515625" style="1510" bestFit="1" customWidth="1"/>
    <col min="10757" max="10757" width="14.140625" style="1510" bestFit="1" customWidth="1"/>
    <col min="10758" max="10758" width="17.42578125" style="1510" customWidth="1"/>
    <col min="10759" max="10759" width="8.42578125" style="1510" customWidth="1"/>
    <col min="10760" max="11008" width="9.140625" style="1510"/>
    <col min="11009" max="11009" width="14.7109375" style="1510" customWidth="1"/>
    <col min="11010" max="11010" width="17.140625" style="1510" customWidth="1"/>
    <col min="11011" max="11011" width="15" style="1510" customWidth="1"/>
    <col min="11012" max="11012" width="12.28515625" style="1510" bestFit="1" customWidth="1"/>
    <col min="11013" max="11013" width="14.140625" style="1510" bestFit="1" customWidth="1"/>
    <col min="11014" max="11014" width="17.42578125" style="1510" customWidth="1"/>
    <col min="11015" max="11015" width="8.42578125" style="1510" customWidth="1"/>
    <col min="11016" max="11264" width="9.140625" style="1510"/>
    <col min="11265" max="11265" width="14.7109375" style="1510" customWidth="1"/>
    <col min="11266" max="11266" width="17.140625" style="1510" customWidth="1"/>
    <col min="11267" max="11267" width="15" style="1510" customWidth="1"/>
    <col min="11268" max="11268" width="12.28515625" style="1510" bestFit="1" customWidth="1"/>
    <col min="11269" max="11269" width="14.140625" style="1510" bestFit="1" customWidth="1"/>
    <col min="11270" max="11270" width="17.42578125" style="1510" customWidth="1"/>
    <col min="11271" max="11271" width="8.42578125" style="1510" customWidth="1"/>
    <col min="11272" max="11520" width="9.140625" style="1510"/>
    <col min="11521" max="11521" width="14.7109375" style="1510" customWidth="1"/>
    <col min="11522" max="11522" width="17.140625" style="1510" customWidth="1"/>
    <col min="11523" max="11523" width="15" style="1510" customWidth="1"/>
    <col min="11524" max="11524" width="12.28515625" style="1510" bestFit="1" customWidth="1"/>
    <col min="11525" max="11525" width="14.140625" style="1510" bestFit="1" customWidth="1"/>
    <col min="11526" max="11526" width="17.42578125" style="1510" customWidth="1"/>
    <col min="11527" max="11527" width="8.42578125" style="1510" customWidth="1"/>
    <col min="11528" max="11776" width="9.140625" style="1510"/>
    <col min="11777" max="11777" width="14.7109375" style="1510" customWidth="1"/>
    <col min="11778" max="11778" width="17.140625" style="1510" customWidth="1"/>
    <col min="11779" max="11779" width="15" style="1510" customWidth="1"/>
    <col min="11780" max="11780" width="12.28515625" style="1510" bestFit="1" customWidth="1"/>
    <col min="11781" max="11781" width="14.140625" style="1510" bestFit="1" customWidth="1"/>
    <col min="11782" max="11782" width="17.42578125" style="1510" customWidth="1"/>
    <col min="11783" max="11783" width="8.42578125" style="1510" customWidth="1"/>
    <col min="11784" max="12032" width="9.140625" style="1510"/>
    <col min="12033" max="12033" width="14.7109375" style="1510" customWidth="1"/>
    <col min="12034" max="12034" width="17.140625" style="1510" customWidth="1"/>
    <col min="12035" max="12035" width="15" style="1510" customWidth="1"/>
    <col min="12036" max="12036" width="12.28515625" style="1510" bestFit="1" customWidth="1"/>
    <col min="12037" max="12037" width="14.140625" style="1510" bestFit="1" customWidth="1"/>
    <col min="12038" max="12038" width="17.42578125" style="1510" customWidth="1"/>
    <col min="12039" max="12039" width="8.42578125" style="1510" customWidth="1"/>
    <col min="12040" max="12288" width="9.140625" style="1510"/>
    <col min="12289" max="12289" width="14.7109375" style="1510" customWidth="1"/>
    <col min="12290" max="12290" width="17.140625" style="1510" customWidth="1"/>
    <col min="12291" max="12291" width="15" style="1510" customWidth="1"/>
    <col min="12292" max="12292" width="12.28515625" style="1510" bestFit="1" customWidth="1"/>
    <col min="12293" max="12293" width="14.140625" style="1510" bestFit="1" customWidth="1"/>
    <col min="12294" max="12294" width="17.42578125" style="1510" customWidth="1"/>
    <col min="12295" max="12295" width="8.42578125" style="1510" customWidth="1"/>
    <col min="12296" max="12544" width="9.140625" style="1510"/>
    <col min="12545" max="12545" width="14.7109375" style="1510" customWidth="1"/>
    <col min="12546" max="12546" width="17.140625" style="1510" customWidth="1"/>
    <col min="12547" max="12547" width="15" style="1510" customWidth="1"/>
    <col min="12548" max="12548" width="12.28515625" style="1510" bestFit="1" customWidth="1"/>
    <col min="12549" max="12549" width="14.140625" style="1510" bestFit="1" customWidth="1"/>
    <col min="12550" max="12550" width="17.42578125" style="1510" customWidth="1"/>
    <col min="12551" max="12551" width="8.42578125" style="1510" customWidth="1"/>
    <col min="12552" max="12800" width="9.140625" style="1510"/>
    <col min="12801" max="12801" width="14.7109375" style="1510" customWidth="1"/>
    <col min="12802" max="12802" width="17.140625" style="1510" customWidth="1"/>
    <col min="12803" max="12803" width="15" style="1510" customWidth="1"/>
    <col min="12804" max="12804" width="12.28515625" style="1510" bestFit="1" customWidth="1"/>
    <col min="12805" max="12805" width="14.140625" style="1510" bestFit="1" customWidth="1"/>
    <col min="12806" max="12806" width="17.42578125" style="1510" customWidth="1"/>
    <col min="12807" max="12807" width="8.42578125" style="1510" customWidth="1"/>
    <col min="12808" max="13056" width="9.140625" style="1510"/>
    <col min="13057" max="13057" width="14.7109375" style="1510" customWidth="1"/>
    <col min="13058" max="13058" width="17.140625" style="1510" customWidth="1"/>
    <col min="13059" max="13059" width="15" style="1510" customWidth="1"/>
    <col min="13060" max="13060" width="12.28515625" style="1510" bestFit="1" customWidth="1"/>
    <col min="13061" max="13061" width="14.140625" style="1510" bestFit="1" customWidth="1"/>
    <col min="13062" max="13062" width="17.42578125" style="1510" customWidth="1"/>
    <col min="13063" max="13063" width="8.42578125" style="1510" customWidth="1"/>
    <col min="13064" max="13312" width="9.140625" style="1510"/>
    <col min="13313" max="13313" width="14.7109375" style="1510" customWidth="1"/>
    <col min="13314" max="13314" width="17.140625" style="1510" customWidth="1"/>
    <col min="13315" max="13315" width="15" style="1510" customWidth="1"/>
    <col min="13316" max="13316" width="12.28515625" style="1510" bestFit="1" customWidth="1"/>
    <col min="13317" max="13317" width="14.140625" style="1510" bestFit="1" customWidth="1"/>
    <col min="13318" max="13318" width="17.42578125" style="1510" customWidth="1"/>
    <col min="13319" max="13319" width="8.42578125" style="1510" customWidth="1"/>
    <col min="13320" max="13568" width="9.140625" style="1510"/>
    <col min="13569" max="13569" width="14.7109375" style="1510" customWidth="1"/>
    <col min="13570" max="13570" width="17.140625" style="1510" customWidth="1"/>
    <col min="13571" max="13571" width="15" style="1510" customWidth="1"/>
    <col min="13572" max="13572" width="12.28515625" style="1510" bestFit="1" customWidth="1"/>
    <col min="13573" max="13573" width="14.140625" style="1510" bestFit="1" customWidth="1"/>
    <col min="13574" max="13574" width="17.42578125" style="1510" customWidth="1"/>
    <col min="13575" max="13575" width="8.42578125" style="1510" customWidth="1"/>
    <col min="13576" max="13824" width="9.140625" style="1510"/>
    <col min="13825" max="13825" width="14.7109375" style="1510" customWidth="1"/>
    <col min="13826" max="13826" width="17.140625" style="1510" customWidth="1"/>
    <col min="13827" max="13827" width="15" style="1510" customWidth="1"/>
    <col min="13828" max="13828" width="12.28515625" style="1510" bestFit="1" customWidth="1"/>
    <col min="13829" max="13829" width="14.140625" style="1510" bestFit="1" customWidth="1"/>
    <col min="13830" max="13830" width="17.42578125" style="1510" customWidth="1"/>
    <col min="13831" max="13831" width="8.42578125" style="1510" customWidth="1"/>
    <col min="13832" max="14080" width="9.140625" style="1510"/>
    <col min="14081" max="14081" width="14.7109375" style="1510" customWidth="1"/>
    <col min="14082" max="14082" width="17.140625" style="1510" customWidth="1"/>
    <col min="14083" max="14083" width="15" style="1510" customWidth="1"/>
    <col min="14084" max="14084" width="12.28515625" style="1510" bestFit="1" customWidth="1"/>
    <col min="14085" max="14085" width="14.140625" style="1510" bestFit="1" customWidth="1"/>
    <col min="14086" max="14086" width="17.42578125" style="1510" customWidth="1"/>
    <col min="14087" max="14087" width="8.42578125" style="1510" customWidth="1"/>
    <col min="14088" max="14336" width="9.140625" style="1510"/>
    <col min="14337" max="14337" width="14.7109375" style="1510" customWidth="1"/>
    <col min="14338" max="14338" width="17.140625" style="1510" customWidth="1"/>
    <col min="14339" max="14339" width="15" style="1510" customWidth="1"/>
    <col min="14340" max="14340" width="12.28515625" style="1510" bestFit="1" customWidth="1"/>
    <col min="14341" max="14341" width="14.140625" style="1510" bestFit="1" customWidth="1"/>
    <col min="14342" max="14342" width="17.42578125" style="1510" customWidth="1"/>
    <col min="14343" max="14343" width="8.42578125" style="1510" customWidth="1"/>
    <col min="14344" max="14592" width="9.140625" style="1510"/>
    <col min="14593" max="14593" width="14.7109375" style="1510" customWidth="1"/>
    <col min="14594" max="14594" width="17.140625" style="1510" customWidth="1"/>
    <col min="14595" max="14595" width="15" style="1510" customWidth="1"/>
    <col min="14596" max="14596" width="12.28515625" style="1510" bestFit="1" customWidth="1"/>
    <col min="14597" max="14597" width="14.140625" style="1510" bestFit="1" customWidth="1"/>
    <col min="14598" max="14598" width="17.42578125" style="1510" customWidth="1"/>
    <col min="14599" max="14599" width="8.42578125" style="1510" customWidth="1"/>
    <col min="14600" max="14848" width="9.140625" style="1510"/>
    <col min="14849" max="14849" width="14.7109375" style="1510" customWidth="1"/>
    <col min="14850" max="14850" width="17.140625" style="1510" customWidth="1"/>
    <col min="14851" max="14851" width="15" style="1510" customWidth="1"/>
    <col min="14852" max="14852" width="12.28515625" style="1510" bestFit="1" customWidth="1"/>
    <col min="14853" max="14853" width="14.140625" style="1510" bestFit="1" customWidth="1"/>
    <col min="14854" max="14854" width="17.42578125" style="1510" customWidth="1"/>
    <col min="14855" max="14855" width="8.42578125" style="1510" customWidth="1"/>
    <col min="14856" max="15104" width="9.140625" style="1510"/>
    <col min="15105" max="15105" width="14.7109375" style="1510" customWidth="1"/>
    <col min="15106" max="15106" width="17.140625" style="1510" customWidth="1"/>
    <col min="15107" max="15107" width="15" style="1510" customWidth="1"/>
    <col min="15108" max="15108" width="12.28515625" style="1510" bestFit="1" customWidth="1"/>
    <col min="15109" max="15109" width="14.140625" style="1510" bestFit="1" customWidth="1"/>
    <col min="15110" max="15110" width="17.42578125" style="1510" customWidth="1"/>
    <col min="15111" max="15111" width="8.42578125" style="1510" customWidth="1"/>
    <col min="15112" max="15360" width="9.140625" style="1510"/>
    <col min="15361" max="15361" width="14.7109375" style="1510" customWidth="1"/>
    <col min="15362" max="15362" width="17.140625" style="1510" customWidth="1"/>
    <col min="15363" max="15363" width="15" style="1510" customWidth="1"/>
    <col min="15364" max="15364" width="12.28515625" style="1510" bestFit="1" customWidth="1"/>
    <col min="15365" max="15365" width="14.140625" style="1510" bestFit="1" customWidth="1"/>
    <col min="15366" max="15366" width="17.42578125" style="1510" customWidth="1"/>
    <col min="15367" max="15367" width="8.42578125" style="1510" customWidth="1"/>
    <col min="15368" max="15616" width="9.140625" style="1510"/>
    <col min="15617" max="15617" width="14.7109375" style="1510" customWidth="1"/>
    <col min="15618" max="15618" width="17.140625" style="1510" customWidth="1"/>
    <col min="15619" max="15619" width="15" style="1510" customWidth="1"/>
    <col min="15620" max="15620" width="12.28515625" style="1510" bestFit="1" customWidth="1"/>
    <col min="15621" max="15621" width="14.140625" style="1510" bestFit="1" customWidth="1"/>
    <col min="15622" max="15622" width="17.42578125" style="1510" customWidth="1"/>
    <col min="15623" max="15623" width="8.42578125" style="1510" customWidth="1"/>
    <col min="15624" max="15872" width="9.140625" style="1510"/>
    <col min="15873" max="15873" width="14.7109375" style="1510" customWidth="1"/>
    <col min="15874" max="15874" width="17.140625" style="1510" customWidth="1"/>
    <col min="15875" max="15875" width="15" style="1510" customWidth="1"/>
    <col min="15876" max="15876" width="12.28515625" style="1510" bestFit="1" customWidth="1"/>
    <col min="15877" max="15877" width="14.140625" style="1510" bestFit="1" customWidth="1"/>
    <col min="15878" max="15878" width="17.42578125" style="1510" customWidth="1"/>
    <col min="15879" max="15879" width="8.42578125" style="1510" customWidth="1"/>
    <col min="15880" max="16128" width="9.140625" style="1510"/>
    <col min="16129" max="16129" width="14.7109375" style="1510" customWidth="1"/>
    <col min="16130" max="16130" width="17.140625" style="1510" customWidth="1"/>
    <col min="16131" max="16131" width="15" style="1510" customWidth="1"/>
    <col min="16132" max="16132" width="12.28515625" style="1510" bestFit="1" customWidth="1"/>
    <col min="16133" max="16133" width="14.140625" style="1510" bestFit="1" customWidth="1"/>
    <col min="16134" max="16134" width="17.42578125" style="1510" customWidth="1"/>
    <col min="16135" max="16135" width="8.42578125" style="1510" customWidth="1"/>
    <col min="16136" max="16384" width="9.140625" style="1510"/>
  </cols>
  <sheetData>
    <row r="1" spans="1:6" s="1505" customFormat="1" ht="17.25" x14ac:dyDescent="0.3">
      <c r="A1" s="1454" t="s">
        <v>3443</v>
      </c>
      <c r="B1" s="1504"/>
      <c r="C1" s="1504"/>
      <c r="D1" s="1504"/>
      <c r="E1" s="1504"/>
      <c r="F1" s="1504"/>
    </row>
    <row r="2" spans="1:6" s="1505" customFormat="1" ht="17.25" x14ac:dyDescent="0.3">
      <c r="A2" s="1454" t="s">
        <v>3444</v>
      </c>
      <c r="B2" s="1506"/>
      <c r="C2" s="1504"/>
      <c r="D2" s="1504"/>
      <c r="E2" s="1504"/>
      <c r="F2" s="1504"/>
    </row>
    <row r="3" spans="1:6" s="1505" customFormat="1" ht="13.5" customHeight="1" thickBot="1" x14ac:dyDescent="0.35">
      <c r="A3" s="1504"/>
      <c r="B3" s="1506"/>
      <c r="C3" s="1504"/>
      <c r="D3" s="1504"/>
      <c r="E3" s="1504"/>
      <c r="F3" s="1504"/>
    </row>
    <row r="4" spans="1:6" ht="18" thickTop="1" thickBot="1" x14ac:dyDescent="0.35">
      <c r="A4" s="1507"/>
      <c r="B4" s="1508"/>
      <c r="C4" s="1509"/>
      <c r="D4" s="1509"/>
      <c r="E4" s="3753" t="s">
        <v>3434</v>
      </c>
      <c r="F4" s="3754"/>
    </row>
    <row r="5" spans="1:6" ht="63.75" customHeight="1" thickBot="1" x14ac:dyDescent="0.35">
      <c r="A5" s="1511"/>
      <c r="B5" s="1512" t="s">
        <v>3445</v>
      </c>
      <c r="C5" s="1513" t="s">
        <v>3446</v>
      </c>
      <c r="D5" s="1513" t="s">
        <v>3447</v>
      </c>
      <c r="E5" s="1513" t="s">
        <v>3445</v>
      </c>
      <c r="F5" s="1514" t="s">
        <v>3446</v>
      </c>
    </row>
    <row r="6" spans="1:6" s="1515" customFormat="1" ht="17.25" hidden="1" customHeight="1" thickTop="1" x14ac:dyDescent="0.3">
      <c r="A6" s="1486">
        <v>40179</v>
      </c>
      <c r="B6" s="1482">
        <v>23220</v>
      </c>
      <c r="C6" s="1483">
        <v>146156</v>
      </c>
      <c r="D6" s="1483">
        <v>20</v>
      </c>
      <c r="E6" s="1484">
        <v>1661</v>
      </c>
      <c r="F6" s="1485">
        <v>6643</v>
      </c>
    </row>
    <row r="7" spans="1:6" s="1515" customFormat="1" ht="17.25" hidden="1" customHeight="1" thickTop="1" x14ac:dyDescent="0.3">
      <c r="A7" s="1486">
        <v>40210</v>
      </c>
      <c r="B7" s="1482">
        <v>23636</v>
      </c>
      <c r="C7" s="1483">
        <v>122529</v>
      </c>
      <c r="D7" s="1483">
        <v>18</v>
      </c>
      <c r="E7" s="1484">
        <v>1313</v>
      </c>
      <c r="F7" s="1485">
        <v>6807</v>
      </c>
    </row>
    <row r="8" spans="1:6" s="1515" customFormat="1" ht="17.25" hidden="1" customHeight="1" thickTop="1" x14ac:dyDescent="0.3">
      <c r="A8" s="1486">
        <v>40238</v>
      </c>
      <c r="B8" s="1482">
        <v>31374</v>
      </c>
      <c r="C8" s="1483">
        <v>147960</v>
      </c>
      <c r="D8" s="1483">
        <v>21</v>
      </c>
      <c r="E8" s="1484">
        <v>1494</v>
      </c>
      <c r="F8" s="1485">
        <v>7046</v>
      </c>
    </row>
    <row r="9" spans="1:6" s="1515" customFormat="1" ht="17.25" hidden="1" customHeight="1" thickTop="1" x14ac:dyDescent="0.3">
      <c r="A9" s="1486">
        <v>40269</v>
      </c>
      <c r="B9" s="1482">
        <v>28196</v>
      </c>
      <c r="C9" s="1483">
        <v>155766</v>
      </c>
      <c r="D9" s="1483">
        <v>22</v>
      </c>
      <c r="E9" s="1484">
        <v>1282</v>
      </c>
      <c r="F9" s="1485">
        <v>7080</v>
      </c>
    </row>
    <row r="10" spans="1:6" s="1515" customFormat="1" ht="17.25" hidden="1" customHeight="1" thickTop="1" x14ac:dyDescent="0.3">
      <c r="A10" s="1486">
        <v>40299</v>
      </c>
      <c r="B10" s="1482">
        <v>26950</v>
      </c>
      <c r="C10" s="1483">
        <v>128348</v>
      </c>
      <c r="D10" s="1483">
        <v>20</v>
      </c>
      <c r="E10" s="1484">
        <v>1348</v>
      </c>
      <c r="F10" s="1485">
        <v>6417</v>
      </c>
    </row>
    <row r="11" spans="1:6" s="1515" customFormat="1" ht="17.25" hidden="1" customHeight="1" thickTop="1" x14ac:dyDescent="0.3">
      <c r="A11" s="1486">
        <v>40330</v>
      </c>
      <c r="B11" s="1482">
        <v>32021</v>
      </c>
      <c r="C11" s="1483">
        <v>157459</v>
      </c>
      <c r="D11" s="1483">
        <v>22</v>
      </c>
      <c r="E11" s="1484">
        <v>1456</v>
      </c>
      <c r="F11" s="1485">
        <v>7157</v>
      </c>
    </row>
    <row r="12" spans="1:6" s="1515" customFormat="1" ht="17.25" hidden="1" customHeight="1" thickTop="1" x14ac:dyDescent="0.3">
      <c r="A12" s="1486">
        <v>40360</v>
      </c>
      <c r="B12" s="1482">
        <v>29038</v>
      </c>
      <c r="C12" s="1483">
        <v>131775</v>
      </c>
      <c r="D12" s="1483">
        <v>22</v>
      </c>
      <c r="E12" s="1484">
        <v>1320</v>
      </c>
      <c r="F12" s="1485">
        <v>5990</v>
      </c>
    </row>
    <row r="13" spans="1:6" s="1515" customFormat="1" ht="17.25" hidden="1" customHeight="1" thickTop="1" x14ac:dyDescent="0.3">
      <c r="A13" s="1486">
        <v>40391</v>
      </c>
      <c r="B13" s="1482">
        <v>30325</v>
      </c>
      <c r="C13" s="1483">
        <v>128293</v>
      </c>
      <c r="D13" s="1483">
        <v>22</v>
      </c>
      <c r="E13" s="1484">
        <v>1378</v>
      </c>
      <c r="F13" s="1485">
        <v>5831</v>
      </c>
    </row>
    <row r="14" spans="1:6" s="1515" customFormat="1" ht="17.25" hidden="1" customHeight="1" thickTop="1" x14ac:dyDescent="0.3">
      <c r="A14" s="1486">
        <v>40422</v>
      </c>
      <c r="B14" s="1482">
        <v>31858</v>
      </c>
      <c r="C14" s="1483">
        <v>148964</v>
      </c>
      <c r="D14" s="1483">
        <v>21</v>
      </c>
      <c r="E14" s="1484">
        <v>1517</v>
      </c>
      <c r="F14" s="1485">
        <v>7094</v>
      </c>
    </row>
    <row r="15" spans="1:6" s="1515" customFormat="1" ht="17.25" hidden="1" customHeight="1" thickTop="1" x14ac:dyDescent="0.3">
      <c r="A15" s="1486">
        <v>40452</v>
      </c>
      <c r="B15" s="1482">
        <v>29896</v>
      </c>
      <c r="C15" s="1483">
        <v>147274</v>
      </c>
      <c r="D15" s="1483">
        <v>21</v>
      </c>
      <c r="E15" s="1484">
        <v>1424</v>
      </c>
      <c r="F15" s="1485">
        <v>7013</v>
      </c>
    </row>
    <row r="16" spans="1:6" s="1515" customFormat="1" ht="17.25" hidden="1" customHeight="1" thickTop="1" x14ac:dyDescent="0.3">
      <c r="A16" s="1486">
        <v>40483</v>
      </c>
      <c r="B16" s="1482">
        <v>34491</v>
      </c>
      <c r="C16" s="1483">
        <v>152572.0152884</v>
      </c>
      <c r="D16" s="1483">
        <v>20</v>
      </c>
      <c r="E16" s="1484">
        <v>1724.55</v>
      </c>
      <c r="F16" s="1485">
        <v>7628.6007644199999</v>
      </c>
    </row>
    <row r="17" spans="1:6" s="1515" customFormat="1" ht="17.25" hidden="1" customHeight="1" thickTop="1" x14ac:dyDescent="0.3">
      <c r="A17" s="1486">
        <v>40522</v>
      </c>
      <c r="B17" s="1482">
        <v>45307</v>
      </c>
      <c r="C17" s="1483">
        <v>220826</v>
      </c>
      <c r="D17" s="1483">
        <v>23</v>
      </c>
      <c r="E17" s="1484">
        <v>1970</v>
      </c>
      <c r="F17" s="1485">
        <v>9601</v>
      </c>
    </row>
    <row r="18" spans="1:6" s="1515" customFormat="1" ht="17.25" hidden="1" customHeight="1" thickTop="1" x14ac:dyDescent="0.3">
      <c r="A18" s="1486">
        <v>40553</v>
      </c>
      <c r="B18" s="1482">
        <v>30565</v>
      </c>
      <c r="C18" s="1483">
        <v>153705.071</v>
      </c>
      <c r="D18" s="1483">
        <v>19</v>
      </c>
      <c r="E18" s="1484">
        <v>1609</v>
      </c>
      <c r="F18" s="1485">
        <v>8090</v>
      </c>
    </row>
    <row r="19" spans="1:6" s="1515" customFormat="1" ht="17.25" hidden="1" customHeight="1" thickTop="1" x14ac:dyDescent="0.3">
      <c r="A19" s="1486">
        <v>40584</v>
      </c>
      <c r="B19" s="1482">
        <v>30735</v>
      </c>
      <c r="C19" s="1483">
        <v>142370</v>
      </c>
      <c r="D19" s="1483">
        <v>18</v>
      </c>
      <c r="E19" s="1484">
        <v>1708</v>
      </c>
      <c r="F19" s="1485">
        <v>7909</v>
      </c>
    </row>
    <row r="20" spans="1:6" s="1515" customFormat="1" ht="17.25" hidden="1" customHeight="1" thickTop="1" x14ac:dyDescent="0.3">
      <c r="A20" s="1486">
        <v>40612</v>
      </c>
      <c r="B20" s="1482">
        <v>38636</v>
      </c>
      <c r="C20" s="1483">
        <v>168058</v>
      </c>
      <c r="D20" s="1483">
        <v>22</v>
      </c>
      <c r="E20" s="1484">
        <v>1756</v>
      </c>
      <c r="F20" s="1485">
        <v>7639</v>
      </c>
    </row>
    <row r="21" spans="1:6" s="1515" customFormat="1" ht="17.25" hidden="1" customHeight="1" thickTop="1" x14ac:dyDescent="0.3">
      <c r="A21" s="1486">
        <v>40643</v>
      </c>
      <c r="B21" s="1482">
        <v>33065</v>
      </c>
      <c r="C21" s="1483">
        <v>187887</v>
      </c>
      <c r="D21" s="1483">
        <v>20</v>
      </c>
      <c r="E21" s="1484">
        <v>1653</v>
      </c>
      <c r="F21" s="1485">
        <v>9394</v>
      </c>
    </row>
    <row r="22" spans="1:6" s="1515" customFormat="1" ht="17.25" hidden="1" customHeight="1" thickTop="1" x14ac:dyDescent="0.3">
      <c r="A22" s="1486">
        <v>40673</v>
      </c>
      <c r="B22" s="1482">
        <v>38149</v>
      </c>
      <c r="C22" s="1483">
        <v>169093</v>
      </c>
      <c r="D22" s="1483">
        <v>22</v>
      </c>
      <c r="E22" s="1484">
        <v>1734</v>
      </c>
      <c r="F22" s="1485">
        <v>7686</v>
      </c>
    </row>
    <row r="23" spans="1:6" s="1515" customFormat="1" ht="17.25" hidden="1" customHeight="1" thickTop="1" x14ac:dyDescent="0.3">
      <c r="A23" s="1486">
        <v>40704</v>
      </c>
      <c r="B23" s="1482">
        <v>39231</v>
      </c>
      <c r="C23" s="1483">
        <v>158713</v>
      </c>
      <c r="D23" s="1483">
        <v>22</v>
      </c>
      <c r="E23" s="1484">
        <v>1783</v>
      </c>
      <c r="F23" s="1485">
        <v>7214</v>
      </c>
    </row>
    <row r="24" spans="1:6" s="1515" customFormat="1" ht="17.25" hidden="1" customHeight="1" thickTop="1" x14ac:dyDescent="0.3">
      <c r="A24" s="1486">
        <v>40734</v>
      </c>
      <c r="B24" s="1482">
        <v>35465</v>
      </c>
      <c r="C24" s="1483">
        <v>156666</v>
      </c>
      <c r="D24" s="1483">
        <v>21</v>
      </c>
      <c r="E24" s="1484">
        <v>1689</v>
      </c>
      <c r="F24" s="1485">
        <v>7460</v>
      </c>
    </row>
    <row r="25" spans="1:6" s="1515" customFormat="1" ht="17.25" hidden="1" customHeight="1" thickTop="1" x14ac:dyDescent="0.3">
      <c r="A25" s="1486">
        <v>40756</v>
      </c>
      <c r="B25" s="1482">
        <v>37355</v>
      </c>
      <c r="C25" s="1483">
        <v>195303</v>
      </c>
      <c r="D25" s="1483">
        <v>22</v>
      </c>
      <c r="E25" s="1484">
        <v>1698</v>
      </c>
      <c r="F25" s="1485">
        <v>8877</v>
      </c>
    </row>
    <row r="26" spans="1:6" s="1515" customFormat="1" ht="17.25" hidden="1" customHeight="1" thickTop="1" x14ac:dyDescent="0.3">
      <c r="A26" s="1486">
        <v>40796</v>
      </c>
      <c r="B26" s="1482">
        <v>37949</v>
      </c>
      <c r="C26" s="1483">
        <v>168911</v>
      </c>
      <c r="D26" s="1483">
        <v>21</v>
      </c>
      <c r="E26" s="1484">
        <v>1807</v>
      </c>
      <c r="F26" s="1485">
        <v>8043</v>
      </c>
    </row>
    <row r="27" spans="1:6" s="1515" customFormat="1" ht="17.25" hidden="1" customHeight="1" thickTop="1" x14ac:dyDescent="0.3">
      <c r="A27" s="1486">
        <v>40826</v>
      </c>
      <c r="B27" s="1482">
        <v>35347</v>
      </c>
      <c r="C27" s="1483">
        <v>173163</v>
      </c>
      <c r="D27" s="1483">
        <v>20</v>
      </c>
      <c r="E27" s="1484">
        <v>1767</v>
      </c>
      <c r="F27" s="1485">
        <v>8658</v>
      </c>
    </row>
    <row r="28" spans="1:6" s="1515" customFormat="1" ht="17.25" hidden="1" customHeight="1" thickTop="1" x14ac:dyDescent="0.3">
      <c r="A28" s="1486">
        <v>40857</v>
      </c>
      <c r="B28" s="1482">
        <v>35318</v>
      </c>
      <c r="C28" s="1483">
        <v>189167</v>
      </c>
      <c r="D28" s="1483">
        <v>20</v>
      </c>
      <c r="E28" s="1484">
        <v>1766</v>
      </c>
      <c r="F28" s="1485">
        <v>9458</v>
      </c>
    </row>
    <row r="29" spans="1:6" s="1515" customFormat="1" ht="17.25" hidden="1" customHeight="1" thickTop="1" x14ac:dyDescent="0.3">
      <c r="A29" s="1486">
        <v>40887</v>
      </c>
      <c r="B29" s="1482">
        <v>47397</v>
      </c>
      <c r="C29" s="1483">
        <v>245244</v>
      </c>
      <c r="D29" s="1483">
        <v>22</v>
      </c>
      <c r="E29" s="1484">
        <v>2154</v>
      </c>
      <c r="F29" s="1485">
        <v>11147</v>
      </c>
    </row>
    <row r="30" spans="1:6" s="1515" customFormat="1" ht="17.25" hidden="1" customHeight="1" thickTop="1" x14ac:dyDescent="0.3">
      <c r="A30" s="1486">
        <v>40918</v>
      </c>
      <c r="B30" s="1482">
        <v>28635</v>
      </c>
      <c r="C30" s="1483">
        <v>129253</v>
      </c>
      <c r="D30" s="1483">
        <v>20</v>
      </c>
      <c r="E30" s="1484">
        <v>1432</v>
      </c>
      <c r="F30" s="1485">
        <v>6463</v>
      </c>
    </row>
    <row r="31" spans="1:6" s="1515" customFormat="1" ht="17.25" hidden="1" customHeight="1" thickTop="1" x14ac:dyDescent="0.3">
      <c r="A31" s="1486">
        <v>40949</v>
      </c>
      <c r="B31" s="1482">
        <v>35146</v>
      </c>
      <c r="C31" s="1483">
        <v>156697</v>
      </c>
      <c r="D31" s="1483">
        <v>18</v>
      </c>
      <c r="E31" s="1484">
        <v>1953</v>
      </c>
      <c r="F31" s="1485">
        <v>8705</v>
      </c>
    </row>
    <row r="32" spans="1:6" s="1515" customFormat="1" ht="17.25" hidden="1" customHeight="1" thickTop="1" x14ac:dyDescent="0.3">
      <c r="A32" s="1486">
        <v>40978</v>
      </c>
      <c r="B32" s="1482">
        <v>38191</v>
      </c>
      <c r="C32" s="1483">
        <v>141038</v>
      </c>
      <c r="D32" s="1483">
        <v>20</v>
      </c>
      <c r="E32" s="1484">
        <v>1910</v>
      </c>
      <c r="F32" s="1485">
        <v>7052</v>
      </c>
    </row>
    <row r="33" spans="1:6" s="1515" customFormat="1" ht="17.25" hidden="1" customHeight="1" thickTop="1" x14ac:dyDescent="0.3">
      <c r="A33" s="1486">
        <v>41009</v>
      </c>
      <c r="B33" s="1482">
        <v>40768</v>
      </c>
      <c r="C33" s="1483">
        <v>167377</v>
      </c>
      <c r="D33" s="1483">
        <v>21</v>
      </c>
      <c r="E33" s="1484">
        <v>1941</v>
      </c>
      <c r="F33" s="1485">
        <v>7970</v>
      </c>
    </row>
    <row r="34" spans="1:6" s="1515" customFormat="1" ht="17.25" hidden="1" customHeight="1" thickTop="1" x14ac:dyDescent="0.3">
      <c r="A34" s="1486">
        <v>41030</v>
      </c>
      <c r="B34" s="1482">
        <v>39880</v>
      </c>
      <c r="C34" s="1483">
        <v>154833</v>
      </c>
      <c r="D34" s="1483">
        <v>22</v>
      </c>
      <c r="E34" s="1484">
        <v>1813</v>
      </c>
      <c r="F34" s="1485">
        <v>7038</v>
      </c>
    </row>
    <row r="35" spans="1:6" s="1515" customFormat="1" ht="17.25" hidden="1" customHeight="1" thickTop="1" x14ac:dyDescent="0.3">
      <c r="A35" s="1486">
        <v>41061</v>
      </c>
      <c r="B35" s="1482">
        <v>38969</v>
      </c>
      <c r="C35" s="1483">
        <v>198870</v>
      </c>
      <c r="D35" s="1483">
        <v>21</v>
      </c>
      <c r="E35" s="1484">
        <v>1856</v>
      </c>
      <c r="F35" s="1485">
        <v>9470</v>
      </c>
    </row>
    <row r="36" spans="1:6" s="1515" customFormat="1" ht="17.25" hidden="1" customHeight="1" thickTop="1" x14ac:dyDescent="0.3">
      <c r="A36" s="1486">
        <v>41091</v>
      </c>
      <c r="B36" s="1482">
        <v>44750</v>
      </c>
      <c r="C36" s="1483">
        <v>170474</v>
      </c>
      <c r="D36" s="1483">
        <v>22</v>
      </c>
      <c r="E36" s="1484">
        <v>2034</v>
      </c>
      <c r="F36" s="1485">
        <v>7749</v>
      </c>
    </row>
    <row r="37" spans="1:6" s="1515" customFormat="1" ht="17.25" hidden="1" customHeight="1" thickTop="1" x14ac:dyDescent="0.3">
      <c r="A37" s="1486">
        <v>41122</v>
      </c>
      <c r="B37" s="1482">
        <v>37355</v>
      </c>
      <c r="C37" s="1483">
        <v>195303</v>
      </c>
      <c r="D37" s="1483">
        <v>21</v>
      </c>
      <c r="E37" s="1484">
        <v>1779</v>
      </c>
      <c r="F37" s="1485">
        <v>9300</v>
      </c>
    </row>
    <row r="38" spans="1:6" s="1515" customFormat="1" ht="17.25" hidden="1" customHeight="1" thickTop="1" x14ac:dyDescent="0.3">
      <c r="A38" s="1486">
        <v>41153</v>
      </c>
      <c r="B38" s="1482">
        <v>35953</v>
      </c>
      <c r="C38" s="1483">
        <v>141745</v>
      </c>
      <c r="D38" s="1483">
        <v>19</v>
      </c>
      <c r="E38" s="1484">
        <v>1892</v>
      </c>
      <c r="F38" s="1485">
        <v>7460</v>
      </c>
    </row>
    <row r="39" spans="1:6" s="1515" customFormat="1" ht="17.25" hidden="1" customHeight="1" thickTop="1" x14ac:dyDescent="0.3">
      <c r="A39" s="1486">
        <v>41183</v>
      </c>
      <c r="B39" s="1482">
        <v>46809</v>
      </c>
      <c r="C39" s="1483">
        <v>163355</v>
      </c>
      <c r="D39" s="1483">
        <v>23</v>
      </c>
      <c r="E39" s="1484">
        <v>2035</v>
      </c>
      <c r="F39" s="1485">
        <v>7102</v>
      </c>
    </row>
    <row r="40" spans="1:6" s="1515" customFormat="1" ht="17.25" hidden="1" customHeight="1" thickTop="1" x14ac:dyDescent="0.3">
      <c r="A40" s="1486">
        <v>41214</v>
      </c>
      <c r="B40" s="1482">
        <v>40944</v>
      </c>
      <c r="C40" s="1483">
        <v>195912</v>
      </c>
      <c r="D40" s="1483">
        <v>20</v>
      </c>
      <c r="E40" s="1484">
        <v>2047</v>
      </c>
      <c r="F40" s="1485">
        <v>9796</v>
      </c>
    </row>
    <row r="41" spans="1:6" s="1515" customFormat="1" ht="17.25" hidden="1" customHeight="1" thickTop="1" x14ac:dyDescent="0.3">
      <c r="A41" s="1486">
        <v>41244</v>
      </c>
      <c r="B41" s="1482">
        <v>51809</v>
      </c>
      <c r="C41" s="1483">
        <v>236716</v>
      </c>
      <c r="D41" s="1483">
        <v>20</v>
      </c>
      <c r="E41" s="1484">
        <v>2590</v>
      </c>
      <c r="F41" s="1485">
        <v>11836</v>
      </c>
    </row>
    <row r="42" spans="1:6" s="1515" customFormat="1" ht="17.25" hidden="1" customHeight="1" thickTop="1" x14ac:dyDescent="0.3">
      <c r="A42" s="1486">
        <v>41640</v>
      </c>
      <c r="B42" s="1482">
        <v>42403</v>
      </c>
      <c r="C42" s="1483">
        <v>180340</v>
      </c>
      <c r="D42" s="1483">
        <v>19</v>
      </c>
      <c r="E42" s="1483">
        <v>2232</v>
      </c>
      <c r="F42" s="1516">
        <v>9492</v>
      </c>
    </row>
    <row r="43" spans="1:6" s="1515" customFormat="1" ht="17.25" hidden="1" customHeight="1" thickTop="1" x14ac:dyDescent="0.3">
      <c r="A43" s="1486">
        <v>41671</v>
      </c>
      <c r="B43" s="1482">
        <v>46387</v>
      </c>
      <c r="C43" s="1483">
        <v>180036</v>
      </c>
      <c r="D43" s="1483">
        <v>18</v>
      </c>
      <c r="E43" s="1483">
        <v>2577</v>
      </c>
      <c r="F43" s="1516">
        <v>10002</v>
      </c>
    </row>
    <row r="44" spans="1:6" s="1515" customFormat="1" ht="17.25" hidden="1" customHeight="1" thickTop="1" x14ac:dyDescent="0.3">
      <c r="A44" s="1486">
        <v>41699</v>
      </c>
      <c r="B44" s="1482">
        <v>44655</v>
      </c>
      <c r="C44" s="1483">
        <v>152932</v>
      </c>
      <c r="D44" s="1483">
        <v>19</v>
      </c>
      <c r="E44" s="1483">
        <v>2350</v>
      </c>
      <c r="F44" s="1516">
        <v>8049</v>
      </c>
    </row>
    <row r="45" spans="1:6" s="1515" customFormat="1" ht="17.25" hidden="1" customHeight="1" thickTop="1" x14ac:dyDescent="0.3">
      <c r="A45" s="1486">
        <v>41730</v>
      </c>
      <c r="B45" s="1482">
        <v>55001</v>
      </c>
      <c r="C45" s="1483">
        <v>183452</v>
      </c>
      <c r="D45" s="1483">
        <v>22</v>
      </c>
      <c r="E45" s="1483">
        <v>2500</v>
      </c>
      <c r="F45" s="1516">
        <v>8339</v>
      </c>
    </row>
    <row r="46" spans="1:6" s="1515" customFormat="1" ht="17.25" hidden="1" customHeight="1" thickTop="1" x14ac:dyDescent="0.3">
      <c r="A46" s="1486">
        <v>41760</v>
      </c>
      <c r="B46" s="1482">
        <v>48119</v>
      </c>
      <c r="C46" s="1483">
        <v>197452</v>
      </c>
      <c r="D46" s="1483">
        <v>21</v>
      </c>
      <c r="E46" s="1483">
        <v>2291</v>
      </c>
      <c r="F46" s="1516">
        <v>9402</v>
      </c>
    </row>
    <row r="47" spans="1:6" s="1515" customFormat="1" ht="17.25" hidden="1" customHeight="1" thickTop="1" x14ac:dyDescent="0.3">
      <c r="A47" s="1486">
        <v>41791</v>
      </c>
      <c r="B47" s="1482">
        <v>53390</v>
      </c>
      <c r="C47" s="1483">
        <v>200862</v>
      </c>
      <c r="D47" s="1483">
        <v>21</v>
      </c>
      <c r="E47" s="1483">
        <v>2542</v>
      </c>
      <c r="F47" s="1516">
        <v>9565</v>
      </c>
    </row>
    <row r="48" spans="1:6" s="1515" customFormat="1" ht="17.25" hidden="1" customHeight="1" thickTop="1" x14ac:dyDescent="0.3">
      <c r="A48" s="1486">
        <v>41821</v>
      </c>
      <c r="B48" s="1482">
        <v>53313</v>
      </c>
      <c r="C48" s="1483">
        <v>183321</v>
      </c>
      <c r="D48" s="1483">
        <v>22</v>
      </c>
      <c r="E48" s="1483">
        <v>2423</v>
      </c>
      <c r="F48" s="1516">
        <v>8333</v>
      </c>
    </row>
    <row r="49" spans="1:6" s="1515" customFormat="1" ht="17.25" hidden="1" customHeight="1" thickTop="1" x14ac:dyDescent="0.3">
      <c r="A49" s="1486">
        <v>41852</v>
      </c>
      <c r="B49" s="1482">
        <v>46756</v>
      </c>
      <c r="C49" s="1483">
        <v>216798</v>
      </c>
      <c r="D49" s="1483">
        <v>20</v>
      </c>
      <c r="E49" s="1483">
        <v>2338</v>
      </c>
      <c r="F49" s="1516">
        <v>10840</v>
      </c>
    </row>
    <row r="50" spans="1:6" s="1515" customFormat="1" ht="17.25" hidden="1" customHeight="1" thickTop="1" x14ac:dyDescent="0.3">
      <c r="A50" s="1486">
        <v>41883</v>
      </c>
      <c r="B50" s="1482">
        <v>55791</v>
      </c>
      <c r="C50" s="1483">
        <v>250739</v>
      </c>
      <c r="D50" s="1483">
        <v>22</v>
      </c>
      <c r="E50" s="1483">
        <v>2536</v>
      </c>
      <c r="F50" s="1516">
        <v>11397</v>
      </c>
    </row>
    <row r="51" spans="1:6" s="1515" customFormat="1" ht="17.25" hidden="1" customHeight="1" thickTop="1" x14ac:dyDescent="0.3">
      <c r="A51" s="1486">
        <v>41913</v>
      </c>
      <c r="B51" s="1482">
        <v>56053</v>
      </c>
      <c r="C51" s="1483">
        <v>243022</v>
      </c>
      <c r="D51" s="1483">
        <v>22</v>
      </c>
      <c r="E51" s="1483">
        <v>2548</v>
      </c>
      <c r="F51" s="1516">
        <v>11046</v>
      </c>
    </row>
    <row r="52" spans="1:6" s="1515" customFormat="1" ht="17.25" hidden="1" customHeight="1" thickTop="1" x14ac:dyDescent="0.3">
      <c r="A52" s="1486">
        <v>41944</v>
      </c>
      <c r="B52" s="1482">
        <v>47833</v>
      </c>
      <c r="C52" s="1483">
        <v>205673</v>
      </c>
      <c r="D52" s="1483">
        <v>20</v>
      </c>
      <c r="E52" s="1483">
        <v>2392</v>
      </c>
      <c r="F52" s="1516">
        <v>10284</v>
      </c>
    </row>
    <row r="53" spans="1:6" s="1515" customFormat="1" ht="17.25" hidden="1" customHeight="1" thickTop="1" x14ac:dyDescent="0.3">
      <c r="A53" s="1486">
        <v>41974</v>
      </c>
      <c r="B53" s="1482">
        <v>72510</v>
      </c>
      <c r="C53" s="1483">
        <v>289473</v>
      </c>
      <c r="D53" s="1483">
        <v>21</v>
      </c>
      <c r="E53" s="1483">
        <v>3453</v>
      </c>
      <c r="F53" s="1516">
        <v>13784</v>
      </c>
    </row>
    <row r="54" spans="1:6" s="1515" customFormat="1" ht="17.25" hidden="1" customHeight="1" thickTop="1" x14ac:dyDescent="0.3">
      <c r="A54" s="1486">
        <v>42005</v>
      </c>
      <c r="B54" s="1482">
        <v>48380</v>
      </c>
      <c r="C54" s="1483">
        <v>173092</v>
      </c>
      <c r="D54" s="1483">
        <v>20</v>
      </c>
      <c r="E54" s="1483">
        <v>2419</v>
      </c>
      <c r="F54" s="1516">
        <v>8655</v>
      </c>
    </row>
    <row r="55" spans="1:6" s="1515" customFormat="1" ht="17.25" hidden="1" customHeight="1" thickTop="1" x14ac:dyDescent="0.3">
      <c r="A55" s="1486">
        <v>42036</v>
      </c>
      <c r="B55" s="1482">
        <v>51454</v>
      </c>
      <c r="C55" s="1483">
        <v>187546</v>
      </c>
      <c r="D55" s="1483">
        <v>17</v>
      </c>
      <c r="E55" s="1483">
        <v>3027</v>
      </c>
      <c r="F55" s="1516">
        <v>11032</v>
      </c>
    </row>
    <row r="56" spans="1:6" s="1515" customFormat="1" ht="17.25" hidden="1" customHeight="1" thickTop="1" x14ac:dyDescent="0.3">
      <c r="A56" s="1486">
        <v>42064</v>
      </c>
      <c r="B56" s="1482">
        <v>58553</v>
      </c>
      <c r="C56" s="1483">
        <v>268463</v>
      </c>
      <c r="D56" s="1483">
        <v>21</v>
      </c>
      <c r="E56" s="1483">
        <v>2788</v>
      </c>
      <c r="F56" s="1516">
        <v>12784</v>
      </c>
    </row>
    <row r="57" spans="1:6" s="1515" customFormat="1" ht="17.25" hidden="1" customHeight="1" thickTop="1" x14ac:dyDescent="0.3">
      <c r="A57" s="1486">
        <v>42095</v>
      </c>
      <c r="B57" s="1482">
        <v>57856</v>
      </c>
      <c r="C57" s="1483">
        <v>203457</v>
      </c>
      <c r="D57" s="1483">
        <v>22</v>
      </c>
      <c r="E57" s="1483">
        <v>2630</v>
      </c>
      <c r="F57" s="1516">
        <v>9248</v>
      </c>
    </row>
    <row r="58" spans="1:6" s="1515" customFormat="1" ht="17.25" hidden="1" customHeight="1" thickTop="1" x14ac:dyDescent="0.3">
      <c r="A58" s="1486">
        <v>42125</v>
      </c>
      <c r="B58" s="1482">
        <v>52109</v>
      </c>
      <c r="C58" s="1483">
        <v>206401</v>
      </c>
      <c r="D58" s="1483">
        <v>20</v>
      </c>
      <c r="E58" s="1483">
        <v>2605</v>
      </c>
      <c r="F58" s="1516">
        <v>10320</v>
      </c>
    </row>
    <row r="59" spans="1:6" s="1515" customFormat="1" ht="17.25" hidden="1" customHeight="1" thickTop="1" x14ac:dyDescent="0.3">
      <c r="A59" s="1486">
        <v>42156</v>
      </c>
      <c r="B59" s="1482">
        <v>63741</v>
      </c>
      <c r="C59" s="1483">
        <v>252415</v>
      </c>
      <c r="D59" s="1483">
        <v>22</v>
      </c>
      <c r="E59" s="1483">
        <v>2897</v>
      </c>
      <c r="F59" s="1516">
        <v>11473</v>
      </c>
    </row>
    <row r="60" spans="1:6" s="1515" customFormat="1" ht="17.25" hidden="1" customHeight="1" thickTop="1" x14ac:dyDescent="0.3">
      <c r="A60" s="1486">
        <v>42186</v>
      </c>
      <c r="B60" s="1482">
        <v>60872</v>
      </c>
      <c r="C60" s="1483">
        <v>165725</v>
      </c>
      <c r="D60" s="1483">
        <v>23</v>
      </c>
      <c r="E60" s="1483">
        <v>2647</v>
      </c>
      <c r="F60" s="1516">
        <v>7205</v>
      </c>
    </row>
    <row r="61" spans="1:6" s="1515" customFormat="1" ht="17.25" hidden="1" customHeight="1" thickTop="1" x14ac:dyDescent="0.3">
      <c r="A61" s="1486">
        <v>42217</v>
      </c>
      <c r="B61" s="1482">
        <v>55863</v>
      </c>
      <c r="C61" s="1483">
        <v>157986</v>
      </c>
      <c r="D61" s="1483">
        <v>21</v>
      </c>
      <c r="E61" s="1483">
        <v>2660</v>
      </c>
      <c r="F61" s="1516">
        <v>7523</v>
      </c>
    </row>
    <row r="62" spans="1:6" s="1515" customFormat="1" ht="17.25" hidden="1" customHeight="1" thickTop="1" x14ac:dyDescent="0.3">
      <c r="A62" s="1486">
        <v>42248</v>
      </c>
      <c r="B62" s="1482">
        <v>57801</v>
      </c>
      <c r="C62" s="1483">
        <v>162159</v>
      </c>
      <c r="D62" s="1483">
        <v>21</v>
      </c>
      <c r="E62" s="1483">
        <v>2752</v>
      </c>
      <c r="F62" s="1516">
        <v>7722</v>
      </c>
    </row>
    <row r="63" spans="1:6" s="1515" customFormat="1" ht="17.25" hidden="1" customHeight="1" thickTop="1" x14ac:dyDescent="0.3">
      <c r="A63" s="1486">
        <v>42278</v>
      </c>
      <c r="B63" s="1482">
        <v>59189</v>
      </c>
      <c r="C63" s="1483">
        <v>199123</v>
      </c>
      <c r="D63" s="1483">
        <v>22</v>
      </c>
      <c r="E63" s="1483">
        <v>2690</v>
      </c>
      <c r="F63" s="1516">
        <v>9051</v>
      </c>
    </row>
    <row r="64" spans="1:6" s="1515" customFormat="1" ht="17.25" hidden="1" customHeight="1" thickTop="1" x14ac:dyDescent="0.3">
      <c r="A64" s="1486">
        <v>42309</v>
      </c>
      <c r="B64" s="1482">
        <v>60462</v>
      </c>
      <c r="C64" s="1483">
        <v>177585</v>
      </c>
      <c r="D64" s="1483">
        <v>19</v>
      </c>
      <c r="E64" s="1483">
        <v>3182</v>
      </c>
      <c r="F64" s="1516">
        <v>9347</v>
      </c>
    </row>
    <row r="65" spans="1:6" s="1515" customFormat="1" ht="17.25" hidden="1" customHeight="1" thickTop="1" x14ac:dyDescent="0.3">
      <c r="A65" s="1486">
        <v>42339</v>
      </c>
      <c r="B65" s="1482">
        <v>76922</v>
      </c>
      <c r="C65" s="1483">
        <v>253578</v>
      </c>
      <c r="D65" s="1483">
        <v>22</v>
      </c>
      <c r="E65" s="1483">
        <v>3496</v>
      </c>
      <c r="F65" s="1516">
        <v>11526</v>
      </c>
    </row>
    <row r="66" spans="1:6" s="1515" customFormat="1" ht="17.25" hidden="1" customHeight="1" thickTop="1" x14ac:dyDescent="0.3">
      <c r="A66" s="1486">
        <v>42370</v>
      </c>
      <c r="B66" s="1482">
        <v>52011</v>
      </c>
      <c r="C66" s="1483">
        <v>253516</v>
      </c>
      <c r="D66" s="1483">
        <v>20</v>
      </c>
      <c r="E66" s="1483">
        <v>2601</v>
      </c>
      <c r="F66" s="1516">
        <v>12676</v>
      </c>
    </row>
    <row r="67" spans="1:6" s="1515" customFormat="1" ht="17.25" hidden="1" customHeight="1" thickTop="1" x14ac:dyDescent="0.3">
      <c r="A67" s="1486">
        <v>42401</v>
      </c>
      <c r="B67" s="1482">
        <v>62518</v>
      </c>
      <c r="C67" s="1483">
        <v>211597</v>
      </c>
      <c r="D67" s="1483">
        <v>19</v>
      </c>
      <c r="E67" s="1483">
        <v>3290</v>
      </c>
      <c r="F67" s="1516">
        <v>11137</v>
      </c>
    </row>
    <row r="68" spans="1:6" s="1515" customFormat="1" ht="17.25" hidden="1" customHeight="1" thickTop="1" x14ac:dyDescent="0.3">
      <c r="A68" s="1486">
        <v>42430</v>
      </c>
      <c r="B68" s="1482">
        <v>64922</v>
      </c>
      <c r="C68" s="1483">
        <v>223848</v>
      </c>
      <c r="D68" s="1483">
        <v>22</v>
      </c>
      <c r="E68" s="1483">
        <v>2951</v>
      </c>
      <c r="F68" s="1516">
        <v>10175</v>
      </c>
    </row>
    <row r="69" spans="1:6" s="1515" customFormat="1" ht="17.25" hidden="1" customHeight="1" thickTop="1" x14ac:dyDescent="0.3">
      <c r="A69" s="1486">
        <v>42461</v>
      </c>
      <c r="B69" s="1482">
        <v>57129</v>
      </c>
      <c r="C69" s="1483">
        <v>215673</v>
      </c>
      <c r="D69" s="1483">
        <v>20</v>
      </c>
      <c r="E69" s="1483">
        <v>2856</v>
      </c>
      <c r="F69" s="1516">
        <v>10784</v>
      </c>
    </row>
    <row r="70" spans="1:6" s="1515" customFormat="1" ht="17.25" hidden="1" customHeight="1" thickTop="1" x14ac:dyDescent="0.3">
      <c r="A70" s="1486">
        <v>42491</v>
      </c>
      <c r="B70" s="1482">
        <v>69200</v>
      </c>
      <c r="C70" s="1483">
        <v>219755</v>
      </c>
      <c r="D70" s="1483">
        <v>22</v>
      </c>
      <c r="E70" s="1483">
        <v>3145</v>
      </c>
      <c r="F70" s="1516">
        <v>9989</v>
      </c>
    </row>
    <row r="71" spans="1:6" s="1515" customFormat="1" ht="17.25" hidden="1" customHeight="1" thickTop="1" x14ac:dyDescent="0.3">
      <c r="A71" s="1486">
        <v>42522</v>
      </c>
      <c r="B71" s="1482">
        <v>65589</v>
      </c>
      <c r="C71" s="1483">
        <v>261357</v>
      </c>
      <c r="D71" s="1483">
        <v>22</v>
      </c>
      <c r="E71" s="1483">
        <v>2981</v>
      </c>
      <c r="F71" s="1516">
        <v>11880</v>
      </c>
    </row>
    <row r="72" spans="1:6" s="1515" customFormat="1" ht="17.25" hidden="1" customHeight="1" thickTop="1" x14ac:dyDescent="0.3">
      <c r="A72" s="1486">
        <v>42552</v>
      </c>
      <c r="B72" s="1482">
        <v>57011</v>
      </c>
      <c r="C72" s="1483">
        <v>222186</v>
      </c>
      <c r="D72" s="1483">
        <v>20</v>
      </c>
      <c r="E72" s="1483">
        <v>2851</v>
      </c>
      <c r="F72" s="1516">
        <v>11109</v>
      </c>
    </row>
    <row r="73" spans="1:6" s="1515" customFormat="1" ht="17.25" hidden="1" customHeight="1" thickTop="1" x14ac:dyDescent="0.3">
      <c r="A73" s="1486">
        <v>42583</v>
      </c>
      <c r="B73" s="1482">
        <v>68655</v>
      </c>
      <c r="C73" s="1483">
        <v>226764</v>
      </c>
      <c r="D73" s="1483">
        <v>22</v>
      </c>
      <c r="E73" s="1483">
        <v>3121</v>
      </c>
      <c r="F73" s="1516">
        <v>10307</v>
      </c>
    </row>
    <row r="74" spans="1:6" s="1515" customFormat="1" ht="17.25" hidden="1" customHeight="1" thickTop="1" x14ac:dyDescent="0.3">
      <c r="A74" s="1486">
        <v>42614</v>
      </c>
      <c r="B74" s="1482">
        <v>63895</v>
      </c>
      <c r="C74" s="1483">
        <v>220931</v>
      </c>
      <c r="D74" s="1483">
        <v>21</v>
      </c>
      <c r="E74" s="1483">
        <v>3043</v>
      </c>
      <c r="F74" s="1516">
        <v>10521</v>
      </c>
    </row>
    <row r="75" spans="1:6" s="1515" customFormat="1" ht="17.25" hidden="1" customHeight="1" thickTop="1" x14ac:dyDescent="0.3">
      <c r="A75" s="1486">
        <v>42644</v>
      </c>
      <c r="B75" s="1482">
        <v>64811</v>
      </c>
      <c r="C75" s="1483">
        <v>188398</v>
      </c>
      <c r="D75" s="1483">
        <v>21</v>
      </c>
      <c r="E75" s="1483">
        <v>3086</v>
      </c>
      <c r="F75" s="1516">
        <v>8971</v>
      </c>
    </row>
    <row r="76" spans="1:6" s="1515" customFormat="1" ht="17.25" hidden="1" customHeight="1" thickTop="1" x14ac:dyDescent="0.3">
      <c r="A76" s="1486">
        <v>42675</v>
      </c>
      <c r="B76" s="1482">
        <v>65062</v>
      </c>
      <c r="C76" s="1483">
        <v>196024</v>
      </c>
      <c r="D76" s="1483">
        <v>21</v>
      </c>
      <c r="E76" s="1483">
        <v>3098</v>
      </c>
      <c r="F76" s="1516">
        <v>9334</v>
      </c>
    </row>
    <row r="77" spans="1:6" s="1515" customFormat="1" ht="17.25" hidden="1" customHeight="1" thickTop="1" x14ac:dyDescent="0.3">
      <c r="A77" s="1486">
        <v>42705</v>
      </c>
      <c r="B77" s="1482">
        <v>81451</v>
      </c>
      <c r="C77" s="1483">
        <v>260639</v>
      </c>
      <c r="D77" s="1483">
        <v>22</v>
      </c>
      <c r="E77" s="1483">
        <v>3702</v>
      </c>
      <c r="F77" s="1516">
        <v>11847</v>
      </c>
    </row>
    <row r="78" spans="1:6" s="1515" customFormat="1" ht="17.25" hidden="1" customHeight="1" thickTop="1" x14ac:dyDescent="0.3">
      <c r="A78" s="1486">
        <v>42736</v>
      </c>
      <c r="B78" s="1482">
        <v>66836</v>
      </c>
      <c r="C78" s="1483">
        <v>227128</v>
      </c>
      <c r="D78" s="1483">
        <v>21</v>
      </c>
      <c r="E78" s="1483">
        <v>3183</v>
      </c>
      <c r="F78" s="1516">
        <v>10816</v>
      </c>
    </row>
    <row r="79" spans="1:6" s="1515" customFormat="1" ht="16.5" hidden="1" customHeight="1" x14ac:dyDescent="0.3">
      <c r="A79" s="1487">
        <v>42767</v>
      </c>
      <c r="B79" s="1482">
        <v>62308</v>
      </c>
      <c r="C79" s="1483">
        <v>172975</v>
      </c>
      <c r="D79" s="1483">
        <v>17</v>
      </c>
      <c r="E79" s="1483">
        <v>3665</v>
      </c>
      <c r="F79" s="1516">
        <v>10175</v>
      </c>
    </row>
    <row r="80" spans="1:6" s="1515" customFormat="1" ht="16.5" hidden="1" customHeight="1" x14ac:dyDescent="0.3">
      <c r="A80" s="1487">
        <v>42795</v>
      </c>
      <c r="B80" s="1482">
        <v>76832</v>
      </c>
      <c r="C80" s="1483">
        <v>260402</v>
      </c>
      <c r="D80" s="1483">
        <v>22</v>
      </c>
      <c r="E80" s="1483">
        <v>3492</v>
      </c>
      <c r="F80" s="1516">
        <v>11836</v>
      </c>
    </row>
    <row r="81" spans="1:6" s="1515" customFormat="1" ht="16.5" hidden="1" customHeight="1" x14ac:dyDescent="0.3">
      <c r="A81" s="1487">
        <v>42826</v>
      </c>
      <c r="B81" s="1482">
        <v>65388</v>
      </c>
      <c r="C81" s="1483">
        <v>234471</v>
      </c>
      <c r="D81" s="1483">
        <v>20</v>
      </c>
      <c r="E81" s="1483">
        <v>3269</v>
      </c>
      <c r="F81" s="1516">
        <v>11724</v>
      </c>
    </row>
    <row r="82" spans="1:6" s="1515" customFormat="1" ht="16.5" hidden="1" customHeight="1" x14ac:dyDescent="0.3">
      <c r="A82" s="1487">
        <v>42856</v>
      </c>
      <c r="B82" s="1482">
        <v>83833</v>
      </c>
      <c r="C82" s="1483">
        <v>216262</v>
      </c>
      <c r="D82" s="1483">
        <v>22</v>
      </c>
      <c r="E82" s="1483">
        <v>3811</v>
      </c>
      <c r="F82" s="1516">
        <v>9830</v>
      </c>
    </row>
    <row r="83" spans="1:6" s="1515" customFormat="1" ht="16.5" hidden="1" customHeight="1" x14ac:dyDescent="0.3">
      <c r="A83" s="1487">
        <v>42887</v>
      </c>
      <c r="B83" s="1482">
        <v>78973</v>
      </c>
      <c r="C83" s="1483">
        <v>253396</v>
      </c>
      <c r="D83" s="1483">
        <v>21</v>
      </c>
      <c r="E83" s="1483">
        <v>3761</v>
      </c>
      <c r="F83" s="1516">
        <v>12066</v>
      </c>
    </row>
    <row r="84" spans="1:6" s="1515" customFormat="1" ht="16.5" hidden="1" customHeight="1" x14ac:dyDescent="0.3">
      <c r="A84" s="1487">
        <v>42917</v>
      </c>
      <c r="B84" s="1482">
        <v>77852</v>
      </c>
      <c r="C84" s="1483">
        <v>259200</v>
      </c>
      <c r="D84" s="1483">
        <v>21</v>
      </c>
      <c r="E84" s="1483">
        <v>3707</v>
      </c>
      <c r="F84" s="1516">
        <v>12343</v>
      </c>
    </row>
    <row r="85" spans="1:6" s="1515" customFormat="1" ht="16.5" hidden="1" customHeight="1" x14ac:dyDescent="0.3">
      <c r="A85" s="1487">
        <v>42948</v>
      </c>
      <c r="B85" s="1482">
        <v>79598</v>
      </c>
      <c r="C85" s="1483">
        <v>238941</v>
      </c>
      <c r="D85" s="1483">
        <v>23</v>
      </c>
      <c r="E85" s="1483">
        <v>3461</v>
      </c>
      <c r="F85" s="1516">
        <v>10389</v>
      </c>
    </row>
    <row r="86" spans="1:6" s="1515" customFormat="1" ht="16.5" hidden="1" customHeight="1" x14ac:dyDescent="0.3">
      <c r="A86" s="1487">
        <v>42979</v>
      </c>
      <c r="B86" s="1482">
        <v>71140</v>
      </c>
      <c r="C86" s="1483">
        <v>240405</v>
      </c>
      <c r="D86" s="1483">
        <v>21</v>
      </c>
      <c r="E86" s="1483">
        <v>3388</v>
      </c>
      <c r="F86" s="1516">
        <v>11448</v>
      </c>
    </row>
    <row r="87" spans="1:6" s="1515" customFormat="1" ht="16.5" hidden="1" customHeight="1" x14ac:dyDescent="0.3">
      <c r="A87" s="1487">
        <v>43009</v>
      </c>
      <c r="B87" s="1482">
        <v>90624</v>
      </c>
      <c r="C87" s="1483">
        <v>229265</v>
      </c>
      <c r="D87" s="1483">
        <v>21</v>
      </c>
      <c r="E87" s="1483">
        <v>4315</v>
      </c>
      <c r="F87" s="1516">
        <v>10917</v>
      </c>
    </row>
    <row r="88" spans="1:6" s="1515" customFormat="1" ht="16.5" hidden="1" customHeight="1" x14ac:dyDescent="0.3">
      <c r="A88" s="1487">
        <v>43040</v>
      </c>
      <c r="B88" s="1482">
        <v>82355</v>
      </c>
      <c r="C88" s="1483">
        <v>213845</v>
      </c>
      <c r="D88" s="1483">
        <v>20</v>
      </c>
      <c r="E88" s="1483">
        <v>4118</v>
      </c>
      <c r="F88" s="1516">
        <v>10692</v>
      </c>
    </row>
    <row r="89" spans="1:6" s="1515" customFormat="1" ht="16.5" hidden="1" customHeight="1" x14ac:dyDescent="0.3">
      <c r="A89" s="1487">
        <v>43070</v>
      </c>
      <c r="B89" s="1482">
        <v>99690</v>
      </c>
      <c r="C89" s="1483">
        <v>282514</v>
      </c>
      <c r="D89" s="1483">
        <v>20</v>
      </c>
      <c r="E89" s="1483">
        <v>4985</v>
      </c>
      <c r="F89" s="1516">
        <v>14126</v>
      </c>
    </row>
    <row r="90" spans="1:6" s="1515" customFormat="1" ht="17.25" hidden="1" customHeight="1" thickTop="1" x14ac:dyDescent="0.3">
      <c r="A90" s="1487">
        <v>43101</v>
      </c>
      <c r="B90" s="1482">
        <v>78536</v>
      </c>
      <c r="C90" s="1483">
        <v>235683</v>
      </c>
      <c r="D90" s="1483">
        <v>19</v>
      </c>
      <c r="E90" s="1483">
        <v>4133</v>
      </c>
      <c r="F90" s="1516">
        <v>12404</v>
      </c>
    </row>
    <row r="91" spans="1:6" s="1515" customFormat="1" ht="16.5" hidden="1" customHeight="1" x14ac:dyDescent="0.3">
      <c r="A91" s="1487">
        <v>43132</v>
      </c>
      <c r="B91" s="1482">
        <v>86723</v>
      </c>
      <c r="C91" s="1483">
        <v>293041</v>
      </c>
      <c r="D91" s="1483">
        <v>17</v>
      </c>
      <c r="E91" s="1483">
        <v>5101</v>
      </c>
      <c r="F91" s="1516">
        <v>17238</v>
      </c>
    </row>
    <row r="92" spans="1:6" s="1515" customFormat="1" ht="16.5" hidden="1" customHeight="1" x14ac:dyDescent="0.3">
      <c r="A92" s="1487">
        <v>43160</v>
      </c>
      <c r="B92" s="1482">
        <v>82482</v>
      </c>
      <c r="C92" s="1483">
        <v>247221</v>
      </c>
      <c r="D92" s="1483">
        <v>21</v>
      </c>
      <c r="E92" s="1483">
        <v>3928</v>
      </c>
      <c r="F92" s="1516">
        <v>11772</v>
      </c>
    </row>
    <row r="93" spans="1:6" s="1515" customFormat="1" ht="16.5" hidden="1" customHeight="1" x14ac:dyDescent="0.3">
      <c r="A93" s="1487">
        <v>43191</v>
      </c>
      <c r="B93" s="1482">
        <v>92093</v>
      </c>
      <c r="C93" s="1483">
        <v>273906</v>
      </c>
      <c r="D93" s="1483">
        <v>21</v>
      </c>
      <c r="E93" s="1483">
        <v>4385</v>
      </c>
      <c r="F93" s="1516">
        <v>13043</v>
      </c>
    </row>
    <row r="94" spans="1:6" s="1515" customFormat="1" ht="16.5" hidden="1" customHeight="1" x14ac:dyDescent="0.3">
      <c r="A94" s="1487">
        <v>43221</v>
      </c>
      <c r="B94" s="1482">
        <v>91042</v>
      </c>
      <c r="C94" s="1483">
        <v>266885</v>
      </c>
      <c r="D94" s="1483">
        <v>22</v>
      </c>
      <c r="E94" s="1483">
        <v>4138</v>
      </c>
      <c r="F94" s="1516">
        <v>12131</v>
      </c>
    </row>
    <row r="95" spans="1:6" s="1515" customFormat="1" ht="16.5" hidden="1" customHeight="1" x14ac:dyDescent="0.3">
      <c r="A95" s="1487">
        <v>43252</v>
      </c>
      <c r="B95" s="1482">
        <v>91994</v>
      </c>
      <c r="C95" s="1483">
        <v>267348</v>
      </c>
      <c r="D95" s="1483">
        <v>21</v>
      </c>
      <c r="E95" s="1483">
        <v>4381</v>
      </c>
      <c r="F95" s="1516">
        <v>12731</v>
      </c>
    </row>
    <row r="96" spans="1:6" s="1515" customFormat="1" ht="16.5" hidden="1" customHeight="1" x14ac:dyDescent="0.3">
      <c r="A96" s="1487">
        <v>43282</v>
      </c>
      <c r="B96" s="1482">
        <v>92490</v>
      </c>
      <c r="C96" s="1483">
        <v>195832</v>
      </c>
      <c r="D96" s="1483">
        <v>22</v>
      </c>
      <c r="E96" s="1483">
        <v>4204</v>
      </c>
      <c r="F96" s="1516">
        <v>8901</v>
      </c>
    </row>
    <row r="97" spans="1:8" s="1515" customFormat="1" ht="16.5" hidden="1" customHeight="1" x14ac:dyDescent="0.3">
      <c r="A97" s="1487">
        <v>43313</v>
      </c>
      <c r="B97" s="1482">
        <v>91096</v>
      </c>
      <c r="C97" s="1483">
        <v>242535</v>
      </c>
      <c r="D97" s="1483">
        <v>22</v>
      </c>
      <c r="E97" s="1483">
        <v>4141</v>
      </c>
      <c r="F97" s="1516">
        <v>11024</v>
      </c>
    </row>
    <row r="98" spans="1:8" s="1515" customFormat="1" ht="16.5" hidden="1" customHeight="1" x14ac:dyDescent="0.3">
      <c r="A98" s="1487">
        <v>43344</v>
      </c>
      <c r="B98" s="1482">
        <v>76792</v>
      </c>
      <c r="C98" s="1483">
        <v>194841</v>
      </c>
      <c r="D98" s="1483">
        <v>19</v>
      </c>
      <c r="E98" s="1483">
        <v>4042</v>
      </c>
      <c r="F98" s="1516">
        <v>10255</v>
      </c>
    </row>
    <row r="99" spans="1:8" s="1515" customFormat="1" ht="16.5" hidden="1" customHeight="1" x14ac:dyDescent="0.3">
      <c r="A99" s="1487">
        <v>43374</v>
      </c>
      <c r="B99" s="1482">
        <v>107212</v>
      </c>
      <c r="C99" s="1483">
        <v>239481</v>
      </c>
      <c r="D99" s="1483">
        <v>23</v>
      </c>
      <c r="E99" s="1483">
        <v>4661</v>
      </c>
      <c r="F99" s="1516">
        <v>10412</v>
      </c>
    </row>
    <row r="100" spans="1:8" s="1515" customFormat="1" ht="16.5" hidden="1" customHeight="1" x14ac:dyDescent="0.3">
      <c r="A100" s="1487">
        <v>43405</v>
      </c>
      <c r="B100" s="1482">
        <v>93267</v>
      </c>
      <c r="C100" s="1483">
        <v>249899</v>
      </c>
      <c r="D100" s="1483">
        <v>20</v>
      </c>
      <c r="E100" s="1483">
        <v>4663</v>
      </c>
      <c r="F100" s="1516">
        <v>12495</v>
      </c>
    </row>
    <row r="101" spans="1:8" s="1515" customFormat="1" ht="16.5" hidden="1" customHeight="1" x14ac:dyDescent="0.3">
      <c r="A101" s="1487">
        <v>43435</v>
      </c>
      <c r="B101" s="1482">
        <v>111315</v>
      </c>
      <c r="C101" s="1483">
        <v>295538</v>
      </c>
      <c r="D101" s="1483">
        <v>20</v>
      </c>
      <c r="E101" s="1483">
        <v>5566</v>
      </c>
      <c r="F101" s="1516">
        <v>14777</v>
      </c>
    </row>
    <row r="102" spans="1:8" s="1515" customFormat="1" ht="17.25" thickTop="1" x14ac:dyDescent="0.3">
      <c r="A102" s="1487">
        <v>43466</v>
      </c>
      <c r="B102" s="1482">
        <v>102170</v>
      </c>
      <c r="C102" s="1483">
        <v>247334</v>
      </c>
      <c r="D102" s="1483">
        <v>20</v>
      </c>
      <c r="E102" s="1483">
        <v>5109</v>
      </c>
      <c r="F102" s="1516">
        <v>12367</v>
      </c>
    </row>
    <row r="103" spans="1:8" s="1515" customFormat="1" x14ac:dyDescent="0.3">
      <c r="A103" s="1487">
        <v>43497</v>
      </c>
      <c r="B103" s="1482">
        <v>86111</v>
      </c>
      <c r="C103" s="1483">
        <v>238735</v>
      </c>
      <c r="D103" s="1483">
        <v>18</v>
      </c>
      <c r="E103" s="1483">
        <v>4784</v>
      </c>
      <c r="F103" s="1516">
        <v>13263</v>
      </c>
    </row>
    <row r="104" spans="1:8" s="1515" customFormat="1" x14ac:dyDescent="0.3">
      <c r="A104" s="1486">
        <v>43525</v>
      </c>
      <c r="B104" s="1482">
        <v>87109</v>
      </c>
      <c r="C104" s="1483">
        <v>244427</v>
      </c>
      <c r="D104" s="1483">
        <v>19</v>
      </c>
      <c r="E104" s="1483">
        <v>4585</v>
      </c>
      <c r="F104" s="1516">
        <v>12865</v>
      </c>
    </row>
    <row r="105" spans="1:8" s="1515" customFormat="1" x14ac:dyDescent="0.3">
      <c r="A105" s="1486">
        <v>43556</v>
      </c>
      <c r="B105" s="1482">
        <v>107169</v>
      </c>
      <c r="C105" s="1483">
        <v>272553</v>
      </c>
      <c r="D105" s="1483">
        <v>22</v>
      </c>
      <c r="E105" s="1483">
        <v>4871</v>
      </c>
      <c r="F105" s="1516">
        <v>12389</v>
      </c>
    </row>
    <row r="106" spans="1:8" s="1515" customFormat="1" x14ac:dyDescent="0.3">
      <c r="A106" s="1486">
        <v>43586</v>
      </c>
      <c r="B106" s="1482">
        <v>103041</v>
      </c>
      <c r="C106" s="1483">
        <v>292643</v>
      </c>
      <c r="D106" s="1483">
        <v>22</v>
      </c>
      <c r="E106" s="1483">
        <v>4684</v>
      </c>
      <c r="F106" s="1516">
        <v>13302</v>
      </c>
    </row>
    <row r="107" spans="1:8" s="1515" customFormat="1" x14ac:dyDescent="0.3">
      <c r="A107" s="1486">
        <v>43617</v>
      </c>
      <c r="B107" s="1482">
        <v>96992</v>
      </c>
      <c r="C107" s="1483">
        <v>321512</v>
      </c>
      <c r="D107" s="1483">
        <v>19</v>
      </c>
      <c r="E107" s="1483">
        <v>5105</v>
      </c>
      <c r="F107" s="1516">
        <v>16922</v>
      </c>
    </row>
    <row r="108" spans="1:8" s="1515" customFormat="1" x14ac:dyDescent="0.3">
      <c r="A108" s="1486">
        <v>43647</v>
      </c>
      <c r="B108" s="1482">
        <v>104816</v>
      </c>
      <c r="C108" s="1483">
        <v>225573</v>
      </c>
      <c r="D108" s="1483">
        <v>24</v>
      </c>
      <c r="E108" s="1483">
        <v>4367</v>
      </c>
      <c r="F108" s="1516">
        <v>9399</v>
      </c>
    </row>
    <row r="109" spans="1:8" s="1515" customFormat="1" x14ac:dyDescent="0.3">
      <c r="A109" s="1486">
        <v>43678</v>
      </c>
      <c r="B109" s="1482">
        <v>93962</v>
      </c>
      <c r="C109" s="1483">
        <v>269150</v>
      </c>
      <c r="D109" s="1483">
        <v>22</v>
      </c>
      <c r="E109" s="1483">
        <v>4271</v>
      </c>
      <c r="F109" s="1516">
        <v>12234</v>
      </c>
    </row>
    <row r="110" spans="1:8" s="1515" customFormat="1" x14ac:dyDescent="0.3">
      <c r="A110" s="1486">
        <v>43709</v>
      </c>
      <c r="B110" s="1482">
        <v>107491</v>
      </c>
      <c r="C110" s="1483">
        <v>246650</v>
      </c>
      <c r="D110" s="1483">
        <v>19</v>
      </c>
      <c r="E110" s="1483">
        <v>5657</v>
      </c>
      <c r="F110" s="1516">
        <v>12982</v>
      </c>
    </row>
    <row r="111" spans="1:8" s="1515" customFormat="1" x14ac:dyDescent="0.3">
      <c r="A111" s="1486">
        <v>43739</v>
      </c>
      <c r="B111" s="1482">
        <v>110379</v>
      </c>
      <c r="C111" s="1483">
        <v>276285</v>
      </c>
      <c r="D111" s="1483">
        <v>23</v>
      </c>
      <c r="E111" s="1483">
        <v>4799</v>
      </c>
      <c r="F111" s="1516">
        <v>12012</v>
      </c>
    </row>
    <row r="112" spans="1:8" s="1515" customFormat="1" x14ac:dyDescent="0.3">
      <c r="A112" s="1486">
        <v>43770</v>
      </c>
      <c r="B112" s="1482">
        <v>92147</v>
      </c>
      <c r="C112" s="1483">
        <v>301442</v>
      </c>
      <c r="D112" s="1483">
        <v>19</v>
      </c>
      <c r="E112" s="1483">
        <v>4850</v>
      </c>
      <c r="F112" s="1516">
        <v>15865.368421052632</v>
      </c>
      <c r="G112" s="1517"/>
      <c r="H112" s="1517"/>
    </row>
    <row r="113" spans="1:8" s="1515" customFormat="1" x14ac:dyDescent="0.3">
      <c r="A113" s="1486">
        <v>43800</v>
      </c>
      <c r="B113" s="1482">
        <v>131738</v>
      </c>
      <c r="C113" s="1483">
        <v>359946</v>
      </c>
      <c r="D113" s="1483">
        <v>20</v>
      </c>
      <c r="E113" s="1483">
        <v>6587</v>
      </c>
      <c r="F113" s="1516">
        <v>17997</v>
      </c>
      <c r="G113" s="1517"/>
      <c r="H113" s="1517"/>
    </row>
    <row r="114" spans="1:8" s="1515" customFormat="1" x14ac:dyDescent="0.3">
      <c r="A114" s="1486">
        <v>43831</v>
      </c>
      <c r="B114" s="1482">
        <v>117273</v>
      </c>
      <c r="C114" s="1483">
        <v>354569</v>
      </c>
      <c r="D114" s="1483">
        <v>21</v>
      </c>
      <c r="E114" s="1483">
        <f>B114/D114</f>
        <v>5584.4285714285716</v>
      </c>
      <c r="F114" s="1516">
        <f>C114/D114</f>
        <v>16884.238095238095</v>
      </c>
      <c r="G114" s="1517"/>
      <c r="H114" s="1517"/>
    </row>
    <row r="115" spans="1:8" s="1515" customFormat="1" x14ac:dyDescent="0.3">
      <c r="A115" s="1486">
        <v>43862</v>
      </c>
      <c r="B115" s="1482">
        <v>88864</v>
      </c>
      <c r="C115" s="1483">
        <v>332152</v>
      </c>
      <c r="D115" s="1483">
        <v>19</v>
      </c>
      <c r="E115" s="1483">
        <v>4677</v>
      </c>
      <c r="F115" s="1516">
        <v>17482</v>
      </c>
      <c r="G115" s="1518"/>
      <c r="H115" s="1517"/>
    </row>
    <row r="116" spans="1:8" s="1515" customFormat="1" x14ac:dyDescent="0.3">
      <c r="A116" s="1486">
        <v>43891</v>
      </c>
      <c r="B116" s="1482">
        <v>97707</v>
      </c>
      <c r="C116" s="1483">
        <v>261527</v>
      </c>
      <c r="D116" s="1483">
        <v>20</v>
      </c>
      <c r="E116" s="1483">
        <v>4885</v>
      </c>
      <c r="F116" s="1516">
        <v>13076</v>
      </c>
      <c r="G116" s="1518"/>
      <c r="H116" s="1517"/>
    </row>
    <row r="117" spans="1:8" s="1515" customFormat="1" x14ac:dyDescent="0.3">
      <c r="A117" s="1486">
        <v>43922</v>
      </c>
      <c r="B117" s="1482">
        <v>92158</v>
      </c>
      <c r="C117" s="1483">
        <v>211732</v>
      </c>
      <c r="D117" s="1483">
        <v>22</v>
      </c>
      <c r="E117" s="1483">
        <v>4189</v>
      </c>
      <c r="F117" s="1516">
        <v>9624</v>
      </c>
      <c r="G117" s="1518"/>
      <c r="H117" s="1517"/>
    </row>
    <row r="118" spans="1:8" s="1515" customFormat="1" x14ac:dyDescent="0.3">
      <c r="A118" s="1486">
        <v>43952</v>
      </c>
      <c r="B118" s="1482">
        <v>94609</v>
      </c>
      <c r="C118" s="1483">
        <v>212297</v>
      </c>
      <c r="D118" s="1483">
        <v>20</v>
      </c>
      <c r="E118" s="1483">
        <v>4730</v>
      </c>
      <c r="F118" s="1516">
        <v>10615</v>
      </c>
      <c r="G118" s="1518"/>
      <c r="H118" s="1517"/>
    </row>
    <row r="119" spans="1:8" s="1515" customFormat="1" x14ac:dyDescent="0.3">
      <c r="A119" s="1486">
        <v>43983</v>
      </c>
      <c r="B119" s="1482">
        <v>134228</v>
      </c>
      <c r="C119" s="1483">
        <v>373434</v>
      </c>
      <c r="D119" s="1483">
        <v>22</v>
      </c>
      <c r="E119" s="1483">
        <v>6101</v>
      </c>
      <c r="F119" s="1516">
        <v>16974</v>
      </c>
      <c r="G119" s="1518"/>
      <c r="H119" s="1517"/>
    </row>
    <row r="120" spans="1:8" s="1515" customFormat="1" x14ac:dyDescent="0.3">
      <c r="A120" s="1486">
        <v>44013</v>
      </c>
      <c r="B120" s="1482">
        <v>113382</v>
      </c>
      <c r="C120" s="1483">
        <v>337960.45621734002</v>
      </c>
      <c r="D120" s="1483">
        <v>23</v>
      </c>
      <c r="E120" s="1483">
        <v>4929.652173913043</v>
      </c>
      <c r="F120" s="1516">
        <v>14693.932879014783</v>
      </c>
      <c r="G120" s="1518"/>
      <c r="H120" s="1517"/>
    </row>
    <row r="121" spans="1:8" s="1515" customFormat="1" x14ac:dyDescent="0.3">
      <c r="A121" s="1486">
        <v>44044</v>
      </c>
      <c r="B121" s="1482">
        <v>102862</v>
      </c>
      <c r="C121" s="1483">
        <v>330240.32741725002</v>
      </c>
      <c r="D121" s="1483">
        <v>21</v>
      </c>
      <c r="E121" s="1483">
        <v>4898.1904761904761</v>
      </c>
      <c r="F121" s="1516">
        <v>15725.729877011905</v>
      </c>
      <c r="G121" s="1518"/>
      <c r="H121" s="1517"/>
    </row>
    <row r="122" spans="1:8" s="1515" customFormat="1" x14ac:dyDescent="0.3">
      <c r="A122" s="1486">
        <v>44075</v>
      </c>
      <c r="B122" s="1482">
        <v>107587</v>
      </c>
      <c r="C122" s="1483">
        <v>367847.95492542</v>
      </c>
      <c r="D122" s="1483">
        <v>22</v>
      </c>
      <c r="E122" s="1483">
        <v>4890.318181818182</v>
      </c>
      <c r="F122" s="1516">
        <v>16720.361587519092</v>
      </c>
      <c r="G122" s="1518"/>
      <c r="H122" s="1517"/>
    </row>
    <row r="123" spans="1:8" s="1515" customFormat="1" x14ac:dyDescent="0.3">
      <c r="A123" s="1486">
        <v>44105</v>
      </c>
      <c r="B123" s="1482">
        <v>100289</v>
      </c>
      <c r="C123" s="1483">
        <v>220600.03425431999</v>
      </c>
      <c r="D123" s="1483">
        <v>22</v>
      </c>
      <c r="E123" s="1483">
        <v>4558.590909090909</v>
      </c>
      <c r="F123" s="1516">
        <v>10027.274284287272</v>
      </c>
      <c r="G123" s="1518"/>
      <c r="H123" s="1517"/>
    </row>
    <row r="124" spans="1:8" s="1515" customFormat="1" x14ac:dyDescent="0.3">
      <c r="A124" s="1486">
        <v>44136</v>
      </c>
      <c r="B124" s="1482">
        <v>128172</v>
      </c>
      <c r="C124" s="1483">
        <v>217055.19184104999</v>
      </c>
      <c r="D124" s="1483">
        <v>20</v>
      </c>
      <c r="E124" s="1483">
        <v>6408.6</v>
      </c>
      <c r="F124" s="1516">
        <v>10852.7595920525</v>
      </c>
      <c r="G124" s="1518"/>
      <c r="H124" s="1517"/>
    </row>
    <row r="125" spans="1:8" s="1515" customFormat="1" x14ac:dyDescent="0.3">
      <c r="A125" s="1486">
        <v>44166</v>
      </c>
      <c r="B125" s="1482">
        <v>147734</v>
      </c>
      <c r="C125" s="1483">
        <f>336284385573.98/1000000</f>
        <v>336284.38557397999</v>
      </c>
      <c r="D125" s="1483">
        <v>22</v>
      </c>
      <c r="E125" s="1483">
        <f>B125/D125</f>
        <v>6715.181818181818</v>
      </c>
      <c r="F125" s="1516">
        <f>C125/D125</f>
        <v>15285.653889726364</v>
      </c>
      <c r="G125" s="1518"/>
      <c r="H125" s="1517"/>
    </row>
    <row r="126" spans="1:8" s="1515" customFormat="1" x14ac:dyDescent="0.3">
      <c r="A126" s="1486">
        <v>44197</v>
      </c>
      <c r="B126" s="1482">
        <v>106431</v>
      </c>
      <c r="C126" s="1483">
        <v>237262</v>
      </c>
      <c r="D126" s="1483">
        <v>19</v>
      </c>
      <c r="E126" s="1483">
        <v>5602</v>
      </c>
      <c r="F126" s="1516">
        <v>12487</v>
      </c>
      <c r="G126" s="1518"/>
      <c r="H126" s="1517"/>
    </row>
    <row r="127" spans="1:8" s="1515" customFormat="1" x14ac:dyDescent="0.3">
      <c r="A127" s="1486">
        <v>44228</v>
      </c>
      <c r="B127" s="1482">
        <v>109610</v>
      </c>
      <c r="C127" s="1483">
        <v>203589</v>
      </c>
      <c r="D127" s="1483">
        <v>18</v>
      </c>
      <c r="E127" s="1483">
        <v>6089</v>
      </c>
      <c r="F127" s="1516">
        <v>11311</v>
      </c>
      <c r="G127" s="1518"/>
      <c r="H127" s="1517"/>
    </row>
    <row r="128" spans="1:8" s="1515" customFormat="1" x14ac:dyDescent="0.3">
      <c r="A128" s="1486">
        <v>44256</v>
      </c>
      <c r="B128" s="1482">
        <v>125724</v>
      </c>
      <c r="C128" s="1483">
        <v>290385</v>
      </c>
      <c r="D128" s="1483">
        <v>21</v>
      </c>
      <c r="E128" s="1483">
        <v>5987</v>
      </c>
      <c r="F128" s="1516">
        <v>13828</v>
      </c>
      <c r="G128" s="1518"/>
      <c r="H128" s="1517"/>
    </row>
    <row r="129" spans="1:8" s="1515" customFormat="1" x14ac:dyDescent="0.3">
      <c r="A129" s="1486">
        <v>44287</v>
      </c>
      <c r="B129" s="1482">
        <v>120081</v>
      </c>
      <c r="C129" s="1483">
        <v>294793</v>
      </c>
      <c r="D129" s="1483">
        <v>20</v>
      </c>
      <c r="E129" s="1483">
        <v>6004</v>
      </c>
      <c r="F129" s="1516">
        <v>14740</v>
      </c>
      <c r="G129" s="1518"/>
      <c r="H129" s="1517"/>
    </row>
    <row r="130" spans="1:8" s="1515" customFormat="1" x14ac:dyDescent="0.3">
      <c r="A130" s="1486">
        <v>44317</v>
      </c>
      <c r="B130" s="1482">
        <v>112391</v>
      </c>
      <c r="C130" s="1483">
        <v>285870</v>
      </c>
      <c r="D130" s="1483">
        <v>20</v>
      </c>
      <c r="E130" s="1483">
        <v>5620</v>
      </c>
      <c r="F130" s="1516">
        <v>14294</v>
      </c>
      <c r="G130" s="1518"/>
      <c r="H130" s="1517"/>
    </row>
    <row r="131" spans="1:8" s="1515" customFormat="1" x14ac:dyDescent="0.3">
      <c r="A131" s="1486">
        <v>44348</v>
      </c>
      <c r="B131" s="1482">
        <v>133592</v>
      </c>
      <c r="C131" s="1483">
        <v>455172</v>
      </c>
      <c r="D131" s="1483">
        <v>22</v>
      </c>
      <c r="E131" s="1483">
        <v>6072</v>
      </c>
      <c r="F131" s="1516">
        <v>20690</v>
      </c>
      <c r="G131" s="1518"/>
      <c r="H131" s="1517"/>
    </row>
    <row r="132" spans="1:8" s="1515" customFormat="1" ht="17.25" thickBot="1" x14ac:dyDescent="0.35">
      <c r="A132" s="1492">
        <v>44378</v>
      </c>
      <c r="B132" s="1493">
        <v>112030</v>
      </c>
      <c r="C132" s="1495">
        <v>288228</v>
      </c>
      <c r="D132" s="1495">
        <v>22</v>
      </c>
      <c r="E132" s="1495">
        <v>5092</v>
      </c>
      <c r="F132" s="1519">
        <v>13101</v>
      </c>
      <c r="G132" s="1518"/>
      <c r="H132" s="1517"/>
    </row>
    <row r="133" spans="1:8" s="1515" customFormat="1" ht="16.5" hidden="1" customHeight="1" thickTop="1" x14ac:dyDescent="0.3">
      <c r="A133" s="1520"/>
      <c r="B133" s="1520"/>
      <c r="C133" s="1520"/>
      <c r="D133" s="1520"/>
      <c r="E133" s="1520"/>
      <c r="F133" s="1520"/>
    </row>
    <row r="134" spans="1:8" s="1521" customFormat="1" ht="47.25" customHeight="1" x14ac:dyDescent="0.25">
      <c r="A134" s="3755" t="s">
        <v>3448</v>
      </c>
      <c r="B134" s="3755"/>
      <c r="C134" s="3755"/>
      <c r="D134" s="3755"/>
      <c r="E134" s="3755"/>
      <c r="F134" s="3755"/>
    </row>
    <row r="135" spans="1:8" s="1522" customFormat="1" ht="14.25" x14ac:dyDescent="0.25">
      <c r="A135" s="123" t="s">
        <v>3449</v>
      </c>
      <c r="B135" s="102"/>
      <c r="C135" s="102"/>
      <c r="D135" s="102"/>
      <c r="E135" s="102"/>
      <c r="F135" s="102"/>
    </row>
    <row r="136" spans="1:8" s="1522" customFormat="1" ht="14.25" x14ac:dyDescent="0.25">
      <c r="A136" s="123" t="s">
        <v>3442</v>
      </c>
      <c r="B136" s="102"/>
      <c r="C136" s="102"/>
      <c r="D136" s="102"/>
      <c r="E136" s="102"/>
      <c r="F136" s="102"/>
    </row>
    <row r="137" spans="1:8" x14ac:dyDescent="0.3">
      <c r="A137" s="1523"/>
      <c r="B137" s="1523"/>
      <c r="C137" s="1523"/>
      <c r="D137" s="1523"/>
      <c r="E137" s="1523"/>
      <c r="F137" s="1523"/>
    </row>
  </sheetData>
  <mergeCells count="2">
    <mergeCell ref="E4:F4"/>
    <mergeCell ref="A134:F134"/>
  </mergeCells>
  <printOptions horizontalCentered="1"/>
  <pageMargins left="0.75" right="0.75" top="0.75" bottom="0.75" header="0.3" footer="0"/>
  <pageSetup paperSize="9" scale="8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G135"/>
  <sheetViews>
    <sheetView zoomScaleNormal="100" zoomScaleSheetLayoutView="110" workbookViewId="0">
      <pane xSplit="1" ySplit="76" topLeftCell="B125" activePane="bottomRight" state="frozen"/>
      <selection activeCell="I35" sqref="I35"/>
      <selection pane="topRight" activeCell="I35" sqref="I35"/>
      <selection pane="bottomLeft" activeCell="I35" sqref="I35"/>
      <selection pane="bottomRight"/>
    </sheetView>
  </sheetViews>
  <sheetFormatPr defaultRowHeight="16.5" x14ac:dyDescent="0.25"/>
  <cols>
    <col min="1" max="1" width="13.42578125" style="1528" customWidth="1"/>
    <col min="2" max="2" width="15.42578125" style="1528" customWidth="1"/>
    <col min="3" max="3" width="13.42578125" style="1528" customWidth="1"/>
    <col min="4" max="4" width="14.42578125" style="1528" bestFit="1" customWidth="1"/>
    <col min="5" max="5" width="13.42578125" style="1528" customWidth="1"/>
    <col min="6" max="6" width="14.85546875" style="1528" customWidth="1"/>
    <col min="7" max="7" width="9.140625" style="1528"/>
    <col min="8" max="256" width="9.140625" style="1529"/>
    <col min="257" max="257" width="13.42578125" style="1529" customWidth="1"/>
    <col min="258" max="258" width="15.42578125" style="1529" customWidth="1"/>
    <col min="259" max="259" width="13.42578125" style="1529" customWidth="1"/>
    <col min="260" max="260" width="14.42578125" style="1529" bestFit="1" customWidth="1"/>
    <col min="261" max="261" width="13.42578125" style="1529" customWidth="1"/>
    <col min="262" max="262" width="14.85546875" style="1529" customWidth="1"/>
    <col min="263" max="512" width="9.140625" style="1529"/>
    <col min="513" max="513" width="13.42578125" style="1529" customWidth="1"/>
    <col min="514" max="514" width="15.42578125" style="1529" customWidth="1"/>
    <col min="515" max="515" width="13.42578125" style="1529" customWidth="1"/>
    <col min="516" max="516" width="14.42578125" style="1529" bestFit="1" customWidth="1"/>
    <col min="517" max="517" width="13.42578125" style="1529" customWidth="1"/>
    <col min="518" max="518" width="14.85546875" style="1529" customWidth="1"/>
    <col min="519" max="768" width="9.140625" style="1529"/>
    <col min="769" max="769" width="13.42578125" style="1529" customWidth="1"/>
    <col min="770" max="770" width="15.42578125" style="1529" customWidth="1"/>
    <col min="771" max="771" width="13.42578125" style="1529" customWidth="1"/>
    <col min="772" max="772" width="14.42578125" style="1529" bestFit="1" customWidth="1"/>
    <col min="773" max="773" width="13.42578125" style="1529" customWidth="1"/>
    <col min="774" max="774" width="14.85546875" style="1529" customWidth="1"/>
    <col min="775" max="1024" width="9.140625" style="1529"/>
    <col min="1025" max="1025" width="13.42578125" style="1529" customWidth="1"/>
    <col min="1026" max="1026" width="15.42578125" style="1529" customWidth="1"/>
    <col min="1027" max="1027" width="13.42578125" style="1529" customWidth="1"/>
    <col min="1028" max="1028" width="14.42578125" style="1529" bestFit="1" customWidth="1"/>
    <col min="1029" max="1029" width="13.42578125" style="1529" customWidth="1"/>
    <col min="1030" max="1030" width="14.85546875" style="1529" customWidth="1"/>
    <col min="1031" max="1280" width="9.140625" style="1529"/>
    <col min="1281" max="1281" width="13.42578125" style="1529" customWidth="1"/>
    <col min="1282" max="1282" width="15.42578125" style="1529" customWidth="1"/>
    <col min="1283" max="1283" width="13.42578125" style="1529" customWidth="1"/>
    <col min="1284" max="1284" width="14.42578125" style="1529" bestFit="1" customWidth="1"/>
    <col min="1285" max="1285" width="13.42578125" style="1529" customWidth="1"/>
    <col min="1286" max="1286" width="14.85546875" style="1529" customWidth="1"/>
    <col min="1287" max="1536" width="9.140625" style="1529"/>
    <col min="1537" max="1537" width="13.42578125" style="1529" customWidth="1"/>
    <col min="1538" max="1538" width="15.42578125" style="1529" customWidth="1"/>
    <col min="1539" max="1539" width="13.42578125" style="1529" customWidth="1"/>
    <col min="1540" max="1540" width="14.42578125" style="1529" bestFit="1" customWidth="1"/>
    <col min="1541" max="1541" width="13.42578125" style="1529" customWidth="1"/>
    <col min="1542" max="1542" width="14.85546875" style="1529" customWidth="1"/>
    <col min="1543" max="1792" width="9.140625" style="1529"/>
    <col min="1793" max="1793" width="13.42578125" style="1529" customWidth="1"/>
    <col min="1794" max="1794" width="15.42578125" style="1529" customWidth="1"/>
    <col min="1795" max="1795" width="13.42578125" style="1529" customWidth="1"/>
    <col min="1796" max="1796" width="14.42578125" style="1529" bestFit="1" customWidth="1"/>
    <col min="1797" max="1797" width="13.42578125" style="1529" customWidth="1"/>
    <col min="1798" max="1798" width="14.85546875" style="1529" customWidth="1"/>
    <col min="1799" max="2048" width="9.140625" style="1529"/>
    <col min="2049" max="2049" width="13.42578125" style="1529" customWidth="1"/>
    <col min="2050" max="2050" width="15.42578125" style="1529" customWidth="1"/>
    <col min="2051" max="2051" width="13.42578125" style="1529" customWidth="1"/>
    <col min="2052" max="2052" width="14.42578125" style="1529" bestFit="1" customWidth="1"/>
    <col min="2053" max="2053" width="13.42578125" style="1529" customWidth="1"/>
    <col min="2054" max="2054" width="14.85546875" style="1529" customWidth="1"/>
    <col min="2055" max="2304" width="9.140625" style="1529"/>
    <col min="2305" max="2305" width="13.42578125" style="1529" customWidth="1"/>
    <col min="2306" max="2306" width="15.42578125" style="1529" customWidth="1"/>
    <col min="2307" max="2307" width="13.42578125" style="1529" customWidth="1"/>
    <col min="2308" max="2308" width="14.42578125" style="1529" bestFit="1" customWidth="1"/>
    <col min="2309" max="2309" width="13.42578125" style="1529" customWidth="1"/>
    <col min="2310" max="2310" width="14.85546875" style="1529" customWidth="1"/>
    <col min="2311" max="2560" width="9.140625" style="1529"/>
    <col min="2561" max="2561" width="13.42578125" style="1529" customWidth="1"/>
    <col min="2562" max="2562" width="15.42578125" style="1529" customWidth="1"/>
    <col min="2563" max="2563" width="13.42578125" style="1529" customWidth="1"/>
    <col min="2564" max="2564" width="14.42578125" style="1529" bestFit="1" customWidth="1"/>
    <col min="2565" max="2565" width="13.42578125" style="1529" customWidth="1"/>
    <col min="2566" max="2566" width="14.85546875" style="1529" customWidth="1"/>
    <col min="2567" max="2816" width="9.140625" style="1529"/>
    <col min="2817" max="2817" width="13.42578125" style="1529" customWidth="1"/>
    <col min="2818" max="2818" width="15.42578125" style="1529" customWidth="1"/>
    <col min="2819" max="2819" width="13.42578125" style="1529" customWidth="1"/>
    <col min="2820" max="2820" width="14.42578125" style="1529" bestFit="1" customWidth="1"/>
    <col min="2821" max="2821" width="13.42578125" style="1529" customWidth="1"/>
    <col min="2822" max="2822" width="14.85546875" style="1529" customWidth="1"/>
    <col min="2823" max="3072" width="9.140625" style="1529"/>
    <col min="3073" max="3073" width="13.42578125" style="1529" customWidth="1"/>
    <col min="3074" max="3074" width="15.42578125" style="1529" customWidth="1"/>
    <col min="3075" max="3075" width="13.42578125" style="1529" customWidth="1"/>
    <col min="3076" max="3076" width="14.42578125" style="1529" bestFit="1" customWidth="1"/>
    <col min="3077" max="3077" width="13.42578125" style="1529" customWidth="1"/>
    <col min="3078" max="3078" width="14.85546875" style="1529" customWidth="1"/>
    <col min="3079" max="3328" width="9.140625" style="1529"/>
    <col min="3329" max="3329" width="13.42578125" style="1529" customWidth="1"/>
    <col min="3330" max="3330" width="15.42578125" style="1529" customWidth="1"/>
    <col min="3331" max="3331" width="13.42578125" style="1529" customWidth="1"/>
    <col min="3332" max="3332" width="14.42578125" style="1529" bestFit="1" customWidth="1"/>
    <col min="3333" max="3333" width="13.42578125" style="1529" customWidth="1"/>
    <col min="3334" max="3334" width="14.85546875" style="1529" customWidth="1"/>
    <col min="3335" max="3584" width="9.140625" style="1529"/>
    <col min="3585" max="3585" width="13.42578125" style="1529" customWidth="1"/>
    <col min="3586" max="3586" width="15.42578125" style="1529" customWidth="1"/>
    <col min="3587" max="3587" width="13.42578125" style="1529" customWidth="1"/>
    <col min="3588" max="3588" width="14.42578125" style="1529" bestFit="1" customWidth="1"/>
    <col min="3589" max="3589" width="13.42578125" style="1529" customWidth="1"/>
    <col min="3590" max="3590" width="14.85546875" style="1529" customWidth="1"/>
    <col min="3591" max="3840" width="9.140625" style="1529"/>
    <col min="3841" max="3841" width="13.42578125" style="1529" customWidth="1"/>
    <col min="3842" max="3842" width="15.42578125" style="1529" customWidth="1"/>
    <col min="3843" max="3843" width="13.42578125" style="1529" customWidth="1"/>
    <col min="3844" max="3844" width="14.42578125" style="1529" bestFit="1" customWidth="1"/>
    <col min="3845" max="3845" width="13.42578125" style="1529" customWidth="1"/>
    <col min="3846" max="3846" width="14.85546875" style="1529" customWidth="1"/>
    <col min="3847" max="4096" width="9.140625" style="1529"/>
    <col min="4097" max="4097" width="13.42578125" style="1529" customWidth="1"/>
    <col min="4098" max="4098" width="15.42578125" style="1529" customWidth="1"/>
    <col min="4099" max="4099" width="13.42578125" style="1529" customWidth="1"/>
    <col min="4100" max="4100" width="14.42578125" style="1529" bestFit="1" customWidth="1"/>
    <col min="4101" max="4101" width="13.42578125" style="1529" customWidth="1"/>
    <col min="4102" max="4102" width="14.85546875" style="1529" customWidth="1"/>
    <col min="4103" max="4352" width="9.140625" style="1529"/>
    <col min="4353" max="4353" width="13.42578125" style="1529" customWidth="1"/>
    <col min="4354" max="4354" width="15.42578125" style="1529" customWidth="1"/>
    <col min="4355" max="4355" width="13.42578125" style="1529" customWidth="1"/>
    <col min="4356" max="4356" width="14.42578125" style="1529" bestFit="1" customWidth="1"/>
    <col min="4357" max="4357" width="13.42578125" style="1529" customWidth="1"/>
    <col min="4358" max="4358" width="14.85546875" style="1529" customWidth="1"/>
    <col min="4359" max="4608" width="9.140625" style="1529"/>
    <col min="4609" max="4609" width="13.42578125" style="1529" customWidth="1"/>
    <col min="4610" max="4610" width="15.42578125" style="1529" customWidth="1"/>
    <col min="4611" max="4611" width="13.42578125" style="1529" customWidth="1"/>
    <col min="4612" max="4612" width="14.42578125" style="1529" bestFit="1" customWidth="1"/>
    <col min="4613" max="4613" width="13.42578125" style="1529" customWidth="1"/>
    <col min="4614" max="4614" width="14.85546875" style="1529" customWidth="1"/>
    <col min="4615" max="4864" width="9.140625" style="1529"/>
    <col min="4865" max="4865" width="13.42578125" style="1529" customWidth="1"/>
    <col min="4866" max="4866" width="15.42578125" style="1529" customWidth="1"/>
    <col min="4867" max="4867" width="13.42578125" style="1529" customWidth="1"/>
    <col min="4868" max="4868" width="14.42578125" style="1529" bestFit="1" customWidth="1"/>
    <col min="4869" max="4869" width="13.42578125" style="1529" customWidth="1"/>
    <col min="4870" max="4870" width="14.85546875" style="1529" customWidth="1"/>
    <col min="4871" max="5120" width="9.140625" style="1529"/>
    <col min="5121" max="5121" width="13.42578125" style="1529" customWidth="1"/>
    <col min="5122" max="5122" width="15.42578125" style="1529" customWidth="1"/>
    <col min="5123" max="5123" width="13.42578125" style="1529" customWidth="1"/>
    <col min="5124" max="5124" width="14.42578125" style="1529" bestFit="1" customWidth="1"/>
    <col min="5125" max="5125" width="13.42578125" style="1529" customWidth="1"/>
    <col min="5126" max="5126" width="14.85546875" style="1529" customWidth="1"/>
    <col min="5127" max="5376" width="9.140625" style="1529"/>
    <col min="5377" max="5377" width="13.42578125" style="1529" customWidth="1"/>
    <col min="5378" max="5378" width="15.42578125" style="1529" customWidth="1"/>
    <col min="5379" max="5379" width="13.42578125" style="1529" customWidth="1"/>
    <col min="5380" max="5380" width="14.42578125" style="1529" bestFit="1" customWidth="1"/>
    <col min="5381" max="5381" width="13.42578125" style="1529" customWidth="1"/>
    <col min="5382" max="5382" width="14.85546875" style="1529" customWidth="1"/>
    <col min="5383" max="5632" width="9.140625" style="1529"/>
    <col min="5633" max="5633" width="13.42578125" style="1529" customWidth="1"/>
    <col min="5634" max="5634" width="15.42578125" style="1529" customWidth="1"/>
    <col min="5635" max="5635" width="13.42578125" style="1529" customWidth="1"/>
    <col min="5636" max="5636" width="14.42578125" style="1529" bestFit="1" customWidth="1"/>
    <col min="5637" max="5637" width="13.42578125" style="1529" customWidth="1"/>
    <col min="5638" max="5638" width="14.85546875" style="1529" customWidth="1"/>
    <col min="5639" max="5888" width="9.140625" style="1529"/>
    <col min="5889" max="5889" width="13.42578125" style="1529" customWidth="1"/>
    <col min="5890" max="5890" width="15.42578125" style="1529" customWidth="1"/>
    <col min="5891" max="5891" width="13.42578125" style="1529" customWidth="1"/>
    <col min="5892" max="5892" width="14.42578125" style="1529" bestFit="1" customWidth="1"/>
    <col min="5893" max="5893" width="13.42578125" style="1529" customWidth="1"/>
    <col min="5894" max="5894" width="14.85546875" style="1529" customWidth="1"/>
    <col min="5895" max="6144" width="9.140625" style="1529"/>
    <col min="6145" max="6145" width="13.42578125" style="1529" customWidth="1"/>
    <col min="6146" max="6146" width="15.42578125" style="1529" customWidth="1"/>
    <col min="6147" max="6147" width="13.42578125" style="1529" customWidth="1"/>
    <col min="6148" max="6148" width="14.42578125" style="1529" bestFit="1" customWidth="1"/>
    <col min="6149" max="6149" width="13.42578125" style="1529" customWidth="1"/>
    <col min="6150" max="6150" width="14.85546875" style="1529" customWidth="1"/>
    <col min="6151" max="6400" width="9.140625" style="1529"/>
    <col min="6401" max="6401" width="13.42578125" style="1529" customWidth="1"/>
    <col min="6402" max="6402" width="15.42578125" style="1529" customWidth="1"/>
    <col min="6403" max="6403" width="13.42578125" style="1529" customWidth="1"/>
    <col min="6404" max="6404" width="14.42578125" style="1529" bestFit="1" customWidth="1"/>
    <col min="6405" max="6405" width="13.42578125" style="1529" customWidth="1"/>
    <col min="6406" max="6406" width="14.85546875" style="1529" customWidth="1"/>
    <col min="6407" max="6656" width="9.140625" style="1529"/>
    <col min="6657" max="6657" width="13.42578125" style="1529" customWidth="1"/>
    <col min="6658" max="6658" width="15.42578125" style="1529" customWidth="1"/>
    <col min="6659" max="6659" width="13.42578125" style="1529" customWidth="1"/>
    <col min="6660" max="6660" width="14.42578125" style="1529" bestFit="1" customWidth="1"/>
    <col min="6661" max="6661" width="13.42578125" style="1529" customWidth="1"/>
    <col min="6662" max="6662" width="14.85546875" style="1529" customWidth="1"/>
    <col min="6663" max="6912" width="9.140625" style="1529"/>
    <col min="6913" max="6913" width="13.42578125" style="1529" customWidth="1"/>
    <col min="6914" max="6914" width="15.42578125" style="1529" customWidth="1"/>
    <col min="6915" max="6915" width="13.42578125" style="1529" customWidth="1"/>
    <col min="6916" max="6916" width="14.42578125" style="1529" bestFit="1" customWidth="1"/>
    <col min="6917" max="6917" width="13.42578125" style="1529" customWidth="1"/>
    <col min="6918" max="6918" width="14.85546875" style="1529" customWidth="1"/>
    <col min="6919" max="7168" width="9.140625" style="1529"/>
    <col min="7169" max="7169" width="13.42578125" style="1529" customWidth="1"/>
    <col min="7170" max="7170" width="15.42578125" style="1529" customWidth="1"/>
    <col min="7171" max="7171" width="13.42578125" style="1529" customWidth="1"/>
    <col min="7172" max="7172" width="14.42578125" style="1529" bestFit="1" customWidth="1"/>
    <col min="7173" max="7173" width="13.42578125" style="1529" customWidth="1"/>
    <col min="7174" max="7174" width="14.85546875" style="1529" customWidth="1"/>
    <col min="7175" max="7424" width="9.140625" style="1529"/>
    <col min="7425" max="7425" width="13.42578125" style="1529" customWidth="1"/>
    <col min="7426" max="7426" width="15.42578125" style="1529" customWidth="1"/>
    <col min="7427" max="7427" width="13.42578125" style="1529" customWidth="1"/>
    <col min="7428" max="7428" width="14.42578125" style="1529" bestFit="1" customWidth="1"/>
    <col min="7429" max="7429" width="13.42578125" style="1529" customWidth="1"/>
    <col min="7430" max="7430" width="14.85546875" style="1529" customWidth="1"/>
    <col min="7431" max="7680" width="9.140625" style="1529"/>
    <col min="7681" max="7681" width="13.42578125" style="1529" customWidth="1"/>
    <col min="7682" max="7682" width="15.42578125" style="1529" customWidth="1"/>
    <col min="7683" max="7683" width="13.42578125" style="1529" customWidth="1"/>
    <col min="7684" max="7684" width="14.42578125" style="1529" bestFit="1" customWidth="1"/>
    <col min="7685" max="7685" width="13.42578125" style="1529" customWidth="1"/>
    <col min="7686" max="7686" width="14.85546875" style="1529" customWidth="1"/>
    <col min="7687" max="7936" width="9.140625" style="1529"/>
    <col min="7937" max="7937" width="13.42578125" style="1529" customWidth="1"/>
    <col min="7938" max="7938" width="15.42578125" style="1529" customWidth="1"/>
    <col min="7939" max="7939" width="13.42578125" style="1529" customWidth="1"/>
    <col min="7940" max="7940" width="14.42578125" style="1529" bestFit="1" customWidth="1"/>
    <col min="7941" max="7941" width="13.42578125" style="1529" customWidth="1"/>
    <col min="7942" max="7942" width="14.85546875" style="1529" customWidth="1"/>
    <col min="7943" max="8192" width="9.140625" style="1529"/>
    <col min="8193" max="8193" width="13.42578125" style="1529" customWidth="1"/>
    <col min="8194" max="8194" width="15.42578125" style="1529" customWidth="1"/>
    <col min="8195" max="8195" width="13.42578125" style="1529" customWidth="1"/>
    <col min="8196" max="8196" width="14.42578125" style="1529" bestFit="1" customWidth="1"/>
    <col min="8197" max="8197" width="13.42578125" style="1529" customWidth="1"/>
    <col min="8198" max="8198" width="14.85546875" style="1529" customWidth="1"/>
    <col min="8199" max="8448" width="9.140625" style="1529"/>
    <col min="8449" max="8449" width="13.42578125" style="1529" customWidth="1"/>
    <col min="8450" max="8450" width="15.42578125" style="1529" customWidth="1"/>
    <col min="8451" max="8451" width="13.42578125" style="1529" customWidth="1"/>
    <col min="8452" max="8452" width="14.42578125" style="1529" bestFit="1" customWidth="1"/>
    <col min="8453" max="8453" width="13.42578125" style="1529" customWidth="1"/>
    <col min="8454" max="8454" width="14.85546875" style="1529" customWidth="1"/>
    <col min="8455" max="8704" width="9.140625" style="1529"/>
    <col min="8705" max="8705" width="13.42578125" style="1529" customWidth="1"/>
    <col min="8706" max="8706" width="15.42578125" style="1529" customWidth="1"/>
    <col min="8707" max="8707" width="13.42578125" style="1529" customWidth="1"/>
    <col min="8708" max="8708" width="14.42578125" style="1529" bestFit="1" customWidth="1"/>
    <col min="8709" max="8709" width="13.42578125" style="1529" customWidth="1"/>
    <col min="8710" max="8710" width="14.85546875" style="1529" customWidth="1"/>
    <col min="8711" max="8960" width="9.140625" style="1529"/>
    <col min="8961" max="8961" width="13.42578125" style="1529" customWidth="1"/>
    <col min="8962" max="8962" width="15.42578125" style="1529" customWidth="1"/>
    <col min="8963" max="8963" width="13.42578125" style="1529" customWidth="1"/>
    <col min="8964" max="8964" width="14.42578125" style="1529" bestFit="1" customWidth="1"/>
    <col min="8965" max="8965" width="13.42578125" style="1529" customWidth="1"/>
    <col min="8966" max="8966" width="14.85546875" style="1529" customWidth="1"/>
    <col min="8967" max="9216" width="9.140625" style="1529"/>
    <col min="9217" max="9217" width="13.42578125" style="1529" customWidth="1"/>
    <col min="9218" max="9218" width="15.42578125" style="1529" customWidth="1"/>
    <col min="9219" max="9219" width="13.42578125" style="1529" customWidth="1"/>
    <col min="9220" max="9220" width="14.42578125" style="1529" bestFit="1" customWidth="1"/>
    <col min="9221" max="9221" width="13.42578125" style="1529" customWidth="1"/>
    <col min="9222" max="9222" width="14.85546875" style="1529" customWidth="1"/>
    <col min="9223" max="9472" width="9.140625" style="1529"/>
    <col min="9473" max="9473" width="13.42578125" style="1529" customWidth="1"/>
    <col min="9474" max="9474" width="15.42578125" style="1529" customWidth="1"/>
    <col min="9475" max="9475" width="13.42578125" style="1529" customWidth="1"/>
    <col min="9476" max="9476" width="14.42578125" style="1529" bestFit="1" customWidth="1"/>
    <col min="9477" max="9477" width="13.42578125" style="1529" customWidth="1"/>
    <col min="9478" max="9478" width="14.85546875" style="1529" customWidth="1"/>
    <col min="9479" max="9728" width="9.140625" style="1529"/>
    <col min="9729" max="9729" width="13.42578125" style="1529" customWidth="1"/>
    <col min="9730" max="9730" width="15.42578125" style="1529" customWidth="1"/>
    <col min="9731" max="9731" width="13.42578125" style="1529" customWidth="1"/>
    <col min="9732" max="9732" width="14.42578125" style="1529" bestFit="1" customWidth="1"/>
    <col min="9733" max="9733" width="13.42578125" style="1529" customWidth="1"/>
    <col min="9734" max="9734" width="14.85546875" style="1529" customWidth="1"/>
    <col min="9735" max="9984" width="9.140625" style="1529"/>
    <col min="9985" max="9985" width="13.42578125" style="1529" customWidth="1"/>
    <col min="9986" max="9986" width="15.42578125" style="1529" customWidth="1"/>
    <col min="9987" max="9987" width="13.42578125" style="1529" customWidth="1"/>
    <col min="9988" max="9988" width="14.42578125" style="1529" bestFit="1" customWidth="1"/>
    <col min="9989" max="9989" width="13.42578125" style="1529" customWidth="1"/>
    <col min="9990" max="9990" width="14.85546875" style="1529" customWidth="1"/>
    <col min="9991" max="10240" width="9.140625" style="1529"/>
    <col min="10241" max="10241" width="13.42578125" style="1529" customWidth="1"/>
    <col min="10242" max="10242" width="15.42578125" style="1529" customWidth="1"/>
    <col min="10243" max="10243" width="13.42578125" style="1529" customWidth="1"/>
    <col min="10244" max="10244" width="14.42578125" style="1529" bestFit="1" customWidth="1"/>
    <col min="10245" max="10245" width="13.42578125" style="1529" customWidth="1"/>
    <col min="10246" max="10246" width="14.85546875" style="1529" customWidth="1"/>
    <col min="10247" max="10496" width="9.140625" style="1529"/>
    <col min="10497" max="10497" width="13.42578125" style="1529" customWidth="1"/>
    <col min="10498" max="10498" width="15.42578125" style="1529" customWidth="1"/>
    <col min="10499" max="10499" width="13.42578125" style="1529" customWidth="1"/>
    <col min="10500" max="10500" width="14.42578125" style="1529" bestFit="1" customWidth="1"/>
    <col min="10501" max="10501" width="13.42578125" style="1529" customWidth="1"/>
    <col min="10502" max="10502" width="14.85546875" style="1529" customWidth="1"/>
    <col min="10503" max="10752" width="9.140625" style="1529"/>
    <col min="10753" max="10753" width="13.42578125" style="1529" customWidth="1"/>
    <col min="10754" max="10754" width="15.42578125" style="1529" customWidth="1"/>
    <col min="10755" max="10755" width="13.42578125" style="1529" customWidth="1"/>
    <col min="10756" max="10756" width="14.42578125" style="1529" bestFit="1" customWidth="1"/>
    <col min="10757" max="10757" width="13.42578125" style="1529" customWidth="1"/>
    <col min="10758" max="10758" width="14.85546875" style="1529" customWidth="1"/>
    <col min="10759" max="11008" width="9.140625" style="1529"/>
    <col min="11009" max="11009" width="13.42578125" style="1529" customWidth="1"/>
    <col min="11010" max="11010" width="15.42578125" style="1529" customWidth="1"/>
    <col min="11011" max="11011" width="13.42578125" style="1529" customWidth="1"/>
    <col min="11012" max="11012" width="14.42578125" style="1529" bestFit="1" customWidth="1"/>
    <col min="11013" max="11013" width="13.42578125" style="1529" customWidth="1"/>
    <col min="11014" max="11014" width="14.85546875" style="1529" customWidth="1"/>
    <col min="11015" max="11264" width="9.140625" style="1529"/>
    <col min="11265" max="11265" width="13.42578125" style="1529" customWidth="1"/>
    <col min="11266" max="11266" width="15.42578125" style="1529" customWidth="1"/>
    <col min="11267" max="11267" width="13.42578125" style="1529" customWidth="1"/>
    <col min="11268" max="11268" width="14.42578125" style="1529" bestFit="1" customWidth="1"/>
    <col min="11269" max="11269" width="13.42578125" style="1529" customWidth="1"/>
    <col min="11270" max="11270" width="14.85546875" style="1529" customWidth="1"/>
    <col min="11271" max="11520" width="9.140625" style="1529"/>
    <col min="11521" max="11521" width="13.42578125" style="1529" customWidth="1"/>
    <col min="11522" max="11522" width="15.42578125" style="1529" customWidth="1"/>
    <col min="11523" max="11523" width="13.42578125" style="1529" customWidth="1"/>
    <col min="11524" max="11524" width="14.42578125" style="1529" bestFit="1" customWidth="1"/>
    <col min="11525" max="11525" width="13.42578125" style="1529" customWidth="1"/>
    <col min="11526" max="11526" width="14.85546875" style="1529" customWidth="1"/>
    <col min="11527" max="11776" width="9.140625" style="1529"/>
    <col min="11777" max="11777" width="13.42578125" style="1529" customWidth="1"/>
    <col min="11778" max="11778" width="15.42578125" style="1529" customWidth="1"/>
    <col min="11779" max="11779" width="13.42578125" style="1529" customWidth="1"/>
    <col min="11780" max="11780" width="14.42578125" style="1529" bestFit="1" customWidth="1"/>
    <col min="11781" max="11781" width="13.42578125" style="1529" customWidth="1"/>
    <col min="11782" max="11782" width="14.85546875" style="1529" customWidth="1"/>
    <col min="11783" max="12032" width="9.140625" style="1529"/>
    <col min="12033" max="12033" width="13.42578125" style="1529" customWidth="1"/>
    <col min="12034" max="12034" width="15.42578125" style="1529" customWidth="1"/>
    <col min="12035" max="12035" width="13.42578125" style="1529" customWidth="1"/>
    <col min="12036" max="12036" width="14.42578125" style="1529" bestFit="1" customWidth="1"/>
    <col min="12037" max="12037" width="13.42578125" style="1529" customWidth="1"/>
    <col min="12038" max="12038" width="14.85546875" style="1529" customWidth="1"/>
    <col min="12039" max="12288" width="9.140625" style="1529"/>
    <col min="12289" max="12289" width="13.42578125" style="1529" customWidth="1"/>
    <col min="12290" max="12290" width="15.42578125" style="1529" customWidth="1"/>
    <col min="12291" max="12291" width="13.42578125" style="1529" customWidth="1"/>
    <col min="12292" max="12292" width="14.42578125" style="1529" bestFit="1" customWidth="1"/>
    <col min="12293" max="12293" width="13.42578125" style="1529" customWidth="1"/>
    <col min="12294" max="12294" width="14.85546875" style="1529" customWidth="1"/>
    <col min="12295" max="12544" width="9.140625" style="1529"/>
    <col min="12545" max="12545" width="13.42578125" style="1529" customWidth="1"/>
    <col min="12546" max="12546" width="15.42578125" style="1529" customWidth="1"/>
    <col min="12547" max="12547" width="13.42578125" style="1529" customWidth="1"/>
    <col min="12548" max="12548" width="14.42578125" style="1529" bestFit="1" customWidth="1"/>
    <col min="12549" max="12549" width="13.42578125" style="1529" customWidth="1"/>
    <col min="12550" max="12550" width="14.85546875" style="1529" customWidth="1"/>
    <col min="12551" max="12800" width="9.140625" style="1529"/>
    <col min="12801" max="12801" width="13.42578125" style="1529" customWidth="1"/>
    <col min="12802" max="12802" width="15.42578125" style="1529" customWidth="1"/>
    <col min="12803" max="12803" width="13.42578125" style="1529" customWidth="1"/>
    <col min="12804" max="12804" width="14.42578125" style="1529" bestFit="1" customWidth="1"/>
    <col min="12805" max="12805" width="13.42578125" style="1529" customWidth="1"/>
    <col min="12806" max="12806" width="14.85546875" style="1529" customWidth="1"/>
    <col min="12807" max="13056" width="9.140625" style="1529"/>
    <col min="13057" max="13057" width="13.42578125" style="1529" customWidth="1"/>
    <col min="13058" max="13058" width="15.42578125" style="1529" customWidth="1"/>
    <col min="13059" max="13059" width="13.42578125" style="1529" customWidth="1"/>
    <col min="13060" max="13060" width="14.42578125" style="1529" bestFit="1" customWidth="1"/>
    <col min="13061" max="13061" width="13.42578125" style="1529" customWidth="1"/>
    <col min="13062" max="13062" width="14.85546875" style="1529" customWidth="1"/>
    <col min="13063" max="13312" width="9.140625" style="1529"/>
    <col min="13313" max="13313" width="13.42578125" style="1529" customWidth="1"/>
    <col min="13314" max="13314" width="15.42578125" style="1529" customWidth="1"/>
    <col min="13315" max="13315" width="13.42578125" style="1529" customWidth="1"/>
    <col min="13316" max="13316" width="14.42578125" style="1529" bestFit="1" customWidth="1"/>
    <col min="13317" max="13317" width="13.42578125" style="1529" customWidth="1"/>
    <col min="13318" max="13318" width="14.85546875" style="1529" customWidth="1"/>
    <col min="13319" max="13568" width="9.140625" style="1529"/>
    <col min="13569" max="13569" width="13.42578125" style="1529" customWidth="1"/>
    <col min="13570" max="13570" width="15.42578125" style="1529" customWidth="1"/>
    <col min="13571" max="13571" width="13.42578125" style="1529" customWidth="1"/>
    <col min="13572" max="13572" width="14.42578125" style="1529" bestFit="1" customWidth="1"/>
    <col min="13573" max="13573" width="13.42578125" style="1529" customWidth="1"/>
    <col min="13574" max="13574" width="14.85546875" style="1529" customWidth="1"/>
    <col min="13575" max="13824" width="9.140625" style="1529"/>
    <col min="13825" max="13825" width="13.42578125" style="1529" customWidth="1"/>
    <col min="13826" max="13826" width="15.42578125" style="1529" customWidth="1"/>
    <col min="13827" max="13827" width="13.42578125" style="1529" customWidth="1"/>
    <col min="13828" max="13828" width="14.42578125" style="1529" bestFit="1" customWidth="1"/>
    <col min="13829" max="13829" width="13.42578125" style="1529" customWidth="1"/>
    <col min="13830" max="13830" width="14.85546875" style="1529" customWidth="1"/>
    <col min="13831" max="14080" width="9.140625" style="1529"/>
    <col min="14081" max="14081" width="13.42578125" style="1529" customWidth="1"/>
    <col min="14082" max="14082" width="15.42578125" style="1529" customWidth="1"/>
    <col min="14083" max="14083" width="13.42578125" style="1529" customWidth="1"/>
    <col min="14084" max="14084" width="14.42578125" style="1529" bestFit="1" customWidth="1"/>
    <col min="14085" max="14085" width="13.42578125" style="1529" customWidth="1"/>
    <col min="14086" max="14086" width="14.85546875" style="1529" customWidth="1"/>
    <col min="14087" max="14336" width="9.140625" style="1529"/>
    <col min="14337" max="14337" width="13.42578125" style="1529" customWidth="1"/>
    <col min="14338" max="14338" width="15.42578125" style="1529" customWidth="1"/>
    <col min="14339" max="14339" width="13.42578125" style="1529" customWidth="1"/>
    <col min="14340" max="14340" width="14.42578125" style="1529" bestFit="1" customWidth="1"/>
    <col min="14341" max="14341" width="13.42578125" style="1529" customWidth="1"/>
    <col min="14342" max="14342" width="14.85546875" style="1529" customWidth="1"/>
    <col min="14343" max="14592" width="9.140625" style="1529"/>
    <col min="14593" max="14593" width="13.42578125" style="1529" customWidth="1"/>
    <col min="14594" max="14594" width="15.42578125" style="1529" customWidth="1"/>
    <col min="14595" max="14595" width="13.42578125" style="1529" customWidth="1"/>
    <col min="14596" max="14596" width="14.42578125" style="1529" bestFit="1" customWidth="1"/>
    <col min="14597" max="14597" width="13.42578125" style="1529" customWidth="1"/>
    <col min="14598" max="14598" width="14.85546875" style="1529" customWidth="1"/>
    <col min="14599" max="14848" width="9.140625" style="1529"/>
    <col min="14849" max="14849" width="13.42578125" style="1529" customWidth="1"/>
    <col min="14850" max="14850" width="15.42578125" style="1529" customWidth="1"/>
    <col min="14851" max="14851" width="13.42578125" style="1529" customWidth="1"/>
    <col min="14852" max="14852" width="14.42578125" style="1529" bestFit="1" customWidth="1"/>
    <col min="14853" max="14853" width="13.42578125" style="1529" customWidth="1"/>
    <col min="14854" max="14854" width="14.85546875" style="1529" customWidth="1"/>
    <col min="14855" max="15104" width="9.140625" style="1529"/>
    <col min="15105" max="15105" width="13.42578125" style="1529" customWidth="1"/>
    <col min="15106" max="15106" width="15.42578125" style="1529" customWidth="1"/>
    <col min="15107" max="15107" width="13.42578125" style="1529" customWidth="1"/>
    <col min="15108" max="15108" width="14.42578125" style="1529" bestFit="1" customWidth="1"/>
    <col min="15109" max="15109" width="13.42578125" style="1529" customWidth="1"/>
    <col min="15110" max="15110" width="14.85546875" style="1529" customWidth="1"/>
    <col min="15111" max="15360" width="9.140625" style="1529"/>
    <col min="15361" max="15361" width="13.42578125" style="1529" customWidth="1"/>
    <col min="15362" max="15362" width="15.42578125" style="1529" customWidth="1"/>
    <col min="15363" max="15363" width="13.42578125" style="1529" customWidth="1"/>
    <col min="15364" max="15364" width="14.42578125" style="1529" bestFit="1" customWidth="1"/>
    <col min="15365" max="15365" width="13.42578125" style="1529" customWidth="1"/>
    <col min="15366" max="15366" width="14.85546875" style="1529" customWidth="1"/>
    <col min="15367" max="15616" width="9.140625" style="1529"/>
    <col min="15617" max="15617" width="13.42578125" style="1529" customWidth="1"/>
    <col min="15618" max="15618" width="15.42578125" style="1529" customWidth="1"/>
    <col min="15619" max="15619" width="13.42578125" style="1529" customWidth="1"/>
    <col min="15620" max="15620" width="14.42578125" style="1529" bestFit="1" customWidth="1"/>
    <col min="15621" max="15621" width="13.42578125" style="1529" customWidth="1"/>
    <col min="15622" max="15622" width="14.85546875" style="1529" customWidth="1"/>
    <col min="15623" max="15872" width="9.140625" style="1529"/>
    <col min="15873" max="15873" width="13.42578125" style="1529" customWidth="1"/>
    <col min="15874" max="15874" width="15.42578125" style="1529" customWidth="1"/>
    <col min="15875" max="15875" width="13.42578125" style="1529" customWidth="1"/>
    <col min="15876" max="15876" width="14.42578125" style="1529" bestFit="1" customWidth="1"/>
    <col min="15877" max="15877" width="13.42578125" style="1529" customWidth="1"/>
    <col min="15878" max="15878" width="14.85546875" style="1529" customWidth="1"/>
    <col min="15879" max="16128" width="9.140625" style="1529"/>
    <col min="16129" max="16129" width="13.42578125" style="1529" customWidth="1"/>
    <col min="16130" max="16130" width="15.42578125" style="1529" customWidth="1"/>
    <col min="16131" max="16131" width="13.42578125" style="1529" customWidth="1"/>
    <col min="16132" max="16132" width="14.42578125" style="1529" bestFit="1" customWidth="1"/>
    <col min="16133" max="16133" width="13.42578125" style="1529" customWidth="1"/>
    <col min="16134" max="16134" width="14.85546875" style="1529" customWidth="1"/>
    <col min="16135" max="16384" width="9.140625" style="1529"/>
  </cols>
  <sheetData>
    <row r="1" spans="1:7" s="1524" customFormat="1" ht="19.5" customHeight="1" x14ac:dyDescent="0.25">
      <c r="A1" s="1454" t="s">
        <v>3450</v>
      </c>
    </row>
    <row r="2" spans="1:7" s="1524" customFormat="1" ht="17.25" x14ac:dyDescent="0.25">
      <c r="A2" s="1454" t="s">
        <v>3451</v>
      </c>
      <c r="B2" s="1525"/>
    </row>
    <row r="3" spans="1:7" ht="12.75" customHeight="1" thickBot="1" x14ac:dyDescent="0.3">
      <c r="A3" s="1526"/>
      <c r="B3" s="1527"/>
      <c r="C3" s="1527"/>
      <c r="D3" s="1527"/>
      <c r="E3" s="1527"/>
      <c r="F3" s="1527"/>
    </row>
    <row r="4" spans="1:7" s="1535" customFormat="1" ht="50.1" customHeight="1" thickTop="1" thickBot="1" x14ac:dyDescent="0.3">
      <c r="A4" s="1530"/>
      <c r="B4" s="1531" t="s">
        <v>3452</v>
      </c>
      <c r="C4" s="1531" t="s">
        <v>3453</v>
      </c>
      <c r="D4" s="1532" t="s">
        <v>3323</v>
      </c>
      <c r="E4" s="1533" t="s">
        <v>3454</v>
      </c>
      <c r="F4" s="1534" t="s">
        <v>3455</v>
      </c>
    </row>
    <row r="5" spans="1:7" s="1536" customFormat="1" ht="15" hidden="1" customHeight="1" x14ac:dyDescent="0.25">
      <c r="A5" s="1486">
        <v>40179</v>
      </c>
      <c r="B5" s="1482">
        <v>5914</v>
      </c>
      <c r="C5" s="1483" t="s">
        <v>115</v>
      </c>
      <c r="D5" s="1483">
        <v>1734</v>
      </c>
      <c r="E5" s="1483" t="s">
        <v>115</v>
      </c>
      <c r="F5" s="1516" t="s">
        <v>115</v>
      </c>
    </row>
    <row r="6" spans="1:7" s="1537" customFormat="1" ht="15" hidden="1" customHeight="1" x14ac:dyDescent="0.25">
      <c r="A6" s="1486">
        <v>40210</v>
      </c>
      <c r="B6" s="1482">
        <v>36283</v>
      </c>
      <c r="C6" s="1483" t="s">
        <v>115</v>
      </c>
      <c r="D6" s="1483" t="s">
        <v>115</v>
      </c>
      <c r="E6" s="1483" t="s">
        <v>115</v>
      </c>
      <c r="F6" s="1516" t="s">
        <v>115</v>
      </c>
      <c r="G6" s="1536"/>
    </row>
    <row r="7" spans="1:7" s="1537" customFormat="1" ht="15" hidden="1" customHeight="1" x14ac:dyDescent="0.25">
      <c r="A7" s="1486">
        <v>40238</v>
      </c>
      <c r="B7" s="1482">
        <v>5631262</v>
      </c>
      <c r="C7" s="1483">
        <v>2527</v>
      </c>
      <c r="D7" s="1483">
        <v>25135</v>
      </c>
      <c r="E7" s="1483" t="s">
        <v>115</v>
      </c>
      <c r="F7" s="1516" t="s">
        <v>115</v>
      </c>
      <c r="G7" s="1536"/>
    </row>
    <row r="8" spans="1:7" s="1537" customFormat="1" ht="15" hidden="1" customHeight="1" x14ac:dyDescent="0.25">
      <c r="A8" s="1486">
        <v>40269</v>
      </c>
      <c r="B8" s="1482">
        <v>261209</v>
      </c>
      <c r="C8" s="1483">
        <v>141027</v>
      </c>
      <c r="D8" s="1483">
        <v>285999</v>
      </c>
      <c r="E8" s="1483" t="s">
        <v>115</v>
      </c>
      <c r="F8" s="1516" t="s">
        <v>115</v>
      </c>
      <c r="G8" s="1536"/>
    </row>
    <row r="9" spans="1:7" s="1537" customFormat="1" ht="15" hidden="1" customHeight="1" x14ac:dyDescent="0.25">
      <c r="A9" s="1486">
        <v>40299</v>
      </c>
      <c r="B9" s="1482">
        <v>317114</v>
      </c>
      <c r="C9" s="1483">
        <v>1834</v>
      </c>
      <c r="D9" s="1483">
        <v>680</v>
      </c>
      <c r="E9" s="1483" t="s">
        <v>115</v>
      </c>
      <c r="F9" s="1516" t="s">
        <v>115</v>
      </c>
      <c r="G9" s="1536"/>
    </row>
    <row r="10" spans="1:7" s="1537" customFormat="1" ht="15" hidden="1" customHeight="1" x14ac:dyDescent="0.25">
      <c r="A10" s="1486">
        <v>40330</v>
      </c>
      <c r="B10" s="1482">
        <v>17493394</v>
      </c>
      <c r="C10" s="1483">
        <v>109726</v>
      </c>
      <c r="D10" s="1483">
        <v>737439</v>
      </c>
      <c r="E10" s="1483" t="s">
        <v>115</v>
      </c>
      <c r="F10" s="1516" t="s">
        <v>115</v>
      </c>
      <c r="G10" s="1536"/>
    </row>
    <row r="11" spans="1:7" s="1537" customFormat="1" ht="15" hidden="1" customHeight="1" x14ac:dyDescent="0.25">
      <c r="A11" s="1486">
        <v>40360</v>
      </c>
      <c r="B11" s="1482">
        <v>2123979</v>
      </c>
      <c r="C11" s="1483">
        <v>866</v>
      </c>
      <c r="D11" s="1483">
        <v>953488</v>
      </c>
      <c r="E11" s="1483" t="s">
        <v>115</v>
      </c>
      <c r="F11" s="1516" t="s">
        <v>115</v>
      </c>
      <c r="G11" s="1536"/>
    </row>
    <row r="12" spans="1:7" s="1537" customFormat="1" ht="15" hidden="1" customHeight="1" x14ac:dyDescent="0.25">
      <c r="A12" s="1486">
        <v>40391</v>
      </c>
      <c r="B12" s="1482">
        <v>595552</v>
      </c>
      <c r="C12" s="1483" t="s">
        <v>115</v>
      </c>
      <c r="D12" s="1483">
        <v>9358</v>
      </c>
      <c r="E12" s="1483" t="s">
        <v>115</v>
      </c>
      <c r="F12" s="1516" t="s">
        <v>115</v>
      </c>
      <c r="G12" s="1536"/>
    </row>
    <row r="13" spans="1:7" s="1537" customFormat="1" ht="15" hidden="1" customHeight="1" x14ac:dyDescent="0.25">
      <c r="A13" s="1486">
        <v>40422</v>
      </c>
      <c r="B13" s="1482">
        <v>11209868</v>
      </c>
      <c r="C13" s="1483">
        <v>132114</v>
      </c>
      <c r="D13" s="1483">
        <v>402628</v>
      </c>
      <c r="E13" s="1483" t="s">
        <v>115</v>
      </c>
      <c r="F13" s="1516" t="s">
        <v>115</v>
      </c>
      <c r="G13" s="1536"/>
    </row>
    <row r="14" spans="1:7" s="1537" customFormat="1" ht="15" hidden="1" customHeight="1" x14ac:dyDescent="0.25">
      <c r="A14" s="1486">
        <v>40452</v>
      </c>
      <c r="B14" s="1482">
        <v>1114121</v>
      </c>
      <c r="C14" s="1483">
        <v>159410</v>
      </c>
      <c r="D14" s="1483">
        <v>4540</v>
      </c>
      <c r="E14" s="1483" t="s">
        <v>115</v>
      </c>
      <c r="F14" s="1516" t="s">
        <v>115</v>
      </c>
      <c r="G14" s="1536"/>
    </row>
    <row r="15" spans="1:7" s="1537" customFormat="1" ht="15" hidden="1" customHeight="1" x14ac:dyDescent="0.25">
      <c r="A15" s="1486">
        <v>40483</v>
      </c>
      <c r="B15" s="1482">
        <v>798847</v>
      </c>
      <c r="C15" s="1483">
        <v>105</v>
      </c>
      <c r="D15" s="1483">
        <v>43355</v>
      </c>
      <c r="E15" s="1483" t="s">
        <v>115</v>
      </c>
      <c r="F15" s="1516" t="s">
        <v>115</v>
      </c>
      <c r="G15" s="1536"/>
    </row>
    <row r="16" spans="1:7" s="1537" customFormat="1" ht="15" hidden="1" customHeight="1" x14ac:dyDescent="0.25">
      <c r="A16" s="1486">
        <v>40522</v>
      </c>
      <c r="B16" s="1482">
        <v>12250666</v>
      </c>
      <c r="C16" s="1483">
        <v>228749</v>
      </c>
      <c r="D16" s="1483">
        <v>442063</v>
      </c>
      <c r="E16" s="1483" t="s">
        <v>115</v>
      </c>
      <c r="F16" s="1516" t="s">
        <v>115</v>
      </c>
      <c r="G16" s="1536"/>
    </row>
    <row r="17" spans="1:7" s="1537" customFormat="1" ht="15" hidden="1" customHeight="1" x14ac:dyDescent="0.25">
      <c r="A17" s="1486" t="s">
        <v>3456</v>
      </c>
      <c r="B17" s="1482">
        <v>42710761.229999997</v>
      </c>
      <c r="C17" s="1483">
        <v>20051764.09</v>
      </c>
      <c r="D17" s="1483">
        <v>85130197.120000005</v>
      </c>
      <c r="E17" s="1483" t="s">
        <v>115</v>
      </c>
      <c r="F17" s="1516" t="s">
        <v>115</v>
      </c>
      <c r="G17" s="1536"/>
    </row>
    <row r="18" spans="1:7" s="1537" customFormat="1" ht="15" hidden="1" customHeight="1" x14ac:dyDescent="0.25">
      <c r="A18" s="1486">
        <v>40575</v>
      </c>
      <c r="B18" s="1482">
        <v>123920650</v>
      </c>
      <c r="C18" s="1483">
        <v>32240708</v>
      </c>
      <c r="D18" s="1483">
        <v>123847523</v>
      </c>
      <c r="E18" s="1483" t="s">
        <v>115</v>
      </c>
      <c r="F18" s="1516" t="s">
        <v>115</v>
      </c>
      <c r="G18" s="1536"/>
    </row>
    <row r="19" spans="1:7" s="1537" customFormat="1" ht="15" hidden="1" customHeight="1" x14ac:dyDescent="0.25">
      <c r="A19" s="1486">
        <v>40603</v>
      </c>
      <c r="B19" s="1482">
        <v>99294349</v>
      </c>
      <c r="C19" s="1483">
        <v>25082461</v>
      </c>
      <c r="D19" s="1483">
        <v>222570228</v>
      </c>
      <c r="E19" s="1483" t="s">
        <v>115</v>
      </c>
      <c r="F19" s="1516" t="s">
        <v>115</v>
      </c>
      <c r="G19" s="1536"/>
    </row>
    <row r="20" spans="1:7" s="1537" customFormat="1" ht="15" hidden="1" customHeight="1" x14ac:dyDescent="0.25">
      <c r="A20" s="1486">
        <v>40634</v>
      </c>
      <c r="B20" s="1482">
        <v>29858403</v>
      </c>
      <c r="C20" s="1483">
        <v>3530757</v>
      </c>
      <c r="D20" s="1483">
        <v>88100029</v>
      </c>
      <c r="E20" s="1483" t="s">
        <v>115</v>
      </c>
      <c r="F20" s="1516" t="s">
        <v>115</v>
      </c>
      <c r="G20" s="1536"/>
    </row>
    <row r="21" spans="1:7" s="1537" customFormat="1" ht="15" hidden="1" customHeight="1" x14ac:dyDescent="0.25">
      <c r="A21" s="1486">
        <v>40664</v>
      </c>
      <c r="B21" s="1482">
        <v>97627671</v>
      </c>
      <c r="C21" s="1483">
        <v>7238224</v>
      </c>
      <c r="D21" s="1483">
        <v>63187907</v>
      </c>
      <c r="E21" s="1483" t="s">
        <v>115</v>
      </c>
      <c r="F21" s="1516" t="s">
        <v>115</v>
      </c>
      <c r="G21" s="1536"/>
    </row>
    <row r="22" spans="1:7" s="1537" customFormat="1" ht="15" hidden="1" customHeight="1" x14ac:dyDescent="0.25">
      <c r="A22" s="1486">
        <v>40695</v>
      </c>
      <c r="B22" s="1482">
        <v>243294149</v>
      </c>
      <c r="C22" s="1483">
        <v>6541718</v>
      </c>
      <c r="D22" s="1483">
        <v>175521436</v>
      </c>
      <c r="E22" s="1483" t="s">
        <v>115</v>
      </c>
      <c r="F22" s="1516" t="s">
        <v>115</v>
      </c>
      <c r="G22" s="1536"/>
    </row>
    <row r="23" spans="1:7" s="1537" customFormat="1" ht="15" hidden="1" customHeight="1" x14ac:dyDescent="0.25">
      <c r="A23" s="1486">
        <v>40725</v>
      </c>
      <c r="B23" s="1482">
        <v>95678196</v>
      </c>
      <c r="C23" s="1483">
        <v>41123886</v>
      </c>
      <c r="D23" s="1483">
        <v>87007348</v>
      </c>
      <c r="E23" s="1483" t="s">
        <v>115</v>
      </c>
      <c r="F23" s="1516" t="s">
        <v>115</v>
      </c>
      <c r="G23" s="1536"/>
    </row>
    <row r="24" spans="1:7" s="1537" customFormat="1" ht="15" hidden="1" customHeight="1" x14ac:dyDescent="0.25">
      <c r="A24" s="1486">
        <v>40756</v>
      </c>
      <c r="B24" s="1482">
        <v>56293259</v>
      </c>
      <c r="C24" s="1483">
        <v>10259906</v>
      </c>
      <c r="D24" s="1483">
        <v>5818117</v>
      </c>
      <c r="E24" s="1483" t="s">
        <v>115</v>
      </c>
      <c r="F24" s="1516" t="s">
        <v>115</v>
      </c>
      <c r="G24" s="1536"/>
    </row>
    <row r="25" spans="1:7" s="1537" customFormat="1" ht="15" hidden="1" customHeight="1" x14ac:dyDescent="0.25">
      <c r="A25" s="1486">
        <v>40787</v>
      </c>
      <c r="B25" s="1482">
        <v>154997328</v>
      </c>
      <c r="C25" s="1483">
        <v>49993959</v>
      </c>
      <c r="D25" s="1483">
        <v>65697275</v>
      </c>
      <c r="E25" s="1483" t="s">
        <v>115</v>
      </c>
      <c r="F25" s="1516" t="s">
        <v>115</v>
      </c>
      <c r="G25" s="1536"/>
    </row>
    <row r="26" spans="1:7" s="1537" customFormat="1" ht="15" hidden="1" customHeight="1" x14ac:dyDescent="0.25">
      <c r="A26" s="1486">
        <v>40817</v>
      </c>
      <c r="B26" s="1482">
        <v>118639609</v>
      </c>
      <c r="C26" s="1483">
        <v>147606114</v>
      </c>
      <c r="D26" s="1483">
        <v>12133244</v>
      </c>
      <c r="E26" s="1483" t="s">
        <v>115</v>
      </c>
      <c r="F26" s="1516" t="s">
        <v>115</v>
      </c>
      <c r="G26" s="1536"/>
    </row>
    <row r="27" spans="1:7" s="1537" customFormat="1" ht="15" hidden="1" customHeight="1" x14ac:dyDescent="0.25">
      <c r="A27" s="1486">
        <v>40848</v>
      </c>
      <c r="B27" s="1482">
        <v>110148458</v>
      </c>
      <c r="C27" s="1483">
        <v>118824093</v>
      </c>
      <c r="D27" s="1483">
        <v>54402021</v>
      </c>
      <c r="E27" s="1483" t="s">
        <v>115</v>
      </c>
      <c r="F27" s="1516" t="s">
        <v>115</v>
      </c>
      <c r="G27" s="1536"/>
    </row>
    <row r="28" spans="1:7" s="1537" customFormat="1" ht="15" hidden="1" customHeight="1" x14ac:dyDescent="0.25">
      <c r="A28" s="1486">
        <v>40878</v>
      </c>
      <c r="B28" s="1482">
        <v>218896482.87</v>
      </c>
      <c r="C28" s="1483">
        <v>109118764.59</v>
      </c>
      <c r="D28" s="1483">
        <v>101581718.31</v>
      </c>
      <c r="E28" s="1483" t="s">
        <v>115</v>
      </c>
      <c r="F28" s="1516" t="s">
        <v>115</v>
      </c>
      <c r="G28" s="1536"/>
    </row>
    <row r="29" spans="1:7" s="1537" customFormat="1" ht="18.600000000000001" hidden="1" customHeight="1" x14ac:dyDescent="0.25">
      <c r="A29" s="1486">
        <v>40909</v>
      </c>
      <c r="B29" s="1482">
        <v>67205197</v>
      </c>
      <c r="C29" s="1483">
        <v>86124266</v>
      </c>
      <c r="D29" s="1483">
        <v>130921956</v>
      </c>
      <c r="E29" s="1483" t="s">
        <v>115</v>
      </c>
      <c r="F29" s="1516" t="s">
        <v>115</v>
      </c>
      <c r="G29" s="1536"/>
    </row>
    <row r="30" spans="1:7" s="1537" customFormat="1" ht="18.600000000000001" hidden="1" customHeight="1" x14ac:dyDescent="0.25">
      <c r="A30" s="1486">
        <v>40940</v>
      </c>
      <c r="B30" s="1482">
        <v>63186761</v>
      </c>
      <c r="C30" s="1483">
        <v>18290075</v>
      </c>
      <c r="D30" s="1483">
        <v>156104652</v>
      </c>
      <c r="E30" s="1483" t="s">
        <v>115</v>
      </c>
      <c r="F30" s="1516" t="s">
        <v>115</v>
      </c>
      <c r="G30" s="1536"/>
    </row>
    <row r="31" spans="1:7" s="1537" customFormat="1" ht="18.600000000000001" hidden="1" customHeight="1" x14ac:dyDescent="0.25">
      <c r="A31" s="1486" t="s">
        <v>3457</v>
      </c>
      <c r="B31" s="1482">
        <v>77590526</v>
      </c>
      <c r="C31" s="1483">
        <v>4777455</v>
      </c>
      <c r="D31" s="1483">
        <v>193807221</v>
      </c>
      <c r="E31" s="1483">
        <v>202000</v>
      </c>
      <c r="F31" s="1516">
        <v>102000</v>
      </c>
      <c r="G31" s="1536"/>
    </row>
    <row r="32" spans="1:7" s="1537" customFormat="1" ht="18.600000000000001" hidden="1" customHeight="1" x14ac:dyDescent="0.25">
      <c r="A32" s="1486">
        <v>41000</v>
      </c>
      <c r="B32" s="1482">
        <v>89966108</v>
      </c>
      <c r="C32" s="1483">
        <v>4694300</v>
      </c>
      <c r="D32" s="1483">
        <v>22166126</v>
      </c>
      <c r="E32" s="1483" t="s">
        <v>115</v>
      </c>
      <c r="F32" s="1516">
        <v>20000</v>
      </c>
      <c r="G32" s="1536"/>
    </row>
    <row r="33" spans="1:7" s="1537" customFormat="1" ht="18.600000000000001" hidden="1" customHeight="1" x14ac:dyDescent="0.25">
      <c r="A33" s="1486">
        <v>41030</v>
      </c>
      <c r="B33" s="1482">
        <v>57865612</v>
      </c>
      <c r="C33" s="1483">
        <v>4537372</v>
      </c>
      <c r="D33" s="1483">
        <v>32092133</v>
      </c>
      <c r="E33" s="1483" t="s">
        <v>115</v>
      </c>
      <c r="F33" s="1516" t="s">
        <v>115</v>
      </c>
      <c r="G33" s="1536"/>
    </row>
    <row r="34" spans="1:7" s="1537" customFormat="1" ht="18.600000000000001" hidden="1" customHeight="1" x14ac:dyDescent="0.25">
      <c r="A34" s="1486">
        <v>41061</v>
      </c>
      <c r="B34" s="1482">
        <v>229005570</v>
      </c>
      <c r="C34" s="1483">
        <v>98201094</v>
      </c>
      <c r="D34" s="1483">
        <v>95352323</v>
      </c>
      <c r="E34" s="1483">
        <v>20000</v>
      </c>
      <c r="F34" s="1516">
        <v>200000</v>
      </c>
      <c r="G34" s="1536"/>
    </row>
    <row r="35" spans="1:7" s="1537" customFormat="1" ht="18.600000000000001" hidden="1" customHeight="1" x14ac:dyDescent="0.25">
      <c r="A35" s="1486">
        <v>41091</v>
      </c>
      <c r="B35" s="1482">
        <v>179729112</v>
      </c>
      <c r="C35" s="1483">
        <v>130501823</v>
      </c>
      <c r="D35" s="1483">
        <v>136179553</v>
      </c>
      <c r="E35" s="1483">
        <v>10000</v>
      </c>
      <c r="F35" s="1516">
        <v>50000</v>
      </c>
      <c r="G35" s="1536"/>
    </row>
    <row r="36" spans="1:7" s="1537" customFormat="1" ht="18.600000000000001" hidden="1" customHeight="1" x14ac:dyDescent="0.25">
      <c r="A36" s="1486">
        <v>41122</v>
      </c>
      <c r="B36" s="1482">
        <v>56293259</v>
      </c>
      <c r="C36" s="1483">
        <v>10259906</v>
      </c>
      <c r="D36" s="1483">
        <v>5818117</v>
      </c>
      <c r="E36" s="1483"/>
      <c r="F36" s="1516"/>
      <c r="G36" s="1536"/>
    </row>
    <row r="37" spans="1:7" s="1537" customFormat="1" ht="18.600000000000001" hidden="1" customHeight="1" x14ac:dyDescent="0.25">
      <c r="A37" s="1486">
        <v>41153</v>
      </c>
      <c r="B37" s="1482">
        <v>86502356</v>
      </c>
      <c r="C37" s="1483">
        <v>9571051</v>
      </c>
      <c r="D37" s="1483">
        <v>165668582</v>
      </c>
      <c r="E37" s="1483">
        <v>637161</v>
      </c>
      <c r="F37" s="1516">
        <v>18571203</v>
      </c>
      <c r="G37" s="1536"/>
    </row>
    <row r="38" spans="1:7" s="1537" customFormat="1" ht="18.600000000000001" hidden="1" customHeight="1" x14ac:dyDescent="0.25">
      <c r="A38" s="1486">
        <v>41183</v>
      </c>
      <c r="B38" s="1482">
        <v>159774119</v>
      </c>
      <c r="C38" s="1483">
        <v>18762159</v>
      </c>
      <c r="D38" s="1483">
        <v>9251408</v>
      </c>
      <c r="E38" s="1483">
        <v>2809135</v>
      </c>
      <c r="F38" s="1516">
        <v>15861760</v>
      </c>
      <c r="G38" s="1536"/>
    </row>
    <row r="39" spans="1:7" s="1537" customFormat="1" ht="18.600000000000001" hidden="1" customHeight="1" x14ac:dyDescent="0.25">
      <c r="A39" s="1486">
        <v>41214</v>
      </c>
      <c r="B39" s="1482">
        <v>177652454</v>
      </c>
      <c r="C39" s="1483">
        <v>5602096</v>
      </c>
      <c r="D39" s="1483">
        <v>139653634</v>
      </c>
      <c r="E39" s="1483">
        <v>416711</v>
      </c>
      <c r="F39" s="1516">
        <v>7245472</v>
      </c>
      <c r="G39" s="1536"/>
    </row>
    <row r="40" spans="1:7" s="1537" customFormat="1" ht="18.600000000000001" hidden="1" customHeight="1" x14ac:dyDescent="0.25">
      <c r="A40" s="1486">
        <v>41244</v>
      </c>
      <c r="B40" s="1482">
        <v>208473917</v>
      </c>
      <c r="C40" s="1483">
        <v>10945983</v>
      </c>
      <c r="D40" s="1483">
        <v>308800446</v>
      </c>
      <c r="E40" s="1483">
        <v>424096</v>
      </c>
      <c r="F40" s="1516">
        <v>53286689</v>
      </c>
      <c r="G40" s="1536"/>
    </row>
    <row r="41" spans="1:7" s="1537" customFormat="1" ht="18.600000000000001" hidden="1" customHeight="1" x14ac:dyDescent="0.25">
      <c r="A41" s="1486">
        <v>41640</v>
      </c>
      <c r="B41" s="1482">
        <v>42429002</v>
      </c>
      <c r="C41" s="1483">
        <v>359113</v>
      </c>
      <c r="D41" s="1483">
        <v>63003683</v>
      </c>
      <c r="E41" s="1483">
        <v>18319</v>
      </c>
      <c r="F41" s="1516">
        <v>455997</v>
      </c>
      <c r="G41" s="1536"/>
    </row>
    <row r="42" spans="1:7" s="1537" customFormat="1" ht="18.600000000000001" hidden="1" customHeight="1" x14ac:dyDescent="0.25">
      <c r="A42" s="1486">
        <v>41671</v>
      </c>
      <c r="B42" s="1482">
        <v>212162066</v>
      </c>
      <c r="C42" s="1483">
        <v>655537</v>
      </c>
      <c r="D42" s="1483">
        <v>33810009</v>
      </c>
      <c r="E42" s="1483" t="s">
        <v>115</v>
      </c>
      <c r="F42" s="1516">
        <v>1776907</v>
      </c>
      <c r="G42" s="1536"/>
    </row>
    <row r="43" spans="1:7" s="1537" customFormat="1" ht="18.600000000000001" hidden="1" customHeight="1" x14ac:dyDescent="0.25">
      <c r="A43" s="1486">
        <v>41699</v>
      </c>
      <c r="B43" s="1482">
        <v>89557336</v>
      </c>
      <c r="C43" s="1483">
        <v>48922059</v>
      </c>
      <c r="D43" s="1483">
        <v>25720678</v>
      </c>
      <c r="E43" s="1483">
        <v>19485</v>
      </c>
      <c r="F43" s="1516">
        <v>4669867</v>
      </c>
      <c r="G43" s="1536"/>
    </row>
    <row r="44" spans="1:7" s="1537" customFormat="1" ht="18.600000000000001" hidden="1" customHeight="1" x14ac:dyDescent="0.25">
      <c r="A44" s="1487">
        <v>41730</v>
      </c>
      <c r="B44" s="1538">
        <v>143133760</v>
      </c>
      <c r="C44" s="1539">
        <v>16686333</v>
      </c>
      <c r="D44" s="1539">
        <v>50286992</v>
      </c>
      <c r="E44" s="1539">
        <v>2214911</v>
      </c>
      <c r="F44" s="1540">
        <v>5903540</v>
      </c>
      <c r="G44" s="1536"/>
    </row>
    <row r="45" spans="1:7" s="1537" customFormat="1" ht="18.600000000000001" hidden="1" customHeight="1" x14ac:dyDescent="0.25">
      <c r="A45" s="1487">
        <v>41760</v>
      </c>
      <c r="B45" s="1482">
        <v>29430452</v>
      </c>
      <c r="C45" s="1483">
        <v>2158982</v>
      </c>
      <c r="D45" s="1483">
        <v>7260734</v>
      </c>
      <c r="E45" s="1483" t="s">
        <v>115</v>
      </c>
      <c r="F45" s="1516">
        <v>1630073</v>
      </c>
      <c r="G45" s="1536"/>
    </row>
    <row r="46" spans="1:7" s="1537" customFormat="1" ht="18.600000000000001" hidden="1" customHeight="1" x14ac:dyDescent="0.25">
      <c r="A46" s="1487">
        <v>41791</v>
      </c>
      <c r="B46" s="1482">
        <v>164953999</v>
      </c>
      <c r="C46" s="1483">
        <v>10080334</v>
      </c>
      <c r="D46" s="1483">
        <v>34713653</v>
      </c>
      <c r="E46" s="1491">
        <v>4146</v>
      </c>
      <c r="F46" s="1516">
        <v>12204585</v>
      </c>
      <c r="G46" s="1536"/>
    </row>
    <row r="47" spans="1:7" s="1537" customFormat="1" ht="18.600000000000001" hidden="1" customHeight="1" x14ac:dyDescent="0.25">
      <c r="A47" s="1487">
        <v>41821</v>
      </c>
      <c r="B47" s="1482">
        <v>112953390</v>
      </c>
      <c r="C47" s="1483">
        <v>3273468</v>
      </c>
      <c r="D47" s="1483">
        <v>26500771</v>
      </c>
      <c r="E47" s="1491">
        <v>15033</v>
      </c>
      <c r="F47" s="1516">
        <v>20267800</v>
      </c>
      <c r="G47" s="1536"/>
    </row>
    <row r="48" spans="1:7" s="1537" customFormat="1" ht="18.600000000000001" hidden="1" customHeight="1" x14ac:dyDescent="0.25">
      <c r="A48" s="1487">
        <v>41852</v>
      </c>
      <c r="B48" s="1482">
        <v>80015746</v>
      </c>
      <c r="C48" s="1483">
        <v>5443375</v>
      </c>
      <c r="D48" s="1483">
        <v>46418277</v>
      </c>
      <c r="E48" s="1491">
        <v>599268</v>
      </c>
      <c r="F48" s="1516">
        <v>2785137</v>
      </c>
      <c r="G48" s="1536"/>
    </row>
    <row r="49" spans="1:7" s="1537" customFormat="1" ht="18.600000000000001" hidden="1" customHeight="1" x14ac:dyDescent="0.25">
      <c r="A49" s="1487">
        <v>41883</v>
      </c>
      <c r="B49" s="1482">
        <v>246405564</v>
      </c>
      <c r="C49" s="1483">
        <v>11457692</v>
      </c>
      <c r="D49" s="1483">
        <v>19283464</v>
      </c>
      <c r="E49" s="1491">
        <v>335131</v>
      </c>
      <c r="F49" s="1516">
        <v>41571231</v>
      </c>
      <c r="G49" s="1536"/>
    </row>
    <row r="50" spans="1:7" s="1537" customFormat="1" ht="18.600000000000001" hidden="1" customHeight="1" x14ac:dyDescent="0.25">
      <c r="A50" s="1487">
        <v>41913</v>
      </c>
      <c r="B50" s="1482">
        <v>102047802</v>
      </c>
      <c r="C50" s="1483">
        <v>1757577</v>
      </c>
      <c r="D50" s="1483">
        <v>67003839</v>
      </c>
      <c r="E50" s="1491">
        <v>212891</v>
      </c>
      <c r="F50" s="1516">
        <v>2307064</v>
      </c>
      <c r="G50" s="1536"/>
    </row>
    <row r="51" spans="1:7" s="1537" customFormat="1" ht="18.600000000000001" hidden="1" customHeight="1" x14ac:dyDescent="0.25">
      <c r="A51" s="1487">
        <v>41944</v>
      </c>
      <c r="B51" s="1482">
        <v>98164090</v>
      </c>
      <c r="C51" s="1483">
        <v>2960701</v>
      </c>
      <c r="D51" s="1483">
        <v>16744927</v>
      </c>
      <c r="E51" s="1491">
        <v>302359</v>
      </c>
      <c r="F51" s="1516">
        <v>4165577</v>
      </c>
      <c r="G51" s="1536"/>
    </row>
    <row r="52" spans="1:7" s="1537" customFormat="1" ht="18.600000000000001" hidden="1" customHeight="1" x14ac:dyDescent="0.25">
      <c r="A52" s="1487">
        <v>41974</v>
      </c>
      <c r="B52" s="1482">
        <v>164781840</v>
      </c>
      <c r="C52" s="1483">
        <v>10189772</v>
      </c>
      <c r="D52" s="1483">
        <v>105170761</v>
      </c>
      <c r="E52" s="1491">
        <v>503993</v>
      </c>
      <c r="F52" s="1516">
        <v>10065276</v>
      </c>
      <c r="G52" s="1536"/>
    </row>
    <row r="53" spans="1:7" s="1537" customFormat="1" ht="18.600000000000001" hidden="1" customHeight="1" x14ac:dyDescent="0.25">
      <c r="A53" s="1487">
        <v>42005</v>
      </c>
      <c r="B53" s="1482">
        <v>43965291</v>
      </c>
      <c r="C53" s="1483">
        <v>9259452</v>
      </c>
      <c r="D53" s="1483">
        <v>10908494</v>
      </c>
      <c r="E53" s="1491">
        <v>1718</v>
      </c>
      <c r="F53" s="1516">
        <v>5009398</v>
      </c>
      <c r="G53" s="1536"/>
    </row>
    <row r="54" spans="1:7" s="1537" customFormat="1" ht="18.600000000000001" hidden="1" customHeight="1" x14ac:dyDescent="0.25">
      <c r="A54" s="1487">
        <v>42036</v>
      </c>
      <c r="B54" s="1482">
        <v>55482645</v>
      </c>
      <c r="C54" s="1483">
        <v>6516572</v>
      </c>
      <c r="D54" s="1483">
        <v>69702212</v>
      </c>
      <c r="E54" s="1491">
        <v>2000</v>
      </c>
      <c r="F54" s="1516">
        <v>891782</v>
      </c>
      <c r="G54" s="1536"/>
    </row>
    <row r="55" spans="1:7" s="1537" customFormat="1" ht="18.600000000000001" hidden="1" customHeight="1" x14ac:dyDescent="0.25">
      <c r="A55" s="1487">
        <v>42064</v>
      </c>
      <c r="B55" s="1482">
        <v>681783884</v>
      </c>
      <c r="C55" s="1483">
        <v>52389677</v>
      </c>
      <c r="D55" s="1483">
        <v>86235761</v>
      </c>
      <c r="E55" s="1491">
        <v>2630567</v>
      </c>
      <c r="F55" s="1516">
        <v>27887906</v>
      </c>
      <c r="G55" s="1536"/>
    </row>
    <row r="56" spans="1:7" s="1537" customFormat="1" ht="18.600000000000001" hidden="1" customHeight="1" x14ac:dyDescent="0.25">
      <c r="A56" s="1487">
        <v>42095</v>
      </c>
      <c r="B56" s="1482">
        <v>56695403</v>
      </c>
      <c r="C56" s="1483">
        <v>24361080</v>
      </c>
      <c r="D56" s="1483">
        <v>27538571</v>
      </c>
      <c r="E56" s="1491">
        <v>404764</v>
      </c>
      <c r="F56" s="1516">
        <v>710782</v>
      </c>
      <c r="G56" s="1536"/>
    </row>
    <row r="57" spans="1:7" s="1537" customFormat="1" ht="18.600000000000001" hidden="1" customHeight="1" x14ac:dyDescent="0.25">
      <c r="A57" s="1487">
        <v>42125</v>
      </c>
      <c r="B57" s="1482">
        <v>59362533</v>
      </c>
      <c r="C57" s="1483">
        <v>21463277</v>
      </c>
      <c r="D57" s="1483">
        <v>13871059</v>
      </c>
      <c r="E57" s="1491">
        <v>415489</v>
      </c>
      <c r="F57" s="1516">
        <v>6133321</v>
      </c>
      <c r="G57" s="1536"/>
    </row>
    <row r="58" spans="1:7" s="1537" customFormat="1" ht="18.600000000000001" hidden="1" customHeight="1" x14ac:dyDescent="0.25">
      <c r="A58" s="1487">
        <v>42156</v>
      </c>
      <c r="B58" s="1482">
        <v>340915995</v>
      </c>
      <c r="C58" s="1483">
        <v>9458134</v>
      </c>
      <c r="D58" s="1483">
        <v>78990387</v>
      </c>
      <c r="E58" s="1491">
        <v>404484</v>
      </c>
      <c r="F58" s="1516">
        <v>19210750</v>
      </c>
      <c r="G58" s="1536"/>
    </row>
    <row r="59" spans="1:7" s="1537" customFormat="1" ht="18.600000000000001" hidden="1" customHeight="1" x14ac:dyDescent="0.25">
      <c r="A59" s="1487">
        <v>42186</v>
      </c>
      <c r="B59" s="1482">
        <v>609776072</v>
      </c>
      <c r="C59" s="1483">
        <v>2801482</v>
      </c>
      <c r="D59" s="1483">
        <v>81747801</v>
      </c>
      <c r="E59" s="1491">
        <v>404769</v>
      </c>
      <c r="F59" s="1516">
        <v>2579895</v>
      </c>
      <c r="G59" s="1536"/>
    </row>
    <row r="60" spans="1:7" s="1537" customFormat="1" ht="18.600000000000001" hidden="1" customHeight="1" x14ac:dyDescent="0.25">
      <c r="A60" s="1487">
        <v>42217</v>
      </c>
      <c r="B60" s="1482">
        <v>136898870</v>
      </c>
      <c r="C60" s="1483">
        <v>5388175</v>
      </c>
      <c r="D60" s="1483">
        <v>9428930</v>
      </c>
      <c r="E60" s="1491">
        <v>408694</v>
      </c>
      <c r="F60" s="1516">
        <v>1257135</v>
      </c>
      <c r="G60" s="1536"/>
    </row>
    <row r="61" spans="1:7" s="1537" customFormat="1" ht="18.600000000000001" hidden="1" customHeight="1" x14ac:dyDescent="0.25">
      <c r="A61" s="1487">
        <v>42248</v>
      </c>
      <c r="B61" s="1482">
        <v>252217891</v>
      </c>
      <c r="C61" s="1483">
        <v>37127936</v>
      </c>
      <c r="D61" s="1483">
        <v>24523853</v>
      </c>
      <c r="E61" s="1491">
        <v>425062</v>
      </c>
      <c r="F61" s="1516">
        <v>51490311</v>
      </c>
      <c r="G61" s="1536"/>
    </row>
    <row r="62" spans="1:7" s="1537" customFormat="1" ht="18.600000000000001" hidden="1" customHeight="1" x14ac:dyDescent="0.25">
      <c r="A62" s="1487">
        <v>42278</v>
      </c>
      <c r="B62" s="1482">
        <v>68864369</v>
      </c>
      <c r="C62" s="1483">
        <v>5502996</v>
      </c>
      <c r="D62" s="1483">
        <v>7384218</v>
      </c>
      <c r="E62" s="1491">
        <v>715434</v>
      </c>
      <c r="F62" s="1516">
        <v>8174770</v>
      </c>
      <c r="G62" s="1536"/>
    </row>
    <row r="63" spans="1:7" s="1537" customFormat="1" ht="18.600000000000001" hidden="1" customHeight="1" x14ac:dyDescent="0.25">
      <c r="A63" s="1487">
        <v>42309</v>
      </c>
      <c r="B63" s="1482">
        <v>104955815</v>
      </c>
      <c r="C63" s="1483">
        <v>6983788</v>
      </c>
      <c r="D63" s="1483">
        <v>8428491</v>
      </c>
      <c r="E63" s="1491">
        <v>240076</v>
      </c>
      <c r="F63" s="1516">
        <v>2635640</v>
      </c>
      <c r="G63" s="1536"/>
    </row>
    <row r="64" spans="1:7" s="1537" customFormat="1" ht="18.600000000000001" hidden="1" customHeight="1" x14ac:dyDescent="0.25">
      <c r="A64" s="1487">
        <v>42339</v>
      </c>
      <c r="B64" s="1482">
        <v>226086488</v>
      </c>
      <c r="C64" s="1483">
        <v>6750636</v>
      </c>
      <c r="D64" s="1483">
        <v>64318486</v>
      </c>
      <c r="E64" s="1491">
        <v>497822</v>
      </c>
      <c r="F64" s="1516">
        <v>70731889</v>
      </c>
      <c r="G64" s="1536"/>
    </row>
    <row r="65" spans="1:7" s="1537" customFormat="1" ht="18.600000000000001" hidden="1" customHeight="1" x14ac:dyDescent="0.25">
      <c r="A65" s="1487">
        <v>42370</v>
      </c>
      <c r="B65" s="1482">
        <v>90431920</v>
      </c>
      <c r="C65" s="1483">
        <v>6689813</v>
      </c>
      <c r="D65" s="1483">
        <v>15640251</v>
      </c>
      <c r="E65" s="1491">
        <v>20</v>
      </c>
      <c r="F65" s="1516">
        <v>16520571</v>
      </c>
      <c r="G65" s="1536"/>
    </row>
    <row r="66" spans="1:7" s="1537" customFormat="1" ht="18.600000000000001" hidden="1" customHeight="1" x14ac:dyDescent="0.25">
      <c r="A66" s="1487">
        <v>42401</v>
      </c>
      <c r="B66" s="1482">
        <v>84577616</v>
      </c>
      <c r="C66" s="1483">
        <v>12510435</v>
      </c>
      <c r="D66" s="1483">
        <v>7158729</v>
      </c>
      <c r="E66" s="1491">
        <v>219977</v>
      </c>
      <c r="F66" s="1516">
        <v>3863514</v>
      </c>
      <c r="G66" s="1536"/>
    </row>
    <row r="67" spans="1:7" s="1537" customFormat="1" ht="18.600000000000001" hidden="1" customHeight="1" x14ac:dyDescent="0.25">
      <c r="A67" s="1486">
        <v>42430</v>
      </c>
      <c r="B67" s="1482">
        <v>118029189</v>
      </c>
      <c r="C67" s="1483">
        <v>14938010</v>
      </c>
      <c r="D67" s="1483">
        <v>340279334</v>
      </c>
      <c r="E67" s="1491">
        <v>479531</v>
      </c>
      <c r="F67" s="1516">
        <v>15006287</v>
      </c>
      <c r="G67" s="1536"/>
    </row>
    <row r="68" spans="1:7" s="1537" customFormat="1" ht="18.600000000000001" hidden="1" customHeight="1" x14ac:dyDescent="0.25">
      <c r="A68" s="1486">
        <v>42461</v>
      </c>
      <c r="B68" s="1482">
        <v>51058957</v>
      </c>
      <c r="C68" s="1483">
        <v>5676433</v>
      </c>
      <c r="D68" s="1483">
        <v>6823971</v>
      </c>
      <c r="E68" s="1491">
        <v>412383</v>
      </c>
      <c r="F68" s="1516">
        <v>12586705</v>
      </c>
      <c r="G68" s="1536"/>
    </row>
    <row r="69" spans="1:7" s="1537" customFormat="1" ht="18.600000000000001" hidden="1" customHeight="1" x14ac:dyDescent="0.25">
      <c r="A69" s="1486">
        <v>42491</v>
      </c>
      <c r="B69" s="1482">
        <v>87171022</v>
      </c>
      <c r="C69" s="1483">
        <v>6574265</v>
      </c>
      <c r="D69" s="1483">
        <v>7603650</v>
      </c>
      <c r="E69" s="1491">
        <v>402110</v>
      </c>
      <c r="F69" s="1516">
        <v>4059033</v>
      </c>
      <c r="G69" s="1536"/>
    </row>
    <row r="70" spans="1:7" s="1537" customFormat="1" ht="18.600000000000001" hidden="1" customHeight="1" x14ac:dyDescent="0.25">
      <c r="A70" s="1486">
        <v>42522</v>
      </c>
      <c r="B70" s="1482">
        <v>274612388</v>
      </c>
      <c r="C70" s="1483">
        <v>18356214</v>
      </c>
      <c r="D70" s="1483">
        <v>61567654</v>
      </c>
      <c r="E70" s="1491">
        <v>481498</v>
      </c>
      <c r="F70" s="1516">
        <v>48553076</v>
      </c>
      <c r="G70" s="1536"/>
    </row>
    <row r="71" spans="1:7" s="1537" customFormat="1" ht="18.600000000000001" hidden="1" customHeight="1" x14ac:dyDescent="0.25">
      <c r="A71" s="1486">
        <v>42552</v>
      </c>
      <c r="B71" s="1482">
        <v>70819226</v>
      </c>
      <c r="C71" s="1483">
        <v>7660878</v>
      </c>
      <c r="D71" s="1483">
        <v>17666753</v>
      </c>
      <c r="E71" s="1491">
        <v>401966</v>
      </c>
      <c r="F71" s="1516">
        <v>3585376</v>
      </c>
      <c r="G71" s="1536"/>
    </row>
    <row r="72" spans="1:7" s="1537" customFormat="1" ht="18.600000000000001" hidden="1" customHeight="1" x14ac:dyDescent="0.25">
      <c r="A72" s="1486">
        <v>42583</v>
      </c>
      <c r="B72" s="1482">
        <v>36860017</v>
      </c>
      <c r="C72" s="1483">
        <v>8189854</v>
      </c>
      <c r="D72" s="1483">
        <v>9887319</v>
      </c>
      <c r="E72" s="1483">
        <v>410067</v>
      </c>
      <c r="F72" s="1516">
        <v>4317143</v>
      </c>
      <c r="G72" s="1536"/>
    </row>
    <row r="73" spans="1:7" s="1537" customFormat="1" ht="18.600000000000001" hidden="1" customHeight="1" x14ac:dyDescent="0.25">
      <c r="A73" s="1486">
        <v>42614</v>
      </c>
      <c r="B73" s="1482">
        <v>141942780</v>
      </c>
      <c r="C73" s="1483">
        <v>19754888</v>
      </c>
      <c r="D73" s="1483">
        <v>64260782</v>
      </c>
      <c r="E73" s="1483">
        <v>563900</v>
      </c>
      <c r="F73" s="1516">
        <v>33832277</v>
      </c>
      <c r="G73" s="1536"/>
    </row>
    <row r="74" spans="1:7" s="1537" customFormat="1" ht="18.600000000000001" hidden="1" customHeight="1" x14ac:dyDescent="0.25">
      <c r="A74" s="1486">
        <v>42644</v>
      </c>
      <c r="B74" s="1482">
        <v>70621993</v>
      </c>
      <c r="C74" s="1483">
        <v>10376135</v>
      </c>
      <c r="D74" s="1483">
        <v>5044016</v>
      </c>
      <c r="E74" s="1483">
        <v>101011</v>
      </c>
      <c r="F74" s="1516">
        <v>23910504</v>
      </c>
      <c r="G74" s="1536"/>
    </row>
    <row r="75" spans="1:7" s="1537" customFormat="1" ht="18.600000000000001" hidden="1" customHeight="1" x14ac:dyDescent="0.25">
      <c r="A75" s="1486">
        <v>42675</v>
      </c>
      <c r="B75" s="1482">
        <v>134947323</v>
      </c>
      <c r="C75" s="1483">
        <v>5593400</v>
      </c>
      <c r="D75" s="1483">
        <v>21923598</v>
      </c>
      <c r="E75" s="1483">
        <v>400000</v>
      </c>
      <c r="F75" s="1516">
        <v>3997512</v>
      </c>
      <c r="G75" s="1536"/>
    </row>
    <row r="76" spans="1:7" s="1537" customFormat="1" ht="18.600000000000001" hidden="1" customHeight="1" x14ac:dyDescent="0.25">
      <c r="A76" s="1486">
        <v>42705</v>
      </c>
      <c r="B76" s="1482">
        <v>241538997</v>
      </c>
      <c r="C76" s="1483">
        <v>15453663</v>
      </c>
      <c r="D76" s="1483">
        <v>132758196</v>
      </c>
      <c r="E76" s="1483">
        <v>654201</v>
      </c>
      <c r="F76" s="1516">
        <v>27970058</v>
      </c>
      <c r="G76" s="1536"/>
    </row>
    <row r="77" spans="1:7" s="1537" customFormat="1" ht="18.600000000000001" hidden="1" customHeight="1" x14ac:dyDescent="0.25">
      <c r="A77" s="1486">
        <v>42736</v>
      </c>
      <c r="B77" s="1482">
        <v>281015461</v>
      </c>
      <c r="C77" s="1483">
        <v>3008339</v>
      </c>
      <c r="D77" s="1483">
        <v>6152549</v>
      </c>
      <c r="E77" s="1483">
        <v>215961</v>
      </c>
      <c r="F77" s="1516">
        <v>18302359</v>
      </c>
      <c r="G77" s="1536"/>
    </row>
    <row r="78" spans="1:7" s="1537" customFormat="1" ht="18.600000000000001" hidden="1" customHeight="1" x14ac:dyDescent="0.25">
      <c r="A78" s="1486">
        <v>42767</v>
      </c>
      <c r="B78" s="1482">
        <v>64638632</v>
      </c>
      <c r="C78" s="1483">
        <v>4759053</v>
      </c>
      <c r="D78" s="1483">
        <v>4880597</v>
      </c>
      <c r="E78" s="1483">
        <v>413716</v>
      </c>
      <c r="F78" s="1516">
        <v>17652530</v>
      </c>
      <c r="G78" s="1536"/>
    </row>
    <row r="79" spans="1:7" s="1537" customFormat="1" ht="18.600000000000001" hidden="1" customHeight="1" x14ac:dyDescent="0.25">
      <c r="A79" s="1486">
        <v>42795</v>
      </c>
      <c r="B79" s="1482">
        <v>78274702</v>
      </c>
      <c r="C79" s="1483">
        <v>5782697</v>
      </c>
      <c r="D79" s="1483">
        <v>35143413</v>
      </c>
      <c r="E79" s="1483">
        <v>430098</v>
      </c>
      <c r="F79" s="1516">
        <v>34636526</v>
      </c>
      <c r="G79" s="1536"/>
    </row>
    <row r="80" spans="1:7" s="1537" customFormat="1" ht="18.600000000000001" hidden="1" customHeight="1" x14ac:dyDescent="0.25">
      <c r="A80" s="1486">
        <v>42826</v>
      </c>
      <c r="B80" s="1482">
        <v>53592776</v>
      </c>
      <c r="C80" s="1483">
        <v>5554122</v>
      </c>
      <c r="D80" s="1483">
        <v>7460502</v>
      </c>
      <c r="E80" s="1483">
        <v>407323</v>
      </c>
      <c r="F80" s="1516">
        <v>66887556</v>
      </c>
      <c r="G80" s="1536"/>
    </row>
    <row r="81" spans="1:7" s="1537" customFormat="1" ht="18.600000000000001" hidden="1" customHeight="1" x14ac:dyDescent="0.25">
      <c r="A81" s="1486">
        <v>42856</v>
      </c>
      <c r="B81" s="1482">
        <v>192636349</v>
      </c>
      <c r="C81" s="1483">
        <v>4117944</v>
      </c>
      <c r="D81" s="1483">
        <v>52567561</v>
      </c>
      <c r="E81" s="1483">
        <v>400062</v>
      </c>
      <c r="F81" s="1516">
        <v>2045501</v>
      </c>
      <c r="G81" s="1536"/>
    </row>
    <row r="82" spans="1:7" s="1537" customFormat="1" ht="18.600000000000001" hidden="1" customHeight="1" x14ac:dyDescent="0.25">
      <c r="A82" s="1486">
        <v>42887</v>
      </c>
      <c r="B82" s="1482">
        <v>290923268</v>
      </c>
      <c r="C82" s="1483">
        <v>15595839</v>
      </c>
      <c r="D82" s="1483">
        <v>61953301</v>
      </c>
      <c r="E82" s="1483">
        <v>407462</v>
      </c>
      <c r="F82" s="1516">
        <v>38741031</v>
      </c>
      <c r="G82" s="1536"/>
    </row>
    <row r="83" spans="1:7" s="1537" customFormat="1" ht="18.600000000000001" hidden="1" customHeight="1" x14ac:dyDescent="0.25">
      <c r="A83" s="1486">
        <v>42917</v>
      </c>
      <c r="B83" s="1482">
        <v>47362157</v>
      </c>
      <c r="C83" s="1483">
        <v>8754384</v>
      </c>
      <c r="D83" s="1483">
        <v>10701000</v>
      </c>
      <c r="E83" s="1483">
        <v>416984</v>
      </c>
      <c r="F83" s="1516">
        <v>22368538</v>
      </c>
      <c r="G83" s="1536"/>
    </row>
    <row r="84" spans="1:7" s="1537" customFormat="1" ht="18.600000000000001" hidden="1" customHeight="1" x14ac:dyDescent="0.25">
      <c r="A84" s="1486">
        <v>42948</v>
      </c>
      <c r="B84" s="1482">
        <v>79472700</v>
      </c>
      <c r="C84" s="1483">
        <v>5988189</v>
      </c>
      <c r="D84" s="1483">
        <v>5989141</v>
      </c>
      <c r="E84" s="1483">
        <v>400028</v>
      </c>
      <c r="F84" s="1516">
        <v>4619880</v>
      </c>
      <c r="G84" s="1536"/>
    </row>
    <row r="85" spans="1:7" s="1537" customFormat="1" ht="18.600000000000001" hidden="1" customHeight="1" x14ac:dyDescent="0.25">
      <c r="A85" s="1486">
        <v>42979</v>
      </c>
      <c r="B85" s="1482">
        <v>285102032</v>
      </c>
      <c r="C85" s="1483">
        <v>12795300</v>
      </c>
      <c r="D85" s="1483">
        <v>3185224</v>
      </c>
      <c r="E85" s="1483">
        <v>719075</v>
      </c>
      <c r="F85" s="1516">
        <v>24693053</v>
      </c>
      <c r="G85" s="1536"/>
    </row>
    <row r="86" spans="1:7" s="1537" customFormat="1" ht="18.600000000000001" hidden="1" customHeight="1" x14ac:dyDescent="0.25">
      <c r="A86" s="1486">
        <v>43009</v>
      </c>
      <c r="B86" s="1482">
        <v>102059692</v>
      </c>
      <c r="C86" s="1483">
        <v>6212447</v>
      </c>
      <c r="D86" s="1483">
        <v>57325221</v>
      </c>
      <c r="E86" s="1483">
        <v>416643</v>
      </c>
      <c r="F86" s="1516">
        <v>27241375</v>
      </c>
      <c r="G86" s="1536"/>
    </row>
    <row r="87" spans="1:7" s="1537" customFormat="1" ht="18.600000000000001" hidden="1" customHeight="1" x14ac:dyDescent="0.25">
      <c r="A87" s="1486">
        <v>43040</v>
      </c>
      <c r="B87" s="1482">
        <v>265114051</v>
      </c>
      <c r="C87" s="1483">
        <v>97999922</v>
      </c>
      <c r="D87" s="1483">
        <v>42777361</v>
      </c>
      <c r="E87" s="1483">
        <v>390044</v>
      </c>
      <c r="F87" s="1516">
        <v>3350967</v>
      </c>
      <c r="G87" s="1536"/>
    </row>
    <row r="88" spans="1:7" s="1537" customFormat="1" ht="18.600000000000001" hidden="1" customHeight="1" x14ac:dyDescent="0.25">
      <c r="A88" s="1486">
        <v>43070</v>
      </c>
      <c r="B88" s="1482">
        <v>407828534</v>
      </c>
      <c r="C88" s="1483">
        <v>3516614</v>
      </c>
      <c r="D88" s="1483">
        <v>145491135</v>
      </c>
      <c r="E88" s="1483">
        <v>456116</v>
      </c>
      <c r="F88" s="1516">
        <v>80357647</v>
      </c>
      <c r="G88" s="1536"/>
    </row>
    <row r="89" spans="1:7" s="1537" customFormat="1" ht="18.600000000000001" hidden="1" customHeight="1" x14ac:dyDescent="0.25">
      <c r="A89" s="1486">
        <v>43101</v>
      </c>
      <c r="B89" s="1482">
        <v>480753205</v>
      </c>
      <c r="C89" s="1483">
        <v>73748585</v>
      </c>
      <c r="D89" s="1483">
        <v>65145120</v>
      </c>
      <c r="E89" s="1483">
        <v>451385</v>
      </c>
      <c r="F89" s="1516">
        <v>2732518</v>
      </c>
      <c r="G89" s="1536"/>
    </row>
    <row r="90" spans="1:7" s="1537" customFormat="1" ht="18.600000000000001" hidden="1" customHeight="1" x14ac:dyDescent="0.25">
      <c r="A90" s="1486">
        <v>43132</v>
      </c>
      <c r="B90" s="1482">
        <v>885477855</v>
      </c>
      <c r="C90" s="1483">
        <v>2626235</v>
      </c>
      <c r="D90" s="1483">
        <v>9018564</v>
      </c>
      <c r="E90" s="1483">
        <v>403811</v>
      </c>
      <c r="F90" s="1516">
        <v>2776897</v>
      </c>
      <c r="G90" s="1536"/>
    </row>
    <row r="91" spans="1:7" s="1537" customFormat="1" ht="18.600000000000001" hidden="1" customHeight="1" x14ac:dyDescent="0.25">
      <c r="A91" s="1486">
        <v>43160</v>
      </c>
      <c r="B91" s="1482">
        <v>1475836524</v>
      </c>
      <c r="C91" s="1483">
        <v>3096439</v>
      </c>
      <c r="D91" s="1483">
        <v>147000285</v>
      </c>
      <c r="E91" s="1483">
        <v>527505</v>
      </c>
      <c r="F91" s="1516">
        <v>8952058</v>
      </c>
      <c r="G91" s="1536"/>
    </row>
    <row r="92" spans="1:7" s="1537" customFormat="1" ht="18.600000000000001" hidden="1" customHeight="1" x14ac:dyDescent="0.25">
      <c r="A92" s="1486">
        <v>43191</v>
      </c>
      <c r="B92" s="1482">
        <v>307635596</v>
      </c>
      <c r="C92" s="1483">
        <v>2570227</v>
      </c>
      <c r="D92" s="1483">
        <v>357222668</v>
      </c>
      <c r="E92" s="1483">
        <v>405595</v>
      </c>
      <c r="F92" s="1516">
        <v>30738639</v>
      </c>
      <c r="G92" s="1536"/>
    </row>
    <row r="93" spans="1:7" s="1537" customFormat="1" ht="18.600000000000001" hidden="1" customHeight="1" x14ac:dyDescent="0.25">
      <c r="A93" s="1486">
        <v>43221</v>
      </c>
      <c r="B93" s="1482">
        <v>687623001</v>
      </c>
      <c r="C93" s="1483">
        <v>2507041</v>
      </c>
      <c r="D93" s="1483">
        <v>73902953</v>
      </c>
      <c r="E93" s="1483">
        <v>402044</v>
      </c>
      <c r="F93" s="1516">
        <v>1727009</v>
      </c>
      <c r="G93" s="1536"/>
    </row>
    <row r="94" spans="1:7" s="1537" customFormat="1" ht="18.600000000000001" hidden="1" customHeight="1" x14ac:dyDescent="0.25">
      <c r="A94" s="1486">
        <v>43252</v>
      </c>
      <c r="B94" s="1482">
        <v>751401233</v>
      </c>
      <c r="C94" s="1483">
        <v>4202422</v>
      </c>
      <c r="D94" s="1483">
        <v>189826593</v>
      </c>
      <c r="E94" s="1483">
        <v>446824</v>
      </c>
      <c r="F94" s="1516">
        <v>80786964</v>
      </c>
      <c r="G94" s="1536"/>
    </row>
    <row r="95" spans="1:7" s="1537" customFormat="1" ht="18.600000000000001" hidden="1" customHeight="1" x14ac:dyDescent="0.25">
      <c r="A95" s="1486">
        <v>43282</v>
      </c>
      <c r="B95" s="1482">
        <v>737514087</v>
      </c>
      <c r="C95" s="1483">
        <v>13887577</v>
      </c>
      <c r="D95" s="1483">
        <v>145372733</v>
      </c>
      <c r="E95" s="1483">
        <v>403729</v>
      </c>
      <c r="F95" s="1516">
        <v>2339380</v>
      </c>
      <c r="G95" s="1536"/>
    </row>
    <row r="96" spans="1:7" s="1537" customFormat="1" ht="18.600000000000001" hidden="1" customHeight="1" x14ac:dyDescent="0.25">
      <c r="A96" s="1486">
        <v>43313</v>
      </c>
      <c r="B96" s="1482">
        <v>2232827488</v>
      </c>
      <c r="C96" s="1483">
        <v>2005069</v>
      </c>
      <c r="D96" s="1483">
        <v>430774415</v>
      </c>
      <c r="E96" s="1483">
        <v>400267</v>
      </c>
      <c r="F96" s="1516">
        <v>2887372</v>
      </c>
      <c r="G96" s="1536"/>
    </row>
    <row r="97" spans="1:7" s="1537" customFormat="1" ht="18.600000000000001" hidden="1" customHeight="1" x14ac:dyDescent="0.25">
      <c r="A97" s="1486">
        <v>43344</v>
      </c>
      <c r="B97" s="1482">
        <v>509923423</v>
      </c>
      <c r="C97" s="1483">
        <v>2638907</v>
      </c>
      <c r="D97" s="1483">
        <v>105894649</v>
      </c>
      <c r="E97" s="1483">
        <v>419498</v>
      </c>
      <c r="F97" s="1516">
        <v>15642020</v>
      </c>
      <c r="G97" s="1536"/>
    </row>
    <row r="98" spans="1:7" s="1537" customFormat="1" ht="18.600000000000001" hidden="1" customHeight="1" x14ac:dyDescent="0.25">
      <c r="A98" s="1486">
        <v>43374</v>
      </c>
      <c r="B98" s="1482">
        <v>492579344</v>
      </c>
      <c r="C98" s="1483">
        <v>39420450</v>
      </c>
      <c r="D98" s="1483">
        <v>26870381</v>
      </c>
      <c r="E98" s="1483">
        <v>403713</v>
      </c>
      <c r="F98" s="1516">
        <v>98898056</v>
      </c>
      <c r="G98" s="1536"/>
    </row>
    <row r="99" spans="1:7" s="1537" customFormat="1" ht="18.600000000000001" hidden="1" customHeight="1" x14ac:dyDescent="0.25">
      <c r="A99" s="1486">
        <v>43405</v>
      </c>
      <c r="B99" s="1482">
        <v>350731541</v>
      </c>
      <c r="C99" s="1483">
        <v>4012782</v>
      </c>
      <c r="D99" s="1483">
        <v>159280924</v>
      </c>
      <c r="E99" s="1483">
        <v>400000</v>
      </c>
      <c r="F99" s="1516">
        <v>27942884</v>
      </c>
      <c r="G99" s="1536"/>
    </row>
    <row r="100" spans="1:7" s="1537" customFormat="1" ht="18.600000000000001" hidden="1" customHeight="1" x14ac:dyDescent="0.25">
      <c r="A100" s="1486">
        <v>43435</v>
      </c>
      <c r="B100" s="1482">
        <v>518309284</v>
      </c>
      <c r="C100" s="1483">
        <v>6230713</v>
      </c>
      <c r="D100" s="1483">
        <v>159576419</v>
      </c>
      <c r="E100" s="1483">
        <v>437877</v>
      </c>
      <c r="F100" s="1516">
        <v>28783450</v>
      </c>
      <c r="G100" s="1536"/>
    </row>
    <row r="101" spans="1:7" s="1537" customFormat="1" ht="18.600000000000001" customHeight="1" x14ac:dyDescent="0.25">
      <c r="A101" s="1486">
        <v>43466</v>
      </c>
      <c r="B101" s="1482">
        <v>372772068</v>
      </c>
      <c r="C101" s="1483">
        <v>4671548</v>
      </c>
      <c r="D101" s="1483">
        <v>225906672</v>
      </c>
      <c r="E101" s="1483">
        <v>403815</v>
      </c>
      <c r="F101" s="1516">
        <v>4665844</v>
      </c>
      <c r="G101" s="1536"/>
    </row>
    <row r="102" spans="1:7" s="1537" customFormat="1" ht="18.600000000000001" customHeight="1" x14ac:dyDescent="0.25">
      <c r="A102" s="1486">
        <v>43497</v>
      </c>
      <c r="B102" s="1482">
        <v>177182042</v>
      </c>
      <c r="C102" s="1483">
        <v>4854448</v>
      </c>
      <c r="D102" s="1483">
        <v>106535905</v>
      </c>
      <c r="E102" s="1483">
        <v>400142</v>
      </c>
      <c r="F102" s="1516">
        <v>60739624</v>
      </c>
      <c r="G102" s="1536"/>
    </row>
    <row r="103" spans="1:7" s="1537" customFormat="1" ht="18.600000000000001" customHeight="1" x14ac:dyDescent="0.25">
      <c r="A103" s="1486">
        <v>43525</v>
      </c>
      <c r="B103" s="1482">
        <v>286068416</v>
      </c>
      <c r="C103" s="1483">
        <v>5749390</v>
      </c>
      <c r="D103" s="1483">
        <v>146666454</v>
      </c>
      <c r="E103" s="1483">
        <v>419496</v>
      </c>
      <c r="F103" s="1516">
        <v>15133232</v>
      </c>
      <c r="G103" s="1536"/>
    </row>
    <row r="104" spans="1:7" s="1537" customFormat="1" ht="18.600000000000001" customHeight="1" x14ac:dyDescent="0.25">
      <c r="A104" s="1486">
        <v>43556</v>
      </c>
      <c r="B104" s="1482">
        <v>216087430</v>
      </c>
      <c r="C104" s="1483">
        <v>6099472</v>
      </c>
      <c r="D104" s="1483">
        <v>21850878</v>
      </c>
      <c r="E104" s="1483">
        <v>403584</v>
      </c>
      <c r="F104" s="1516">
        <v>5342224</v>
      </c>
      <c r="G104" s="1536"/>
    </row>
    <row r="105" spans="1:7" s="1537" customFormat="1" ht="18.600000000000001" customHeight="1" x14ac:dyDescent="0.25">
      <c r="A105" s="1486">
        <v>43586</v>
      </c>
      <c r="B105" s="1482">
        <v>157352268</v>
      </c>
      <c r="C105" s="1483">
        <v>4140904</v>
      </c>
      <c r="D105" s="1483">
        <v>19199462</v>
      </c>
      <c r="E105" s="1483">
        <v>400028</v>
      </c>
      <c r="F105" s="1516">
        <v>7214868</v>
      </c>
      <c r="G105" s="1536"/>
    </row>
    <row r="106" spans="1:7" s="1537" customFormat="1" ht="18.600000000000001" customHeight="1" x14ac:dyDescent="0.25">
      <c r="A106" s="1486">
        <v>43617</v>
      </c>
      <c r="B106" s="1482">
        <v>692028441</v>
      </c>
      <c r="C106" s="1483">
        <v>9824717</v>
      </c>
      <c r="D106" s="1483">
        <v>60485577</v>
      </c>
      <c r="E106" s="1483">
        <v>213444</v>
      </c>
      <c r="F106" s="1516">
        <v>108254755</v>
      </c>
      <c r="G106" s="1536"/>
    </row>
    <row r="107" spans="1:7" s="1537" customFormat="1" ht="18.600000000000001" customHeight="1" x14ac:dyDescent="0.25">
      <c r="A107" s="1486">
        <v>43647</v>
      </c>
      <c r="B107" s="1482">
        <v>435957834</v>
      </c>
      <c r="C107" s="1483">
        <v>5240025</v>
      </c>
      <c r="D107" s="1483">
        <v>33728880</v>
      </c>
      <c r="E107" s="1483">
        <v>403666</v>
      </c>
      <c r="F107" s="1516">
        <v>72461546</v>
      </c>
      <c r="G107" s="1536"/>
    </row>
    <row r="108" spans="1:7" s="1537" customFormat="1" ht="18.600000000000001" customHeight="1" x14ac:dyDescent="0.25">
      <c r="A108" s="1486">
        <v>43678</v>
      </c>
      <c r="B108" s="1482">
        <v>396762586</v>
      </c>
      <c r="C108" s="1483">
        <v>5365355</v>
      </c>
      <c r="D108" s="1483">
        <v>31654694</v>
      </c>
      <c r="E108" s="1483">
        <v>400000</v>
      </c>
      <c r="F108" s="1516">
        <v>4133802</v>
      </c>
      <c r="G108" s="1536"/>
    </row>
    <row r="109" spans="1:7" s="1537" customFormat="1" ht="18.600000000000001" customHeight="1" x14ac:dyDescent="0.25">
      <c r="A109" s="1486">
        <v>43709</v>
      </c>
      <c r="B109" s="1482">
        <v>570651152</v>
      </c>
      <c r="C109" s="1483">
        <v>73360673</v>
      </c>
      <c r="D109" s="1483">
        <v>164964477</v>
      </c>
      <c r="E109" s="1483">
        <v>412092</v>
      </c>
      <c r="F109" s="1516">
        <v>40977057</v>
      </c>
      <c r="G109" s="1536"/>
    </row>
    <row r="110" spans="1:7" s="1537" customFormat="1" ht="18.600000000000001" customHeight="1" x14ac:dyDescent="0.25">
      <c r="A110" s="1486">
        <v>43739</v>
      </c>
      <c r="B110" s="1482">
        <v>423910771</v>
      </c>
      <c r="C110" s="1483">
        <v>6229532</v>
      </c>
      <c r="D110" s="1483">
        <v>143582802</v>
      </c>
      <c r="E110" s="1483">
        <v>403896</v>
      </c>
      <c r="F110" s="1516">
        <v>10588806</v>
      </c>
      <c r="G110" s="1536"/>
    </row>
    <row r="111" spans="1:7" s="1537" customFormat="1" ht="18.600000000000001" customHeight="1" x14ac:dyDescent="0.25">
      <c r="A111" s="1486">
        <v>43770</v>
      </c>
      <c r="B111" s="1482">
        <v>385974257</v>
      </c>
      <c r="C111" s="1483">
        <v>4930212</v>
      </c>
      <c r="D111" s="1483">
        <v>11374192</v>
      </c>
      <c r="E111" s="1483">
        <v>400560</v>
      </c>
      <c r="F111" s="1516">
        <v>4994270</v>
      </c>
      <c r="G111" s="1536"/>
    </row>
    <row r="112" spans="1:7" s="1537" customFormat="1" ht="18.600000000000001" customHeight="1" x14ac:dyDescent="0.25">
      <c r="A112" s="1486">
        <v>43800</v>
      </c>
      <c r="B112" s="1482">
        <v>570057816</v>
      </c>
      <c r="C112" s="1483">
        <v>8954184</v>
      </c>
      <c r="D112" s="1483">
        <v>64474843</v>
      </c>
      <c r="E112" s="1483">
        <v>420524</v>
      </c>
      <c r="F112" s="1516">
        <v>51930800</v>
      </c>
      <c r="G112" s="1536"/>
    </row>
    <row r="113" spans="1:7" s="1537" customFormat="1" ht="18.600000000000001" customHeight="1" x14ac:dyDescent="0.25">
      <c r="A113" s="1486">
        <v>43831</v>
      </c>
      <c r="B113" s="1482">
        <v>588509357.76999998</v>
      </c>
      <c r="C113" s="1483">
        <v>6608149.4699999997</v>
      </c>
      <c r="D113" s="1483">
        <v>135859810.62</v>
      </c>
      <c r="E113" s="1483">
        <v>406407.08</v>
      </c>
      <c r="F113" s="1516">
        <v>5789224</v>
      </c>
      <c r="G113" s="1536"/>
    </row>
    <row r="114" spans="1:7" s="1537" customFormat="1" ht="18.600000000000001" customHeight="1" x14ac:dyDescent="0.25">
      <c r="A114" s="1486">
        <v>43862</v>
      </c>
      <c r="B114" s="1482">
        <v>514620167</v>
      </c>
      <c r="C114" s="1483">
        <v>6727107</v>
      </c>
      <c r="D114" s="1483">
        <v>1327580939</v>
      </c>
      <c r="E114" s="1483">
        <v>506165</v>
      </c>
      <c r="F114" s="1516">
        <v>2940736</v>
      </c>
      <c r="G114" s="1536"/>
    </row>
    <row r="115" spans="1:7" s="1537" customFormat="1" ht="18.600000000000001" customHeight="1" x14ac:dyDescent="0.25">
      <c r="A115" s="1486">
        <v>43891</v>
      </c>
      <c r="B115" s="1482">
        <v>1254212660</v>
      </c>
      <c r="C115" s="1483">
        <v>28815037</v>
      </c>
      <c r="D115" s="1483">
        <v>329547754</v>
      </c>
      <c r="E115" s="1483">
        <v>400044</v>
      </c>
      <c r="F115" s="1516">
        <v>13704128</v>
      </c>
      <c r="G115" s="1536"/>
    </row>
    <row r="116" spans="1:7" s="1537" customFormat="1" ht="18.600000000000001" customHeight="1" x14ac:dyDescent="0.25">
      <c r="A116" s="1486">
        <v>43922</v>
      </c>
      <c r="B116" s="1482">
        <v>492147863</v>
      </c>
      <c r="C116" s="1483">
        <v>34273</v>
      </c>
      <c r="D116" s="1483">
        <v>118988599</v>
      </c>
      <c r="E116" s="1483">
        <v>400000</v>
      </c>
      <c r="F116" s="1516">
        <v>6783471</v>
      </c>
      <c r="G116" s="1536"/>
    </row>
    <row r="117" spans="1:7" s="1537" customFormat="1" ht="18.600000000000001" customHeight="1" x14ac:dyDescent="0.25">
      <c r="A117" s="1486">
        <v>43952</v>
      </c>
      <c r="B117" s="1482">
        <v>74039029</v>
      </c>
      <c r="C117" s="1483">
        <v>2025072</v>
      </c>
      <c r="D117" s="1483">
        <v>24716673</v>
      </c>
      <c r="E117" s="1483">
        <v>416974</v>
      </c>
      <c r="F117" s="1516">
        <v>2164264</v>
      </c>
      <c r="G117" s="1536"/>
    </row>
    <row r="118" spans="1:7" s="1537" customFormat="1" ht="18.600000000000001" customHeight="1" x14ac:dyDescent="0.25">
      <c r="A118" s="1486">
        <v>43983</v>
      </c>
      <c r="B118" s="1482">
        <v>395971499</v>
      </c>
      <c r="C118" s="1483">
        <v>10797802</v>
      </c>
      <c r="D118" s="1483">
        <v>623581213</v>
      </c>
      <c r="E118" s="1491">
        <v>454321</v>
      </c>
      <c r="F118" s="1516">
        <v>52573753</v>
      </c>
      <c r="G118" s="1536"/>
    </row>
    <row r="119" spans="1:7" s="1537" customFormat="1" ht="18.600000000000001" customHeight="1" x14ac:dyDescent="0.25">
      <c r="A119" s="1486">
        <v>44013</v>
      </c>
      <c r="B119" s="1482">
        <v>187264632.65000001</v>
      </c>
      <c r="C119" s="1483">
        <v>23646019.68</v>
      </c>
      <c r="D119" s="1483">
        <v>439145927.19999999</v>
      </c>
      <c r="E119" s="1491">
        <v>403225</v>
      </c>
      <c r="F119" s="1516">
        <v>5800000</v>
      </c>
      <c r="G119" s="1536"/>
    </row>
    <row r="120" spans="1:7" s="1537" customFormat="1" ht="18.600000000000001" customHeight="1" x14ac:dyDescent="0.25">
      <c r="A120" s="1486">
        <v>44044</v>
      </c>
      <c r="B120" s="1482">
        <v>565524891.16999996</v>
      </c>
      <c r="C120" s="1483">
        <v>7025278.3499999996</v>
      </c>
      <c r="D120" s="1483">
        <v>166623300.62</v>
      </c>
      <c r="E120" s="1491">
        <v>400072</v>
      </c>
      <c r="F120" s="1516">
        <v>6366532</v>
      </c>
      <c r="G120" s="1536"/>
    </row>
    <row r="121" spans="1:7" s="1537" customFormat="1" ht="18.600000000000001" customHeight="1" x14ac:dyDescent="0.25">
      <c r="A121" s="1486">
        <v>44075</v>
      </c>
      <c r="B121" s="1482">
        <v>594363425.57000005</v>
      </c>
      <c r="C121" s="1483">
        <v>8073413.5999999996</v>
      </c>
      <c r="D121" s="1483">
        <v>242484848.50999999</v>
      </c>
      <c r="E121" s="1491">
        <v>523599.51</v>
      </c>
      <c r="F121" s="1516">
        <v>19231112</v>
      </c>
      <c r="G121" s="1536"/>
    </row>
    <row r="122" spans="1:7" s="1537" customFormat="1" ht="18.600000000000001" customHeight="1" x14ac:dyDescent="0.25">
      <c r="A122" s="1486">
        <v>44105</v>
      </c>
      <c r="B122" s="1482">
        <v>839025321</v>
      </c>
      <c r="C122" s="1483">
        <v>7665917.1399999997</v>
      </c>
      <c r="D122" s="1483">
        <v>8948013.8800000008</v>
      </c>
      <c r="E122" s="1491">
        <v>413633.22</v>
      </c>
      <c r="F122" s="1516">
        <v>8845156</v>
      </c>
      <c r="G122" s="1536"/>
    </row>
    <row r="123" spans="1:7" s="1537" customFormat="1" ht="18.600000000000001" customHeight="1" x14ac:dyDescent="0.25">
      <c r="A123" s="1486">
        <v>44136</v>
      </c>
      <c r="B123" s="1482">
        <v>281045560.80000001</v>
      </c>
      <c r="C123" s="1483">
        <v>7229289.54</v>
      </c>
      <c r="D123" s="1483">
        <v>261905067.68000001</v>
      </c>
      <c r="E123" s="1491">
        <v>689855.78</v>
      </c>
      <c r="F123" s="1516">
        <v>9155347</v>
      </c>
      <c r="G123" s="1536"/>
    </row>
    <row r="124" spans="1:7" s="1537" customFormat="1" ht="18.600000000000001" customHeight="1" x14ac:dyDescent="0.25">
      <c r="A124" s="1486">
        <v>44166</v>
      </c>
      <c r="B124" s="1482">
        <v>858648185.15999997</v>
      </c>
      <c r="C124" s="1483">
        <v>10412047.24</v>
      </c>
      <c r="D124" s="1483">
        <v>131726723.34999999</v>
      </c>
      <c r="E124" s="1491">
        <v>540107.05000000005</v>
      </c>
      <c r="F124" s="1516">
        <v>17971559.859999999</v>
      </c>
      <c r="G124" s="1536"/>
    </row>
    <row r="125" spans="1:7" s="1537" customFormat="1" ht="18.600000000000001" customHeight="1" x14ac:dyDescent="0.25">
      <c r="A125" s="1486">
        <v>44197</v>
      </c>
      <c r="B125" s="1482">
        <v>5184900341</v>
      </c>
      <c r="C125" s="1483">
        <v>5486260</v>
      </c>
      <c r="D125" s="1483">
        <v>12596489</v>
      </c>
      <c r="E125" s="1491">
        <v>451777</v>
      </c>
      <c r="F125" s="1516">
        <v>5816424</v>
      </c>
      <c r="G125" s="1536"/>
    </row>
    <row r="126" spans="1:7" s="1537" customFormat="1" ht="18.600000000000001" customHeight="1" x14ac:dyDescent="0.25">
      <c r="A126" s="1486">
        <v>44228</v>
      </c>
      <c r="B126" s="1482">
        <v>1939170387</v>
      </c>
      <c r="C126" s="1483">
        <v>4403619</v>
      </c>
      <c r="D126" s="1483">
        <v>65370930</v>
      </c>
      <c r="E126" s="1491">
        <v>406931</v>
      </c>
      <c r="F126" s="1516">
        <v>2005954</v>
      </c>
      <c r="G126" s="1536"/>
    </row>
    <row r="127" spans="1:7" s="1537" customFormat="1" ht="18.600000000000001" customHeight="1" x14ac:dyDescent="0.25">
      <c r="A127" s="1486">
        <v>44256</v>
      </c>
      <c r="B127" s="1482">
        <v>2188908238</v>
      </c>
      <c r="C127" s="1483">
        <v>6919506</v>
      </c>
      <c r="D127" s="1483">
        <v>68758377</v>
      </c>
      <c r="E127" s="1491">
        <v>413653</v>
      </c>
      <c r="F127" s="1516">
        <v>7944620</v>
      </c>
      <c r="G127" s="1536"/>
    </row>
    <row r="128" spans="1:7" s="1537" customFormat="1" ht="18.600000000000001" customHeight="1" x14ac:dyDescent="0.25">
      <c r="A128" s="1486">
        <v>44287</v>
      </c>
      <c r="B128" s="1482">
        <v>2025571000</v>
      </c>
      <c r="C128" s="1483">
        <v>31542901</v>
      </c>
      <c r="D128" s="1483">
        <v>14048830</v>
      </c>
      <c r="E128" s="1491">
        <v>315598</v>
      </c>
      <c r="F128" s="1516">
        <v>2816424</v>
      </c>
      <c r="G128" s="1536"/>
    </row>
    <row r="129" spans="1:7" s="1537" customFormat="1" ht="18.600000000000001" customHeight="1" x14ac:dyDescent="0.25">
      <c r="A129" s="1486">
        <v>44317</v>
      </c>
      <c r="B129" s="1482">
        <v>1041953341</v>
      </c>
      <c r="C129" s="1483">
        <v>5072276</v>
      </c>
      <c r="D129" s="1483">
        <v>5691610</v>
      </c>
      <c r="E129" s="1491">
        <v>306475</v>
      </c>
      <c r="F129" s="1516">
        <v>8407662</v>
      </c>
      <c r="G129" s="1536"/>
    </row>
    <row r="130" spans="1:7" s="1537" customFormat="1" ht="18.600000000000001" customHeight="1" x14ac:dyDescent="0.25">
      <c r="A130" s="1486">
        <v>44348</v>
      </c>
      <c r="B130" s="1482">
        <v>2071318670</v>
      </c>
      <c r="C130" s="1483">
        <v>29527788</v>
      </c>
      <c r="D130" s="1483">
        <v>63287983</v>
      </c>
      <c r="E130" s="1491">
        <v>419086</v>
      </c>
      <c r="F130" s="1516">
        <v>59762025</v>
      </c>
      <c r="G130" s="1536"/>
    </row>
    <row r="131" spans="1:7" s="1537" customFormat="1" ht="18.600000000000001" customHeight="1" thickBot="1" x14ac:dyDescent="0.3">
      <c r="A131" s="1492">
        <v>44378</v>
      </c>
      <c r="B131" s="1493">
        <v>1603331109</v>
      </c>
      <c r="C131" s="1495">
        <v>29102815</v>
      </c>
      <c r="D131" s="1495">
        <v>116087154</v>
      </c>
      <c r="E131" s="1494">
        <v>415328</v>
      </c>
      <c r="F131" s="1519">
        <v>3000000</v>
      </c>
      <c r="G131" s="1536"/>
    </row>
    <row r="132" spans="1:7" ht="17.25" customHeight="1" x14ac:dyDescent="0.25">
      <c r="A132" s="1541" t="s">
        <v>3442</v>
      </c>
      <c r="D132" s="1529"/>
      <c r="E132" s="1529"/>
      <c r="F132" s="1529"/>
      <c r="G132" s="1529"/>
    </row>
    <row r="133" spans="1:7" ht="15.95" customHeight="1" x14ac:dyDescent="0.25">
      <c r="A133" s="1542"/>
    </row>
    <row r="134" spans="1:7" ht="15.95" customHeight="1" x14ac:dyDescent="0.25">
      <c r="A134" s="1543"/>
    </row>
    <row r="135" spans="1:7" x14ac:dyDescent="0.25">
      <c r="A135" s="1541"/>
    </row>
  </sheetData>
  <printOptions horizontalCentered="1"/>
  <pageMargins left="0.75" right="0.75" top="0.75" bottom="0.75" header="0.3" footer="0"/>
  <pageSetup paperSize="9" scale="83"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DJ46"/>
  <sheetViews>
    <sheetView topLeftCell="A23" zoomScale="80" zoomScaleNormal="80" workbookViewId="0">
      <selection activeCell="A34" sqref="A34"/>
    </sheetView>
  </sheetViews>
  <sheetFormatPr defaultColWidth="30.42578125" defaultRowHeight="18.75" x14ac:dyDescent="0.25"/>
  <cols>
    <col min="1" max="1" width="75.140625" style="1550" customWidth="1"/>
    <col min="2" max="10" width="10.85546875" style="1551" hidden="1" customWidth="1"/>
    <col min="11" max="15" width="11.7109375" style="1551" hidden="1" customWidth="1"/>
    <col min="16" max="42" width="11.85546875" style="1551" hidden="1" customWidth="1"/>
    <col min="43" max="43" width="12.85546875" style="1551" hidden="1" customWidth="1"/>
    <col min="44" max="47" width="12" style="1551" hidden="1" customWidth="1"/>
    <col min="48" max="48" width="12.85546875" style="1551" hidden="1" customWidth="1"/>
    <col min="49" max="58" width="12.7109375" style="1551" hidden="1" customWidth="1"/>
    <col min="59" max="59" width="14.28515625" style="1551" hidden="1" customWidth="1"/>
    <col min="60" max="67" width="11.85546875" style="1551" hidden="1" customWidth="1"/>
    <col min="68" max="68" width="10.28515625" style="1551" hidden="1" customWidth="1"/>
    <col min="69" max="69" width="11.85546875" style="1551" hidden="1" customWidth="1"/>
    <col min="70" max="70" width="13" style="1551" hidden="1" customWidth="1"/>
    <col min="71" max="71" width="12" style="1551" hidden="1" customWidth="1"/>
    <col min="72" max="72" width="11.5703125" style="1551" hidden="1" customWidth="1"/>
    <col min="73" max="73" width="12.28515625" style="1551" hidden="1" customWidth="1"/>
    <col min="74" max="74" width="15.140625" style="1551" hidden="1" customWidth="1"/>
    <col min="75" max="75" width="14" style="1640" hidden="1" customWidth="1"/>
    <col min="76" max="76" width="16.85546875" style="1640" hidden="1" customWidth="1"/>
    <col min="77" max="77" width="14" style="1640" hidden="1" customWidth="1"/>
    <col min="78" max="78" width="13.28515625" style="1640" hidden="1" customWidth="1"/>
    <col min="79" max="79" width="13.85546875" style="1640" hidden="1" customWidth="1"/>
    <col min="80" max="80" width="13" style="1640" hidden="1" customWidth="1"/>
    <col min="81" max="82" width="13.7109375" style="1640" hidden="1" customWidth="1"/>
    <col min="83" max="83" width="14" style="1640" hidden="1" customWidth="1"/>
    <col min="84" max="84" width="15" style="1640" hidden="1" customWidth="1"/>
    <col min="85" max="85" width="4.28515625" style="1640" hidden="1" customWidth="1"/>
    <col min="86" max="86" width="14.42578125" style="1640" hidden="1" customWidth="1"/>
    <col min="87" max="88" width="11" style="1640" hidden="1" customWidth="1"/>
    <col min="89" max="89" width="11.5703125" style="1640" hidden="1" customWidth="1"/>
    <col min="90" max="90" width="12.28515625" style="1640" hidden="1" customWidth="1"/>
    <col min="91" max="92" width="11.7109375" style="1640" hidden="1" customWidth="1"/>
    <col min="93" max="94" width="12.28515625" style="1640" hidden="1" customWidth="1"/>
    <col min="95" max="95" width="11.7109375" style="1640" hidden="1" customWidth="1"/>
    <col min="96" max="96" width="12.28515625" style="1640" hidden="1" customWidth="1"/>
    <col min="97" max="97" width="11.7109375" style="1640" hidden="1" customWidth="1"/>
    <col min="98" max="98" width="12.28515625" style="1640" hidden="1" customWidth="1"/>
    <col min="99" max="99" width="11.7109375" style="1640" hidden="1" customWidth="1"/>
    <col min="100" max="100" width="11.42578125" style="1640" hidden="1" customWidth="1"/>
    <col min="101" max="101" width="11.7109375" style="1640" hidden="1" customWidth="1"/>
    <col min="102" max="107" width="12.28515625" style="1640" bestFit="1" customWidth="1"/>
    <col min="108" max="108" width="12.140625" style="1640" bestFit="1" customWidth="1"/>
    <col min="109" max="114" width="11" style="1640" bestFit="1" customWidth="1"/>
    <col min="115" max="16384" width="30.42578125" style="1551"/>
  </cols>
  <sheetData>
    <row r="1" spans="1:114" s="1549" customFormat="1" x14ac:dyDescent="0.35">
      <c r="A1" s="1544" t="s">
        <v>3458</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45"/>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c r="BU1" s="1545"/>
      <c r="BV1" s="1545"/>
      <c r="BW1" s="1546"/>
      <c r="BX1" s="1546"/>
      <c r="BY1" s="1546"/>
      <c r="BZ1" s="1546"/>
      <c r="CA1" s="1546"/>
      <c r="CB1" s="1546"/>
      <c r="CC1" s="1546"/>
      <c r="CD1" s="1546"/>
      <c r="CE1" s="1546"/>
      <c r="CF1" s="1547"/>
      <c r="CG1" s="1548"/>
      <c r="CH1" s="1548"/>
      <c r="CI1" s="1548"/>
      <c r="CJ1" s="1548"/>
      <c r="CK1" s="1548"/>
      <c r="CL1" s="1548"/>
      <c r="CM1" s="1548"/>
      <c r="CN1" s="1548"/>
      <c r="CO1" s="1548"/>
      <c r="CP1" s="1548"/>
      <c r="CQ1" s="1548"/>
      <c r="CR1" s="1548"/>
      <c r="CS1" s="1548"/>
      <c r="CT1" s="1548"/>
      <c r="CU1" s="1548"/>
      <c r="CV1" s="1548"/>
      <c r="CW1" s="1548"/>
      <c r="CX1" s="1548"/>
      <c r="CY1" s="1548"/>
      <c r="CZ1" s="1548"/>
      <c r="DA1" s="1548"/>
      <c r="DB1" s="1548"/>
      <c r="DC1" s="1548"/>
      <c r="DD1" s="1548"/>
      <c r="DE1" s="1548"/>
      <c r="DF1" s="1548"/>
      <c r="DG1" s="1548"/>
      <c r="DH1" s="1548"/>
      <c r="DI1" s="1548"/>
      <c r="DJ1" s="1548"/>
    </row>
    <row r="2" spans="1:114" ht="19.5" thickBot="1" x14ac:dyDescent="0.3">
      <c r="AU2" s="1552"/>
      <c r="AV2" s="1552"/>
      <c r="AW2" s="1552"/>
      <c r="AX2" s="1552"/>
      <c r="AY2" s="1552"/>
      <c r="AZ2" s="1552"/>
      <c r="BA2" s="1552"/>
      <c r="BB2" s="1552"/>
      <c r="BC2" s="1552"/>
      <c r="BD2" s="1552"/>
      <c r="BE2" s="1552"/>
      <c r="BF2" s="1552"/>
      <c r="BG2" s="1552"/>
      <c r="BH2" s="1552"/>
      <c r="BI2" s="1552"/>
      <c r="BJ2" s="1552"/>
      <c r="BK2" s="1552"/>
      <c r="BL2" s="1552"/>
      <c r="BM2" s="1552"/>
      <c r="BN2" s="1552"/>
      <c r="BO2" s="1552"/>
      <c r="BP2" s="1552"/>
      <c r="BQ2" s="1552"/>
      <c r="BR2" s="1552"/>
      <c r="BS2" s="1552"/>
      <c r="BT2" s="1553"/>
      <c r="BU2" s="1553"/>
      <c r="BV2" s="1553"/>
      <c r="BW2" s="1554"/>
      <c r="BX2" s="1554"/>
      <c r="BY2" s="1554"/>
      <c r="BZ2" s="1554"/>
      <c r="CA2" s="1554"/>
      <c r="CB2" s="1554"/>
      <c r="CC2" s="1554"/>
      <c r="CD2" s="1554"/>
      <c r="CE2" s="1554"/>
      <c r="CF2" s="1554"/>
      <c r="CG2" s="1554"/>
      <c r="CH2" s="1554"/>
      <c r="CI2" s="1554"/>
      <c r="CJ2" s="1554"/>
      <c r="CK2" s="1554"/>
      <c r="CL2" s="1554"/>
      <c r="CM2" s="1554"/>
      <c r="CN2" s="1554"/>
      <c r="CO2" s="1554"/>
      <c r="CP2" s="1554"/>
      <c r="CQ2" s="1554"/>
      <c r="CR2" s="1554"/>
      <c r="CS2" s="1554"/>
      <c r="CT2" s="1554"/>
      <c r="CU2" s="1554"/>
      <c r="CV2" s="1554"/>
      <c r="CW2" s="1554"/>
      <c r="CX2" s="1554"/>
      <c r="CY2" s="1554"/>
      <c r="CZ2" s="1554"/>
      <c r="DA2" s="1554"/>
      <c r="DB2" s="1554"/>
      <c r="DC2" s="1554"/>
      <c r="DD2" s="1554"/>
      <c r="DE2" s="1554"/>
      <c r="DF2" s="1554"/>
      <c r="DG2" s="1554"/>
      <c r="DH2" s="1554"/>
      <c r="DI2" s="1554"/>
      <c r="DJ2" s="1554"/>
    </row>
    <row r="3" spans="1:114" s="1561" customFormat="1" ht="21.75" thickTop="1" thickBot="1" x14ac:dyDescent="0.3">
      <c r="A3" s="1555"/>
      <c r="B3" s="1556">
        <v>40910</v>
      </c>
      <c r="C3" s="1556">
        <v>40941</v>
      </c>
      <c r="D3" s="1556">
        <v>40971</v>
      </c>
      <c r="E3" s="1556">
        <v>41003</v>
      </c>
      <c r="F3" s="1556">
        <v>41034</v>
      </c>
      <c r="G3" s="1556">
        <v>41066</v>
      </c>
      <c r="H3" s="1556">
        <v>41097</v>
      </c>
      <c r="I3" s="1556">
        <v>41129</v>
      </c>
      <c r="J3" s="1556">
        <v>41161</v>
      </c>
      <c r="K3" s="1556">
        <v>41192</v>
      </c>
      <c r="L3" s="1556">
        <v>41224</v>
      </c>
      <c r="M3" s="1556">
        <v>41255</v>
      </c>
      <c r="N3" s="1556">
        <v>41275</v>
      </c>
      <c r="O3" s="1556">
        <v>41307</v>
      </c>
      <c r="P3" s="1556">
        <v>41336</v>
      </c>
      <c r="Q3" s="1556">
        <v>41399</v>
      </c>
      <c r="R3" s="1556">
        <v>41431</v>
      </c>
      <c r="S3" s="1556">
        <v>41462</v>
      </c>
      <c r="T3" s="1556">
        <v>41494</v>
      </c>
      <c r="U3" s="1556">
        <v>41526</v>
      </c>
      <c r="V3" s="1556">
        <v>41557</v>
      </c>
      <c r="W3" s="1556">
        <v>41588</v>
      </c>
      <c r="X3" s="1556">
        <v>41619</v>
      </c>
      <c r="Y3" s="1556">
        <v>41640</v>
      </c>
      <c r="Z3" s="1556">
        <v>41671</v>
      </c>
      <c r="AA3" s="1556">
        <v>41700</v>
      </c>
      <c r="AB3" s="1556">
        <v>41732</v>
      </c>
      <c r="AC3" s="1556">
        <v>41762</v>
      </c>
      <c r="AD3" s="1556">
        <v>41794</v>
      </c>
      <c r="AE3" s="1556">
        <v>41825</v>
      </c>
      <c r="AF3" s="1556">
        <v>41857</v>
      </c>
      <c r="AG3" s="1556">
        <v>41889</v>
      </c>
      <c r="AH3" s="1556">
        <v>41919</v>
      </c>
      <c r="AI3" s="1556">
        <v>41950</v>
      </c>
      <c r="AJ3" s="1556">
        <v>41980</v>
      </c>
      <c r="AK3" s="1556">
        <v>42012</v>
      </c>
      <c r="AL3" s="1556">
        <v>42037</v>
      </c>
      <c r="AM3" s="1556">
        <v>42064</v>
      </c>
      <c r="AN3" s="1556">
        <v>42096</v>
      </c>
      <c r="AO3" s="1556">
        <v>42127</v>
      </c>
      <c r="AP3" s="1556">
        <v>42159</v>
      </c>
      <c r="AQ3" s="1556">
        <v>42189</v>
      </c>
      <c r="AR3" s="1556">
        <v>42220</v>
      </c>
      <c r="AS3" s="1556">
        <v>42252</v>
      </c>
      <c r="AT3" s="1556">
        <v>42282</v>
      </c>
      <c r="AU3" s="1556">
        <v>42313</v>
      </c>
      <c r="AV3" s="1556">
        <v>42343</v>
      </c>
      <c r="AW3" s="1556">
        <v>42375</v>
      </c>
      <c r="AX3" s="1556">
        <v>42407</v>
      </c>
      <c r="AY3" s="1556">
        <v>42436</v>
      </c>
      <c r="AZ3" s="1556">
        <v>42461</v>
      </c>
      <c r="BA3" s="1556">
        <v>42491</v>
      </c>
      <c r="BB3" s="1556">
        <v>42523</v>
      </c>
      <c r="BC3" s="1556">
        <v>42553</v>
      </c>
      <c r="BD3" s="1556">
        <v>42584</v>
      </c>
      <c r="BE3" s="1556">
        <v>42615</v>
      </c>
      <c r="BF3" s="1556">
        <v>42646</v>
      </c>
      <c r="BG3" s="1556">
        <v>42677</v>
      </c>
      <c r="BH3" s="1556">
        <v>42708</v>
      </c>
      <c r="BI3" s="1556">
        <v>42739</v>
      </c>
      <c r="BJ3" s="1556">
        <v>42771</v>
      </c>
      <c r="BK3" s="1556">
        <v>42799</v>
      </c>
      <c r="BL3" s="1556">
        <v>42830</v>
      </c>
      <c r="BM3" s="1556">
        <v>42860</v>
      </c>
      <c r="BN3" s="1556">
        <v>42891</v>
      </c>
      <c r="BO3" s="1556">
        <v>42921</v>
      </c>
      <c r="BP3" s="1556">
        <v>42953</v>
      </c>
      <c r="BQ3" s="1556">
        <v>42984</v>
      </c>
      <c r="BR3" s="1556">
        <v>43014</v>
      </c>
      <c r="BS3" s="1556">
        <v>43045</v>
      </c>
      <c r="BT3" s="1556">
        <v>43075</v>
      </c>
      <c r="BU3" s="1556">
        <v>43106</v>
      </c>
      <c r="BV3" s="1556">
        <v>43137</v>
      </c>
      <c r="BW3" s="1556">
        <v>43165</v>
      </c>
      <c r="BX3" s="1556">
        <v>43196</v>
      </c>
      <c r="BY3" s="1556">
        <v>43226</v>
      </c>
      <c r="BZ3" s="1556">
        <v>43258</v>
      </c>
      <c r="CA3" s="1556">
        <v>43288</v>
      </c>
      <c r="CB3" s="1556">
        <v>43321</v>
      </c>
      <c r="CC3" s="1556">
        <v>43352</v>
      </c>
      <c r="CD3" s="1557">
        <v>43382</v>
      </c>
      <c r="CE3" s="1557">
        <v>43414</v>
      </c>
      <c r="CF3" s="1558">
        <v>43445</v>
      </c>
      <c r="CG3" s="1559">
        <v>43476</v>
      </c>
      <c r="CH3" s="1557">
        <v>43507</v>
      </c>
      <c r="CI3" s="1560">
        <v>43535</v>
      </c>
      <c r="CJ3" s="1556">
        <v>43566</v>
      </c>
      <c r="CK3" s="1556">
        <v>43586</v>
      </c>
      <c r="CL3" s="1556">
        <v>43617</v>
      </c>
      <c r="CM3" s="1556">
        <v>43647</v>
      </c>
      <c r="CN3" s="1556">
        <v>43678</v>
      </c>
      <c r="CO3" s="1556">
        <v>43717</v>
      </c>
      <c r="CP3" s="1556">
        <v>43747</v>
      </c>
      <c r="CQ3" s="1556">
        <v>43778</v>
      </c>
      <c r="CR3" s="1556">
        <v>43808</v>
      </c>
      <c r="CS3" s="1556">
        <v>43839</v>
      </c>
      <c r="CT3" s="1556">
        <v>43870</v>
      </c>
      <c r="CU3" s="1556">
        <v>43899</v>
      </c>
      <c r="CV3" s="1559">
        <v>43930</v>
      </c>
      <c r="CW3" s="1559">
        <v>43960</v>
      </c>
      <c r="CX3" s="1559">
        <v>43991</v>
      </c>
      <c r="CY3" s="1559">
        <v>44021</v>
      </c>
      <c r="CZ3" s="1559">
        <v>44052</v>
      </c>
      <c r="DA3" s="1559">
        <v>44083</v>
      </c>
      <c r="DB3" s="1559">
        <v>44113</v>
      </c>
      <c r="DC3" s="1559">
        <v>44144</v>
      </c>
      <c r="DD3" s="1559">
        <v>44174</v>
      </c>
      <c r="DE3" s="1559">
        <v>44197</v>
      </c>
      <c r="DF3" s="1559">
        <v>44228</v>
      </c>
      <c r="DG3" s="1559">
        <v>44256</v>
      </c>
      <c r="DH3" s="1559">
        <v>44287</v>
      </c>
      <c r="DI3" s="1559">
        <v>44317</v>
      </c>
      <c r="DJ3" s="1559">
        <v>44348</v>
      </c>
    </row>
    <row r="4" spans="1:114" s="1575" customFormat="1" x14ac:dyDescent="0.25">
      <c r="A4" s="1562" t="s">
        <v>3459</v>
      </c>
      <c r="B4" s="1563">
        <v>430</v>
      </c>
      <c r="C4" s="1563">
        <v>430</v>
      </c>
      <c r="D4" s="1563">
        <v>432</v>
      </c>
      <c r="E4" s="1563">
        <v>431</v>
      </c>
      <c r="F4" s="1563">
        <v>431</v>
      </c>
      <c r="G4" s="1563">
        <v>430</v>
      </c>
      <c r="H4" s="1563">
        <v>432</v>
      </c>
      <c r="I4" s="1563">
        <v>433</v>
      </c>
      <c r="J4" s="1563">
        <v>436</v>
      </c>
      <c r="K4" s="1563">
        <v>437</v>
      </c>
      <c r="L4" s="1563">
        <v>438</v>
      </c>
      <c r="M4" s="1563">
        <v>441</v>
      </c>
      <c r="N4" s="1563">
        <v>442</v>
      </c>
      <c r="O4" s="1563">
        <v>443</v>
      </c>
      <c r="P4" s="1563">
        <v>446</v>
      </c>
      <c r="Q4" s="1563">
        <v>447</v>
      </c>
      <c r="R4" s="1563">
        <v>450</v>
      </c>
      <c r="S4" s="1563">
        <v>448</v>
      </c>
      <c r="T4" s="1563">
        <v>448</v>
      </c>
      <c r="U4" s="1563">
        <v>449</v>
      </c>
      <c r="V4" s="1563">
        <v>448</v>
      </c>
      <c r="W4" s="1563">
        <v>449</v>
      </c>
      <c r="X4" s="1563">
        <v>450</v>
      </c>
      <c r="Y4" s="1563">
        <v>450</v>
      </c>
      <c r="Z4" s="1563">
        <v>449</v>
      </c>
      <c r="AA4" s="1563">
        <v>451</v>
      </c>
      <c r="AB4" s="1563">
        <v>451</v>
      </c>
      <c r="AC4" s="1563">
        <v>452</v>
      </c>
      <c r="AD4" s="1563">
        <v>454</v>
      </c>
      <c r="AE4" s="1563">
        <v>453</v>
      </c>
      <c r="AF4" s="1563">
        <v>453</v>
      </c>
      <c r="AG4" s="1563">
        <v>453</v>
      </c>
      <c r="AH4" s="1563">
        <v>453</v>
      </c>
      <c r="AI4" s="1563">
        <v>453</v>
      </c>
      <c r="AJ4" s="1563">
        <v>455</v>
      </c>
      <c r="AK4" s="1563">
        <v>456</v>
      </c>
      <c r="AL4" s="1563">
        <v>454</v>
      </c>
      <c r="AM4" s="1563">
        <v>459</v>
      </c>
      <c r="AN4" s="1563">
        <v>461</v>
      </c>
      <c r="AO4" s="1563">
        <v>462</v>
      </c>
      <c r="AP4" s="1563">
        <v>460</v>
      </c>
      <c r="AQ4" s="1563">
        <v>460</v>
      </c>
      <c r="AR4" s="1564">
        <v>460</v>
      </c>
      <c r="AS4" s="1564">
        <v>461</v>
      </c>
      <c r="AT4" s="1564">
        <v>460</v>
      </c>
      <c r="AU4" s="1564">
        <v>459</v>
      </c>
      <c r="AV4" s="1564">
        <v>464</v>
      </c>
      <c r="AW4" s="1564">
        <v>464</v>
      </c>
      <c r="AX4" s="1564">
        <v>465</v>
      </c>
      <c r="AY4" s="1564">
        <v>465</v>
      </c>
      <c r="AZ4" s="1565">
        <v>465</v>
      </c>
      <c r="BA4" s="1565">
        <v>463</v>
      </c>
      <c r="BB4" s="1565">
        <v>461</v>
      </c>
      <c r="BC4" s="1565">
        <v>463</v>
      </c>
      <c r="BD4" s="1565">
        <v>461</v>
      </c>
      <c r="BE4" s="1565">
        <v>458</v>
      </c>
      <c r="BF4" s="1566">
        <v>455</v>
      </c>
      <c r="BG4" s="1565">
        <v>454</v>
      </c>
      <c r="BH4" s="1565">
        <v>456</v>
      </c>
      <c r="BI4" s="1565">
        <v>453</v>
      </c>
      <c r="BJ4" s="1565">
        <v>453</v>
      </c>
      <c r="BK4" s="1565">
        <v>452</v>
      </c>
      <c r="BL4" s="1565">
        <v>453</v>
      </c>
      <c r="BM4" s="1565">
        <v>453</v>
      </c>
      <c r="BN4" s="1565">
        <v>454</v>
      </c>
      <c r="BO4" s="1565">
        <v>455</v>
      </c>
      <c r="BP4" s="1565">
        <v>452</v>
      </c>
      <c r="BQ4" s="1565">
        <v>451</v>
      </c>
      <c r="BR4" s="1565">
        <v>450</v>
      </c>
      <c r="BS4" s="1565">
        <v>449</v>
      </c>
      <c r="BT4" s="1567">
        <v>449</v>
      </c>
      <c r="BU4" s="1567">
        <v>447</v>
      </c>
      <c r="BV4" s="1567">
        <v>444</v>
      </c>
      <c r="BW4" s="1568">
        <v>445</v>
      </c>
      <c r="BX4" s="1568">
        <v>445</v>
      </c>
      <c r="BY4" s="1568">
        <v>446</v>
      </c>
      <c r="BZ4" s="1568">
        <v>445</v>
      </c>
      <c r="CA4" s="1568">
        <v>447</v>
      </c>
      <c r="CB4" s="1568">
        <v>448</v>
      </c>
      <c r="CC4" s="1568">
        <v>448</v>
      </c>
      <c r="CD4" s="1569">
        <v>449</v>
      </c>
      <c r="CE4" s="1569">
        <v>449</v>
      </c>
      <c r="CF4" s="1570">
        <v>449</v>
      </c>
      <c r="CG4" s="1571">
        <v>449</v>
      </c>
      <c r="CH4" s="1571">
        <v>449</v>
      </c>
      <c r="CI4" s="1572">
        <v>448</v>
      </c>
      <c r="CJ4" s="1573">
        <v>448</v>
      </c>
      <c r="CK4" s="1573">
        <v>448</v>
      </c>
      <c r="CL4" s="1573">
        <v>443</v>
      </c>
      <c r="CM4" s="1573">
        <v>443</v>
      </c>
      <c r="CN4" s="1573">
        <v>444</v>
      </c>
      <c r="CO4" s="1573">
        <v>445</v>
      </c>
      <c r="CP4" s="1573">
        <v>446</v>
      </c>
      <c r="CQ4" s="1573">
        <v>448</v>
      </c>
      <c r="CR4" s="1573">
        <v>448</v>
      </c>
      <c r="CS4" s="1573">
        <v>448</v>
      </c>
      <c r="CT4" s="1573">
        <v>449</v>
      </c>
      <c r="CU4" s="1573">
        <v>447</v>
      </c>
      <c r="CV4" s="1574">
        <v>445</v>
      </c>
      <c r="CW4" s="1574">
        <v>447</v>
      </c>
      <c r="CX4" s="1574">
        <v>447</v>
      </c>
      <c r="CY4" s="1574">
        <v>444</v>
      </c>
      <c r="CZ4" s="1574">
        <v>445</v>
      </c>
      <c r="DA4" s="1574">
        <v>445</v>
      </c>
      <c r="DB4" s="1574">
        <v>445</v>
      </c>
      <c r="DC4" s="1574">
        <v>445</v>
      </c>
      <c r="DD4" s="1574">
        <v>443</v>
      </c>
      <c r="DE4" s="1574">
        <v>443</v>
      </c>
      <c r="DF4" s="1574">
        <v>444</v>
      </c>
      <c r="DG4" s="1574">
        <v>445</v>
      </c>
      <c r="DH4" s="1574">
        <v>444</v>
      </c>
      <c r="DI4" s="1574">
        <v>445</v>
      </c>
      <c r="DJ4" s="1574">
        <v>450</v>
      </c>
    </row>
    <row r="5" spans="1:114" s="1588" customFormat="1" ht="19.5" thickBot="1" x14ac:dyDescent="0.3">
      <c r="A5" s="1576"/>
      <c r="B5" s="1577"/>
      <c r="C5" s="1577"/>
      <c r="D5" s="1577"/>
      <c r="E5" s="1577"/>
      <c r="F5" s="1577"/>
      <c r="G5" s="1577"/>
      <c r="H5" s="1577"/>
      <c r="I5" s="1577"/>
      <c r="J5" s="1577"/>
      <c r="K5" s="1577"/>
      <c r="L5" s="1577"/>
      <c r="M5" s="1577"/>
      <c r="N5" s="1577"/>
      <c r="O5" s="1577"/>
      <c r="P5" s="1577"/>
      <c r="Q5" s="1577"/>
      <c r="R5" s="1577"/>
      <c r="S5" s="1577"/>
      <c r="T5" s="1577"/>
      <c r="U5" s="1577"/>
      <c r="V5" s="1577"/>
      <c r="W5" s="1577"/>
      <c r="X5" s="1577"/>
      <c r="Y5" s="1577"/>
      <c r="Z5" s="1577"/>
      <c r="AA5" s="1577"/>
      <c r="AB5" s="1577"/>
      <c r="AC5" s="1577"/>
      <c r="AD5" s="1577"/>
      <c r="AE5" s="1577"/>
      <c r="AF5" s="1577"/>
      <c r="AG5" s="1577"/>
      <c r="AH5" s="1577"/>
      <c r="AI5" s="1577"/>
      <c r="AJ5" s="1577"/>
      <c r="AK5" s="1577"/>
      <c r="AL5" s="1577"/>
      <c r="AM5" s="1577"/>
      <c r="AN5" s="1577"/>
      <c r="AO5" s="1577"/>
      <c r="AP5" s="1577"/>
      <c r="AQ5" s="1577"/>
      <c r="AR5" s="1578"/>
      <c r="AS5" s="1578"/>
      <c r="AT5" s="1578"/>
      <c r="AU5" s="1578"/>
      <c r="AV5" s="1578"/>
      <c r="AW5" s="1578"/>
      <c r="AX5" s="1578"/>
      <c r="AY5" s="1578"/>
      <c r="AZ5" s="1579"/>
      <c r="BA5" s="1579"/>
      <c r="BB5" s="1579"/>
      <c r="BC5" s="1579"/>
      <c r="BD5" s="1579"/>
      <c r="BE5" s="1579"/>
      <c r="BF5" s="1579"/>
      <c r="BG5" s="1578"/>
      <c r="BH5" s="1580"/>
      <c r="BI5" s="1580"/>
      <c r="BJ5" s="1580"/>
      <c r="BK5" s="1580"/>
      <c r="BL5" s="1580"/>
      <c r="BM5" s="1580"/>
      <c r="BN5" s="1580"/>
      <c r="BO5" s="1580"/>
      <c r="BP5" s="1580"/>
      <c r="BQ5" s="1580"/>
      <c r="BR5" s="1578"/>
      <c r="BS5" s="1578"/>
      <c r="BT5" s="1581"/>
      <c r="BU5" s="1581"/>
      <c r="BV5" s="1581"/>
      <c r="BW5" s="1582"/>
      <c r="BX5" s="1582"/>
      <c r="BY5" s="1582"/>
      <c r="BZ5" s="1582"/>
      <c r="CA5" s="1583"/>
      <c r="CB5" s="1582"/>
      <c r="CC5" s="1582"/>
      <c r="CD5" s="1584"/>
      <c r="CE5" s="1584"/>
      <c r="CF5" s="1585"/>
      <c r="CG5" s="1581"/>
      <c r="CH5" s="1581"/>
      <c r="CI5" s="1586"/>
      <c r="CJ5" s="1581"/>
      <c r="CK5" s="1581"/>
      <c r="CL5" s="1581"/>
      <c r="CM5" s="1581"/>
      <c r="CN5" s="1581"/>
      <c r="CO5" s="1581"/>
      <c r="CP5" s="1581"/>
      <c r="CQ5" s="1581"/>
      <c r="CR5" s="1581"/>
      <c r="CS5" s="1581"/>
      <c r="CT5" s="1581"/>
      <c r="CU5" s="1581"/>
      <c r="CV5" s="1587"/>
      <c r="CW5" s="1587"/>
      <c r="CX5" s="1587"/>
      <c r="CY5" s="1587"/>
      <c r="CZ5" s="1587"/>
      <c r="DA5" s="1587"/>
      <c r="DB5" s="1587"/>
      <c r="DC5" s="1587"/>
      <c r="DD5" s="1587"/>
      <c r="DE5" s="1587"/>
      <c r="DF5" s="1587"/>
      <c r="DG5" s="1587"/>
      <c r="DH5" s="1587"/>
      <c r="DI5" s="1587"/>
      <c r="DJ5" s="1587"/>
    </row>
    <row r="6" spans="1:114" s="1575" customFormat="1" ht="19.5" thickTop="1" x14ac:dyDescent="0.25">
      <c r="A6" s="1562" t="s">
        <v>3460</v>
      </c>
      <c r="B6" s="1563">
        <v>4736872</v>
      </c>
      <c r="C6" s="1563">
        <v>4319467</v>
      </c>
      <c r="D6" s="1563">
        <v>4841422</v>
      </c>
      <c r="E6" s="1563">
        <v>4758541</v>
      </c>
      <c r="F6" s="1563">
        <v>4845776</v>
      </c>
      <c r="G6" s="1563">
        <v>4496701</v>
      </c>
      <c r="H6" s="1563">
        <v>4733299</v>
      </c>
      <c r="I6" s="1563">
        <v>4753864</v>
      </c>
      <c r="J6" s="1563">
        <v>4589854</v>
      </c>
      <c r="K6" s="1563">
        <v>5016549</v>
      </c>
      <c r="L6" s="1563">
        <v>4831238</v>
      </c>
      <c r="M6" s="1563">
        <v>6407067</v>
      </c>
      <c r="N6" s="1563">
        <v>4875444</v>
      </c>
      <c r="O6" s="1563">
        <v>4576070</v>
      </c>
      <c r="P6" s="1563">
        <v>5159362</v>
      </c>
      <c r="Q6" s="1563">
        <v>5247975</v>
      </c>
      <c r="R6" s="1563">
        <v>4677566</v>
      </c>
      <c r="S6" s="1563">
        <v>5215652</v>
      </c>
      <c r="T6" s="1563">
        <v>5146740</v>
      </c>
      <c r="U6" s="1563">
        <v>4946438</v>
      </c>
      <c r="V6" s="1563">
        <v>5139787</v>
      </c>
      <c r="W6" s="1563">
        <v>5093468</v>
      </c>
      <c r="X6" s="1563">
        <v>6796552</v>
      </c>
      <c r="Y6" s="1563">
        <v>5089885</v>
      </c>
      <c r="Z6" s="1563">
        <v>4795824</v>
      </c>
      <c r="AA6" s="1563">
        <v>5439117</v>
      </c>
      <c r="AB6" s="1563">
        <v>5556138</v>
      </c>
      <c r="AC6" s="1563">
        <v>5635041</v>
      </c>
      <c r="AD6" s="1563">
        <v>5320280</v>
      </c>
      <c r="AE6" s="1563">
        <v>5507836</v>
      </c>
      <c r="AF6" s="1563">
        <v>5233474</v>
      </c>
      <c r="AG6" s="1563">
        <v>5283765</v>
      </c>
      <c r="AH6" s="1563">
        <v>5542287</v>
      </c>
      <c r="AI6" s="1563">
        <v>5430649</v>
      </c>
      <c r="AJ6" s="1563">
        <v>7185702</v>
      </c>
      <c r="AK6" s="1563">
        <v>5576038</v>
      </c>
      <c r="AL6" s="1563">
        <v>5217581</v>
      </c>
      <c r="AM6" s="1563">
        <v>5980306</v>
      </c>
      <c r="AN6" s="1563">
        <v>5385116</v>
      </c>
      <c r="AO6" s="1563">
        <v>5476327</v>
      </c>
      <c r="AP6" s="1563">
        <v>5381144</v>
      </c>
      <c r="AQ6" s="1563">
        <v>5583771</v>
      </c>
      <c r="AR6" s="1564">
        <v>5722712</v>
      </c>
      <c r="AS6" s="1564">
        <v>5278224</v>
      </c>
      <c r="AT6" s="1564">
        <v>5641964</v>
      </c>
      <c r="AU6" s="1564">
        <v>5639078</v>
      </c>
      <c r="AV6" s="1564">
        <v>7340347</v>
      </c>
      <c r="AW6" s="1564">
        <v>5541738</v>
      </c>
      <c r="AX6" s="1564">
        <v>5436047</v>
      </c>
      <c r="AY6" s="1564">
        <v>5734387</v>
      </c>
      <c r="AZ6" s="1565">
        <v>5520603</v>
      </c>
      <c r="BA6" s="1565">
        <v>6001113</v>
      </c>
      <c r="BB6" s="1565">
        <v>5408488</v>
      </c>
      <c r="BC6" s="1565">
        <v>5762671</v>
      </c>
      <c r="BD6" s="1565">
        <v>6034651</v>
      </c>
      <c r="BE6" s="1565">
        <v>5574065</v>
      </c>
      <c r="BF6" s="1565">
        <v>6189540</v>
      </c>
      <c r="BG6" s="1565">
        <v>5990000</v>
      </c>
      <c r="BH6" s="1564">
        <v>8031505</v>
      </c>
      <c r="BI6" s="1564">
        <v>6197949</v>
      </c>
      <c r="BJ6" s="1564">
        <v>5467258</v>
      </c>
      <c r="BK6" s="1564">
        <v>6180864</v>
      </c>
      <c r="BL6" s="1564">
        <v>5874355</v>
      </c>
      <c r="BM6" s="1564">
        <v>6477234</v>
      </c>
      <c r="BN6" s="1564">
        <v>5857453</v>
      </c>
      <c r="BO6" s="1564">
        <v>6305140</v>
      </c>
      <c r="BP6" s="1564">
        <f>6311254+66962</f>
        <v>6378216</v>
      </c>
      <c r="BQ6" s="1564">
        <f>5993041+63646</f>
        <v>6056687</v>
      </c>
      <c r="BR6" s="1589">
        <f>6686559+67856</f>
        <v>6754415</v>
      </c>
      <c r="BS6" s="1589">
        <f>6303813+64631</f>
        <v>6368444</v>
      </c>
      <c r="BT6" s="1590">
        <f>8120753+61058</f>
        <v>8181811</v>
      </c>
      <c r="BU6" s="1590">
        <f>6325431+57694</f>
        <v>6383125</v>
      </c>
      <c r="BV6" s="1590">
        <f>6052667+56966</f>
        <v>6109633</v>
      </c>
      <c r="BW6" s="1591">
        <f>6916473+63218</f>
        <v>6979691</v>
      </c>
      <c r="BX6" s="1591">
        <f>6719069+62125</f>
        <v>6781194</v>
      </c>
      <c r="BY6" s="1591">
        <f>7105494+64660</f>
        <v>7170154</v>
      </c>
      <c r="BZ6" s="1591">
        <f>6197143+59202</f>
        <v>6256345</v>
      </c>
      <c r="CA6" s="1592">
        <f>7027972+64483</f>
        <v>7092455</v>
      </c>
      <c r="CB6" s="1591">
        <v>6979838</v>
      </c>
      <c r="CC6" s="1593">
        <v>6511710</v>
      </c>
      <c r="CD6" s="1594">
        <v>7300253</v>
      </c>
      <c r="CE6" s="1594">
        <v>6950183</v>
      </c>
      <c r="CF6" s="1595">
        <v>8741586</v>
      </c>
      <c r="CG6" s="1596">
        <v>6933706</v>
      </c>
      <c r="CH6" s="1596">
        <v>6547750</v>
      </c>
      <c r="CI6" s="1597">
        <v>7382070</v>
      </c>
      <c r="CJ6" s="1596">
        <v>7541784</v>
      </c>
      <c r="CK6" s="1596">
        <v>7489177</v>
      </c>
      <c r="CL6" s="1596">
        <v>6826339</v>
      </c>
      <c r="CM6" s="1596">
        <v>7573108</v>
      </c>
      <c r="CN6" s="1596">
        <v>7493801</v>
      </c>
      <c r="CO6" s="1596">
        <v>7230248</v>
      </c>
      <c r="CP6" s="1596">
        <v>7884889</v>
      </c>
      <c r="CQ6" s="1596">
        <v>7291162</v>
      </c>
      <c r="CR6" s="1596">
        <v>9844856</v>
      </c>
      <c r="CS6" s="1596">
        <v>7816420</v>
      </c>
      <c r="CT6" s="1596">
        <v>7442364</v>
      </c>
      <c r="CU6" s="1596">
        <v>6161186</v>
      </c>
      <c r="CV6" s="1598">
        <v>3476151</v>
      </c>
      <c r="CW6" s="1598">
        <v>4918106</v>
      </c>
      <c r="CX6" s="1598">
        <v>7209048</v>
      </c>
      <c r="CY6" s="1598">
        <v>7512766</v>
      </c>
      <c r="CZ6" s="1598">
        <v>7698972</v>
      </c>
      <c r="DA6" s="1598">
        <v>7498068</v>
      </c>
      <c r="DB6" s="1598">
        <v>7944895</v>
      </c>
      <c r="DC6" s="1598">
        <v>7996753</v>
      </c>
      <c r="DD6" s="1598">
        <v>10479089</v>
      </c>
      <c r="DE6" s="1598">
        <v>7580807</v>
      </c>
      <c r="DF6" s="1598">
        <v>7574366</v>
      </c>
      <c r="DG6" s="1598">
        <v>6141863</v>
      </c>
      <c r="DH6" s="1598">
        <v>6034299</v>
      </c>
      <c r="DI6" s="1598">
        <v>8229121</v>
      </c>
      <c r="DJ6" s="1598">
        <v>7636198</v>
      </c>
    </row>
    <row r="7" spans="1:114" s="1607" customFormat="1" x14ac:dyDescent="0.25">
      <c r="A7" s="1562" t="s">
        <v>3461</v>
      </c>
      <c r="B7" s="1599">
        <v>9717.9310000000005</v>
      </c>
      <c r="C7" s="1599">
        <v>8695.5310000000009</v>
      </c>
      <c r="D7" s="1599">
        <v>9537</v>
      </c>
      <c r="E7" s="1599">
        <v>9328.3799999999992</v>
      </c>
      <c r="F7" s="1599">
        <v>9365.3790000000008</v>
      </c>
      <c r="G7" s="1599">
        <v>8566.6859999999997</v>
      </c>
      <c r="H7" s="1599">
        <v>9187.1509999999998</v>
      </c>
      <c r="I7" s="1599">
        <v>9327.4629999999997</v>
      </c>
      <c r="J7" s="1599">
        <v>8899.0619999999999</v>
      </c>
      <c r="K7" s="1599">
        <v>10019.85</v>
      </c>
      <c r="L7" s="1599">
        <v>9953.0740000000005</v>
      </c>
      <c r="M7" s="1599">
        <v>14412.458000000001</v>
      </c>
      <c r="N7" s="1599">
        <v>10301.35</v>
      </c>
      <c r="O7" s="1599">
        <v>9300.4850000000006</v>
      </c>
      <c r="P7" s="1599">
        <v>10679.24</v>
      </c>
      <c r="Q7" s="1599">
        <v>11267.702789999999</v>
      </c>
      <c r="R7" s="1599">
        <v>9276.9660000000003</v>
      </c>
      <c r="S7" s="1599">
        <v>10612.598168220002</v>
      </c>
      <c r="T7" s="1599">
        <v>10549.572</v>
      </c>
      <c r="U7" s="1599">
        <v>9942</v>
      </c>
      <c r="V7" s="1599">
        <v>10729.645</v>
      </c>
      <c r="W7" s="1599">
        <v>10840.106</v>
      </c>
      <c r="X7" s="1599">
        <v>15747.023999999999</v>
      </c>
      <c r="Y7" s="1599">
        <v>11116.937</v>
      </c>
      <c r="Z7" s="1599">
        <v>12597.385472538999</v>
      </c>
      <c r="AA7" s="1599">
        <v>11425</v>
      </c>
      <c r="AB7" s="1599">
        <v>11616.532999999999</v>
      </c>
      <c r="AC7" s="1599">
        <v>11411.8463010512</v>
      </c>
      <c r="AD7" s="1599">
        <v>10729.509122245256</v>
      </c>
      <c r="AE7" s="1599">
        <v>11263.006257917899</v>
      </c>
      <c r="AF7" s="1599">
        <v>10996.251</v>
      </c>
      <c r="AG7" s="1599">
        <v>10655</v>
      </c>
      <c r="AH7" s="1599">
        <v>11325.603999999999</v>
      </c>
      <c r="AI7" s="1599">
        <v>11628.968000000001</v>
      </c>
      <c r="AJ7" s="1599">
        <v>17038.289164287296</v>
      </c>
      <c r="AK7" s="1599">
        <v>11990.63</v>
      </c>
      <c r="AL7" s="1599">
        <v>11039</v>
      </c>
      <c r="AM7" s="1599">
        <v>12689.204079463199</v>
      </c>
      <c r="AN7" s="1599">
        <v>11416</v>
      </c>
      <c r="AO7" s="1599">
        <v>11568.88887716</v>
      </c>
      <c r="AP7" s="1599">
        <v>11032.510690999999</v>
      </c>
      <c r="AQ7" s="1599">
        <v>11767</v>
      </c>
      <c r="AR7" s="1564">
        <v>12212</v>
      </c>
      <c r="AS7" s="1564">
        <v>10979.015160000001</v>
      </c>
      <c r="AT7" s="1564">
        <v>12170</v>
      </c>
      <c r="AU7" s="1564">
        <v>12319</v>
      </c>
      <c r="AV7" s="1564">
        <v>17686.962684089995</v>
      </c>
      <c r="AW7" s="1564">
        <v>12299.68105725</v>
      </c>
      <c r="AX7" s="1564">
        <v>11863</v>
      </c>
      <c r="AY7" s="1564">
        <v>12300</v>
      </c>
      <c r="AZ7" s="1565">
        <v>12047</v>
      </c>
      <c r="BA7" s="1565">
        <v>12894.22292939</v>
      </c>
      <c r="BB7" s="1565">
        <v>11442</v>
      </c>
      <c r="BC7" s="1565">
        <v>12705.697960490001</v>
      </c>
      <c r="BD7" s="1565">
        <v>13047</v>
      </c>
      <c r="BE7" s="1565">
        <v>11945</v>
      </c>
      <c r="BF7" s="1565">
        <v>13772.597298999999</v>
      </c>
      <c r="BG7" s="1565">
        <v>13412</v>
      </c>
      <c r="BH7" s="1564">
        <v>19581.846663389999</v>
      </c>
      <c r="BI7" s="1564">
        <v>13905</v>
      </c>
      <c r="BJ7" s="1564">
        <v>12044.143946</v>
      </c>
      <c r="BK7" s="1564">
        <v>13521</v>
      </c>
      <c r="BL7" s="1564">
        <v>12691.390219000001</v>
      </c>
      <c r="BM7" s="1564">
        <v>13828</v>
      </c>
      <c r="BN7" s="1564">
        <v>12433.66978</v>
      </c>
      <c r="BO7" s="1564">
        <v>13739</v>
      </c>
      <c r="BP7" s="1564">
        <f>13727+105</f>
        <v>13832</v>
      </c>
      <c r="BQ7" s="1564">
        <f>12820+108</f>
        <v>12928</v>
      </c>
      <c r="BR7" s="1564">
        <f>14708+111</f>
        <v>14819</v>
      </c>
      <c r="BS7" s="1564">
        <f>14231+106</f>
        <v>14337</v>
      </c>
      <c r="BT7" s="1567">
        <f>19548+112</f>
        <v>19660</v>
      </c>
      <c r="BU7" s="1567">
        <f>13990+95</f>
        <v>14085</v>
      </c>
      <c r="BV7" s="1567">
        <f>13355+98</f>
        <v>13453</v>
      </c>
      <c r="BW7" s="1568">
        <f>15237+109</f>
        <v>15346</v>
      </c>
      <c r="BX7" s="1568">
        <f>14669+107</f>
        <v>14776</v>
      </c>
      <c r="BY7" s="1568">
        <f>15065+111</f>
        <v>15176</v>
      </c>
      <c r="BZ7" s="1600">
        <f>13173+113</f>
        <v>13286</v>
      </c>
      <c r="CA7" s="1568">
        <f>15250+101</f>
        <v>15351</v>
      </c>
      <c r="CB7" s="1568">
        <v>15464</v>
      </c>
      <c r="CC7" s="1601">
        <v>13939.955345520002</v>
      </c>
      <c r="CD7" s="1602">
        <v>16100.230820569999</v>
      </c>
      <c r="CE7" s="1602">
        <v>15625.218124000001</v>
      </c>
      <c r="CF7" s="1603">
        <v>20245.2136058</v>
      </c>
      <c r="CG7" s="1604">
        <v>14985.75747522</v>
      </c>
      <c r="CH7" s="1604">
        <v>14321.07014962</v>
      </c>
      <c r="CI7" s="1605">
        <v>15859.207719</v>
      </c>
      <c r="CJ7" s="1604">
        <v>16597.99111662</v>
      </c>
      <c r="CK7" s="1604">
        <v>16490</v>
      </c>
      <c r="CL7" s="1604">
        <v>14988</v>
      </c>
      <c r="CM7" s="1604">
        <v>16605.33842344</v>
      </c>
      <c r="CN7" s="1604">
        <v>17028</v>
      </c>
      <c r="CO7" s="1604">
        <v>15798</v>
      </c>
      <c r="CP7" s="1604">
        <v>17735</v>
      </c>
      <c r="CQ7" s="1604">
        <v>16416</v>
      </c>
      <c r="CR7" s="1604">
        <v>24501</v>
      </c>
      <c r="CS7" s="1604">
        <v>17953</v>
      </c>
      <c r="CT7" s="1604">
        <v>16778.473102507</v>
      </c>
      <c r="CU7" s="1604">
        <v>13821.229783999999</v>
      </c>
      <c r="CV7" s="1606">
        <v>8216</v>
      </c>
      <c r="CW7" s="1606">
        <v>12148</v>
      </c>
      <c r="CX7" s="1606">
        <v>15959</v>
      </c>
      <c r="CY7" s="1606">
        <v>16871</v>
      </c>
      <c r="CZ7" s="1606">
        <v>16727</v>
      </c>
      <c r="DA7" s="1606">
        <v>15972</v>
      </c>
      <c r="DB7" s="1606">
        <v>17293</v>
      </c>
      <c r="DC7" s="1606">
        <v>17079</v>
      </c>
      <c r="DD7" s="1606">
        <v>24877</v>
      </c>
      <c r="DE7" s="1606">
        <v>15687</v>
      </c>
      <c r="DF7" s="1606">
        <v>15938.779851740001</v>
      </c>
      <c r="DG7" s="1606">
        <v>13945.647660879999</v>
      </c>
      <c r="DH7" s="1606">
        <v>13723.7106331</v>
      </c>
      <c r="DI7" s="1606">
        <v>18400.447380220001</v>
      </c>
      <c r="DJ7" s="1606">
        <v>17149.96368705</v>
      </c>
    </row>
    <row r="8" spans="1:114" s="1607" customFormat="1" ht="19.5" thickBot="1" x14ac:dyDescent="0.3">
      <c r="A8" s="1562"/>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64"/>
      <c r="AS8" s="1564"/>
      <c r="AT8" s="1564"/>
      <c r="AU8" s="1564"/>
      <c r="AV8" s="1564"/>
      <c r="AW8" s="1564"/>
      <c r="AX8" s="1564"/>
      <c r="AY8" s="1564"/>
      <c r="AZ8" s="1565"/>
      <c r="BA8" s="1565"/>
      <c r="BB8" s="1565"/>
      <c r="BC8" s="1565"/>
      <c r="BD8" s="1565"/>
      <c r="BE8" s="1565"/>
      <c r="BF8" s="1565"/>
      <c r="BG8" s="1565"/>
      <c r="BH8" s="1608"/>
      <c r="BI8" s="1608"/>
      <c r="BJ8" s="1608"/>
      <c r="BK8" s="1608"/>
      <c r="BL8" s="1608"/>
      <c r="BM8" s="1608"/>
      <c r="BN8" s="1608"/>
      <c r="BO8" s="1608"/>
      <c r="BP8" s="1608"/>
      <c r="BQ8" s="1608"/>
      <c r="BR8" s="1609"/>
      <c r="BS8" s="1609"/>
      <c r="BT8" s="1610"/>
      <c r="BU8" s="1610"/>
      <c r="BV8" s="1610"/>
      <c r="BW8" s="1611"/>
      <c r="BX8" s="1611"/>
      <c r="BY8" s="1611"/>
      <c r="BZ8" s="1611"/>
      <c r="CA8" s="1612"/>
      <c r="CB8" s="1611"/>
      <c r="CC8" s="1611"/>
      <c r="CD8" s="1613"/>
      <c r="CE8" s="1613"/>
      <c r="CF8" s="1614"/>
      <c r="CG8" s="1610"/>
      <c r="CH8" s="1610"/>
      <c r="CI8" s="1615"/>
      <c r="CJ8" s="1610"/>
      <c r="CK8" s="1610"/>
      <c r="CL8" s="1610"/>
      <c r="CM8" s="1610"/>
      <c r="CN8" s="1610"/>
      <c r="CO8" s="1610"/>
      <c r="CP8" s="1610"/>
      <c r="CQ8" s="1610"/>
      <c r="CR8" s="1610"/>
      <c r="CS8" s="1610"/>
      <c r="CT8" s="1610"/>
      <c r="CU8" s="1610"/>
      <c r="CV8" s="1616"/>
      <c r="CW8" s="1616"/>
      <c r="CX8" s="1616"/>
      <c r="CY8" s="1616"/>
      <c r="CZ8" s="1616"/>
      <c r="DA8" s="1616"/>
      <c r="DB8" s="1616"/>
      <c r="DC8" s="1616"/>
      <c r="DD8" s="1616"/>
      <c r="DE8" s="1616"/>
      <c r="DF8" s="1616"/>
      <c r="DG8" s="1616"/>
      <c r="DH8" s="1616"/>
      <c r="DI8" s="1616"/>
      <c r="DJ8" s="1616"/>
    </row>
    <row r="9" spans="1:114" s="1575" customFormat="1" ht="19.5" thickTop="1" x14ac:dyDescent="0.25">
      <c r="A9" s="1562" t="s">
        <v>3462</v>
      </c>
      <c r="B9" s="1563"/>
      <c r="C9" s="1563"/>
      <c r="D9" s="1563"/>
      <c r="E9" s="1563"/>
      <c r="F9" s="1563"/>
      <c r="G9" s="1563"/>
      <c r="H9" s="1563"/>
      <c r="I9" s="1563"/>
      <c r="J9" s="1563"/>
      <c r="K9" s="1563"/>
      <c r="L9" s="1563"/>
      <c r="M9" s="1563"/>
      <c r="N9" s="1563"/>
      <c r="O9" s="1563"/>
      <c r="P9" s="1563"/>
      <c r="Q9" s="1563"/>
      <c r="R9" s="1563"/>
      <c r="S9" s="1563"/>
      <c r="T9" s="1563"/>
      <c r="U9" s="1563"/>
      <c r="V9" s="1563"/>
      <c r="W9" s="1563"/>
      <c r="X9" s="1563"/>
      <c r="Y9" s="1563"/>
      <c r="Z9" s="1563"/>
      <c r="AA9" s="1563"/>
      <c r="AB9" s="1563"/>
      <c r="AC9" s="1563"/>
      <c r="AD9" s="1563"/>
      <c r="AE9" s="1563"/>
      <c r="AF9" s="1563"/>
      <c r="AG9" s="1563"/>
      <c r="AH9" s="1563"/>
      <c r="AI9" s="1563"/>
      <c r="AJ9" s="1563"/>
      <c r="AK9" s="1563"/>
      <c r="AL9" s="1563"/>
      <c r="AM9" s="1563"/>
      <c r="AN9" s="1563"/>
      <c r="AO9" s="1563"/>
      <c r="AP9" s="1563"/>
      <c r="AQ9" s="1563"/>
      <c r="AR9" s="1564"/>
      <c r="AS9" s="1564"/>
      <c r="AT9" s="1564"/>
      <c r="AU9" s="1564"/>
      <c r="AV9" s="1564"/>
      <c r="AW9" s="1564"/>
      <c r="AX9" s="1564"/>
      <c r="AY9" s="1564"/>
      <c r="AZ9" s="1565"/>
      <c r="BA9" s="1565"/>
      <c r="BB9" s="1565"/>
      <c r="BC9" s="1565"/>
      <c r="BD9" s="1565"/>
      <c r="BE9" s="1565"/>
      <c r="BF9" s="1565"/>
      <c r="BG9" s="1565"/>
      <c r="BH9" s="1564"/>
      <c r="BI9" s="1564"/>
      <c r="BJ9" s="1564"/>
      <c r="BK9" s="1564"/>
      <c r="BL9" s="1564"/>
      <c r="BM9" s="1564"/>
      <c r="BN9" s="1564"/>
      <c r="BO9" s="1564"/>
      <c r="BP9" s="1564"/>
      <c r="BQ9" s="1564"/>
      <c r="BR9" s="1564"/>
      <c r="BS9" s="1564"/>
      <c r="BT9" s="1567"/>
      <c r="BU9" s="1567"/>
      <c r="BV9" s="1567"/>
      <c r="BW9" s="1568"/>
      <c r="BX9" s="1568"/>
      <c r="BY9" s="1568"/>
      <c r="BZ9" s="1568"/>
      <c r="CA9" s="1568"/>
      <c r="CB9" s="1568"/>
      <c r="CC9" s="1568"/>
      <c r="CD9" s="1569"/>
      <c r="CE9" s="1569"/>
      <c r="CF9" s="1570"/>
      <c r="CG9" s="1567"/>
      <c r="CH9" s="1567"/>
      <c r="CI9" s="1617"/>
      <c r="CJ9" s="1567"/>
      <c r="CK9" s="1567"/>
      <c r="CL9" s="1567"/>
      <c r="CM9" s="1567"/>
      <c r="CN9" s="1567"/>
      <c r="CO9" s="1567"/>
      <c r="CP9" s="1567"/>
      <c r="CQ9" s="1567"/>
      <c r="CR9" s="1567"/>
      <c r="CS9" s="1567"/>
      <c r="CT9" s="1567"/>
      <c r="CU9" s="1567"/>
      <c r="CV9" s="1618"/>
      <c r="CW9" s="1618"/>
      <c r="CX9" s="1618"/>
      <c r="CY9" s="1618"/>
      <c r="CZ9" s="1618"/>
      <c r="DA9" s="1618"/>
      <c r="DB9" s="1618"/>
      <c r="DC9" s="1618"/>
      <c r="DD9" s="1618"/>
      <c r="DE9" s="1618"/>
      <c r="DF9" s="1618"/>
      <c r="DG9" s="1618"/>
      <c r="DH9" s="1618"/>
      <c r="DI9" s="1618"/>
      <c r="DJ9" s="1618"/>
    </row>
    <row r="10" spans="1:114" s="1607" customFormat="1" x14ac:dyDescent="0.25">
      <c r="A10" s="1562" t="s">
        <v>3463</v>
      </c>
      <c r="B10" s="1599">
        <v>217833</v>
      </c>
      <c r="C10" s="1599">
        <v>218440</v>
      </c>
      <c r="D10" s="1599">
        <v>220363</v>
      </c>
      <c r="E10" s="1599">
        <v>222289</v>
      </c>
      <c r="F10" s="1599">
        <v>223633</v>
      </c>
      <c r="G10" s="1599">
        <v>226293</v>
      </c>
      <c r="H10" s="1599">
        <v>228062</v>
      </c>
      <c r="I10" s="1599">
        <v>230520</v>
      </c>
      <c r="J10" s="1599">
        <v>232313</v>
      </c>
      <c r="K10" s="1599">
        <v>234282</v>
      </c>
      <c r="L10" s="1599">
        <v>236503</v>
      </c>
      <c r="M10" s="1599">
        <v>237812</v>
      </c>
      <c r="N10" s="1599">
        <v>239431</v>
      </c>
      <c r="O10" s="1599">
        <v>240890</v>
      </c>
      <c r="P10" s="1599">
        <v>243148</v>
      </c>
      <c r="Q10" s="1599">
        <v>247861</v>
      </c>
      <c r="R10" s="1599">
        <v>249000</v>
      </c>
      <c r="S10" s="1599">
        <v>248770</v>
      </c>
      <c r="T10" s="1599">
        <v>249862</v>
      </c>
      <c r="U10" s="1599">
        <v>249642</v>
      </c>
      <c r="V10" s="1599">
        <v>250272</v>
      </c>
      <c r="W10" s="1599">
        <v>257682</v>
      </c>
      <c r="X10" s="1599">
        <v>252165</v>
      </c>
      <c r="Y10" s="1599">
        <v>252070</v>
      </c>
      <c r="Z10" s="1599">
        <v>252161</v>
      </c>
      <c r="AA10" s="1599">
        <v>252895</v>
      </c>
      <c r="AB10" s="1599">
        <v>252541</v>
      </c>
      <c r="AC10" s="1599">
        <v>252930</v>
      </c>
      <c r="AD10" s="1599">
        <v>253033</v>
      </c>
      <c r="AE10" s="1599">
        <v>253289</v>
      </c>
      <c r="AF10" s="1599">
        <v>252512</v>
      </c>
      <c r="AG10" s="1599">
        <v>252682</v>
      </c>
      <c r="AH10" s="1599">
        <v>252812</v>
      </c>
      <c r="AI10" s="1599">
        <v>252541</v>
      </c>
      <c r="AJ10" s="1599">
        <v>250726</v>
      </c>
      <c r="AK10" s="1599">
        <v>265937</v>
      </c>
      <c r="AL10" s="1599">
        <v>266358</v>
      </c>
      <c r="AM10" s="1599">
        <v>266642</v>
      </c>
      <c r="AN10" s="1599">
        <v>266410</v>
      </c>
      <c r="AO10" s="1599">
        <v>268626</v>
      </c>
      <c r="AP10" s="1599">
        <v>267241</v>
      </c>
      <c r="AQ10" s="1599">
        <v>268192</v>
      </c>
      <c r="AR10" s="1564">
        <v>269386</v>
      </c>
      <c r="AS10" s="1564">
        <v>268893</v>
      </c>
      <c r="AT10" s="1564">
        <v>265119</v>
      </c>
      <c r="AU10" s="1564">
        <v>265161</v>
      </c>
      <c r="AV10" s="1564">
        <v>268819</v>
      </c>
      <c r="AW10" s="1564">
        <v>265463</v>
      </c>
      <c r="AX10" s="1564">
        <v>265728</v>
      </c>
      <c r="AY10" s="1564">
        <v>266566</v>
      </c>
      <c r="AZ10" s="1565">
        <v>256809</v>
      </c>
      <c r="BA10" s="1565">
        <v>258179</v>
      </c>
      <c r="BB10" s="1565">
        <v>257767</v>
      </c>
      <c r="BC10" s="1565">
        <v>257823</v>
      </c>
      <c r="BD10" s="1565">
        <v>258048</v>
      </c>
      <c r="BE10" s="1565">
        <v>258048</v>
      </c>
      <c r="BF10" s="1565">
        <v>258162</v>
      </c>
      <c r="BG10" s="1565">
        <v>257569</v>
      </c>
      <c r="BH10" s="1564">
        <v>257866</v>
      </c>
      <c r="BI10" s="1564">
        <v>257845</v>
      </c>
      <c r="BJ10" s="1564">
        <v>257514</v>
      </c>
      <c r="BK10" s="1564">
        <v>257969</v>
      </c>
      <c r="BL10" s="1564">
        <v>257460</v>
      </c>
      <c r="BM10" s="1564">
        <v>259008</v>
      </c>
      <c r="BN10" s="1564">
        <v>257833</v>
      </c>
      <c r="BO10" s="1564">
        <v>258194</v>
      </c>
      <c r="BP10" s="1564">
        <f>257036+49609</f>
        <v>306645</v>
      </c>
      <c r="BQ10" s="1564">
        <f>256544+48940</f>
        <v>305484</v>
      </c>
      <c r="BR10" s="1564">
        <f>256745+48383</f>
        <v>305128</v>
      </c>
      <c r="BS10" s="1564">
        <f>256160+47756</f>
        <v>303916</v>
      </c>
      <c r="BT10" s="1567">
        <f>255778+47079</f>
        <v>302857</v>
      </c>
      <c r="BU10" s="1567">
        <f>253668+46487</f>
        <v>300155</v>
      </c>
      <c r="BV10" s="1567">
        <f>255385+46126</f>
        <v>301511</v>
      </c>
      <c r="BW10" s="1568">
        <f>255892+45412</f>
        <v>301304</v>
      </c>
      <c r="BX10" s="1568">
        <f>256179+44943</f>
        <v>301122</v>
      </c>
      <c r="BY10" s="1568">
        <f>256656+44560</f>
        <v>301216</v>
      </c>
      <c r="BZ10" s="1568">
        <f>258056+44133</f>
        <v>302189</v>
      </c>
      <c r="CA10" s="1601">
        <f>259816+43374</f>
        <v>303190</v>
      </c>
      <c r="CB10" s="1601">
        <v>302654</v>
      </c>
      <c r="CC10" s="1601">
        <v>303052</v>
      </c>
      <c r="CD10" s="1602">
        <v>302009</v>
      </c>
      <c r="CE10" s="1602">
        <v>295741</v>
      </c>
      <c r="CF10" s="1603">
        <v>296795</v>
      </c>
      <c r="CG10" s="1604">
        <v>296235</v>
      </c>
      <c r="CH10" s="1604">
        <v>299978</v>
      </c>
      <c r="CI10" s="1605">
        <v>300165</v>
      </c>
      <c r="CJ10" s="1604">
        <v>301152</v>
      </c>
      <c r="CK10" s="1604">
        <v>301585</v>
      </c>
      <c r="CL10" s="1604">
        <v>297330</v>
      </c>
      <c r="CM10" s="1604">
        <v>300645</v>
      </c>
      <c r="CN10" s="1604">
        <v>300739</v>
      </c>
      <c r="CO10" s="1604">
        <v>300175</v>
      </c>
      <c r="CP10" s="1604">
        <v>300776</v>
      </c>
      <c r="CQ10" s="1604">
        <v>298907</v>
      </c>
      <c r="CR10" s="1604">
        <v>298187</v>
      </c>
      <c r="CS10" s="1604">
        <v>297404</v>
      </c>
      <c r="CT10" s="1604">
        <v>297210</v>
      </c>
      <c r="CU10" s="1604">
        <v>260651</v>
      </c>
      <c r="CV10" s="1606">
        <v>265603</v>
      </c>
      <c r="CW10" s="1606">
        <v>265719</v>
      </c>
      <c r="CX10" s="1606">
        <v>265246</v>
      </c>
      <c r="CY10" s="1606">
        <v>266430</v>
      </c>
      <c r="CZ10" s="1606">
        <v>268081</v>
      </c>
      <c r="DA10" s="1606">
        <v>267473</v>
      </c>
      <c r="DB10" s="1606">
        <v>273870</v>
      </c>
      <c r="DC10" s="1606">
        <v>276020</v>
      </c>
      <c r="DD10" s="1606">
        <v>274906</v>
      </c>
      <c r="DE10" s="1606">
        <v>279711</v>
      </c>
      <c r="DF10" s="1606">
        <v>279869</v>
      </c>
      <c r="DG10" s="1606">
        <v>274691</v>
      </c>
      <c r="DH10" s="1606">
        <v>271695</v>
      </c>
      <c r="DI10" s="1606">
        <v>270864</v>
      </c>
      <c r="DJ10" s="1606">
        <v>269875</v>
      </c>
    </row>
    <row r="11" spans="1:114" s="1575" customFormat="1" x14ac:dyDescent="0.25">
      <c r="A11" s="1562" t="s">
        <v>3464</v>
      </c>
      <c r="B11" s="1563">
        <v>1125462</v>
      </c>
      <c r="C11" s="1563">
        <v>1123191</v>
      </c>
      <c r="D11" s="1563">
        <v>1131773</v>
      </c>
      <c r="E11" s="1563">
        <v>1137796</v>
      </c>
      <c r="F11" s="1563">
        <v>1145652</v>
      </c>
      <c r="G11" s="1563">
        <v>1152561</v>
      </c>
      <c r="H11" s="1563">
        <v>1158333</v>
      </c>
      <c r="I11" s="1563">
        <v>1156033</v>
      </c>
      <c r="J11" s="1563">
        <v>1160146</v>
      </c>
      <c r="K11" s="1563">
        <v>1166886</v>
      </c>
      <c r="L11" s="1563">
        <v>1173671</v>
      </c>
      <c r="M11" s="1563">
        <v>1172152</v>
      </c>
      <c r="N11" s="1563">
        <v>1179490</v>
      </c>
      <c r="O11" s="1563">
        <v>1183780</v>
      </c>
      <c r="P11" s="1563">
        <v>1182678</v>
      </c>
      <c r="Q11" s="1563">
        <v>1183040</v>
      </c>
      <c r="R11" s="1563">
        <v>1190074</v>
      </c>
      <c r="S11" s="1563">
        <v>1195802</v>
      </c>
      <c r="T11" s="1563">
        <v>1180108</v>
      </c>
      <c r="U11" s="1563">
        <v>1187521</v>
      </c>
      <c r="V11" s="1563">
        <v>1191561</v>
      </c>
      <c r="W11" s="1563">
        <v>1201494</v>
      </c>
      <c r="X11" s="1563">
        <f>1175622+37972</f>
        <v>1213594</v>
      </c>
      <c r="Y11" s="1563">
        <f>1184810+38424</f>
        <v>1223234</v>
      </c>
      <c r="Z11" s="1563">
        <v>1226926</v>
      </c>
      <c r="AA11" s="1563">
        <v>1236622</v>
      </c>
      <c r="AB11" s="1563">
        <v>1248579</v>
      </c>
      <c r="AC11" s="1563">
        <v>1259241</v>
      </c>
      <c r="AD11" s="1563">
        <v>1271746</v>
      </c>
      <c r="AE11" s="1563">
        <v>1280600</v>
      </c>
      <c r="AF11" s="1563">
        <v>1292888</v>
      </c>
      <c r="AG11" s="1563">
        <v>1303518</v>
      </c>
      <c r="AH11" s="1563">
        <v>1303973</v>
      </c>
      <c r="AI11" s="1563">
        <v>1307517</v>
      </c>
      <c r="AJ11" s="1563">
        <v>1311014</v>
      </c>
      <c r="AK11" s="1563">
        <v>1317748</v>
      </c>
      <c r="AL11" s="1563">
        <v>1306992</v>
      </c>
      <c r="AM11" s="1563">
        <v>1317885</v>
      </c>
      <c r="AN11" s="1563">
        <v>1321883</v>
      </c>
      <c r="AO11" s="1563">
        <v>1332786</v>
      </c>
      <c r="AP11" s="1563">
        <f>1238424+98349</f>
        <v>1336773</v>
      </c>
      <c r="AQ11" s="1563">
        <v>1350469</v>
      </c>
      <c r="AR11" s="1564">
        <v>1350319</v>
      </c>
      <c r="AS11" s="1564">
        <v>1370899</v>
      </c>
      <c r="AT11" s="1564">
        <v>1384618</v>
      </c>
      <c r="AU11" s="1564">
        <v>1395334</v>
      </c>
      <c r="AV11" s="1564">
        <v>1401132</v>
      </c>
      <c r="AW11" s="1564">
        <v>1413190</v>
      </c>
      <c r="AX11" s="1564">
        <v>1429076</v>
      </c>
      <c r="AY11" s="1564">
        <v>1428073</v>
      </c>
      <c r="AZ11" s="1565">
        <v>1400973</v>
      </c>
      <c r="BA11" s="1565">
        <v>1417480</v>
      </c>
      <c r="BB11" s="1565">
        <v>1430146</v>
      </c>
      <c r="BC11" s="1565">
        <v>1436010</v>
      </c>
      <c r="BD11" s="1565">
        <v>1449564</v>
      </c>
      <c r="BE11" s="1565">
        <v>1410072</v>
      </c>
      <c r="BF11" s="1565">
        <v>1416629</v>
      </c>
      <c r="BG11" s="1565">
        <v>1427165</v>
      </c>
      <c r="BH11" s="1564">
        <v>1436119</v>
      </c>
      <c r="BI11" s="1564">
        <v>1446329</v>
      </c>
      <c r="BJ11" s="1564">
        <v>1545809</v>
      </c>
      <c r="BK11" s="1564">
        <v>1549002</v>
      </c>
      <c r="BL11" s="1564">
        <v>1554356</v>
      </c>
      <c r="BM11" s="1564">
        <v>1569785</v>
      </c>
      <c r="BN11" s="1564">
        <v>1560301</v>
      </c>
      <c r="BO11" s="1564">
        <v>1593696</v>
      </c>
      <c r="BP11" s="1619">
        <v>1454997</v>
      </c>
      <c r="BQ11" s="1619">
        <v>1452658</v>
      </c>
      <c r="BR11" s="1619">
        <v>1465265</v>
      </c>
      <c r="BS11" s="1619">
        <v>1448285</v>
      </c>
      <c r="BT11" s="1604">
        <v>1444482</v>
      </c>
      <c r="BU11" s="1604">
        <v>1444867</v>
      </c>
      <c r="BV11" s="1567">
        <v>1439143</v>
      </c>
      <c r="BW11" s="1601">
        <v>1439324</v>
      </c>
      <c r="BX11" s="1601">
        <v>1439132</v>
      </c>
      <c r="BY11" s="1601">
        <v>1448316</v>
      </c>
      <c r="BZ11" s="1568">
        <v>1434389</v>
      </c>
      <c r="CA11" s="1601">
        <v>1437998</v>
      </c>
      <c r="CB11" s="1568">
        <v>1439280</v>
      </c>
      <c r="CC11" s="1601">
        <v>1437030</v>
      </c>
      <c r="CD11" s="1602">
        <v>1442721</v>
      </c>
      <c r="CE11" s="1602">
        <v>1444812</v>
      </c>
      <c r="CF11" s="1603">
        <v>1445700</v>
      </c>
      <c r="CG11" s="1604">
        <v>1415581</v>
      </c>
      <c r="CH11" s="1604">
        <v>1388703</v>
      </c>
      <c r="CI11" s="1605">
        <v>1355320</v>
      </c>
      <c r="CJ11" s="1604">
        <v>1357447</v>
      </c>
      <c r="CK11" s="1604">
        <v>1353605</v>
      </c>
      <c r="CL11" s="1604">
        <v>1340551</v>
      </c>
      <c r="CM11" s="1604">
        <v>1346178</v>
      </c>
      <c r="CN11" s="1604">
        <v>1353407</v>
      </c>
      <c r="CO11" s="1604">
        <v>1371582</v>
      </c>
      <c r="CP11" s="1604">
        <v>1377185</v>
      </c>
      <c r="CQ11" s="1604">
        <v>1381470</v>
      </c>
      <c r="CR11" s="1604">
        <v>1358477</v>
      </c>
      <c r="CS11" s="1604">
        <v>1366508</v>
      </c>
      <c r="CT11" s="1604">
        <v>1374665</v>
      </c>
      <c r="CU11" s="1604">
        <v>1380002</v>
      </c>
      <c r="CV11" s="1606">
        <v>1382211</v>
      </c>
      <c r="CW11" s="1606">
        <v>1388944</v>
      </c>
      <c r="CX11" s="1606">
        <v>1407220</v>
      </c>
      <c r="CY11" s="1606">
        <v>1420257</v>
      </c>
      <c r="CZ11" s="1606">
        <v>1428146</v>
      </c>
      <c r="DA11" s="1606">
        <v>1441318</v>
      </c>
      <c r="DB11" s="1606">
        <v>1451791</v>
      </c>
      <c r="DC11" s="1606">
        <v>1447086</v>
      </c>
      <c r="DD11" s="1606">
        <v>1458516</v>
      </c>
      <c r="DE11" s="1606">
        <v>1467024</v>
      </c>
      <c r="DF11" s="1606">
        <v>1455001</v>
      </c>
      <c r="DG11" s="1606">
        <v>1455302</v>
      </c>
      <c r="DH11" s="1606">
        <v>1465556</v>
      </c>
      <c r="DI11" s="1606">
        <v>1494942</v>
      </c>
      <c r="DJ11" s="1606">
        <v>1499759</v>
      </c>
    </row>
    <row r="12" spans="1:114" s="1575" customFormat="1" x14ac:dyDescent="0.25">
      <c r="A12" s="1562" t="s">
        <v>1276</v>
      </c>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c r="AD12" s="1563"/>
      <c r="AE12" s="1563"/>
      <c r="AF12" s="1563"/>
      <c r="AG12" s="1563"/>
      <c r="AH12" s="1563"/>
      <c r="AI12" s="1563"/>
      <c r="AJ12" s="1563"/>
      <c r="AK12" s="1563"/>
      <c r="AL12" s="1563"/>
      <c r="AM12" s="1563"/>
      <c r="AN12" s="1563"/>
      <c r="AO12" s="1563"/>
      <c r="AP12" s="1563"/>
      <c r="AQ12" s="1563"/>
      <c r="AR12" s="1564"/>
      <c r="AS12" s="1564"/>
      <c r="AT12" s="1564"/>
      <c r="AU12" s="1564"/>
      <c r="AV12" s="1564"/>
      <c r="AW12" s="1564"/>
      <c r="AX12" s="1564"/>
      <c r="AY12" s="1564"/>
      <c r="AZ12" s="1565"/>
      <c r="BA12" s="1565"/>
      <c r="BB12" s="1565"/>
      <c r="BC12" s="1565"/>
      <c r="BD12" s="1565"/>
      <c r="BE12" s="1565"/>
      <c r="BF12" s="1565"/>
      <c r="BG12" s="1565"/>
      <c r="BH12" s="1564"/>
      <c r="BI12" s="1564"/>
      <c r="BJ12" s="1564"/>
      <c r="BK12" s="1564"/>
      <c r="BL12" s="1564"/>
      <c r="BM12" s="1564"/>
      <c r="BN12" s="1564"/>
      <c r="BO12" s="1564"/>
      <c r="BP12" s="1619">
        <v>162495</v>
      </c>
      <c r="BQ12" s="1619">
        <v>164522</v>
      </c>
      <c r="BR12" s="1619">
        <v>166226</v>
      </c>
      <c r="BS12" s="1619">
        <v>167610</v>
      </c>
      <c r="BT12" s="1604">
        <v>169656</v>
      </c>
      <c r="BU12" s="1604">
        <v>170435</v>
      </c>
      <c r="BV12" s="1567">
        <v>173754</v>
      </c>
      <c r="BW12" s="1601">
        <v>174552</v>
      </c>
      <c r="BX12" s="1601">
        <v>176426</v>
      </c>
      <c r="BY12" s="1601">
        <v>178112</v>
      </c>
      <c r="BZ12" s="1568">
        <v>177586</v>
      </c>
      <c r="CA12" s="1601">
        <v>179710</v>
      </c>
      <c r="CB12" s="1601">
        <v>179554</v>
      </c>
      <c r="CC12" s="1601">
        <v>173699</v>
      </c>
      <c r="CD12" s="1602">
        <v>174865</v>
      </c>
      <c r="CE12" s="1602">
        <v>177205</v>
      </c>
      <c r="CF12" s="1603">
        <v>180111</v>
      </c>
      <c r="CG12" s="1604">
        <v>181804</v>
      </c>
      <c r="CH12" s="1604">
        <v>182453</v>
      </c>
      <c r="CI12" s="1605">
        <v>184220</v>
      </c>
      <c r="CJ12" s="1604">
        <v>186194</v>
      </c>
      <c r="CK12" s="1604">
        <v>186098</v>
      </c>
      <c r="CL12" s="1604">
        <v>186843</v>
      </c>
      <c r="CM12" s="1604">
        <v>186805</v>
      </c>
      <c r="CN12" s="1604">
        <v>188766</v>
      </c>
      <c r="CO12" s="1604">
        <v>190628</v>
      </c>
      <c r="CP12" s="1604">
        <v>191997</v>
      </c>
      <c r="CQ12" s="1604">
        <v>189977</v>
      </c>
      <c r="CR12" s="1604">
        <v>192035</v>
      </c>
      <c r="CS12" s="1604">
        <v>191255</v>
      </c>
      <c r="CT12" s="1604">
        <v>190229</v>
      </c>
      <c r="CU12" s="1604">
        <v>190226</v>
      </c>
      <c r="CV12" s="1606">
        <v>183406</v>
      </c>
      <c r="CW12" s="1606">
        <v>181565</v>
      </c>
      <c r="CX12" s="1606">
        <v>184691</v>
      </c>
      <c r="CY12" s="1606">
        <v>183886</v>
      </c>
      <c r="CZ12" s="1606">
        <v>181836</v>
      </c>
      <c r="DA12" s="1606">
        <v>180688</v>
      </c>
      <c r="DB12" s="1606">
        <v>169003</v>
      </c>
      <c r="DC12" s="1606">
        <v>160978</v>
      </c>
      <c r="DD12" s="1606">
        <v>158763</v>
      </c>
      <c r="DE12" s="1606">
        <v>152103</v>
      </c>
      <c r="DF12" s="1606">
        <v>151188</v>
      </c>
      <c r="DG12" s="1606">
        <v>143439</v>
      </c>
      <c r="DH12" s="1606">
        <v>143780</v>
      </c>
      <c r="DI12" s="1606">
        <v>142590</v>
      </c>
      <c r="DJ12" s="1606">
        <v>142079</v>
      </c>
    </row>
    <row r="13" spans="1:114" s="1607" customFormat="1" x14ac:dyDescent="0.25">
      <c r="A13" s="1562" t="s">
        <v>3465</v>
      </c>
      <c r="B13" s="1599">
        <v>1343295</v>
      </c>
      <c r="C13" s="1599">
        <v>1341631</v>
      </c>
      <c r="D13" s="1599">
        <v>1352136</v>
      </c>
      <c r="E13" s="1599">
        <v>1360085</v>
      </c>
      <c r="F13" s="1599">
        <v>1369285</v>
      </c>
      <c r="G13" s="1599">
        <v>1378854</v>
      </c>
      <c r="H13" s="1599">
        <v>1386395</v>
      </c>
      <c r="I13" s="1599">
        <v>1386553</v>
      </c>
      <c r="J13" s="1599">
        <v>1392459</v>
      </c>
      <c r="K13" s="1599">
        <v>1401168</v>
      </c>
      <c r="L13" s="1599">
        <v>1410174</v>
      </c>
      <c r="M13" s="1599">
        <v>1409964</v>
      </c>
      <c r="N13" s="1599">
        <v>1418921</v>
      </c>
      <c r="O13" s="1599">
        <v>1424670</v>
      </c>
      <c r="P13" s="1599">
        <v>1425826</v>
      </c>
      <c r="Q13" s="1599">
        <v>1430901</v>
      </c>
      <c r="R13" s="1599">
        <v>1439074</v>
      </c>
      <c r="S13" s="1599">
        <v>1444572</v>
      </c>
      <c r="T13" s="1599">
        <v>1429970</v>
      </c>
      <c r="U13" s="1599">
        <v>1437163</v>
      </c>
      <c r="V13" s="1599">
        <v>1441833</v>
      </c>
      <c r="W13" s="1599">
        <v>1459176</v>
      </c>
      <c r="X13" s="1599">
        <f>X10+X11</f>
        <v>1465759</v>
      </c>
      <c r="Y13" s="1599">
        <f>Y10+Y11</f>
        <v>1475304</v>
      </c>
      <c r="Z13" s="1599">
        <v>1479087</v>
      </c>
      <c r="AA13" s="1599">
        <v>1489517</v>
      </c>
      <c r="AB13" s="1599">
        <v>1501120</v>
      </c>
      <c r="AC13" s="1599">
        <v>1512171</v>
      </c>
      <c r="AD13" s="1599">
        <v>1524779</v>
      </c>
      <c r="AE13" s="1599">
        <v>1533889</v>
      </c>
      <c r="AF13" s="1599">
        <v>1545400</v>
      </c>
      <c r="AG13" s="1599">
        <v>1556200</v>
      </c>
      <c r="AH13" s="1599">
        <v>1556785</v>
      </c>
      <c r="AI13" s="1599">
        <v>1560058</v>
      </c>
      <c r="AJ13" s="1599">
        <v>1561740</v>
      </c>
      <c r="AK13" s="1599">
        <v>1583685</v>
      </c>
      <c r="AL13" s="1599">
        <v>1573350</v>
      </c>
      <c r="AM13" s="1599">
        <v>1584527</v>
      </c>
      <c r="AN13" s="1599">
        <v>1588293</v>
      </c>
      <c r="AO13" s="1599">
        <v>1601412</v>
      </c>
      <c r="AP13" s="1599">
        <f>AP10+AP11</f>
        <v>1604014</v>
      </c>
      <c r="AQ13" s="1599">
        <v>1618661</v>
      </c>
      <c r="AR13" s="1564">
        <v>1619705</v>
      </c>
      <c r="AS13" s="1564">
        <v>1639792</v>
      </c>
      <c r="AT13" s="1564">
        <v>1649737</v>
      </c>
      <c r="AU13" s="1564">
        <v>1660495</v>
      </c>
      <c r="AV13" s="1564">
        <v>1669951</v>
      </c>
      <c r="AW13" s="1564">
        <v>1678653</v>
      </c>
      <c r="AX13" s="1564">
        <v>1694804</v>
      </c>
      <c r="AY13" s="1564">
        <v>1694639</v>
      </c>
      <c r="AZ13" s="1565">
        <v>1657782</v>
      </c>
      <c r="BA13" s="1565">
        <v>1675659</v>
      </c>
      <c r="BB13" s="1565">
        <v>1687913</v>
      </c>
      <c r="BC13" s="1565">
        <v>1693833</v>
      </c>
      <c r="BD13" s="1565">
        <v>1707612</v>
      </c>
      <c r="BE13" s="1565">
        <v>1668120</v>
      </c>
      <c r="BF13" s="1565">
        <v>1674791</v>
      </c>
      <c r="BG13" s="1565">
        <v>1684734</v>
      </c>
      <c r="BH13" s="1564">
        <v>1693985</v>
      </c>
      <c r="BI13" s="1564">
        <v>1704174</v>
      </c>
      <c r="BJ13" s="1564">
        <f>BJ10+BJ11</f>
        <v>1803323</v>
      </c>
      <c r="BK13" s="1564">
        <v>1806971</v>
      </c>
      <c r="BL13" s="1564">
        <v>1811816</v>
      </c>
      <c r="BM13" s="1564">
        <v>1828793</v>
      </c>
      <c r="BN13" s="1564">
        <v>1818134</v>
      </c>
      <c r="BO13" s="1564">
        <v>1851890</v>
      </c>
      <c r="BP13" s="1564">
        <f>1874528+49609</f>
        <v>1924137</v>
      </c>
      <c r="BQ13" s="1564">
        <f>1873724+48940</f>
        <v>1922664</v>
      </c>
      <c r="BR13" s="1564">
        <f>1888236+48383</f>
        <v>1936619</v>
      </c>
      <c r="BS13" s="1564">
        <f>1872055+47756</f>
        <v>1919811</v>
      </c>
      <c r="BT13" s="1567">
        <f>1869916+47079</f>
        <v>1916995</v>
      </c>
      <c r="BU13" s="1567">
        <f>1868970+46487</f>
        <v>1915457</v>
      </c>
      <c r="BV13" s="1567">
        <f>1868282+46126</f>
        <v>1914408</v>
      </c>
      <c r="BW13" s="1568">
        <f>1869768+45412</f>
        <v>1915180</v>
      </c>
      <c r="BX13" s="1568">
        <f>1871737+44943</f>
        <v>1916680</v>
      </c>
      <c r="BY13" s="1568">
        <f>1883084+44560</f>
        <v>1927644</v>
      </c>
      <c r="BZ13" s="1568">
        <v>1914164</v>
      </c>
      <c r="CA13" s="1600">
        <v>1920898</v>
      </c>
      <c r="CB13" s="1568">
        <v>1921488</v>
      </c>
      <c r="CC13" s="1601">
        <v>1913781</v>
      </c>
      <c r="CD13" s="1602">
        <v>1919595</v>
      </c>
      <c r="CE13" s="1602">
        <v>1917758</v>
      </c>
      <c r="CF13" s="1603">
        <v>1922606</v>
      </c>
      <c r="CG13" s="1604">
        <v>1893620</v>
      </c>
      <c r="CH13" s="1604">
        <v>1871134</v>
      </c>
      <c r="CI13" s="1605">
        <v>1839705</v>
      </c>
      <c r="CJ13" s="1604">
        <v>1844793</v>
      </c>
      <c r="CK13" s="1604">
        <v>1841288</v>
      </c>
      <c r="CL13" s="1604">
        <v>1824724</v>
      </c>
      <c r="CM13" s="1604">
        <v>1833628</v>
      </c>
      <c r="CN13" s="1604">
        <v>1842912</v>
      </c>
      <c r="CO13" s="1604">
        <v>1862385</v>
      </c>
      <c r="CP13" s="1604">
        <v>1869958</v>
      </c>
      <c r="CQ13" s="1604">
        <v>1870354</v>
      </c>
      <c r="CR13" s="1604">
        <v>1848699</v>
      </c>
      <c r="CS13" s="1604">
        <v>1855167</v>
      </c>
      <c r="CT13" s="1604">
        <v>1862104</v>
      </c>
      <c r="CU13" s="1604">
        <v>1830879</v>
      </c>
      <c r="CV13" s="1606">
        <v>1831220</v>
      </c>
      <c r="CW13" s="1606">
        <v>1836228</v>
      </c>
      <c r="CX13" s="1606">
        <v>1857157</v>
      </c>
      <c r="CY13" s="1606">
        <v>1870573</v>
      </c>
      <c r="CZ13" s="1606">
        <v>1878063</v>
      </c>
      <c r="DA13" s="1606">
        <v>1889479</v>
      </c>
      <c r="DB13" s="1606">
        <v>1894664</v>
      </c>
      <c r="DC13" s="1606">
        <v>1884084</v>
      </c>
      <c r="DD13" s="1606">
        <v>1892185</v>
      </c>
      <c r="DE13" s="1606">
        <v>1898838</v>
      </c>
      <c r="DF13" s="1606">
        <v>1886058</v>
      </c>
      <c r="DG13" s="1606">
        <v>1873432</v>
      </c>
      <c r="DH13" s="1606">
        <v>1881031</v>
      </c>
      <c r="DI13" s="1606">
        <v>1908396</v>
      </c>
      <c r="DJ13" s="1606">
        <v>1911713</v>
      </c>
    </row>
    <row r="14" spans="1:114" s="1575" customFormat="1" x14ac:dyDescent="0.25">
      <c r="A14" s="1620"/>
      <c r="B14" s="1563"/>
      <c r="C14" s="1563"/>
      <c r="D14" s="1563"/>
      <c r="E14" s="1563"/>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1563"/>
      <c r="AD14" s="1563"/>
      <c r="AE14" s="1563"/>
      <c r="AF14" s="1563"/>
      <c r="AG14" s="1563"/>
      <c r="AH14" s="1563"/>
      <c r="AI14" s="1563"/>
      <c r="AJ14" s="1563"/>
      <c r="AK14" s="1563"/>
      <c r="AL14" s="1563"/>
      <c r="AM14" s="1563"/>
      <c r="AN14" s="1563"/>
      <c r="AO14" s="1563"/>
      <c r="AP14" s="1563"/>
      <c r="AQ14" s="1563"/>
      <c r="AR14" s="1564"/>
      <c r="AS14" s="1564"/>
      <c r="AT14" s="1564"/>
      <c r="AU14" s="1564"/>
      <c r="AV14" s="1564"/>
      <c r="AW14" s="1564"/>
      <c r="AX14" s="1564"/>
      <c r="AY14" s="1564"/>
      <c r="AZ14" s="1565"/>
      <c r="BA14" s="1565"/>
      <c r="BB14" s="1565"/>
      <c r="BC14" s="1565"/>
      <c r="BD14" s="1565"/>
      <c r="BE14" s="1565"/>
      <c r="BF14" s="1566"/>
      <c r="BG14" s="1565"/>
      <c r="BH14" s="1564"/>
      <c r="BI14" s="1564"/>
      <c r="BJ14" s="1564"/>
      <c r="BK14" s="1564"/>
      <c r="BL14" s="1564"/>
      <c r="BM14" s="1564"/>
      <c r="BN14" s="1564"/>
      <c r="BO14" s="1564"/>
      <c r="BP14" s="1564"/>
      <c r="BQ14" s="1564"/>
      <c r="BR14" s="1564"/>
      <c r="BS14" s="1564"/>
      <c r="BT14" s="1567"/>
      <c r="BU14" s="1567"/>
      <c r="BV14" s="1567"/>
      <c r="BW14" s="1568"/>
      <c r="BX14" s="1568"/>
      <c r="BY14" s="1568"/>
      <c r="BZ14" s="1568"/>
      <c r="CA14" s="1568"/>
      <c r="CB14" s="1568"/>
      <c r="CC14" s="1568"/>
      <c r="CD14" s="1569"/>
      <c r="CE14" s="1569"/>
      <c r="CF14" s="1603"/>
      <c r="CG14" s="1604"/>
      <c r="CH14" s="1604"/>
      <c r="CI14" s="1605"/>
      <c r="CJ14" s="1604"/>
      <c r="CK14" s="1604"/>
      <c r="CL14" s="1604"/>
      <c r="CM14" s="1604"/>
      <c r="CN14" s="1604"/>
      <c r="CO14" s="1604"/>
      <c r="CP14" s="1604"/>
      <c r="CQ14" s="1604"/>
      <c r="CR14" s="1604"/>
      <c r="CS14" s="1604"/>
      <c r="CT14" s="1604"/>
      <c r="CU14" s="1604"/>
      <c r="CV14" s="1606"/>
      <c r="CW14" s="1606"/>
      <c r="CX14" s="1606"/>
      <c r="CY14" s="1606"/>
      <c r="CZ14" s="1606"/>
      <c r="DA14" s="1606"/>
      <c r="DB14" s="1606"/>
      <c r="DC14" s="1606"/>
      <c r="DD14" s="1606"/>
      <c r="DE14" s="1606"/>
      <c r="DF14" s="1606"/>
      <c r="DG14" s="1606"/>
      <c r="DH14" s="1606"/>
      <c r="DI14" s="1606"/>
      <c r="DJ14" s="1606"/>
    </row>
    <row r="15" spans="1:114" s="1607" customFormat="1" x14ac:dyDescent="0.25">
      <c r="A15" s="1562" t="s">
        <v>3466</v>
      </c>
      <c r="B15" s="1599">
        <v>1777.4069999999999</v>
      </c>
      <c r="C15" s="1599">
        <v>1936.1579999999999</v>
      </c>
      <c r="D15" s="1599">
        <v>1783.1</v>
      </c>
      <c r="E15" s="1599">
        <v>1826.7139999999999</v>
      </c>
      <c r="F15" s="1599">
        <v>1802.921</v>
      </c>
      <c r="G15" s="1599">
        <v>2058.0140000000001</v>
      </c>
      <c r="H15" s="1599">
        <v>1840.4</v>
      </c>
      <c r="I15" s="1599">
        <v>1876.7748510900001</v>
      </c>
      <c r="J15" s="1599">
        <v>2145.3510000000001</v>
      </c>
      <c r="K15" s="1599">
        <v>1888.6757088499999</v>
      </c>
      <c r="L15" s="1599">
        <v>1936.9884865000001</v>
      </c>
      <c r="M15" s="1599">
        <v>2030.9</v>
      </c>
      <c r="N15" s="1599">
        <v>1944.5847732499999</v>
      </c>
      <c r="O15" s="1599">
        <v>2204.8490000000002</v>
      </c>
      <c r="P15" s="1599">
        <v>2184</v>
      </c>
      <c r="Q15" s="1599">
        <v>1998.104</v>
      </c>
      <c r="R15" s="1599">
        <v>2287.8440000000001</v>
      </c>
      <c r="S15" s="1599">
        <v>2010.63382864</v>
      </c>
      <c r="T15" s="1599">
        <v>2051.136</v>
      </c>
      <c r="U15" s="1599">
        <v>2096.4110000000001</v>
      </c>
      <c r="V15" s="1599">
        <v>2069.3939999999998</v>
      </c>
      <c r="W15" s="1599">
        <v>2360.2869999999998</v>
      </c>
      <c r="X15" s="1599">
        <v>2150.1</v>
      </c>
      <c r="Y15" s="1599">
        <v>2083.1619999999998</v>
      </c>
      <c r="Z15" s="1599">
        <v>2375.2124715299997</v>
      </c>
      <c r="AA15" s="1599">
        <v>2762.3</v>
      </c>
      <c r="AB15" s="1599">
        <v>2128.5</v>
      </c>
      <c r="AC15" s="1599">
        <v>2127.5531944978407</v>
      </c>
      <c r="AD15" s="1599">
        <v>2183.9802014154002</v>
      </c>
      <c r="AE15" s="1599">
        <v>2170.4123403595731</v>
      </c>
      <c r="AF15" s="1599">
        <v>2511.826</v>
      </c>
      <c r="AG15" s="1599">
        <v>2502.8000000000002</v>
      </c>
      <c r="AH15" s="1599">
        <v>2205.2550000000001</v>
      </c>
      <c r="AI15" s="1599">
        <v>2592.556</v>
      </c>
      <c r="AJ15" s="1599">
        <v>2289.9284545</v>
      </c>
      <c r="AK15" s="1599">
        <v>2207.8710000000001</v>
      </c>
      <c r="AL15" s="1599">
        <v>2604.3139999999999</v>
      </c>
      <c r="AM15" s="1599">
        <v>2217.2256069599998</v>
      </c>
      <c r="AN15" s="1599">
        <v>2234.4</v>
      </c>
      <c r="AO15" s="1599">
        <v>2571.6</v>
      </c>
      <c r="AP15" s="1599">
        <v>2239.1999999999998</v>
      </c>
      <c r="AQ15" s="1599">
        <v>2221.5</v>
      </c>
      <c r="AR15" s="1564">
        <v>2595.4</v>
      </c>
      <c r="AS15" s="1564">
        <v>2286.6660000000002</v>
      </c>
      <c r="AT15" s="1564">
        <v>2282.6999999999998</v>
      </c>
      <c r="AU15" s="1564">
        <v>2340.1999999999998</v>
      </c>
      <c r="AV15" s="1564">
        <v>2392.2612589599999</v>
      </c>
      <c r="AW15" s="1564">
        <v>2750.5519697300001</v>
      </c>
      <c r="AX15" s="1564">
        <v>2666.4</v>
      </c>
      <c r="AY15" s="1564">
        <v>2280.1999999999998</v>
      </c>
      <c r="AZ15" s="1565">
        <v>2735.3</v>
      </c>
      <c r="BA15" s="1565">
        <v>2314.1048989700002</v>
      </c>
      <c r="BB15" s="1565">
        <v>2280</v>
      </c>
      <c r="BC15" s="1565">
        <v>2581.5</v>
      </c>
      <c r="BD15" s="1565">
        <v>2308.8000000000002</v>
      </c>
      <c r="BE15" s="1565">
        <v>2321.5</v>
      </c>
      <c r="BF15" s="1565">
        <v>2358.1169850000001</v>
      </c>
      <c r="BG15" s="1565">
        <v>2449.8000000000002</v>
      </c>
      <c r="BH15" s="1564">
        <v>2485.6527569999998</v>
      </c>
      <c r="BI15" s="1564">
        <v>2396</v>
      </c>
      <c r="BJ15" s="1564">
        <v>2764.0099570000002</v>
      </c>
      <c r="BK15" s="1564">
        <v>2372.6371899999999</v>
      </c>
      <c r="BL15" s="1564">
        <v>2706.1488840000002</v>
      </c>
      <c r="BM15" s="1564">
        <v>2449.113409</v>
      </c>
      <c r="BN15" s="1564">
        <v>2420.4845799999998</v>
      </c>
      <c r="BO15" s="1564">
        <v>2455.3000000000002</v>
      </c>
      <c r="BP15" s="1564">
        <f>2471.9+450</f>
        <v>2921.9</v>
      </c>
      <c r="BQ15" s="1564">
        <f>2773.9+454</f>
        <v>3227.9</v>
      </c>
      <c r="BR15" s="1564">
        <f>2498.08+450</f>
        <v>2948.08</v>
      </c>
      <c r="BS15" s="1564">
        <f>2541.659+454</f>
        <v>2995.6590000000001</v>
      </c>
      <c r="BT15" s="1567">
        <f>2900.8+437</f>
        <v>3337.8</v>
      </c>
      <c r="BU15" s="1567">
        <f>2534+434</f>
        <v>2968</v>
      </c>
      <c r="BV15" s="1621">
        <f>2808+437</f>
        <v>3245</v>
      </c>
      <c r="BW15" s="1568">
        <f>2495+426</f>
        <v>2921</v>
      </c>
      <c r="BX15" s="1568">
        <f>2546+424</f>
        <v>2970</v>
      </c>
      <c r="BY15" s="1600">
        <f>2529+420</f>
        <v>2949</v>
      </c>
      <c r="BZ15" s="1568">
        <f>2821+416</f>
        <v>3237</v>
      </c>
      <c r="CA15" s="1602">
        <v>2930</v>
      </c>
      <c r="CB15" s="1602">
        <v>2944</v>
      </c>
      <c r="CC15" s="1601">
        <v>3301</v>
      </c>
      <c r="CD15" s="1602">
        <v>3007.3960704299998</v>
      </c>
      <c r="CE15" s="1602">
        <v>3055.2706020000001</v>
      </c>
      <c r="CF15" s="1603">
        <v>3014.6622389899999</v>
      </c>
      <c r="CG15" s="1604">
        <v>2959.2752959999998</v>
      </c>
      <c r="CH15" s="1604">
        <v>3259.6727390000001</v>
      </c>
      <c r="CI15" s="1605">
        <v>3295.8086929999999</v>
      </c>
      <c r="CJ15" s="1604">
        <v>3345.7006962800001</v>
      </c>
      <c r="CK15" s="1604">
        <v>3008.96492554</v>
      </c>
      <c r="CL15" s="1604">
        <v>3335.5556470000001</v>
      </c>
      <c r="CM15" s="1604">
        <v>3063.3631915100004</v>
      </c>
      <c r="CN15" s="1604">
        <v>2832</v>
      </c>
      <c r="CO15" s="1604">
        <v>2706</v>
      </c>
      <c r="CP15" s="1604">
        <v>3008</v>
      </c>
      <c r="CQ15" s="1604">
        <v>3385</v>
      </c>
      <c r="CR15" s="1604">
        <v>2992</v>
      </c>
      <c r="CS15" s="1604">
        <v>2913</v>
      </c>
      <c r="CT15" s="1604">
        <v>3124.2837824799999</v>
      </c>
      <c r="CU15" s="1604">
        <v>2159.45455236</v>
      </c>
      <c r="CV15" s="1606">
        <v>2063</v>
      </c>
      <c r="CW15" s="1606">
        <v>2194</v>
      </c>
      <c r="CX15" s="1606">
        <v>2110</v>
      </c>
      <c r="CY15" s="1622">
        <v>2255</v>
      </c>
      <c r="CZ15" s="1606">
        <v>2272</v>
      </c>
      <c r="DA15" s="1606">
        <v>2293</v>
      </c>
      <c r="DB15" s="1606">
        <v>2327</v>
      </c>
      <c r="DC15" s="1606">
        <v>2328</v>
      </c>
      <c r="DD15" s="1606">
        <v>2451</v>
      </c>
      <c r="DE15" s="1606">
        <v>2652</v>
      </c>
      <c r="DF15" s="1606">
        <v>2665.16390813</v>
      </c>
      <c r="DG15" s="1606">
        <v>2148.6159238399996</v>
      </c>
      <c r="DH15" s="1606">
        <v>2158.6222085500003</v>
      </c>
      <c r="DI15" s="1606">
        <v>2248.8313918000003</v>
      </c>
      <c r="DJ15" s="1606">
        <v>2298.0797476099997</v>
      </c>
    </row>
    <row r="16" spans="1:114" s="1607" customFormat="1" x14ac:dyDescent="0.25">
      <c r="A16" s="1562" t="s">
        <v>3467</v>
      </c>
      <c r="B16" s="1599"/>
      <c r="C16" s="1599"/>
      <c r="D16" s="1599">
        <v>95</v>
      </c>
      <c r="E16" s="1599"/>
      <c r="F16" s="1599"/>
      <c r="G16" s="1599">
        <v>78.242999999999995</v>
      </c>
      <c r="H16" s="1599"/>
      <c r="I16" s="1599"/>
      <c r="J16" s="1599">
        <v>83.507603654000008</v>
      </c>
      <c r="K16" s="1599"/>
      <c r="L16" s="1599"/>
      <c r="M16" s="1599">
        <v>87.3</v>
      </c>
      <c r="N16" s="1599"/>
      <c r="O16" s="1599"/>
      <c r="P16" s="1599">
        <v>89.837412358800009</v>
      </c>
      <c r="Q16" s="1599"/>
      <c r="R16" s="1599">
        <v>115.1</v>
      </c>
      <c r="S16" s="1599"/>
      <c r="T16" s="1599"/>
      <c r="U16" s="1599">
        <v>117.9</v>
      </c>
      <c r="V16" s="1599"/>
      <c r="W16" s="1599"/>
      <c r="X16" s="1599">
        <v>124.21299999999999</v>
      </c>
      <c r="Y16" s="1599"/>
      <c r="Z16" s="1599"/>
      <c r="AA16" s="1599">
        <v>139.63999999999999</v>
      </c>
      <c r="AB16" s="1599"/>
      <c r="AC16" s="1599"/>
      <c r="AD16" s="1599">
        <v>150.70099999999999</v>
      </c>
      <c r="AE16" s="1599"/>
      <c r="AF16" s="1599"/>
      <c r="AG16" s="1599">
        <v>158.79</v>
      </c>
      <c r="AH16" s="1599"/>
      <c r="AI16" s="1599"/>
      <c r="AJ16" s="1599">
        <v>180.48079826594008</v>
      </c>
      <c r="AK16" s="1599"/>
      <c r="AL16" s="1599"/>
      <c r="AM16" s="1599">
        <v>198.345</v>
      </c>
      <c r="AN16" s="1599"/>
      <c r="AO16" s="1599"/>
      <c r="AP16" s="1599">
        <v>198.8</v>
      </c>
      <c r="AQ16" s="1599"/>
      <c r="AR16" s="1564"/>
      <c r="AS16" s="1564">
        <v>175.7</v>
      </c>
      <c r="AT16" s="1564"/>
      <c r="AU16" s="1564"/>
      <c r="AV16" s="1564">
        <v>202.73486250069999</v>
      </c>
      <c r="AW16" s="1564"/>
      <c r="AX16" s="1564"/>
      <c r="AY16" s="1564">
        <v>207.7</v>
      </c>
      <c r="AZ16" s="1565"/>
      <c r="BA16" s="1565"/>
      <c r="BB16" s="1565">
        <v>204.64500000000001</v>
      </c>
      <c r="BC16" s="1565"/>
      <c r="BD16" s="1565"/>
      <c r="BE16" s="1565">
        <v>214.02099999999999</v>
      </c>
      <c r="BF16" s="1565"/>
      <c r="BG16" s="1565"/>
      <c r="BH16" s="1564">
        <v>193.3</v>
      </c>
      <c r="BI16" s="1564"/>
      <c r="BJ16" s="1564"/>
      <c r="BK16" s="1564">
        <v>201.47935059</v>
      </c>
      <c r="BL16" s="1564"/>
      <c r="BM16" s="1564"/>
      <c r="BN16" s="1564">
        <v>174.6</v>
      </c>
      <c r="BO16" s="1564"/>
      <c r="BP16" s="1564"/>
      <c r="BQ16" s="1564">
        <f>192.552+35</f>
        <v>227.55199999999999</v>
      </c>
      <c r="BR16" s="1564"/>
      <c r="BS16" s="1564"/>
      <c r="BT16" s="1567">
        <f>160+37</f>
        <v>197</v>
      </c>
      <c r="BU16" s="1567"/>
      <c r="BV16" s="1567"/>
      <c r="BW16" s="1568">
        <f>150+39</f>
        <v>189</v>
      </c>
      <c r="BX16" s="1568"/>
      <c r="BY16" s="1568"/>
      <c r="BZ16" s="1623">
        <f>((172+33)*1000000)/1000000</f>
        <v>205</v>
      </c>
      <c r="CA16" s="1568"/>
      <c r="CB16" s="1568"/>
      <c r="CC16" s="1601">
        <f>202+25</f>
        <v>227</v>
      </c>
      <c r="CD16" s="1624"/>
      <c r="CE16" s="1624"/>
      <c r="CF16" s="1625">
        <f>125+38</f>
        <v>163</v>
      </c>
      <c r="CG16" s="1621"/>
      <c r="CH16" s="1621"/>
      <c r="CI16" s="1626">
        <f>134+34</f>
        <v>168</v>
      </c>
      <c r="CJ16" s="1604"/>
      <c r="CK16" s="1604"/>
      <c r="CL16" s="1604">
        <f>131+36</f>
        <v>167</v>
      </c>
      <c r="CM16" s="1604"/>
      <c r="CN16" s="1604"/>
      <c r="CO16" s="1604">
        <v>173</v>
      </c>
      <c r="CP16" s="1604"/>
      <c r="CQ16" s="1604"/>
      <c r="CR16" s="1604">
        <v>126</v>
      </c>
      <c r="CS16" s="1604"/>
      <c r="CT16" s="1604"/>
      <c r="CU16" s="1604">
        <v>89</v>
      </c>
      <c r="CV16" s="1622"/>
      <c r="CW16" s="1622"/>
      <c r="CX16" s="1622">
        <v>95</v>
      </c>
      <c r="CY16" s="1606"/>
      <c r="CZ16" s="1622"/>
      <c r="DA16" s="1622">
        <v>102</v>
      </c>
      <c r="DB16" s="1622"/>
      <c r="DC16" s="1606"/>
      <c r="DD16" s="1622">
        <v>89</v>
      </c>
      <c r="DE16" s="1606"/>
      <c r="DF16" s="1606"/>
      <c r="DG16" s="1606">
        <v>130</v>
      </c>
      <c r="DH16" s="1606"/>
      <c r="DI16" s="1606"/>
      <c r="DJ16" s="1606">
        <v>116</v>
      </c>
    </row>
    <row r="17" spans="1:114" s="1588" customFormat="1" ht="19.5" thickBot="1" x14ac:dyDescent="0.3">
      <c r="A17" s="1627"/>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c r="AL17" s="1628"/>
      <c r="AM17" s="1628"/>
      <c r="AN17" s="1628"/>
      <c r="AO17" s="1628"/>
      <c r="AP17" s="1628"/>
      <c r="AQ17" s="1628"/>
      <c r="AR17" s="1628"/>
      <c r="AS17" s="1628"/>
      <c r="AT17" s="1628"/>
      <c r="AU17" s="1628"/>
      <c r="AV17" s="1628"/>
      <c r="AW17" s="1628"/>
      <c r="AX17" s="1628"/>
      <c r="AY17" s="1628"/>
      <c r="AZ17" s="1628"/>
      <c r="BA17" s="1628"/>
      <c r="BB17" s="1628"/>
      <c r="BC17" s="1628"/>
      <c r="BD17" s="1628"/>
      <c r="BE17" s="1628"/>
      <c r="BF17" s="1628"/>
      <c r="BG17" s="1628"/>
      <c r="BH17" s="1628"/>
      <c r="BI17" s="1628"/>
      <c r="BJ17" s="1628"/>
      <c r="BK17" s="1628"/>
      <c r="BL17" s="1628"/>
      <c r="BM17" s="1628"/>
      <c r="BN17" s="1628"/>
      <c r="BO17" s="1628"/>
      <c r="BP17" s="1628"/>
      <c r="BQ17" s="1628"/>
      <c r="BR17" s="1628"/>
      <c r="BS17" s="1628"/>
      <c r="BT17" s="1629"/>
      <c r="BU17" s="1629"/>
      <c r="BV17" s="1629"/>
      <c r="BW17" s="1630"/>
      <c r="BX17" s="1630"/>
      <c r="BY17" s="1630"/>
      <c r="BZ17" s="1630"/>
      <c r="CA17" s="1630"/>
      <c r="CB17" s="1630"/>
      <c r="CC17" s="1630"/>
      <c r="CD17" s="1631"/>
      <c r="CE17" s="1631"/>
      <c r="CF17" s="1632"/>
      <c r="CG17" s="1629"/>
      <c r="CH17" s="1629"/>
      <c r="CI17" s="1633"/>
      <c r="CJ17" s="1629"/>
      <c r="CK17" s="1629"/>
      <c r="CL17" s="1629"/>
      <c r="CM17" s="1629"/>
      <c r="CN17" s="1629"/>
      <c r="CO17" s="1629"/>
      <c r="CP17" s="1629"/>
      <c r="CQ17" s="1629"/>
      <c r="CR17" s="1629"/>
      <c r="CS17" s="1629"/>
      <c r="CT17" s="1629"/>
      <c r="CU17" s="1629"/>
      <c r="CV17" s="1634"/>
      <c r="CW17" s="1634"/>
      <c r="CX17" s="1634"/>
      <c r="CY17" s="1634"/>
      <c r="CZ17" s="1634"/>
      <c r="DA17" s="1634"/>
      <c r="DB17" s="1634"/>
      <c r="DC17" s="1634"/>
      <c r="DD17" s="1634"/>
      <c r="DE17" s="1634"/>
      <c r="DF17" s="1634"/>
      <c r="DG17" s="1634"/>
      <c r="DH17" s="1634"/>
      <c r="DI17" s="1634"/>
      <c r="DJ17" s="1634"/>
    </row>
    <row r="18" spans="1:114" s="1636" customFormat="1" ht="18" thickTop="1" x14ac:dyDescent="0.25">
      <c r="A18" s="1635" t="s">
        <v>3468</v>
      </c>
    </row>
    <row r="19" spans="1:114" s="1636" customFormat="1" ht="17.25" x14ac:dyDescent="0.25">
      <c r="A19" s="1635" t="s">
        <v>3469</v>
      </c>
    </row>
    <row r="20" spans="1:114" s="1636" customFormat="1" ht="17.25" x14ac:dyDescent="0.25">
      <c r="A20" s="1635" t="s">
        <v>3470</v>
      </c>
    </row>
    <row r="21" spans="1:114" s="1637" customFormat="1" x14ac:dyDescent="0.25">
      <c r="B21" s="1635"/>
      <c r="C21" s="1635"/>
      <c r="D21" s="1635"/>
      <c r="E21" s="1635"/>
      <c r="F21" s="1635"/>
      <c r="G21" s="1635"/>
      <c r="H21" s="1635"/>
      <c r="I21" s="1635"/>
      <c r="J21" s="1635"/>
      <c r="K21" s="1635"/>
      <c r="L21" s="1635"/>
      <c r="M21" s="1635"/>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635"/>
      <c r="AM21" s="1635"/>
      <c r="AN21" s="1635"/>
      <c r="AO21" s="1635"/>
      <c r="AP21" s="1635"/>
      <c r="AQ21" s="1635"/>
      <c r="AR21" s="1635"/>
      <c r="AS21" s="1635"/>
      <c r="AT21" s="1635"/>
      <c r="AU21" s="1635"/>
      <c r="AV21" s="1635"/>
      <c r="AW21" s="1635"/>
      <c r="AX21" s="1635"/>
      <c r="AY21" s="1635"/>
      <c r="AZ21" s="1635"/>
      <c r="BA21" s="1635"/>
      <c r="BB21" s="1635"/>
      <c r="BC21" s="1635"/>
      <c r="BD21" s="1635"/>
      <c r="BE21" s="1635"/>
      <c r="BF21" s="1635"/>
      <c r="BG21" s="1635"/>
      <c r="BH21" s="1635"/>
      <c r="BI21" s="1635"/>
      <c r="BJ21" s="1635"/>
      <c r="BK21" s="1635"/>
      <c r="BL21" s="1635"/>
      <c r="BM21" s="1635"/>
      <c r="BN21" s="1635"/>
      <c r="BO21" s="1635"/>
      <c r="BP21" s="1635"/>
      <c r="BQ21" s="1635"/>
      <c r="BR21" s="1635"/>
      <c r="BS21" s="1635"/>
      <c r="BT21" s="1635"/>
      <c r="BU21" s="1636"/>
      <c r="BV21" s="1636"/>
      <c r="BW21" s="1638"/>
      <c r="BX21" s="1638"/>
      <c r="BY21" s="1638"/>
      <c r="BZ21" s="1638"/>
      <c r="CA21" s="1638"/>
      <c r="CB21" s="1638"/>
      <c r="CC21" s="1638"/>
      <c r="CD21" s="1638"/>
      <c r="CE21" s="1638"/>
      <c r="CF21" s="1639"/>
      <c r="CG21" s="1639"/>
      <c r="CH21" s="1639"/>
      <c r="CI21" s="1639"/>
      <c r="CJ21" s="1639"/>
      <c r="CK21" s="1639"/>
      <c r="CL21" s="1639"/>
      <c r="CM21" s="1639"/>
      <c r="CN21" s="1639"/>
      <c r="CO21" s="1639"/>
      <c r="CP21" s="1639"/>
      <c r="CQ21" s="1639"/>
      <c r="CR21" s="1639"/>
      <c r="CS21" s="1639"/>
      <c r="CT21" s="1639"/>
      <c r="CU21" s="1639"/>
      <c r="CV21" s="1639"/>
      <c r="CW21" s="1639"/>
      <c r="CX21" s="1639"/>
      <c r="CY21" s="1639"/>
      <c r="CZ21" s="1639"/>
      <c r="DA21" s="1639"/>
      <c r="DB21" s="1639"/>
      <c r="DC21" s="1639"/>
      <c r="DD21" s="1639"/>
      <c r="DE21" s="1639"/>
      <c r="DF21" s="1639"/>
      <c r="DG21" s="1639"/>
      <c r="DH21" s="1639"/>
      <c r="DI21" s="1639"/>
      <c r="DJ21" s="1639"/>
    </row>
    <row r="22" spans="1:114" s="1635" customFormat="1" hidden="1" x14ac:dyDescent="0.35">
      <c r="B22" s="1636"/>
      <c r="C22" s="1636"/>
      <c r="D22" s="1636"/>
      <c r="E22" s="1636"/>
      <c r="F22" s="1636"/>
      <c r="G22" s="1636"/>
      <c r="H22" s="1636"/>
      <c r="I22" s="1636"/>
      <c r="J22" s="1636"/>
      <c r="K22" s="1636"/>
      <c r="L22" s="1636"/>
      <c r="M22" s="1636"/>
      <c r="N22" s="1636"/>
      <c r="O22" s="1636"/>
      <c r="P22" s="1636"/>
      <c r="Q22" s="1636"/>
      <c r="R22" s="1636"/>
      <c r="BT22" s="1551"/>
      <c r="BU22" s="1551"/>
      <c r="BV22" s="1551"/>
      <c r="BW22" s="1640"/>
      <c r="BX22" s="1640"/>
      <c r="BY22" s="1640"/>
      <c r="BZ22" s="1638"/>
      <c r="CA22" s="1638"/>
      <c r="CB22" s="1547"/>
      <c r="CC22" s="1547"/>
      <c r="CD22" s="1638"/>
      <c r="CE22" s="1638"/>
      <c r="CF22" s="1639"/>
      <c r="CG22" s="1638"/>
      <c r="CH22" s="1638"/>
      <c r="CI22" s="1638"/>
      <c r="CJ22" s="1638"/>
      <c r="CK22" s="1638"/>
      <c r="CL22" s="1638"/>
      <c r="CM22" s="1638"/>
      <c r="CN22" s="1638"/>
      <c r="CO22" s="1638"/>
      <c r="CP22" s="1638"/>
      <c r="CQ22" s="1638"/>
      <c r="CR22" s="1638"/>
      <c r="CS22" s="1638"/>
      <c r="CT22" s="1638"/>
      <c r="CU22" s="1638"/>
      <c r="CV22" s="1638"/>
      <c r="CW22" s="1638"/>
      <c r="CX22" s="1638"/>
      <c r="CY22" s="1638"/>
      <c r="CZ22" s="1638"/>
      <c r="DA22" s="1638"/>
      <c r="DB22" s="1638"/>
      <c r="DC22" s="1638"/>
      <c r="DD22" s="1638"/>
      <c r="DE22" s="1638"/>
      <c r="DF22" s="1638"/>
      <c r="DG22" s="1638"/>
      <c r="DH22" s="1638"/>
      <c r="DI22" s="1638"/>
      <c r="DJ22" s="1638"/>
    </row>
    <row r="23" spans="1:114" s="1549" customFormat="1" x14ac:dyDescent="0.35">
      <c r="A23" s="1544" t="s">
        <v>3471</v>
      </c>
      <c r="B23" s="1545"/>
      <c r="C23" s="1545"/>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545"/>
      <c r="AM23" s="1545"/>
      <c r="AN23" s="1545"/>
      <c r="AO23" s="1545"/>
      <c r="AP23" s="1545"/>
      <c r="AQ23" s="1545"/>
      <c r="AR23" s="1545"/>
      <c r="AS23" s="1545"/>
      <c r="AT23" s="1545"/>
      <c r="AU23" s="1545"/>
      <c r="AV23" s="1545"/>
      <c r="AW23" s="1545"/>
      <c r="AX23" s="1545"/>
      <c r="AY23" s="1545"/>
      <c r="AZ23" s="1545"/>
      <c r="BA23" s="1545"/>
      <c r="BB23" s="1545"/>
      <c r="BC23" s="1545"/>
      <c r="BD23" s="1545"/>
      <c r="BE23" s="1545"/>
      <c r="BF23" s="1545"/>
      <c r="BG23" s="1545"/>
      <c r="BH23" s="1545"/>
      <c r="BI23" s="1545"/>
      <c r="BJ23" s="1545"/>
      <c r="BK23" s="1545"/>
      <c r="BL23" s="1545"/>
      <c r="BM23" s="1545"/>
      <c r="BN23" s="1545"/>
      <c r="BO23" s="1545"/>
      <c r="BP23" s="1545"/>
      <c r="BQ23" s="1545"/>
      <c r="BR23" s="1545"/>
      <c r="BS23" s="1545"/>
      <c r="BT23" s="1545"/>
      <c r="BU23" s="1545"/>
      <c r="BV23" s="1545"/>
      <c r="BW23" s="1546"/>
      <c r="BX23" s="1546"/>
      <c r="BY23" s="1546"/>
      <c r="BZ23" s="1547"/>
      <c r="CA23" s="1547"/>
      <c r="CB23" s="1547"/>
      <c r="CC23" s="1547"/>
      <c r="CD23" s="1547"/>
      <c r="CE23" s="1547"/>
      <c r="CF23" s="1548"/>
      <c r="CG23" s="1547"/>
      <c r="CH23" s="1547"/>
      <c r="CI23" s="1547"/>
      <c r="CJ23" s="1547"/>
      <c r="CK23" s="1547"/>
      <c r="CL23" s="1547"/>
      <c r="CM23" s="1547"/>
      <c r="CN23" s="1547"/>
      <c r="CO23" s="1547"/>
      <c r="CP23" s="1547"/>
      <c r="CQ23" s="1547"/>
      <c r="CR23" s="1547"/>
      <c r="CS23" s="1547"/>
      <c r="CT23" s="1547"/>
      <c r="CU23" s="1547"/>
      <c r="CV23" s="1547"/>
      <c r="CW23" s="1547"/>
      <c r="CX23" s="1547"/>
      <c r="CY23" s="1547"/>
      <c r="CZ23" s="1547"/>
      <c r="DA23" s="1547"/>
      <c r="DB23" s="1547"/>
      <c r="DC23" s="1547"/>
      <c r="DD23" s="1547"/>
      <c r="DE23" s="1547"/>
      <c r="DF23" s="1547"/>
      <c r="DG23" s="1547"/>
      <c r="DH23" s="1547"/>
      <c r="DI23" s="1547"/>
      <c r="DJ23" s="1547"/>
    </row>
    <row r="24" spans="1:114" s="1641" customFormat="1" ht="19.5" thickBot="1" x14ac:dyDescent="0.4">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BQ24" s="1642"/>
      <c r="BR24" s="1642"/>
      <c r="BS24" s="1642"/>
      <c r="BT24" s="1642"/>
      <c r="BU24" s="1642"/>
      <c r="BV24" s="1642"/>
      <c r="BW24" s="1546"/>
      <c r="BX24" s="1546"/>
      <c r="BY24" s="1546"/>
      <c r="BZ24" s="1547"/>
      <c r="CA24" s="1547"/>
      <c r="CB24" s="1547"/>
      <c r="CC24" s="1547"/>
      <c r="CD24" s="1547"/>
      <c r="CE24" s="1547"/>
      <c r="CF24" s="1547"/>
      <c r="CG24" s="1547"/>
      <c r="CH24" s="1547"/>
      <c r="CI24" s="1547"/>
      <c r="CJ24" s="1547"/>
      <c r="CK24" s="1547"/>
      <c r="CL24" s="1547"/>
      <c r="CM24" s="1547"/>
      <c r="CN24" s="1547"/>
      <c r="CO24" s="1547"/>
      <c r="CP24" s="1547"/>
      <c r="CQ24" s="1547"/>
      <c r="CR24" s="1547"/>
      <c r="CS24" s="1547"/>
      <c r="CT24" s="1547"/>
      <c r="CU24" s="1547"/>
      <c r="CV24" s="1547"/>
      <c r="CW24" s="1547"/>
      <c r="CX24" s="1547"/>
      <c r="CY24" s="1547"/>
      <c r="CZ24" s="1547"/>
      <c r="DA24" s="1547"/>
      <c r="DB24" s="1547"/>
      <c r="DC24" s="1547"/>
      <c r="DD24" s="1547"/>
      <c r="DE24" s="1547"/>
      <c r="DF24" s="1547"/>
      <c r="DG24" s="1547"/>
      <c r="DH24" s="1547"/>
      <c r="DI24" s="1547"/>
      <c r="DJ24" s="1547"/>
    </row>
    <row r="25" spans="1:114" s="1644" customFormat="1" ht="21.75" thickTop="1" thickBot="1" x14ac:dyDescent="0.3">
      <c r="A25" s="1555"/>
      <c r="B25" s="1643">
        <v>40910</v>
      </c>
      <c r="C25" s="1643">
        <v>40941</v>
      </c>
      <c r="D25" s="1643">
        <v>40971</v>
      </c>
      <c r="E25" s="1643">
        <v>41003</v>
      </c>
      <c r="F25" s="1643">
        <v>41034</v>
      </c>
      <c r="G25" s="1643">
        <v>41066</v>
      </c>
      <c r="H25" s="1643">
        <v>41097</v>
      </c>
      <c r="I25" s="1643">
        <v>41129</v>
      </c>
      <c r="J25" s="1643">
        <v>41161</v>
      </c>
      <c r="K25" s="1643">
        <v>41192</v>
      </c>
      <c r="L25" s="1643">
        <v>41224</v>
      </c>
      <c r="M25" s="1643">
        <v>41255</v>
      </c>
      <c r="N25" s="1643">
        <v>41275</v>
      </c>
      <c r="O25" s="1643">
        <v>41307</v>
      </c>
      <c r="P25" s="1643">
        <v>41336</v>
      </c>
      <c r="Q25" s="1643">
        <f t="shared" ref="Q25:AL25" si="0">Q3</f>
        <v>41399</v>
      </c>
      <c r="R25" s="1643">
        <f t="shared" si="0"/>
        <v>41431</v>
      </c>
      <c r="S25" s="1643">
        <f t="shared" si="0"/>
        <v>41462</v>
      </c>
      <c r="T25" s="1643">
        <f t="shared" si="0"/>
        <v>41494</v>
      </c>
      <c r="U25" s="1643">
        <f t="shared" si="0"/>
        <v>41526</v>
      </c>
      <c r="V25" s="1643">
        <f t="shared" si="0"/>
        <v>41557</v>
      </c>
      <c r="W25" s="1643">
        <f t="shared" si="0"/>
        <v>41588</v>
      </c>
      <c r="X25" s="1643">
        <f t="shared" si="0"/>
        <v>41619</v>
      </c>
      <c r="Y25" s="1643">
        <f t="shared" si="0"/>
        <v>41640</v>
      </c>
      <c r="Z25" s="1643">
        <f t="shared" si="0"/>
        <v>41671</v>
      </c>
      <c r="AA25" s="1643">
        <f t="shared" si="0"/>
        <v>41700</v>
      </c>
      <c r="AB25" s="1643">
        <f t="shared" si="0"/>
        <v>41732</v>
      </c>
      <c r="AC25" s="1643">
        <f t="shared" si="0"/>
        <v>41762</v>
      </c>
      <c r="AD25" s="1643">
        <f t="shared" si="0"/>
        <v>41794</v>
      </c>
      <c r="AE25" s="1643">
        <f t="shared" si="0"/>
        <v>41825</v>
      </c>
      <c r="AF25" s="1643">
        <f t="shared" si="0"/>
        <v>41857</v>
      </c>
      <c r="AG25" s="1643">
        <f t="shared" si="0"/>
        <v>41889</v>
      </c>
      <c r="AH25" s="1643">
        <f t="shared" si="0"/>
        <v>41919</v>
      </c>
      <c r="AI25" s="1643">
        <f t="shared" si="0"/>
        <v>41950</v>
      </c>
      <c r="AJ25" s="1643">
        <f t="shared" si="0"/>
        <v>41980</v>
      </c>
      <c r="AK25" s="1643">
        <f t="shared" si="0"/>
        <v>42012</v>
      </c>
      <c r="AL25" s="1643">
        <f t="shared" si="0"/>
        <v>42037</v>
      </c>
      <c r="AM25" s="1643">
        <v>42064</v>
      </c>
      <c r="AN25" s="1643">
        <v>42096</v>
      </c>
      <c r="AO25" s="1643">
        <f t="shared" ref="AO25:AT25" si="1">AO3</f>
        <v>42127</v>
      </c>
      <c r="AP25" s="1643">
        <f t="shared" si="1"/>
        <v>42159</v>
      </c>
      <c r="AQ25" s="1643">
        <f t="shared" si="1"/>
        <v>42189</v>
      </c>
      <c r="AR25" s="1643">
        <f t="shared" si="1"/>
        <v>42220</v>
      </c>
      <c r="AS25" s="1643">
        <f t="shared" si="1"/>
        <v>42252</v>
      </c>
      <c r="AT25" s="1643">
        <f t="shared" si="1"/>
        <v>42282</v>
      </c>
      <c r="AU25" s="1643">
        <v>42313</v>
      </c>
      <c r="AV25" s="1643">
        <v>42343</v>
      </c>
      <c r="AW25" s="1643">
        <v>42375</v>
      </c>
      <c r="AX25" s="1643">
        <v>42401</v>
      </c>
      <c r="AY25" s="1643">
        <v>42430</v>
      </c>
      <c r="AZ25" s="1643">
        <v>42461</v>
      </c>
      <c r="BA25" s="1643">
        <v>42491</v>
      </c>
      <c r="BB25" s="1643">
        <v>42522</v>
      </c>
      <c r="BC25" s="1643">
        <v>42552</v>
      </c>
      <c r="BD25" s="1643">
        <v>42584</v>
      </c>
      <c r="BE25" s="1556">
        <v>42615</v>
      </c>
      <c r="BF25" s="1556">
        <v>42645</v>
      </c>
      <c r="BG25" s="1556">
        <v>42677</v>
      </c>
      <c r="BH25" s="1556">
        <f t="shared" ref="BH25:CD25" si="2">BH3</f>
        <v>42708</v>
      </c>
      <c r="BI25" s="1556">
        <f t="shared" si="2"/>
        <v>42739</v>
      </c>
      <c r="BJ25" s="1556">
        <f t="shared" si="2"/>
        <v>42771</v>
      </c>
      <c r="BK25" s="1556">
        <f t="shared" si="2"/>
        <v>42799</v>
      </c>
      <c r="BL25" s="1556">
        <f t="shared" si="2"/>
        <v>42830</v>
      </c>
      <c r="BM25" s="1556">
        <f t="shared" si="2"/>
        <v>42860</v>
      </c>
      <c r="BN25" s="1556">
        <f t="shared" si="2"/>
        <v>42891</v>
      </c>
      <c r="BO25" s="1556">
        <f t="shared" si="2"/>
        <v>42921</v>
      </c>
      <c r="BP25" s="1556">
        <f t="shared" si="2"/>
        <v>42953</v>
      </c>
      <c r="BQ25" s="1556">
        <f t="shared" si="2"/>
        <v>42984</v>
      </c>
      <c r="BR25" s="1556">
        <f t="shared" si="2"/>
        <v>43014</v>
      </c>
      <c r="BS25" s="1556">
        <f t="shared" si="2"/>
        <v>43045</v>
      </c>
      <c r="BT25" s="1556">
        <f t="shared" si="2"/>
        <v>43075</v>
      </c>
      <c r="BU25" s="1556">
        <f t="shared" si="2"/>
        <v>43106</v>
      </c>
      <c r="BV25" s="1556">
        <f t="shared" si="2"/>
        <v>43137</v>
      </c>
      <c r="BW25" s="1556">
        <f t="shared" si="2"/>
        <v>43165</v>
      </c>
      <c r="BX25" s="1556">
        <f t="shared" si="2"/>
        <v>43196</v>
      </c>
      <c r="BY25" s="1556">
        <f t="shared" si="2"/>
        <v>43226</v>
      </c>
      <c r="BZ25" s="1556">
        <f t="shared" si="2"/>
        <v>43258</v>
      </c>
      <c r="CA25" s="1556">
        <f t="shared" si="2"/>
        <v>43288</v>
      </c>
      <c r="CB25" s="1556">
        <f t="shared" si="2"/>
        <v>43321</v>
      </c>
      <c r="CC25" s="1556">
        <f t="shared" si="2"/>
        <v>43352</v>
      </c>
      <c r="CD25" s="1557">
        <f t="shared" si="2"/>
        <v>43382</v>
      </c>
      <c r="CE25" s="1557">
        <v>43414</v>
      </c>
      <c r="CF25" s="1557">
        <v>43445</v>
      </c>
      <c r="CG25" s="1557">
        <v>43476</v>
      </c>
      <c r="CH25" s="1557">
        <v>43507</v>
      </c>
      <c r="CI25" s="1556">
        <v>43535</v>
      </c>
      <c r="CJ25" s="1556">
        <v>43566</v>
      </c>
      <c r="CK25" s="1556">
        <v>43586</v>
      </c>
      <c r="CL25" s="1556">
        <v>43617</v>
      </c>
      <c r="CM25" s="1556">
        <v>43647</v>
      </c>
      <c r="CN25" s="1556">
        <v>43678</v>
      </c>
      <c r="CO25" s="1556">
        <v>43717</v>
      </c>
      <c r="CP25" s="1556">
        <v>43747</v>
      </c>
      <c r="CQ25" s="1556">
        <v>43778</v>
      </c>
      <c r="CR25" s="1556">
        <v>43808</v>
      </c>
      <c r="CS25" s="1556">
        <v>43839</v>
      </c>
      <c r="CT25" s="1556">
        <v>43870</v>
      </c>
      <c r="CU25" s="1556">
        <v>43899</v>
      </c>
      <c r="CV25" s="1557">
        <v>43930</v>
      </c>
      <c r="CW25" s="1559">
        <v>43960</v>
      </c>
      <c r="CX25" s="1559">
        <v>43991</v>
      </c>
      <c r="CY25" s="1559">
        <v>44021</v>
      </c>
      <c r="CZ25" s="1559">
        <v>44052</v>
      </c>
      <c r="DA25" s="1559">
        <v>44083</v>
      </c>
      <c r="DB25" s="1559">
        <v>44113</v>
      </c>
      <c r="DC25" s="1559">
        <v>44144</v>
      </c>
      <c r="DD25" s="1559">
        <v>44174</v>
      </c>
      <c r="DE25" s="1559">
        <v>44197</v>
      </c>
      <c r="DF25" s="1559">
        <v>44228</v>
      </c>
      <c r="DG25" s="1559">
        <v>44256</v>
      </c>
      <c r="DH25" s="1559">
        <v>44287</v>
      </c>
      <c r="DI25" s="1559">
        <v>44317</v>
      </c>
      <c r="DJ25" s="1559">
        <v>44348</v>
      </c>
    </row>
    <row r="26" spans="1:114" s="1654" customFormat="1" x14ac:dyDescent="0.25">
      <c r="A26" s="1645"/>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646"/>
      <c r="AM26" s="1646"/>
      <c r="AN26" s="1646"/>
      <c r="AO26" s="1646"/>
      <c r="AP26" s="1646"/>
      <c r="AQ26" s="1647"/>
      <c r="AR26" s="1647"/>
      <c r="AS26" s="1647"/>
      <c r="AT26" s="1647"/>
      <c r="AU26" s="1647"/>
      <c r="AV26" s="1647"/>
      <c r="AW26" s="1647"/>
      <c r="AX26" s="1647"/>
      <c r="AY26" s="1647"/>
      <c r="AZ26" s="1647"/>
      <c r="BA26" s="1647"/>
      <c r="BB26" s="1647"/>
      <c r="BC26" s="1647"/>
      <c r="BD26" s="1647"/>
      <c r="BE26" s="1647"/>
      <c r="BF26" s="1647"/>
      <c r="BG26" s="1647"/>
      <c r="BH26" s="1648"/>
      <c r="BI26" s="1648"/>
      <c r="BJ26" s="1648"/>
      <c r="BK26" s="1648"/>
      <c r="BL26" s="1648"/>
      <c r="BM26" s="1648"/>
      <c r="BN26" s="1648"/>
      <c r="BO26" s="1648"/>
      <c r="BP26" s="1648"/>
      <c r="BQ26" s="1648"/>
      <c r="BR26" s="1648"/>
      <c r="BS26" s="1648"/>
      <c r="BT26" s="1648"/>
      <c r="BU26" s="1648"/>
      <c r="BV26" s="1648"/>
      <c r="BW26" s="1649"/>
      <c r="BX26" s="1649"/>
      <c r="BY26" s="1649"/>
      <c r="BZ26" s="1649"/>
      <c r="CA26" s="1649"/>
      <c r="CB26" s="1649"/>
      <c r="CC26" s="1649"/>
      <c r="CD26" s="1650"/>
      <c r="CE26" s="1650"/>
      <c r="CF26" s="1650"/>
      <c r="CG26" s="1651"/>
      <c r="CH26" s="1652"/>
      <c r="CI26" s="1652"/>
      <c r="CJ26" s="1652"/>
      <c r="CK26" s="1652"/>
      <c r="CL26" s="1652"/>
      <c r="CM26" s="1652"/>
      <c r="CN26" s="1652"/>
      <c r="CO26" s="1652"/>
      <c r="CP26" s="1652"/>
      <c r="CQ26" s="1652"/>
      <c r="CR26" s="1652"/>
      <c r="CS26" s="1652"/>
      <c r="CT26" s="1652"/>
      <c r="CU26" s="1652"/>
      <c r="CV26" s="1653"/>
      <c r="CW26" s="1653"/>
      <c r="CX26" s="1653"/>
      <c r="CY26" s="1653"/>
      <c r="CZ26" s="1653"/>
      <c r="DA26" s="1653"/>
      <c r="DB26" s="1653"/>
      <c r="DC26" s="1653"/>
      <c r="DD26" s="1653"/>
      <c r="DE26" s="1653"/>
      <c r="DF26" s="1653"/>
      <c r="DG26" s="1653"/>
      <c r="DH26" s="1653"/>
      <c r="DI26" s="1653"/>
      <c r="DJ26" s="1653"/>
    </row>
    <row r="27" spans="1:114" s="1575" customFormat="1" x14ac:dyDescent="0.25">
      <c r="A27" s="1562" t="s">
        <v>3472</v>
      </c>
      <c r="B27" s="1563">
        <v>218504</v>
      </c>
      <c r="C27" s="1563">
        <v>224119</v>
      </c>
      <c r="D27" s="1563">
        <v>228136</v>
      </c>
      <c r="E27" s="1563">
        <v>226594</v>
      </c>
      <c r="F27" s="1563">
        <v>231147</v>
      </c>
      <c r="G27" s="1563">
        <v>235129</v>
      </c>
      <c r="H27" s="1563">
        <v>239464</v>
      </c>
      <c r="I27" s="1563">
        <v>218381</v>
      </c>
      <c r="J27" s="1563">
        <v>220362</v>
      </c>
      <c r="K27" s="1563">
        <v>197884</v>
      </c>
      <c r="L27" s="1563">
        <v>196323</v>
      </c>
      <c r="M27" s="1563">
        <v>200345</v>
      </c>
      <c r="N27" s="1563">
        <v>204835</v>
      </c>
      <c r="O27" s="1563">
        <v>211679</v>
      </c>
      <c r="P27" s="1563">
        <v>216738</v>
      </c>
      <c r="Q27" s="1563">
        <v>225759</v>
      </c>
      <c r="R27" s="1563">
        <v>229500</v>
      </c>
      <c r="S27" s="1563">
        <v>234910</v>
      </c>
      <c r="T27" s="1563">
        <v>235346</v>
      </c>
      <c r="U27" s="1563">
        <v>234435</v>
      </c>
      <c r="V27" s="1563">
        <v>234949</v>
      </c>
      <c r="W27" s="1563">
        <v>237508</v>
      </c>
      <c r="X27" s="1563">
        <v>240808</v>
      </c>
      <c r="Y27" s="1563">
        <v>240601</v>
      </c>
      <c r="Z27" s="1563">
        <v>243965</v>
      </c>
      <c r="AA27" s="1563">
        <v>235627</v>
      </c>
      <c r="AB27" s="1563">
        <v>252507</v>
      </c>
      <c r="AC27" s="1563">
        <v>257288</v>
      </c>
      <c r="AD27" s="1563">
        <v>260171</v>
      </c>
      <c r="AE27" s="1563">
        <v>264655</v>
      </c>
      <c r="AF27" s="1563">
        <v>269188</v>
      </c>
      <c r="AG27" s="1563">
        <v>266521</v>
      </c>
      <c r="AH27" s="1563">
        <v>276104</v>
      </c>
      <c r="AI27" s="1563">
        <v>280712</v>
      </c>
      <c r="AJ27" s="1563">
        <v>285085</v>
      </c>
      <c r="AK27" s="1563">
        <v>288922</v>
      </c>
      <c r="AL27" s="1563">
        <v>294619</v>
      </c>
      <c r="AM27" s="1563">
        <v>299638</v>
      </c>
      <c r="AN27" s="1563">
        <v>217817</v>
      </c>
      <c r="AO27" s="1563">
        <v>300581</v>
      </c>
      <c r="AP27" s="1563">
        <v>278541</v>
      </c>
      <c r="AQ27" s="1563">
        <v>313550</v>
      </c>
      <c r="AR27" s="1564">
        <v>316850</v>
      </c>
      <c r="AS27" s="1564">
        <v>321076</v>
      </c>
      <c r="AT27" s="1564">
        <v>327319</v>
      </c>
      <c r="AU27" s="1564">
        <v>329258</v>
      </c>
      <c r="AV27" s="1564">
        <v>332711</v>
      </c>
      <c r="AW27" s="1564">
        <v>336839</v>
      </c>
      <c r="AX27" s="1564">
        <v>341151</v>
      </c>
      <c r="AY27" s="1564">
        <v>346276</v>
      </c>
      <c r="AZ27" s="1565">
        <v>350329</v>
      </c>
      <c r="BA27" s="1565">
        <v>350941</v>
      </c>
      <c r="BB27" s="1565">
        <v>356070</v>
      </c>
      <c r="BC27" s="1565">
        <v>361477</v>
      </c>
      <c r="BD27" s="1565">
        <v>368884</v>
      </c>
      <c r="BE27" s="1565">
        <v>366412</v>
      </c>
      <c r="BF27" s="1566">
        <v>345876</v>
      </c>
      <c r="BG27" s="1565">
        <v>349620</v>
      </c>
      <c r="BH27" s="1565">
        <v>355463</v>
      </c>
      <c r="BI27" s="1565">
        <v>360778</v>
      </c>
      <c r="BJ27" s="1565">
        <v>365140</v>
      </c>
      <c r="BK27" s="1565">
        <v>370891</v>
      </c>
      <c r="BL27" s="1565">
        <v>373385</v>
      </c>
      <c r="BM27" s="1565">
        <v>376192</v>
      </c>
      <c r="BN27" s="1565">
        <v>378131</v>
      </c>
      <c r="BO27" s="1565">
        <v>380447</v>
      </c>
      <c r="BP27" s="1565">
        <v>382733</v>
      </c>
      <c r="BQ27" s="1565">
        <v>384117</v>
      </c>
      <c r="BR27" s="1565">
        <v>385524</v>
      </c>
      <c r="BS27" s="1565">
        <v>387670</v>
      </c>
      <c r="BT27" s="1567">
        <v>389512</v>
      </c>
      <c r="BU27" s="1567">
        <v>390991</v>
      </c>
      <c r="BV27" s="1567">
        <v>396041</v>
      </c>
      <c r="BW27" s="1568">
        <v>400948</v>
      </c>
      <c r="BX27" s="1568">
        <v>408151</v>
      </c>
      <c r="BY27" s="1568">
        <f>415657+0</f>
        <v>415657</v>
      </c>
      <c r="BZ27" s="1568">
        <f>423453+150</f>
        <v>423603</v>
      </c>
      <c r="CA27" s="1601">
        <f>429831+162</f>
        <v>429993</v>
      </c>
      <c r="CB27" s="1601">
        <f>435931+167</f>
        <v>436098</v>
      </c>
      <c r="CC27" s="1601">
        <v>441213</v>
      </c>
      <c r="CD27" s="1602">
        <v>446245</v>
      </c>
      <c r="CE27" s="1602">
        <v>451203</v>
      </c>
      <c r="CF27" s="1602">
        <v>455689</v>
      </c>
      <c r="CG27" s="1655">
        <v>461502</v>
      </c>
      <c r="CH27" s="1604">
        <v>466635</v>
      </c>
      <c r="CI27" s="1656">
        <v>470190</v>
      </c>
      <c r="CJ27" s="1656">
        <v>475416</v>
      </c>
      <c r="CK27" s="1656">
        <v>481257</v>
      </c>
      <c r="CL27" s="1656">
        <v>486051</v>
      </c>
      <c r="CM27" s="1656">
        <v>491782</v>
      </c>
      <c r="CN27" s="1656">
        <v>497381</v>
      </c>
      <c r="CO27" s="1656">
        <v>502698</v>
      </c>
      <c r="CP27" s="1656">
        <v>507066</v>
      </c>
      <c r="CQ27" s="1656">
        <v>513510</v>
      </c>
      <c r="CR27" s="1656">
        <v>519023</v>
      </c>
      <c r="CS27" s="1656">
        <v>527498</v>
      </c>
      <c r="CT27" s="1656">
        <v>533446</v>
      </c>
      <c r="CU27" s="1656">
        <v>507325</v>
      </c>
      <c r="CV27" s="1657">
        <v>510726</v>
      </c>
      <c r="CW27" s="1657">
        <v>515289</v>
      </c>
      <c r="CX27" s="1657">
        <v>522816</v>
      </c>
      <c r="CY27" s="1657">
        <v>533344</v>
      </c>
      <c r="CZ27" s="1657">
        <v>540701</v>
      </c>
      <c r="DA27" s="1657">
        <v>548845</v>
      </c>
      <c r="DB27" s="1657">
        <v>552434</v>
      </c>
      <c r="DC27" s="1657">
        <v>556685</v>
      </c>
      <c r="DD27" s="1657">
        <v>561446</v>
      </c>
      <c r="DE27" s="1657">
        <v>565850</v>
      </c>
      <c r="DF27" s="1657">
        <v>570221</v>
      </c>
      <c r="DG27" s="1657">
        <v>574796</v>
      </c>
      <c r="DH27" s="1657">
        <v>577783</v>
      </c>
      <c r="DI27" s="1657">
        <v>582523</v>
      </c>
      <c r="DJ27" s="1657">
        <v>587878</v>
      </c>
    </row>
    <row r="28" spans="1:114" s="1654" customFormat="1" ht="19.5" thickBot="1" x14ac:dyDescent="0.3">
      <c r="A28" s="1658"/>
      <c r="B28" s="1659"/>
      <c r="C28" s="1659"/>
      <c r="D28" s="1659"/>
      <c r="E28" s="1659"/>
      <c r="F28" s="1659"/>
      <c r="G28" s="1659"/>
      <c r="H28" s="1659"/>
      <c r="I28" s="1659"/>
      <c r="J28" s="1659"/>
      <c r="K28" s="1659"/>
      <c r="L28" s="1659"/>
      <c r="M28" s="1659"/>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c r="AL28" s="1659"/>
      <c r="AM28" s="1659"/>
      <c r="AN28" s="1659"/>
      <c r="AO28" s="1659"/>
      <c r="AP28" s="1659"/>
      <c r="AQ28" s="1599"/>
      <c r="AR28" s="1599"/>
      <c r="AS28" s="1599"/>
      <c r="AT28" s="1599"/>
      <c r="AU28" s="1599"/>
      <c r="AV28" s="1599"/>
      <c r="AW28" s="1599"/>
      <c r="AX28" s="1599"/>
      <c r="AY28" s="1599"/>
      <c r="AZ28" s="1599"/>
      <c r="BA28" s="1599"/>
      <c r="BB28" s="1599"/>
      <c r="BC28" s="1599"/>
      <c r="BD28" s="1599"/>
      <c r="BE28" s="1599"/>
      <c r="BF28" s="1599"/>
      <c r="BG28" s="1599"/>
      <c r="BH28" s="1660"/>
      <c r="BI28" s="1660"/>
      <c r="BJ28" s="1660"/>
      <c r="BK28" s="1660"/>
      <c r="BL28" s="1660"/>
      <c r="BM28" s="1660"/>
      <c r="BN28" s="1660"/>
      <c r="BO28" s="1660"/>
      <c r="BP28" s="1660"/>
      <c r="BQ28" s="1660"/>
      <c r="BR28" s="1599"/>
      <c r="BS28" s="1599"/>
      <c r="BT28" s="1599"/>
      <c r="BU28" s="1599"/>
      <c r="BV28" s="1599"/>
      <c r="BW28" s="1661"/>
      <c r="BX28" s="1661"/>
      <c r="BY28" s="1661"/>
      <c r="BZ28" s="1661"/>
      <c r="CA28" s="1661"/>
      <c r="CB28" s="1661"/>
      <c r="CC28" s="1661"/>
      <c r="CD28" s="1662"/>
      <c r="CE28" s="1662"/>
      <c r="CF28" s="1662"/>
      <c r="CG28" s="1663"/>
      <c r="CH28" s="1599"/>
      <c r="CI28" s="1599"/>
      <c r="CJ28" s="1599"/>
      <c r="CK28" s="1599"/>
      <c r="CL28" s="1599"/>
      <c r="CM28" s="1599"/>
      <c r="CN28" s="1599"/>
      <c r="CO28" s="1599"/>
      <c r="CP28" s="1599"/>
      <c r="CQ28" s="1599"/>
      <c r="CR28" s="1599"/>
      <c r="CS28" s="1599"/>
      <c r="CT28" s="1599"/>
      <c r="CU28" s="1599"/>
      <c r="CV28" s="1664"/>
      <c r="CW28" s="1664"/>
      <c r="CX28" s="1664"/>
      <c r="CY28" s="1664"/>
      <c r="CZ28" s="1664"/>
      <c r="DA28" s="1664"/>
      <c r="DB28" s="1664"/>
      <c r="DC28" s="1664"/>
      <c r="DD28" s="1664"/>
      <c r="DE28" s="1664"/>
      <c r="DF28" s="1664"/>
      <c r="DG28" s="1664"/>
      <c r="DH28" s="1664"/>
      <c r="DI28" s="1664"/>
      <c r="DJ28" s="1664"/>
    </row>
    <row r="29" spans="1:114" s="1654" customFormat="1" ht="19.5" thickTop="1" x14ac:dyDescent="0.25">
      <c r="A29" s="1658" t="s">
        <v>3445</v>
      </c>
      <c r="B29" s="1665">
        <v>238413</v>
      </c>
      <c r="C29" s="1665">
        <v>238093</v>
      </c>
      <c r="D29" s="1665">
        <v>261162</v>
      </c>
      <c r="E29" s="1665">
        <v>277292</v>
      </c>
      <c r="F29" s="1665">
        <v>283585</v>
      </c>
      <c r="G29" s="1665">
        <v>266059</v>
      </c>
      <c r="H29" s="1665">
        <v>290958</v>
      </c>
      <c r="I29" s="1665">
        <v>283367</v>
      </c>
      <c r="J29" s="1665">
        <v>264927</v>
      </c>
      <c r="K29" s="1665">
        <v>315412</v>
      </c>
      <c r="L29" s="1665">
        <v>295863</v>
      </c>
      <c r="M29" s="1665">
        <v>392058</v>
      </c>
      <c r="N29" s="1665">
        <v>351065</v>
      </c>
      <c r="O29" s="1665">
        <v>327122</v>
      </c>
      <c r="P29" s="1665">
        <v>380181</v>
      </c>
      <c r="Q29" s="1665">
        <v>385013</v>
      </c>
      <c r="R29" s="1665">
        <v>366954</v>
      </c>
      <c r="S29" s="1665">
        <v>406022</v>
      </c>
      <c r="T29" s="1665">
        <v>392209</v>
      </c>
      <c r="U29" s="1665">
        <v>375620</v>
      </c>
      <c r="V29" s="1665">
        <v>410190</v>
      </c>
      <c r="W29" s="1665">
        <v>398849</v>
      </c>
      <c r="X29" s="1665">
        <v>525624</v>
      </c>
      <c r="Y29" s="1665">
        <v>402112</v>
      </c>
      <c r="Z29" s="1665">
        <v>375413</v>
      </c>
      <c r="AA29" s="1665">
        <v>422037</v>
      </c>
      <c r="AB29" s="1665">
        <v>435923</v>
      </c>
      <c r="AC29" s="1665">
        <v>441066</v>
      </c>
      <c r="AD29" s="1665">
        <v>420177</v>
      </c>
      <c r="AE29" s="1665">
        <v>454337</v>
      </c>
      <c r="AF29" s="1665">
        <v>481938</v>
      </c>
      <c r="AG29" s="1665">
        <v>466579</v>
      </c>
      <c r="AH29" s="1665">
        <v>504400</v>
      </c>
      <c r="AI29" s="1665">
        <v>500404</v>
      </c>
      <c r="AJ29" s="1665">
        <v>614221</v>
      </c>
      <c r="AK29" s="1665">
        <v>506560</v>
      </c>
      <c r="AL29" s="1665">
        <v>482473</v>
      </c>
      <c r="AM29" s="1665">
        <v>540918</v>
      </c>
      <c r="AN29" s="1665">
        <v>534150</v>
      </c>
      <c r="AO29" s="1665">
        <v>545998</v>
      </c>
      <c r="AP29" s="1665">
        <v>533719</v>
      </c>
      <c r="AQ29" s="1599">
        <v>559970</v>
      </c>
      <c r="AR29" s="1599">
        <v>538596</v>
      </c>
      <c r="AS29" s="1599">
        <v>542153</v>
      </c>
      <c r="AT29" s="1599">
        <v>605573</v>
      </c>
      <c r="AU29" s="1599">
        <v>513673</v>
      </c>
      <c r="AV29" s="1599">
        <v>752770</v>
      </c>
      <c r="AW29" s="1599">
        <v>566194</v>
      </c>
      <c r="AX29" s="1599">
        <v>550438</v>
      </c>
      <c r="AY29" s="1599">
        <v>588246</v>
      </c>
      <c r="AZ29" s="1599">
        <v>580411</v>
      </c>
      <c r="BA29" s="1599">
        <v>601131</v>
      </c>
      <c r="BB29" s="1599">
        <v>582876</v>
      </c>
      <c r="BC29" s="1599">
        <v>626682</v>
      </c>
      <c r="BD29" s="1599">
        <v>584459</v>
      </c>
      <c r="BE29" s="1599">
        <v>573380</v>
      </c>
      <c r="BF29" s="1599">
        <v>604324</v>
      </c>
      <c r="BG29" s="1599">
        <v>607626</v>
      </c>
      <c r="BH29" s="1599">
        <v>830011</v>
      </c>
      <c r="BI29" s="1599">
        <v>605621</v>
      </c>
      <c r="BJ29" s="1599">
        <v>569487</v>
      </c>
      <c r="BK29" s="1599">
        <v>670574</v>
      </c>
      <c r="BL29" s="1599">
        <v>266338</v>
      </c>
      <c r="BM29" s="1599">
        <v>318235</v>
      </c>
      <c r="BN29" s="1599">
        <v>303887</v>
      </c>
      <c r="BO29" s="1599">
        <v>314580</v>
      </c>
      <c r="BP29" s="1599">
        <v>326762</v>
      </c>
      <c r="BQ29" s="1599">
        <v>316572</v>
      </c>
      <c r="BR29" s="1666">
        <v>361881</v>
      </c>
      <c r="BS29" s="1666">
        <v>331503</v>
      </c>
      <c r="BT29" s="1666">
        <v>381939</v>
      </c>
      <c r="BU29" s="1666">
        <v>310069</v>
      </c>
      <c r="BV29" s="1666">
        <v>315736</v>
      </c>
      <c r="BW29" s="1667">
        <v>410150</v>
      </c>
      <c r="BX29" s="1667">
        <v>343213</v>
      </c>
      <c r="BY29" s="1667">
        <f>364022+59</f>
        <v>364081</v>
      </c>
      <c r="BZ29" s="1667">
        <f>346906+46</f>
        <v>346952</v>
      </c>
      <c r="CA29" s="1667">
        <f>384232+61</f>
        <v>384293</v>
      </c>
      <c r="CB29" s="1667">
        <f>382381+45</f>
        <v>382426</v>
      </c>
      <c r="CC29" s="1667">
        <v>347187</v>
      </c>
      <c r="CD29" s="1668">
        <v>434379</v>
      </c>
      <c r="CE29" s="1668">
        <v>392034</v>
      </c>
      <c r="CF29" s="1668">
        <v>471570</v>
      </c>
      <c r="CG29" s="1669">
        <v>382403</v>
      </c>
      <c r="CH29" s="1666">
        <v>359646</v>
      </c>
      <c r="CI29" s="1670">
        <v>401041</v>
      </c>
      <c r="CJ29" s="1670">
        <v>432695</v>
      </c>
      <c r="CK29" s="1670">
        <v>436769</v>
      </c>
      <c r="CL29" s="1670">
        <v>391463</v>
      </c>
      <c r="CM29" s="1670">
        <v>460398</v>
      </c>
      <c r="CN29" s="1670">
        <v>438998</v>
      </c>
      <c r="CO29" s="1670">
        <v>434788</v>
      </c>
      <c r="CP29" s="1670">
        <v>481794</v>
      </c>
      <c r="CQ29" s="1670">
        <v>454131</v>
      </c>
      <c r="CR29" s="1670">
        <v>550557</v>
      </c>
      <c r="CS29" s="1670">
        <v>452332</v>
      </c>
      <c r="CT29" s="1670">
        <v>408965</v>
      </c>
      <c r="CU29" s="1670">
        <v>436592</v>
      </c>
      <c r="CV29" s="1671">
        <v>408663</v>
      </c>
      <c r="CW29" s="1671">
        <v>472585</v>
      </c>
      <c r="CX29" s="1671">
        <v>505108</v>
      </c>
      <c r="CY29" s="1671">
        <v>531608</v>
      </c>
      <c r="CZ29" s="1671">
        <v>501235</v>
      </c>
      <c r="DA29" s="1671">
        <v>514431</v>
      </c>
      <c r="DB29" s="1671">
        <v>539160</v>
      </c>
      <c r="DC29" s="1671">
        <v>519467</v>
      </c>
      <c r="DD29" s="1671">
        <v>659097</v>
      </c>
      <c r="DE29" s="1671">
        <v>457860</v>
      </c>
      <c r="DF29" s="1671">
        <v>468561</v>
      </c>
      <c r="DG29" s="1671">
        <v>512339</v>
      </c>
      <c r="DH29" s="1671">
        <v>509762</v>
      </c>
      <c r="DI29" s="1671">
        <v>558318</v>
      </c>
      <c r="DJ29" s="1671">
        <v>565232</v>
      </c>
    </row>
    <row r="30" spans="1:114" s="1654" customFormat="1" x14ac:dyDescent="0.25">
      <c r="A30" s="1658" t="s">
        <v>3473</v>
      </c>
      <c r="B30" s="1599">
        <v>43475.962768999998</v>
      </c>
      <c r="C30" s="1599">
        <v>53599.680598999999</v>
      </c>
      <c r="D30" s="1599">
        <v>50754</v>
      </c>
      <c r="E30" s="1599">
        <v>44273.632428999998</v>
      </c>
      <c r="F30" s="1599">
        <v>56415.093000000001</v>
      </c>
      <c r="G30" s="1599">
        <v>69886.773830000006</v>
      </c>
      <c r="H30" s="1599">
        <v>95686.427930000005</v>
      </c>
      <c r="I30" s="1599">
        <v>99053.420203000001</v>
      </c>
      <c r="J30" s="1599">
        <v>109788.97238200001</v>
      </c>
      <c r="K30" s="1599">
        <v>94589.501147999996</v>
      </c>
      <c r="L30" s="1599">
        <v>111014.214874</v>
      </c>
      <c r="M30" s="1599">
        <v>135896.03765000001</v>
      </c>
      <c r="N30" s="1599">
        <v>91072.939985999998</v>
      </c>
      <c r="O30" s="1599">
        <v>105733.91310200001</v>
      </c>
      <c r="P30" s="1599">
        <v>156737.17344799999</v>
      </c>
      <c r="Q30" s="1599">
        <v>88654.171180000005</v>
      </c>
      <c r="R30" s="1599">
        <v>123315.401</v>
      </c>
      <c r="S30" s="1599">
        <v>110439.07325723401</v>
      </c>
      <c r="T30" s="1599">
        <v>83870.612330999997</v>
      </c>
      <c r="U30" s="1599">
        <v>131569.13808400001</v>
      </c>
      <c r="V30" s="1599">
        <v>105040.50852712478</v>
      </c>
      <c r="W30" s="1599">
        <v>84908.775735624222</v>
      </c>
      <c r="X30" s="1599">
        <v>187514.1931471756</v>
      </c>
      <c r="Y30" s="1599">
        <v>117692.056832556</v>
      </c>
      <c r="Z30" s="1599">
        <v>82396.713636</v>
      </c>
      <c r="AA30" s="1599">
        <v>104323</v>
      </c>
      <c r="AB30" s="1599">
        <v>97269</v>
      </c>
      <c r="AC30" s="1599">
        <v>126271.62020400001</v>
      </c>
      <c r="AD30" s="1599">
        <v>179424.24770530299</v>
      </c>
      <c r="AE30" s="1599">
        <v>143778.00127400001</v>
      </c>
      <c r="AF30" s="1599">
        <v>126622.30538200001</v>
      </c>
      <c r="AG30" s="1599">
        <v>146464.13355699999</v>
      </c>
      <c r="AH30" s="1599">
        <v>159790.540978</v>
      </c>
      <c r="AI30" s="1599">
        <v>201645.420835</v>
      </c>
      <c r="AJ30" s="1599">
        <v>268652.59542799997</v>
      </c>
      <c r="AK30" s="1599">
        <v>177035.007265758</v>
      </c>
      <c r="AL30" s="1599">
        <v>213554.44691599999</v>
      </c>
      <c r="AM30" s="1599">
        <f>254231630497.023/1000000</f>
        <v>254231.630497023</v>
      </c>
      <c r="AN30" s="1599">
        <v>212520</v>
      </c>
      <c r="AO30" s="1599">
        <v>170706.24584941001</v>
      </c>
      <c r="AP30" s="1599">
        <v>267765.77055000002</v>
      </c>
      <c r="AQ30" s="1599">
        <v>229795</v>
      </c>
      <c r="AR30" s="1599">
        <v>208017</v>
      </c>
      <c r="AS30" s="1599">
        <v>214494.343333</v>
      </c>
      <c r="AT30" s="1599">
        <v>190866</v>
      </c>
      <c r="AU30" s="1599">
        <v>203633</v>
      </c>
      <c r="AV30" s="1599">
        <v>351154.71471042</v>
      </c>
      <c r="AW30" s="1599">
        <v>181541.17812525001</v>
      </c>
      <c r="AX30" s="1599">
        <v>170732</v>
      </c>
      <c r="AY30" s="1599">
        <v>231749</v>
      </c>
      <c r="AZ30" s="1599">
        <v>168293</v>
      </c>
      <c r="BA30" s="1599">
        <v>234637.17565963001</v>
      </c>
      <c r="BB30" s="1599">
        <v>369827</v>
      </c>
      <c r="BC30" s="1599">
        <v>223513.18693299999</v>
      </c>
      <c r="BD30" s="1599">
        <v>245973</v>
      </c>
      <c r="BE30" s="1599">
        <v>287574</v>
      </c>
      <c r="BF30" s="1599">
        <v>249802.531403</v>
      </c>
      <c r="BG30" s="1599">
        <v>218255</v>
      </c>
      <c r="BH30" s="1599">
        <v>311998.57844089001</v>
      </c>
      <c r="BI30" s="1599">
        <v>231406</v>
      </c>
      <c r="BJ30" s="1599">
        <v>222901.55628799999</v>
      </c>
      <c r="BK30" s="1599">
        <v>471003</v>
      </c>
      <c r="BL30" s="1599">
        <v>284167.12</v>
      </c>
      <c r="BM30" s="1599">
        <v>296991</v>
      </c>
      <c r="BN30" s="1599">
        <v>380672.972014</v>
      </c>
      <c r="BO30" s="1599">
        <v>300937</v>
      </c>
      <c r="BP30" s="1599">
        <v>259888</v>
      </c>
      <c r="BQ30" s="1599">
        <v>313890</v>
      </c>
      <c r="BR30" s="1599">
        <v>296575</v>
      </c>
      <c r="BS30" s="1599">
        <v>398609</v>
      </c>
      <c r="BT30" s="1599">
        <v>401639</v>
      </c>
      <c r="BU30" s="1599">
        <v>289071</v>
      </c>
      <c r="BV30" s="1599">
        <v>270262</v>
      </c>
      <c r="BW30" s="1661">
        <v>388353</v>
      </c>
      <c r="BX30" s="1661">
        <v>292056</v>
      </c>
      <c r="BY30" s="1661">
        <f>311292+2</f>
        <v>311294</v>
      </c>
      <c r="BZ30" s="1661">
        <f>373884+2</f>
        <v>373886</v>
      </c>
      <c r="CA30" s="1661">
        <f>298804+2</f>
        <v>298806</v>
      </c>
      <c r="CB30" s="1661">
        <f>339210+2</f>
        <v>339212</v>
      </c>
      <c r="CC30" s="1661">
        <v>321597.18747480999</v>
      </c>
      <c r="CD30" s="1662">
        <v>329309.60892481002</v>
      </c>
      <c r="CE30" s="1662">
        <v>365251.01750399999</v>
      </c>
      <c r="CF30" s="1662">
        <v>354528.76387930999</v>
      </c>
      <c r="CG30" s="1663">
        <v>291526.25022301002</v>
      </c>
      <c r="CH30" s="1599">
        <v>237998.66055085001</v>
      </c>
      <c r="CI30" s="1599">
        <v>372384.59347870998</v>
      </c>
      <c r="CJ30" s="1599">
        <v>364550.99874079</v>
      </c>
      <c r="CK30" s="1599">
        <v>402105.84243333002</v>
      </c>
      <c r="CL30" s="1599">
        <v>354387</v>
      </c>
      <c r="CM30" s="1599">
        <v>324103.61021134997</v>
      </c>
      <c r="CN30" s="1599">
        <v>357967</v>
      </c>
      <c r="CO30" s="1599">
        <v>332116</v>
      </c>
      <c r="CP30" s="1599">
        <v>365609</v>
      </c>
      <c r="CQ30" s="1599">
        <v>431376</v>
      </c>
      <c r="CR30" s="1599">
        <v>474224</v>
      </c>
      <c r="CS30" s="1599">
        <v>336348</v>
      </c>
      <c r="CT30" s="1599">
        <v>300965.07863276004</v>
      </c>
      <c r="CU30" s="1599">
        <v>527479.36687073996</v>
      </c>
      <c r="CV30" s="1664">
        <v>332659</v>
      </c>
      <c r="CW30" s="1664">
        <v>264758</v>
      </c>
      <c r="CX30" s="1664">
        <v>357594</v>
      </c>
      <c r="CY30" s="1664">
        <v>358694</v>
      </c>
      <c r="CZ30" s="1664">
        <v>270862</v>
      </c>
      <c r="DA30" s="1664">
        <v>351200</v>
      </c>
      <c r="DB30" s="1664">
        <v>400406</v>
      </c>
      <c r="DC30" s="1664">
        <v>381424</v>
      </c>
      <c r="DD30" s="1664">
        <v>738638</v>
      </c>
      <c r="DE30" s="1664">
        <v>398739</v>
      </c>
      <c r="DF30" s="1664">
        <v>339677.39508828003</v>
      </c>
      <c r="DG30" s="1664">
        <v>678284.10450383998</v>
      </c>
      <c r="DH30" s="1664">
        <v>552198.35734986002</v>
      </c>
      <c r="DI30" s="1664">
        <v>470998.38149404997</v>
      </c>
      <c r="DJ30" s="1664">
        <v>721580.89309058001</v>
      </c>
    </row>
    <row r="31" spans="1:114" s="1654" customFormat="1" ht="19.5" thickBot="1" x14ac:dyDescent="0.3">
      <c r="A31" s="1672" t="s">
        <v>3474</v>
      </c>
      <c r="B31" s="1673">
        <v>43475.962</v>
      </c>
      <c r="C31" s="1673">
        <v>48537.821684000002</v>
      </c>
      <c r="D31" s="1673">
        <v>49277</v>
      </c>
      <c r="E31" s="1673">
        <v>48025.854202000002</v>
      </c>
      <c r="F31" s="1673">
        <v>49703.701975999997</v>
      </c>
      <c r="G31" s="1673">
        <v>53067.547285000001</v>
      </c>
      <c r="H31" s="1673">
        <v>59155.958806000002</v>
      </c>
      <c r="I31" s="1673">
        <v>64143.141479999998</v>
      </c>
      <c r="J31" s="1673">
        <v>69214.900469</v>
      </c>
      <c r="K31" s="1673">
        <v>71752.360537</v>
      </c>
      <c r="L31" s="1673">
        <v>75321.620022000003</v>
      </c>
      <c r="M31" s="1673">
        <v>80369.488157999993</v>
      </c>
      <c r="N31" s="1673">
        <v>91072.939985999998</v>
      </c>
      <c r="O31" s="1673">
        <v>98403.426544000002</v>
      </c>
      <c r="P31" s="1673">
        <v>117848.008845</v>
      </c>
      <c r="Q31" s="1673">
        <v>115113.088988</v>
      </c>
      <c r="R31" s="1673">
        <v>116480.074398</v>
      </c>
      <c r="S31" s="1673">
        <v>115617.07399999999</v>
      </c>
      <c r="T31" s="1673">
        <v>111648.766497</v>
      </c>
      <c r="U31" s="1673">
        <v>113862.141118</v>
      </c>
      <c r="V31" s="1673">
        <v>112979.97785884212</v>
      </c>
      <c r="W31" s="1673">
        <v>110428.05039309504</v>
      </c>
      <c r="X31" s="1673">
        <v>116851.89562260175</v>
      </c>
      <c r="Y31" s="1673">
        <v>117692.05683255615</v>
      </c>
      <c r="Z31" s="1673">
        <v>100044.38523428794</v>
      </c>
      <c r="AA31" s="1673">
        <v>101471</v>
      </c>
      <c r="AB31" s="1673">
        <v>100420</v>
      </c>
      <c r="AC31" s="1673">
        <v>105590.64532</v>
      </c>
      <c r="AD31" s="1673">
        <v>117896.24571768557</v>
      </c>
      <c r="AE31" s="1673">
        <v>121593.60000000001</v>
      </c>
      <c r="AF31" s="1673">
        <v>122222.22262</v>
      </c>
      <c r="AG31" s="1673">
        <v>124915.768279893</v>
      </c>
      <c r="AH31" s="1673">
        <v>128403.24555000001</v>
      </c>
      <c r="AI31" s="1673">
        <v>135061.62512099999</v>
      </c>
      <c r="AJ31" s="1673">
        <v>146194.20597995099</v>
      </c>
      <c r="AK31" s="1673">
        <v>177035.007265758</v>
      </c>
      <c r="AL31" s="1673">
        <v>195294.72709080801</v>
      </c>
      <c r="AM31" s="1673">
        <v>214940</v>
      </c>
      <c r="AN31" s="1673">
        <v>214335</v>
      </c>
      <c r="AO31" s="1673">
        <v>205609</v>
      </c>
      <c r="AP31" s="1673">
        <v>215968.851</v>
      </c>
      <c r="AQ31" s="1673">
        <v>217944</v>
      </c>
      <c r="AR31" s="1673">
        <v>216703</v>
      </c>
      <c r="AS31" s="1673">
        <v>216457.7</v>
      </c>
      <c r="AT31" s="1673">
        <v>213899</v>
      </c>
      <c r="AU31" s="1673">
        <v>212965</v>
      </c>
      <c r="AV31" s="1673">
        <v>224481.08805775986</v>
      </c>
      <c r="AW31" s="1673">
        <v>181541.17812525001</v>
      </c>
      <c r="AX31" s="1673">
        <v>176137</v>
      </c>
      <c r="AY31" s="1673">
        <v>194674</v>
      </c>
      <c r="AZ31" s="1673">
        <v>188079</v>
      </c>
      <c r="BA31" s="1673">
        <v>197391</v>
      </c>
      <c r="BB31" s="1673">
        <v>226130</v>
      </c>
      <c r="BC31" s="1673">
        <v>225756.2</v>
      </c>
      <c r="BD31" s="1673">
        <v>228283</v>
      </c>
      <c r="BE31" s="1673">
        <v>234871</v>
      </c>
      <c r="BF31" s="1673">
        <v>236364.23817</v>
      </c>
      <c r="BG31" s="1673">
        <v>234718</v>
      </c>
      <c r="BH31" s="1673">
        <v>241157.990483</v>
      </c>
      <c r="BI31" s="1673">
        <v>231406</v>
      </c>
      <c r="BJ31" s="1673">
        <v>227153</v>
      </c>
      <c r="BK31" s="1673">
        <v>308437</v>
      </c>
      <c r="BL31" s="1673">
        <v>302369.43099999998</v>
      </c>
      <c r="BM31" s="1673">
        <v>301293.80719001801</v>
      </c>
      <c r="BN31" s="1673">
        <v>314523.66799400002</v>
      </c>
      <c r="BO31" s="1673">
        <v>312583</v>
      </c>
      <c r="BP31" s="1673">
        <v>305996</v>
      </c>
      <c r="BQ31" s="1673">
        <v>306873</v>
      </c>
      <c r="BR31" s="1673">
        <v>305843.20000000001</v>
      </c>
      <c r="BS31" s="1673">
        <v>314276</v>
      </c>
      <c r="BT31" s="1674">
        <v>321557</v>
      </c>
      <c r="BU31" s="1674">
        <v>289071</v>
      </c>
      <c r="BV31" s="1674">
        <v>279667</v>
      </c>
      <c r="BW31" s="1675">
        <v>315896</v>
      </c>
      <c r="BX31" s="1675">
        <v>309936</v>
      </c>
      <c r="BY31" s="1676">
        <v>310207.41610210802</v>
      </c>
      <c r="BZ31" s="1676">
        <v>320820.54713720502</v>
      </c>
      <c r="CA31" s="1676">
        <v>317675.62236045714</v>
      </c>
      <c r="CB31" s="1676">
        <v>320367.69940505625</v>
      </c>
      <c r="CC31" s="1675">
        <v>320503</v>
      </c>
      <c r="CD31" s="1677">
        <v>321384.83916400699</v>
      </c>
      <c r="CE31" s="1677">
        <v>325372.67355854198</v>
      </c>
      <c r="CF31" s="1677">
        <v>327802.34775193903</v>
      </c>
      <c r="CG31" s="1678">
        <v>291526.25022301002</v>
      </c>
      <c r="CH31" s="1679">
        <v>264762.45538692997</v>
      </c>
      <c r="CI31" s="1679">
        <v>300636.50141752302</v>
      </c>
      <c r="CJ31" s="1679">
        <v>316615.12574833998</v>
      </c>
      <c r="CK31" s="1679">
        <v>333713.26908533799</v>
      </c>
      <c r="CL31" s="1679">
        <v>337159</v>
      </c>
      <c r="CM31" s="1679">
        <v>335293.81808035</v>
      </c>
      <c r="CN31" s="1679">
        <v>338128</v>
      </c>
      <c r="CO31" s="1679">
        <v>337460</v>
      </c>
      <c r="CP31" s="1679">
        <v>340275</v>
      </c>
      <c r="CQ31" s="1679">
        <v>348557</v>
      </c>
      <c r="CR31" s="1679">
        <v>359029</v>
      </c>
      <c r="CS31" s="1679">
        <v>336348</v>
      </c>
      <c r="CT31" s="1679">
        <v>318656.68929003505</v>
      </c>
      <c r="CU31" s="1679">
        <v>388264.14850116667</v>
      </c>
      <c r="CV31" s="1680">
        <v>374363</v>
      </c>
      <c r="CW31" s="1680">
        <v>352442</v>
      </c>
      <c r="CX31" s="1680">
        <v>353301</v>
      </c>
      <c r="CY31" s="1680">
        <v>354071</v>
      </c>
      <c r="CZ31" s="1680">
        <v>343670</v>
      </c>
      <c r="DA31" s="1680">
        <v>344507</v>
      </c>
      <c r="DB31" s="1680">
        <v>350097</v>
      </c>
      <c r="DC31" s="1680">
        <v>352945</v>
      </c>
      <c r="DD31" s="1680">
        <v>385086</v>
      </c>
      <c r="DE31" s="1680">
        <v>398739</v>
      </c>
      <c r="DF31" s="1680">
        <v>369208.21791816002</v>
      </c>
      <c r="DG31" s="1680">
        <v>472233.51344672003</v>
      </c>
      <c r="DH31" s="1680">
        <v>492224.72442250501</v>
      </c>
      <c r="DI31" s="1680">
        <v>487979.45583681396</v>
      </c>
      <c r="DJ31" s="1680">
        <v>526913.02871244168</v>
      </c>
    </row>
    <row r="32" spans="1:114" s="1637" customFormat="1" ht="19.5" thickTop="1" x14ac:dyDescent="0.25">
      <c r="A32" s="1635" t="s">
        <v>3475</v>
      </c>
      <c r="B32" s="1636"/>
      <c r="C32" s="1636"/>
      <c r="D32" s="1636"/>
      <c r="E32" s="1636"/>
      <c r="F32" s="1636"/>
      <c r="G32" s="1636"/>
      <c r="H32" s="1636"/>
      <c r="I32" s="1636"/>
      <c r="J32" s="1636"/>
      <c r="K32" s="1636"/>
      <c r="L32" s="1636"/>
      <c r="M32" s="1636"/>
      <c r="N32" s="1636"/>
      <c r="O32" s="1636"/>
      <c r="P32" s="1636"/>
      <c r="Q32" s="1636"/>
      <c r="R32" s="1636"/>
      <c r="S32" s="1636"/>
      <c r="T32" s="1636"/>
      <c r="U32" s="1636"/>
      <c r="V32" s="1636"/>
      <c r="W32" s="1636"/>
      <c r="X32" s="1636"/>
      <c r="Y32" s="1636"/>
      <c r="Z32" s="1636"/>
      <c r="AA32" s="1636"/>
      <c r="AB32" s="1636"/>
      <c r="AC32" s="1636"/>
      <c r="AD32" s="1636"/>
      <c r="AE32" s="1636"/>
      <c r="AF32" s="1636"/>
      <c r="AG32" s="1636"/>
      <c r="AH32" s="1636"/>
      <c r="AI32" s="1636"/>
      <c r="AJ32" s="1636"/>
      <c r="AK32" s="1636"/>
      <c r="AL32" s="1636"/>
      <c r="AM32" s="1636"/>
      <c r="AN32" s="1636"/>
      <c r="AO32" s="1636"/>
      <c r="AP32" s="1636"/>
      <c r="AQ32" s="1636"/>
      <c r="AR32" s="1636"/>
      <c r="AS32" s="1636"/>
      <c r="AT32" s="1636"/>
      <c r="AU32" s="1636"/>
      <c r="AV32" s="1636"/>
      <c r="AW32" s="1636"/>
      <c r="AX32" s="1636"/>
      <c r="AY32" s="1636"/>
      <c r="AZ32" s="1636"/>
      <c r="BA32" s="1636"/>
      <c r="BB32" s="1636"/>
      <c r="BC32" s="1636"/>
      <c r="BD32" s="1636"/>
      <c r="BE32" s="1636"/>
      <c r="BF32" s="1636"/>
      <c r="BG32" s="1636"/>
      <c r="BH32" s="1636"/>
      <c r="BI32" s="1636"/>
      <c r="BJ32" s="1636"/>
      <c r="BK32" s="1636"/>
      <c r="BL32" s="1636"/>
      <c r="BM32" s="1636"/>
      <c r="BN32" s="1636"/>
      <c r="BO32" s="1636"/>
      <c r="BP32" s="1636"/>
      <c r="BQ32" s="1636"/>
      <c r="BT32" s="1636"/>
      <c r="BU32" s="1636"/>
      <c r="BV32" s="1636"/>
      <c r="BW32" s="1638"/>
      <c r="BX32" s="1638"/>
      <c r="BY32" s="1638"/>
      <c r="BZ32" s="1638"/>
      <c r="CA32" s="1638"/>
      <c r="CB32" s="1638"/>
      <c r="CC32" s="1638"/>
      <c r="CD32" s="1638"/>
      <c r="CE32" s="1638"/>
      <c r="CF32" s="1638"/>
      <c r="CG32" s="1638"/>
      <c r="CH32" s="1638"/>
      <c r="CI32" s="1638"/>
      <c r="CJ32" s="1638"/>
      <c r="CK32" s="1638"/>
      <c r="CL32" s="1638"/>
      <c r="CM32" s="1638"/>
      <c r="CN32" s="1638"/>
      <c r="CO32" s="1638"/>
      <c r="CP32" s="1638"/>
      <c r="CQ32" s="1638"/>
      <c r="CR32" s="1638"/>
      <c r="CS32" s="1638"/>
      <c r="CT32" s="1638"/>
      <c r="CU32" s="1638"/>
      <c r="CV32" s="1638"/>
      <c r="CW32" s="1638"/>
      <c r="CX32" s="1638"/>
      <c r="CY32" s="1638"/>
      <c r="CZ32" s="1638"/>
      <c r="DA32" s="1638"/>
      <c r="DB32" s="1638"/>
      <c r="DC32" s="1638"/>
      <c r="DD32" s="1638"/>
      <c r="DE32" s="1638"/>
      <c r="DF32" s="1638"/>
      <c r="DG32" s="1638"/>
      <c r="DH32" s="1638"/>
      <c r="DI32" s="1638"/>
      <c r="DJ32" s="1638"/>
    </row>
    <row r="33" spans="1:114" x14ac:dyDescent="0.35">
      <c r="BO33" s="1681"/>
      <c r="CB33" s="1547"/>
      <c r="CC33" s="1547"/>
    </row>
    <row r="34" spans="1:114" s="1549" customFormat="1" x14ac:dyDescent="0.35">
      <c r="A34" s="1682" t="s">
        <v>3476</v>
      </c>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1545"/>
      <c r="AO34" s="1545"/>
      <c r="AP34" s="1545"/>
      <c r="AQ34" s="1545"/>
      <c r="AR34" s="1545"/>
      <c r="AS34" s="1545"/>
      <c r="AT34" s="1545"/>
      <c r="AU34" s="1545"/>
      <c r="AV34" s="1545"/>
      <c r="AW34" s="1545"/>
      <c r="AX34" s="1545"/>
      <c r="AY34" s="1545"/>
      <c r="AZ34" s="1545"/>
      <c r="BA34" s="1545"/>
      <c r="BB34" s="1545"/>
      <c r="BC34" s="1545"/>
      <c r="BD34" s="1545"/>
      <c r="BE34" s="1545"/>
      <c r="BF34" s="1545"/>
      <c r="BG34" s="1545"/>
      <c r="BH34" s="1545"/>
      <c r="BI34" s="1545"/>
      <c r="BJ34" s="1545"/>
      <c r="BK34" s="1545"/>
      <c r="BL34" s="1545"/>
      <c r="BM34" s="1545"/>
      <c r="BN34" s="1545"/>
      <c r="BO34" s="1545"/>
      <c r="BP34" s="1545"/>
      <c r="BQ34" s="1545"/>
      <c r="BR34" s="1545"/>
      <c r="BS34" s="1545"/>
      <c r="BT34" s="1545"/>
      <c r="BU34" s="1545"/>
      <c r="BV34" s="1545"/>
      <c r="BW34" s="1546"/>
      <c r="BX34" s="1546"/>
      <c r="BY34" s="1546"/>
      <c r="BZ34" s="1547"/>
      <c r="CA34" s="1547"/>
      <c r="CB34" s="1547"/>
      <c r="CC34" s="1547"/>
      <c r="CD34" s="1547"/>
      <c r="CE34" s="1547"/>
      <c r="CF34" s="1547"/>
      <c r="CG34" s="1547"/>
      <c r="CH34" s="1547"/>
      <c r="CI34" s="1547"/>
      <c r="CJ34" s="1547"/>
      <c r="CK34" s="1547"/>
      <c r="CL34" s="1547"/>
      <c r="CM34" s="1547"/>
      <c r="CN34" s="1547"/>
      <c r="CO34" s="1547"/>
      <c r="CP34" s="1547"/>
      <c r="CQ34" s="1547"/>
      <c r="CR34" s="1547"/>
      <c r="CS34" s="1547"/>
      <c r="CT34" s="1547"/>
      <c r="CU34" s="1547"/>
      <c r="CV34" s="1547"/>
      <c r="CW34" s="1547"/>
      <c r="CX34" s="1547"/>
      <c r="CY34" s="1547"/>
      <c r="CZ34" s="1547"/>
      <c r="DA34" s="1547"/>
      <c r="DB34" s="1547"/>
      <c r="DC34" s="1547"/>
      <c r="DD34" s="1547"/>
      <c r="DE34" s="1547"/>
      <c r="DF34" s="1547"/>
      <c r="DG34" s="1547"/>
      <c r="DH34" s="1547"/>
      <c r="DI34" s="1547"/>
      <c r="DJ34" s="1547"/>
    </row>
    <row r="35" spans="1:114" s="1641" customFormat="1" ht="19.5" thickBot="1" x14ac:dyDescent="0.4">
      <c r="B35" s="1642"/>
      <c r="C35" s="1642"/>
      <c r="D35" s="1642"/>
      <c r="E35" s="1642"/>
      <c r="F35" s="1642"/>
      <c r="G35" s="1642"/>
      <c r="H35" s="1642"/>
      <c r="I35" s="1642"/>
      <c r="J35" s="1642"/>
      <c r="K35" s="1642"/>
      <c r="L35" s="1642"/>
      <c r="M35" s="1642"/>
      <c r="N35" s="1642"/>
      <c r="O35" s="1642"/>
      <c r="P35" s="1642"/>
      <c r="Q35" s="1642"/>
      <c r="R35" s="1642"/>
      <c r="S35" s="1642"/>
      <c r="T35" s="1642"/>
      <c r="U35" s="1642"/>
      <c r="V35" s="1642"/>
      <c r="W35" s="1642"/>
      <c r="X35" s="1642"/>
      <c r="Y35" s="1642"/>
      <c r="Z35" s="1642"/>
      <c r="AA35" s="1642"/>
      <c r="AB35" s="1642"/>
      <c r="AC35" s="1642"/>
      <c r="AD35" s="1642"/>
      <c r="AE35" s="1642"/>
      <c r="AF35" s="1642"/>
      <c r="AG35" s="1642"/>
      <c r="AH35" s="1642"/>
      <c r="AI35" s="1642"/>
      <c r="AJ35" s="1642"/>
      <c r="AK35" s="1642"/>
      <c r="AL35" s="1642"/>
      <c r="AM35" s="1642"/>
      <c r="AN35" s="1642"/>
      <c r="AO35" s="1642"/>
      <c r="AP35" s="1642"/>
      <c r="AQ35" s="1642"/>
      <c r="AR35" s="1642"/>
      <c r="AS35" s="1642"/>
      <c r="AT35" s="1642"/>
      <c r="AU35" s="1642"/>
      <c r="AV35" s="1642"/>
      <c r="AW35" s="1642"/>
      <c r="AX35" s="1642"/>
      <c r="AY35" s="1642"/>
      <c r="AZ35" s="1642"/>
      <c r="BA35" s="1642"/>
      <c r="BB35" s="1642"/>
      <c r="BC35" s="1642"/>
      <c r="BD35" s="1642"/>
      <c r="BE35" s="1642"/>
      <c r="BF35" s="1642"/>
      <c r="BG35" s="1642"/>
      <c r="BH35" s="1642"/>
      <c r="BI35" s="1642"/>
      <c r="BJ35" s="1642"/>
      <c r="BK35" s="1642"/>
      <c r="BL35" s="1642"/>
      <c r="BM35" s="1642"/>
      <c r="BN35" s="1642"/>
      <c r="BO35" s="1642"/>
      <c r="BP35" s="1642"/>
      <c r="BQ35" s="1642"/>
      <c r="BR35" s="1642"/>
      <c r="BS35" s="1642"/>
      <c r="BT35" s="1642"/>
      <c r="BU35" s="1642"/>
      <c r="BV35" s="1642"/>
      <c r="BW35" s="1546"/>
      <c r="BX35" s="1546"/>
      <c r="BY35" s="1546"/>
      <c r="BZ35" s="1547"/>
      <c r="CA35" s="1547"/>
      <c r="CB35" s="1547"/>
      <c r="CC35" s="1547"/>
      <c r="CD35" s="1547"/>
      <c r="CE35" s="1547"/>
      <c r="CF35" s="1547"/>
      <c r="CG35" s="1547"/>
      <c r="CH35" s="1547"/>
      <c r="CI35" s="1547"/>
      <c r="CJ35" s="1547"/>
      <c r="CK35" s="1547"/>
      <c r="CL35" s="1547"/>
      <c r="CM35" s="1547"/>
      <c r="CN35" s="1547"/>
      <c r="CO35" s="1547"/>
      <c r="CP35" s="1547"/>
      <c r="CQ35" s="1547"/>
      <c r="CR35" s="1547"/>
      <c r="CS35" s="1547"/>
      <c r="CT35" s="1547"/>
      <c r="CU35" s="1547"/>
      <c r="CV35" s="1547"/>
      <c r="CW35" s="1547"/>
      <c r="CX35" s="1547"/>
      <c r="CY35" s="1547"/>
      <c r="CZ35" s="1547"/>
      <c r="DA35" s="1547"/>
      <c r="DB35" s="1547"/>
      <c r="DC35" s="1547"/>
      <c r="DD35" s="1547"/>
      <c r="DE35" s="1547"/>
      <c r="DF35" s="1547"/>
      <c r="DG35" s="1547"/>
      <c r="DH35" s="1547"/>
      <c r="DI35" s="1683"/>
      <c r="DJ35" s="1547"/>
    </row>
    <row r="36" spans="1:114" s="1644" customFormat="1" ht="21.75" thickTop="1" thickBot="1" x14ac:dyDescent="0.3">
      <c r="A36" s="1555"/>
      <c r="B36" s="1684">
        <v>40910</v>
      </c>
      <c r="C36" s="1685">
        <v>40941</v>
      </c>
      <c r="D36" s="1685">
        <v>40971</v>
      </c>
      <c r="E36" s="1685">
        <v>41003</v>
      </c>
      <c r="F36" s="1685">
        <v>41034</v>
      </c>
      <c r="G36" s="1685">
        <v>41066</v>
      </c>
      <c r="H36" s="1685">
        <v>41097</v>
      </c>
      <c r="I36" s="1685">
        <v>41129</v>
      </c>
      <c r="J36" s="1685">
        <v>41161</v>
      </c>
      <c r="K36" s="1685">
        <v>41192</v>
      </c>
      <c r="L36" s="1685">
        <v>41224</v>
      </c>
      <c r="M36" s="1685">
        <v>41255</v>
      </c>
      <c r="N36" s="1685">
        <v>41275</v>
      </c>
      <c r="O36" s="1685">
        <v>41307</v>
      </c>
      <c r="P36" s="1685">
        <v>41336</v>
      </c>
      <c r="Q36" s="1685">
        <f t="shared" ref="Q36:AL36" si="3">Q16</f>
        <v>0</v>
      </c>
      <c r="R36" s="1685">
        <f t="shared" si="3"/>
        <v>115.1</v>
      </c>
      <c r="S36" s="1685">
        <f t="shared" si="3"/>
        <v>0</v>
      </c>
      <c r="T36" s="1685">
        <f t="shared" si="3"/>
        <v>0</v>
      </c>
      <c r="U36" s="1685">
        <f t="shared" si="3"/>
        <v>117.9</v>
      </c>
      <c r="V36" s="1685">
        <f t="shared" si="3"/>
        <v>0</v>
      </c>
      <c r="W36" s="1685">
        <f t="shared" si="3"/>
        <v>0</v>
      </c>
      <c r="X36" s="1685">
        <f t="shared" si="3"/>
        <v>124.21299999999999</v>
      </c>
      <c r="Y36" s="1685">
        <f t="shared" si="3"/>
        <v>0</v>
      </c>
      <c r="Z36" s="1685">
        <f t="shared" si="3"/>
        <v>0</v>
      </c>
      <c r="AA36" s="1685">
        <f t="shared" si="3"/>
        <v>139.63999999999999</v>
      </c>
      <c r="AB36" s="1685">
        <f t="shared" si="3"/>
        <v>0</v>
      </c>
      <c r="AC36" s="1685">
        <f t="shared" si="3"/>
        <v>0</v>
      </c>
      <c r="AD36" s="1685">
        <f t="shared" si="3"/>
        <v>150.70099999999999</v>
      </c>
      <c r="AE36" s="1685">
        <f t="shared" si="3"/>
        <v>0</v>
      </c>
      <c r="AF36" s="1685">
        <f t="shared" si="3"/>
        <v>0</v>
      </c>
      <c r="AG36" s="1685">
        <f t="shared" si="3"/>
        <v>158.79</v>
      </c>
      <c r="AH36" s="1685">
        <f t="shared" si="3"/>
        <v>0</v>
      </c>
      <c r="AI36" s="1685">
        <f t="shared" si="3"/>
        <v>0</v>
      </c>
      <c r="AJ36" s="1685">
        <f t="shared" si="3"/>
        <v>180.48079826594008</v>
      </c>
      <c r="AK36" s="1685">
        <f t="shared" si="3"/>
        <v>0</v>
      </c>
      <c r="AL36" s="1685">
        <f t="shared" si="3"/>
        <v>0</v>
      </c>
      <c r="AM36" s="1685">
        <v>42064</v>
      </c>
      <c r="AN36" s="1685">
        <v>42096</v>
      </c>
      <c r="AO36" s="1685">
        <f>AO16</f>
        <v>0</v>
      </c>
      <c r="AP36" s="1685">
        <v>42185</v>
      </c>
      <c r="AQ36" s="1685">
        <v>42186</v>
      </c>
      <c r="AR36" s="1685">
        <v>42218</v>
      </c>
      <c r="AS36" s="1685">
        <v>42250</v>
      </c>
      <c r="AT36" s="1685">
        <v>42281</v>
      </c>
      <c r="AU36" s="1685">
        <v>42313</v>
      </c>
      <c r="AV36" s="1685">
        <v>42343</v>
      </c>
      <c r="AW36" s="1685">
        <v>42375</v>
      </c>
      <c r="AX36" s="1685">
        <v>42401</v>
      </c>
      <c r="AY36" s="1685">
        <v>42430</v>
      </c>
      <c r="AZ36" s="1685">
        <v>42461</v>
      </c>
      <c r="BA36" s="1685">
        <v>42491</v>
      </c>
      <c r="BB36" s="1685">
        <v>42522</v>
      </c>
      <c r="BC36" s="1685">
        <v>42552</v>
      </c>
      <c r="BD36" s="1685">
        <v>42583</v>
      </c>
      <c r="BE36" s="1556">
        <v>42615</v>
      </c>
      <c r="BF36" s="1556">
        <v>42645</v>
      </c>
      <c r="BG36" s="1556">
        <v>42677</v>
      </c>
      <c r="BH36" s="1556">
        <f t="shared" ref="BH36:CD36" si="4">BH3</f>
        <v>42708</v>
      </c>
      <c r="BI36" s="1556">
        <f t="shared" si="4"/>
        <v>42739</v>
      </c>
      <c r="BJ36" s="1556">
        <f t="shared" si="4"/>
        <v>42771</v>
      </c>
      <c r="BK36" s="1556">
        <f t="shared" si="4"/>
        <v>42799</v>
      </c>
      <c r="BL36" s="1556">
        <f t="shared" si="4"/>
        <v>42830</v>
      </c>
      <c r="BM36" s="1556">
        <f t="shared" si="4"/>
        <v>42860</v>
      </c>
      <c r="BN36" s="1556">
        <f t="shared" si="4"/>
        <v>42891</v>
      </c>
      <c r="BO36" s="1556">
        <f t="shared" si="4"/>
        <v>42921</v>
      </c>
      <c r="BP36" s="1556">
        <f t="shared" si="4"/>
        <v>42953</v>
      </c>
      <c r="BQ36" s="1560">
        <f t="shared" si="4"/>
        <v>42984</v>
      </c>
      <c r="BR36" s="1556">
        <f t="shared" si="4"/>
        <v>43014</v>
      </c>
      <c r="BS36" s="1556">
        <f t="shared" si="4"/>
        <v>43045</v>
      </c>
      <c r="BT36" s="1556">
        <f t="shared" si="4"/>
        <v>43075</v>
      </c>
      <c r="BU36" s="1556">
        <f t="shared" si="4"/>
        <v>43106</v>
      </c>
      <c r="BV36" s="1556">
        <f t="shared" si="4"/>
        <v>43137</v>
      </c>
      <c r="BW36" s="1556">
        <f t="shared" si="4"/>
        <v>43165</v>
      </c>
      <c r="BX36" s="1556">
        <f t="shared" si="4"/>
        <v>43196</v>
      </c>
      <c r="BY36" s="1556">
        <f t="shared" si="4"/>
        <v>43226</v>
      </c>
      <c r="BZ36" s="1556">
        <f t="shared" si="4"/>
        <v>43258</v>
      </c>
      <c r="CA36" s="1556">
        <f t="shared" si="4"/>
        <v>43288</v>
      </c>
      <c r="CB36" s="1556">
        <f t="shared" si="4"/>
        <v>43321</v>
      </c>
      <c r="CC36" s="1556">
        <f t="shared" si="4"/>
        <v>43352</v>
      </c>
      <c r="CD36" s="1557">
        <f t="shared" si="4"/>
        <v>43382</v>
      </c>
      <c r="CE36" s="1557">
        <v>43414</v>
      </c>
      <c r="CF36" s="1557">
        <v>43445</v>
      </c>
      <c r="CG36" s="1557">
        <v>43476</v>
      </c>
      <c r="CH36" s="1557">
        <v>43507</v>
      </c>
      <c r="CI36" s="1556">
        <v>43535</v>
      </c>
      <c r="CJ36" s="1556">
        <v>43566</v>
      </c>
      <c r="CK36" s="1556">
        <v>43586</v>
      </c>
      <c r="CL36" s="1556">
        <v>43617</v>
      </c>
      <c r="CM36" s="1556">
        <v>43647</v>
      </c>
      <c r="CN36" s="1556">
        <v>43678</v>
      </c>
      <c r="CO36" s="1556">
        <v>43717</v>
      </c>
      <c r="CP36" s="1556">
        <v>43747</v>
      </c>
      <c r="CQ36" s="1556">
        <v>43778</v>
      </c>
      <c r="CR36" s="1556">
        <v>43808</v>
      </c>
      <c r="CS36" s="1556">
        <v>43839</v>
      </c>
      <c r="CT36" s="1560">
        <v>43870</v>
      </c>
      <c r="CU36" s="1556">
        <v>43899</v>
      </c>
      <c r="CV36" s="1559">
        <v>43930</v>
      </c>
      <c r="CW36" s="1559">
        <v>43960</v>
      </c>
      <c r="CX36" s="1559">
        <v>43991</v>
      </c>
      <c r="CY36" s="1559">
        <v>44021</v>
      </c>
      <c r="CZ36" s="1559">
        <v>44052</v>
      </c>
      <c r="DA36" s="1559">
        <v>44083</v>
      </c>
      <c r="DB36" s="1559">
        <v>44113</v>
      </c>
      <c r="DC36" s="1559">
        <v>44144</v>
      </c>
      <c r="DD36" s="1559">
        <v>44174</v>
      </c>
      <c r="DE36" s="1559">
        <v>44197</v>
      </c>
      <c r="DF36" s="1559">
        <v>44228</v>
      </c>
      <c r="DG36" s="1559">
        <v>44256</v>
      </c>
      <c r="DH36" s="1559">
        <v>44287</v>
      </c>
      <c r="DI36" s="1559">
        <v>44317</v>
      </c>
      <c r="DJ36" s="1559">
        <v>44348</v>
      </c>
    </row>
    <row r="37" spans="1:114" s="1654" customFormat="1" ht="20.25" x14ac:dyDescent="0.25">
      <c r="A37" s="1686"/>
      <c r="B37" s="1687"/>
      <c r="C37" s="1687"/>
      <c r="D37" s="1687"/>
      <c r="E37" s="1687"/>
      <c r="F37" s="1687"/>
      <c r="G37" s="1687"/>
      <c r="H37" s="1687"/>
      <c r="I37" s="1687"/>
      <c r="J37" s="1687"/>
      <c r="K37" s="1687"/>
      <c r="L37" s="1687"/>
      <c r="M37" s="1687"/>
      <c r="N37" s="1687"/>
      <c r="O37" s="1687"/>
      <c r="P37" s="1687"/>
      <c r="Q37" s="1687"/>
      <c r="R37" s="1687"/>
      <c r="S37" s="1687"/>
      <c r="T37" s="1687"/>
      <c r="U37" s="1687"/>
      <c r="V37" s="1687"/>
      <c r="W37" s="1687"/>
      <c r="X37" s="1687"/>
      <c r="Y37" s="1687"/>
      <c r="Z37" s="1687"/>
      <c r="AA37" s="1687"/>
      <c r="AB37" s="1687"/>
      <c r="AC37" s="1687"/>
      <c r="AD37" s="1687"/>
      <c r="AE37" s="1687"/>
      <c r="AF37" s="1687"/>
      <c r="AG37" s="1687"/>
      <c r="AH37" s="1687"/>
      <c r="AI37" s="1687"/>
      <c r="AJ37" s="1687"/>
      <c r="AK37" s="1687"/>
      <c r="AL37" s="1687"/>
      <c r="AM37" s="1687"/>
      <c r="AN37" s="1687"/>
      <c r="AO37" s="1687"/>
      <c r="AP37" s="1687"/>
      <c r="AQ37" s="1688"/>
      <c r="AR37" s="1688"/>
      <c r="AS37" s="1688"/>
      <c r="AT37" s="1688"/>
      <c r="AU37" s="1688"/>
      <c r="AV37" s="1688"/>
      <c r="AW37" s="1688"/>
      <c r="AX37" s="1688"/>
      <c r="AY37" s="1688"/>
      <c r="AZ37" s="1688"/>
      <c r="BA37" s="1688"/>
      <c r="BB37" s="1688"/>
      <c r="BC37" s="1688"/>
      <c r="BD37" s="1688"/>
      <c r="BE37" s="1688"/>
      <c r="BF37" s="1688"/>
      <c r="BG37" s="1688"/>
      <c r="BH37" s="1688"/>
      <c r="BI37" s="1688"/>
      <c r="BJ37" s="1688"/>
      <c r="BK37" s="1688"/>
      <c r="BL37" s="1688"/>
      <c r="BM37" s="1688"/>
      <c r="BN37" s="1688"/>
      <c r="BO37" s="1688"/>
      <c r="BP37" s="1688"/>
      <c r="BQ37" s="1689"/>
      <c r="BR37" s="1647"/>
      <c r="BS37" s="1647"/>
      <c r="BT37" s="1690"/>
      <c r="BU37" s="1690"/>
      <c r="BV37" s="1690"/>
      <c r="BW37" s="1691"/>
      <c r="BX37" s="1691"/>
      <c r="BY37" s="1691"/>
      <c r="BZ37" s="1691"/>
      <c r="CA37" s="1691"/>
      <c r="CB37" s="1691"/>
      <c r="CC37" s="1691"/>
      <c r="CD37" s="1692"/>
      <c r="CE37" s="1692"/>
      <c r="CF37" s="1692"/>
      <c r="CG37" s="1693"/>
      <c r="CH37" s="1694"/>
      <c r="CI37" s="1694"/>
      <c r="CJ37" s="1694"/>
      <c r="CK37" s="1694"/>
      <c r="CL37" s="1694"/>
      <c r="CM37" s="1694"/>
      <c r="CN37" s="1694"/>
      <c r="CO37" s="1694"/>
      <c r="CP37" s="1694"/>
      <c r="CQ37" s="1694"/>
      <c r="CR37" s="1694"/>
      <c r="CS37" s="1694"/>
      <c r="CT37" s="1695"/>
      <c r="CU37" s="1694"/>
      <c r="CV37" s="1696"/>
      <c r="CW37" s="1696"/>
      <c r="CX37" s="1696"/>
      <c r="CY37" s="1696"/>
      <c r="CZ37" s="1696"/>
      <c r="DA37" s="1696"/>
      <c r="DB37" s="1696"/>
      <c r="DC37" s="1696"/>
      <c r="DD37" s="1696"/>
      <c r="DE37" s="1696"/>
      <c r="DF37" s="1696"/>
      <c r="DG37" s="1696"/>
      <c r="DH37" s="1696"/>
      <c r="DI37" s="1696"/>
      <c r="DJ37" s="1696"/>
    </row>
    <row r="38" spans="1:114" s="1654" customFormat="1" x14ac:dyDescent="0.25">
      <c r="A38" s="1562" t="s">
        <v>3477</v>
      </c>
      <c r="B38" s="1697">
        <v>218504</v>
      </c>
      <c r="C38" s="1697">
        <v>224119</v>
      </c>
      <c r="D38" s="1697">
        <v>228136</v>
      </c>
      <c r="E38" s="1697">
        <v>226594</v>
      </c>
      <c r="F38" s="1697">
        <v>231147</v>
      </c>
      <c r="G38" s="1697">
        <v>235129</v>
      </c>
      <c r="H38" s="1697">
        <v>239464</v>
      </c>
      <c r="I38" s="1697">
        <v>218381</v>
      </c>
      <c r="J38" s="1697">
        <v>220362</v>
      </c>
      <c r="K38" s="1697">
        <v>197884</v>
      </c>
      <c r="L38" s="1697">
        <v>196323</v>
      </c>
      <c r="M38" s="1697">
        <v>200345</v>
      </c>
      <c r="N38" s="1697">
        <v>204835</v>
      </c>
      <c r="O38" s="1697">
        <v>211679</v>
      </c>
      <c r="P38" s="1697">
        <v>216738</v>
      </c>
      <c r="Q38" s="1697">
        <v>225759</v>
      </c>
      <c r="R38" s="1697">
        <v>229500</v>
      </c>
      <c r="S38" s="1697">
        <v>234910</v>
      </c>
      <c r="T38" s="1697">
        <v>235346</v>
      </c>
      <c r="U38" s="1697">
        <v>234435</v>
      </c>
      <c r="V38" s="1697">
        <v>234949</v>
      </c>
      <c r="W38" s="1697">
        <v>237508</v>
      </c>
      <c r="X38" s="1697">
        <v>240808</v>
      </c>
      <c r="Y38" s="1697">
        <v>240601</v>
      </c>
      <c r="Z38" s="1697">
        <v>243965</v>
      </c>
      <c r="AA38" s="1697">
        <v>235627</v>
      </c>
      <c r="AB38" s="1697">
        <v>252507</v>
      </c>
      <c r="AC38" s="1697">
        <v>257288</v>
      </c>
      <c r="AD38" s="1697">
        <v>260171</v>
      </c>
      <c r="AE38" s="1697">
        <v>264655</v>
      </c>
      <c r="AF38" s="1697">
        <v>269188</v>
      </c>
      <c r="AG38" s="1697">
        <v>266521</v>
      </c>
      <c r="AH38" s="1697">
        <v>276104</v>
      </c>
      <c r="AI38" s="1697">
        <v>280712</v>
      </c>
      <c r="AJ38" s="1697">
        <v>285085</v>
      </c>
      <c r="AK38" s="1697">
        <v>288922</v>
      </c>
      <c r="AL38" s="1697">
        <v>294619</v>
      </c>
      <c r="AM38" s="1697">
        <v>299638</v>
      </c>
      <c r="AN38" s="1697">
        <v>217817</v>
      </c>
      <c r="AO38" s="1697">
        <v>300581</v>
      </c>
      <c r="AP38" s="1697"/>
      <c r="AQ38" s="1697"/>
      <c r="AR38" s="1697"/>
      <c r="AS38" s="1697"/>
      <c r="AT38" s="1697"/>
      <c r="AU38" s="1697"/>
      <c r="AV38" s="1697"/>
      <c r="AW38" s="1697">
        <v>672570</v>
      </c>
      <c r="AX38" s="1697">
        <v>679467</v>
      </c>
      <c r="AY38" s="1697">
        <v>687041</v>
      </c>
      <c r="AZ38" s="1697">
        <v>693664</v>
      </c>
      <c r="BA38" s="1697">
        <v>702420</v>
      </c>
      <c r="BB38" s="1697">
        <v>710824</v>
      </c>
      <c r="BC38" s="1697">
        <v>719508</v>
      </c>
      <c r="BD38" s="1697">
        <v>731005</v>
      </c>
      <c r="BE38" s="1697">
        <v>758476</v>
      </c>
      <c r="BF38" s="1697">
        <v>832915</v>
      </c>
      <c r="BG38" s="1697">
        <v>858067</v>
      </c>
      <c r="BH38" s="1697">
        <v>879560</v>
      </c>
      <c r="BI38" s="1697">
        <v>889071</v>
      </c>
      <c r="BJ38" s="1697">
        <v>908689</v>
      </c>
      <c r="BK38" s="1697">
        <v>919742</v>
      </c>
      <c r="BL38" s="1697">
        <v>925848</v>
      </c>
      <c r="BM38" s="1697">
        <v>935242</v>
      </c>
      <c r="BN38" s="1697">
        <v>925194</v>
      </c>
      <c r="BO38" s="1697">
        <v>933381</v>
      </c>
      <c r="BP38" s="1697">
        <v>942015</v>
      </c>
      <c r="BQ38" s="1698">
        <v>940854</v>
      </c>
      <c r="BR38" s="1599">
        <v>949490</v>
      </c>
      <c r="BS38" s="1599">
        <v>955043</v>
      </c>
      <c r="BT38" s="1599">
        <v>941619</v>
      </c>
      <c r="BU38" s="1599">
        <v>948229</v>
      </c>
      <c r="BV38" s="1599">
        <v>948516</v>
      </c>
      <c r="BW38" s="1661">
        <v>964530</v>
      </c>
      <c r="BX38" s="1661">
        <v>970935</v>
      </c>
      <c r="BY38" s="1661">
        <v>951686</v>
      </c>
      <c r="BZ38" s="1661">
        <v>955733</v>
      </c>
      <c r="CA38" s="1661">
        <v>961636</v>
      </c>
      <c r="CB38" s="1661">
        <v>971144</v>
      </c>
      <c r="CC38" s="1661">
        <v>1020313</v>
      </c>
      <c r="CD38" s="1662">
        <v>1054427</v>
      </c>
      <c r="CE38" s="1662">
        <v>1063554</v>
      </c>
      <c r="CF38" s="1662">
        <v>1082866</v>
      </c>
      <c r="CG38" s="1663">
        <v>1099053</v>
      </c>
      <c r="CH38" s="1599">
        <v>1096488</v>
      </c>
      <c r="CI38" s="1599">
        <v>1103074</v>
      </c>
      <c r="CJ38" s="1599">
        <v>1027475</v>
      </c>
      <c r="CK38" s="1599">
        <v>1042447</v>
      </c>
      <c r="CL38" s="1599">
        <v>1052016</v>
      </c>
      <c r="CM38" s="1599">
        <v>1060931</v>
      </c>
      <c r="CN38" s="1599">
        <v>1076283</v>
      </c>
      <c r="CO38" s="1599">
        <v>1105684</v>
      </c>
      <c r="CP38" s="1599">
        <v>1111715</v>
      </c>
      <c r="CQ38" s="1599">
        <v>1131993</v>
      </c>
      <c r="CR38" s="1599">
        <v>1149028</v>
      </c>
      <c r="CS38" s="1599">
        <v>1164885</v>
      </c>
      <c r="CT38" s="1699">
        <v>1176052</v>
      </c>
      <c r="CU38" s="1599">
        <v>1184820</v>
      </c>
      <c r="CV38" s="1700">
        <v>1194417</v>
      </c>
      <c r="CW38" s="1700">
        <v>1208125</v>
      </c>
      <c r="CX38" s="1700">
        <v>1215189</v>
      </c>
      <c r="CY38" s="1700">
        <v>1234367</v>
      </c>
      <c r="CZ38" s="1700">
        <v>1245363</v>
      </c>
      <c r="DA38" s="1700">
        <v>1259364</v>
      </c>
      <c r="DB38" s="1700">
        <v>1277748</v>
      </c>
      <c r="DC38" s="1700">
        <v>1287327</v>
      </c>
      <c r="DD38" s="1700">
        <v>1299204</v>
      </c>
      <c r="DE38" s="1700">
        <v>1307420</v>
      </c>
      <c r="DF38" s="1700">
        <v>1305861</v>
      </c>
      <c r="DG38" s="1700">
        <v>1309959</v>
      </c>
      <c r="DH38" s="1700">
        <v>1315174</v>
      </c>
      <c r="DI38" s="1700">
        <v>1325954</v>
      </c>
      <c r="DJ38" s="1700">
        <v>1329927</v>
      </c>
    </row>
    <row r="39" spans="1:114" s="1654" customFormat="1" ht="19.5" thickBot="1" x14ac:dyDescent="0.3">
      <c r="A39" s="1658" t="s">
        <v>3478</v>
      </c>
      <c r="B39" s="1701"/>
      <c r="C39" s="1701"/>
      <c r="D39" s="1701"/>
      <c r="E39" s="1701"/>
      <c r="F39" s="1701"/>
      <c r="G39" s="1701"/>
      <c r="H39" s="1701"/>
      <c r="I39" s="1701"/>
      <c r="J39" s="1701"/>
      <c r="K39" s="1701"/>
      <c r="L39" s="1701"/>
      <c r="M39" s="1701"/>
      <c r="N39" s="1701"/>
      <c r="O39" s="1701"/>
      <c r="P39" s="1701"/>
      <c r="Q39" s="1701"/>
      <c r="R39" s="1701"/>
      <c r="S39" s="1701"/>
      <c r="T39" s="1701"/>
      <c r="U39" s="1701"/>
      <c r="V39" s="1701"/>
      <c r="W39" s="1701"/>
      <c r="X39" s="1701"/>
      <c r="Y39" s="1701"/>
      <c r="Z39" s="1701"/>
      <c r="AA39" s="1701"/>
      <c r="AB39" s="1701"/>
      <c r="AC39" s="1701"/>
      <c r="AD39" s="1701"/>
      <c r="AE39" s="1701"/>
      <c r="AF39" s="1701"/>
      <c r="AG39" s="1701"/>
      <c r="AH39" s="1701"/>
      <c r="AI39" s="1701"/>
      <c r="AJ39" s="1701"/>
      <c r="AK39" s="1701"/>
      <c r="AL39" s="1701"/>
      <c r="AM39" s="1701"/>
      <c r="AN39" s="1701"/>
      <c r="AO39" s="1701"/>
      <c r="AP39" s="1701"/>
      <c r="AQ39" s="1697"/>
      <c r="AR39" s="1697"/>
      <c r="AS39" s="1697"/>
      <c r="AT39" s="1697"/>
      <c r="AU39" s="1697"/>
      <c r="AV39" s="1697"/>
      <c r="AW39" s="1697">
        <v>513</v>
      </c>
      <c r="AX39" s="1697">
        <v>529</v>
      </c>
      <c r="AY39" s="1697">
        <v>536</v>
      </c>
      <c r="AZ39" s="1697">
        <v>545</v>
      </c>
      <c r="BA39" s="1697">
        <v>581</v>
      </c>
      <c r="BB39" s="1697">
        <v>564</v>
      </c>
      <c r="BC39" s="1697">
        <v>579</v>
      </c>
      <c r="BD39" s="1697">
        <v>366</v>
      </c>
      <c r="BE39" s="1697">
        <v>349</v>
      </c>
      <c r="BF39" s="1697">
        <v>373</v>
      </c>
      <c r="BG39" s="1697">
        <v>381</v>
      </c>
      <c r="BH39" s="1697">
        <v>446</v>
      </c>
      <c r="BI39" s="1697">
        <v>383</v>
      </c>
      <c r="BJ39" s="1697">
        <v>371</v>
      </c>
      <c r="BK39" s="1697">
        <v>394</v>
      </c>
      <c r="BL39" s="1697">
        <v>412</v>
      </c>
      <c r="BM39" s="1697">
        <v>447</v>
      </c>
      <c r="BN39" s="1697">
        <v>414</v>
      </c>
      <c r="BO39" s="1697">
        <v>428</v>
      </c>
      <c r="BP39" s="1697">
        <v>435</v>
      </c>
      <c r="BQ39" s="1698">
        <v>426</v>
      </c>
      <c r="BR39" s="1599">
        <v>349</v>
      </c>
      <c r="BS39" s="1599">
        <v>352</v>
      </c>
      <c r="BT39" s="1599">
        <v>456</v>
      </c>
      <c r="BU39" s="1599">
        <v>366</v>
      </c>
      <c r="BV39" s="1599">
        <v>393</v>
      </c>
      <c r="BW39" s="1661">
        <v>257</v>
      </c>
      <c r="BX39" s="1661">
        <v>424</v>
      </c>
      <c r="BY39" s="1661">
        <v>476</v>
      </c>
      <c r="BZ39" s="1661">
        <v>452</v>
      </c>
      <c r="CA39" s="1661">
        <v>465</v>
      </c>
      <c r="CB39" s="1661">
        <v>453</v>
      </c>
      <c r="CC39" s="1661">
        <v>479</v>
      </c>
      <c r="CD39" s="1662">
        <v>501</v>
      </c>
      <c r="CE39" s="1662">
        <v>501</v>
      </c>
      <c r="CF39" s="1662">
        <v>594</v>
      </c>
      <c r="CG39" s="1663">
        <v>516</v>
      </c>
      <c r="CH39" s="1599">
        <v>516</v>
      </c>
      <c r="CI39" s="1599">
        <v>601</v>
      </c>
      <c r="CJ39" s="1599">
        <v>565</v>
      </c>
      <c r="CK39" s="1599">
        <v>617</v>
      </c>
      <c r="CL39" s="1599">
        <v>657</v>
      </c>
      <c r="CM39" s="1599">
        <v>536</v>
      </c>
      <c r="CN39" s="1599">
        <v>1356</v>
      </c>
      <c r="CO39" s="1599">
        <v>1453</v>
      </c>
      <c r="CP39" s="1599">
        <v>1524</v>
      </c>
      <c r="CQ39" s="1599">
        <v>1656</v>
      </c>
      <c r="CR39" s="1599">
        <v>2109</v>
      </c>
      <c r="CS39" s="1599">
        <v>2001</v>
      </c>
      <c r="CT39" s="1699">
        <v>2242</v>
      </c>
      <c r="CU39" s="1599">
        <v>1910</v>
      </c>
      <c r="CV39" s="1700">
        <v>766</v>
      </c>
      <c r="CW39" s="1700">
        <v>1421</v>
      </c>
      <c r="CX39" s="1700">
        <v>2320</v>
      </c>
      <c r="CY39" s="1700">
        <v>2777</v>
      </c>
      <c r="CZ39" s="1700">
        <v>3072</v>
      </c>
      <c r="DA39" s="1700">
        <v>3162</v>
      </c>
      <c r="DB39" s="1700">
        <v>3489</v>
      </c>
      <c r="DC39" s="1700">
        <v>3588</v>
      </c>
      <c r="DD39" s="1700">
        <v>4317</v>
      </c>
      <c r="DE39" s="1700">
        <v>4011</v>
      </c>
      <c r="DF39" s="1700">
        <v>4132</v>
      </c>
      <c r="DG39" s="1700">
        <v>3399</v>
      </c>
      <c r="DH39" s="1700">
        <v>3406</v>
      </c>
      <c r="DI39" s="1700">
        <v>3648</v>
      </c>
      <c r="DJ39" s="1700">
        <v>4543</v>
      </c>
    </row>
    <row r="40" spans="1:114" s="1654" customFormat="1" ht="19.5" thickBot="1" x14ac:dyDescent="0.3">
      <c r="A40" s="1658"/>
      <c r="B40" s="1697"/>
      <c r="C40" s="1697"/>
      <c r="D40" s="1697"/>
      <c r="E40" s="1697"/>
      <c r="F40" s="1697"/>
      <c r="G40" s="1697"/>
      <c r="H40" s="1697"/>
      <c r="I40" s="1697"/>
      <c r="J40" s="1697"/>
      <c r="K40" s="1697"/>
      <c r="L40" s="1697"/>
      <c r="M40" s="1697"/>
      <c r="N40" s="1697"/>
      <c r="O40" s="1697"/>
      <c r="P40" s="1697"/>
      <c r="Q40" s="1697"/>
      <c r="R40" s="1697"/>
      <c r="S40" s="1697"/>
      <c r="T40" s="1697"/>
      <c r="U40" s="1697"/>
      <c r="V40" s="1697"/>
      <c r="W40" s="1697"/>
      <c r="X40" s="1697"/>
      <c r="Y40" s="1697"/>
      <c r="Z40" s="1697"/>
      <c r="AA40" s="1697"/>
      <c r="AB40" s="1697"/>
      <c r="AC40" s="1697"/>
      <c r="AD40" s="1697"/>
      <c r="AE40" s="1697"/>
      <c r="AF40" s="1697"/>
      <c r="AG40" s="1697"/>
      <c r="AH40" s="1697"/>
      <c r="AI40" s="1697"/>
      <c r="AJ40" s="1697"/>
      <c r="AK40" s="1697"/>
      <c r="AL40" s="1697"/>
      <c r="AM40" s="1697"/>
      <c r="AN40" s="1697"/>
      <c r="AO40" s="1697"/>
      <c r="AP40" s="1697"/>
      <c r="AQ40" s="1698"/>
      <c r="AR40" s="1697"/>
      <c r="AS40" s="1697"/>
      <c r="AT40" s="1697"/>
      <c r="AU40" s="1697"/>
      <c r="AV40" s="1697"/>
      <c r="AW40" s="1697"/>
      <c r="AX40" s="1697"/>
      <c r="AY40" s="1697"/>
      <c r="AZ40" s="1697"/>
      <c r="BA40" s="1697"/>
      <c r="BB40" s="1697"/>
      <c r="BC40" s="1697"/>
      <c r="BD40" s="1697"/>
      <c r="BE40" s="1697"/>
      <c r="BF40" s="1697"/>
      <c r="BG40" s="1697"/>
      <c r="BH40" s="1702"/>
      <c r="BI40" s="1703"/>
      <c r="BJ40" s="1703"/>
      <c r="BK40" s="1703"/>
      <c r="BL40" s="1703"/>
      <c r="BM40" s="1703"/>
      <c r="BN40" s="1703"/>
      <c r="BO40" s="1703"/>
      <c r="BP40" s="1703"/>
      <c r="BQ40" s="1704"/>
      <c r="BR40" s="1599"/>
      <c r="BS40" s="1599"/>
      <c r="BT40" s="1599"/>
      <c r="BU40" s="1599"/>
      <c r="BV40" s="1599"/>
      <c r="BW40" s="1661"/>
      <c r="BX40" s="1661"/>
      <c r="BY40" s="1661"/>
      <c r="BZ40" s="1661"/>
      <c r="CA40" s="1661"/>
      <c r="CB40" s="1661"/>
      <c r="CC40" s="1661"/>
      <c r="CD40" s="1662"/>
      <c r="CE40" s="1662"/>
      <c r="CF40" s="1662"/>
      <c r="CG40" s="1663"/>
      <c r="CH40" s="1599"/>
      <c r="CI40" s="1599"/>
      <c r="CJ40" s="1599"/>
      <c r="CK40" s="1599"/>
      <c r="CL40" s="1599"/>
      <c r="CM40" s="1599"/>
      <c r="CN40" s="1599"/>
      <c r="CO40" s="1599"/>
      <c r="CP40" s="1599"/>
      <c r="CQ40" s="1599"/>
      <c r="CR40" s="1599"/>
      <c r="CS40" s="1599"/>
      <c r="CT40" s="1699"/>
      <c r="CU40" s="1599"/>
      <c r="CV40" s="1700"/>
      <c r="CW40" s="1700"/>
      <c r="CX40" s="1700"/>
      <c r="CY40" s="1700"/>
      <c r="CZ40" s="1700"/>
      <c r="DA40" s="1700"/>
      <c r="DB40" s="1700"/>
      <c r="DC40" s="1700"/>
      <c r="DD40" s="1700"/>
      <c r="DE40" s="1700"/>
      <c r="DF40" s="1700"/>
      <c r="DG40" s="1700"/>
      <c r="DH40" s="1700"/>
      <c r="DI40" s="1700"/>
      <c r="DJ40" s="1700"/>
    </row>
    <row r="41" spans="1:114" s="1654" customFormat="1" ht="19.5" thickTop="1" x14ac:dyDescent="0.25">
      <c r="A41" s="1658" t="s">
        <v>3479</v>
      </c>
      <c r="B41" s="1705">
        <v>238413</v>
      </c>
      <c r="C41" s="1705">
        <v>238093</v>
      </c>
      <c r="D41" s="1705">
        <v>261162</v>
      </c>
      <c r="E41" s="1705">
        <v>277292</v>
      </c>
      <c r="F41" s="1705">
        <v>283585</v>
      </c>
      <c r="G41" s="1705">
        <v>266059</v>
      </c>
      <c r="H41" s="1705">
        <v>290958</v>
      </c>
      <c r="I41" s="1705">
        <v>283367</v>
      </c>
      <c r="J41" s="1705">
        <v>264927</v>
      </c>
      <c r="K41" s="1705">
        <v>315412</v>
      </c>
      <c r="L41" s="1705">
        <v>295863</v>
      </c>
      <c r="M41" s="1705">
        <v>392058</v>
      </c>
      <c r="N41" s="1705">
        <v>351065</v>
      </c>
      <c r="O41" s="1705">
        <v>327122</v>
      </c>
      <c r="P41" s="1705">
        <v>380181</v>
      </c>
      <c r="Q41" s="1705">
        <v>385013</v>
      </c>
      <c r="R41" s="1705">
        <v>366954</v>
      </c>
      <c r="S41" s="1705">
        <v>406022</v>
      </c>
      <c r="T41" s="1705">
        <v>392209</v>
      </c>
      <c r="U41" s="1705">
        <v>375620</v>
      </c>
      <c r="V41" s="1705">
        <v>410190</v>
      </c>
      <c r="W41" s="1705">
        <v>398849</v>
      </c>
      <c r="X41" s="1705">
        <v>525624</v>
      </c>
      <c r="Y41" s="1705">
        <v>402112</v>
      </c>
      <c r="Z41" s="1705">
        <v>375413</v>
      </c>
      <c r="AA41" s="1705">
        <v>422037</v>
      </c>
      <c r="AB41" s="1705">
        <v>435923</v>
      </c>
      <c r="AC41" s="1705">
        <v>441066</v>
      </c>
      <c r="AD41" s="1705">
        <v>420177</v>
      </c>
      <c r="AE41" s="1705">
        <v>454337</v>
      </c>
      <c r="AF41" s="1705">
        <v>481938</v>
      </c>
      <c r="AG41" s="1705">
        <v>466579</v>
      </c>
      <c r="AH41" s="1705">
        <v>504400</v>
      </c>
      <c r="AI41" s="1705">
        <v>500404</v>
      </c>
      <c r="AJ41" s="1705">
        <v>614221</v>
      </c>
      <c r="AK41" s="1705">
        <v>506560</v>
      </c>
      <c r="AL41" s="1705">
        <v>482473</v>
      </c>
      <c r="AM41" s="1705">
        <v>540918</v>
      </c>
      <c r="AN41" s="1705">
        <v>534150</v>
      </c>
      <c r="AO41" s="1705">
        <v>545998</v>
      </c>
      <c r="AP41" s="1705"/>
      <c r="AQ41" s="1698"/>
      <c r="AR41" s="1706"/>
      <c r="AS41" s="1706"/>
      <c r="AT41" s="1706"/>
      <c r="AU41" s="1706"/>
      <c r="AV41" s="1706"/>
      <c r="AW41" s="1706">
        <v>484014</v>
      </c>
      <c r="AX41" s="1706">
        <v>441607</v>
      </c>
      <c r="AY41" s="1706">
        <v>478285</v>
      </c>
      <c r="AZ41" s="1706">
        <v>472079</v>
      </c>
      <c r="BA41" s="1706">
        <v>492814</v>
      </c>
      <c r="BB41" s="1706">
        <v>464036</v>
      </c>
      <c r="BC41" s="1706">
        <v>509329</v>
      </c>
      <c r="BD41" s="1706">
        <v>516251</v>
      </c>
      <c r="BE41" s="1706">
        <v>510762</v>
      </c>
      <c r="BF41" s="1706">
        <v>557220</v>
      </c>
      <c r="BG41" s="1706">
        <v>552943</v>
      </c>
      <c r="BH41" s="1706">
        <v>689013</v>
      </c>
      <c r="BI41" s="1706">
        <v>618500</v>
      </c>
      <c r="BJ41" s="1706">
        <v>574868</v>
      </c>
      <c r="BK41" s="1706">
        <v>655362</v>
      </c>
      <c r="BL41" s="1706">
        <v>653193</v>
      </c>
      <c r="BM41" s="1706">
        <v>706131</v>
      </c>
      <c r="BN41" s="1706">
        <v>665428</v>
      </c>
      <c r="BO41" s="1706">
        <v>715621</v>
      </c>
      <c r="BP41" s="1706">
        <v>722923</v>
      </c>
      <c r="BQ41" s="1707">
        <v>700193</v>
      </c>
      <c r="BR41" s="1666">
        <v>763127</v>
      </c>
      <c r="BS41" s="1666">
        <v>754532</v>
      </c>
      <c r="BT41" s="1666">
        <v>928264</v>
      </c>
      <c r="BU41" s="1666">
        <v>802564</v>
      </c>
      <c r="BV41" s="1666">
        <v>758901</v>
      </c>
      <c r="BW41" s="1667">
        <v>876852</v>
      </c>
      <c r="BX41" s="1667">
        <v>862030</v>
      </c>
      <c r="BY41" s="1667">
        <v>913581</v>
      </c>
      <c r="BZ41" s="1667">
        <v>874714</v>
      </c>
      <c r="CA41" s="1667">
        <v>949522</v>
      </c>
      <c r="CB41" s="1667">
        <v>948363</v>
      </c>
      <c r="CC41" s="1667">
        <v>926335</v>
      </c>
      <c r="CD41" s="1668">
        <v>1015480</v>
      </c>
      <c r="CE41" s="1668">
        <v>1004407</v>
      </c>
      <c r="CF41" s="1668">
        <v>1244147</v>
      </c>
      <c r="CG41" s="1669">
        <v>1067960</v>
      </c>
      <c r="CH41" s="1666">
        <v>1028234</v>
      </c>
      <c r="CI41" s="1666">
        <v>1095154</v>
      </c>
      <c r="CJ41" s="1666">
        <v>1207603</v>
      </c>
      <c r="CK41" s="1666">
        <v>1282690</v>
      </c>
      <c r="CL41" s="1666">
        <v>1252951</v>
      </c>
      <c r="CM41" s="1666">
        <v>1323761</v>
      </c>
      <c r="CN41" s="1666">
        <v>1388106</v>
      </c>
      <c r="CO41" s="1666">
        <v>1390360</v>
      </c>
      <c r="CP41" s="1666">
        <v>1518406</v>
      </c>
      <c r="CQ41" s="1666">
        <v>1507734</v>
      </c>
      <c r="CR41" s="1666">
        <v>1833650</v>
      </c>
      <c r="CS41" s="1666">
        <v>1596940</v>
      </c>
      <c r="CT41" s="1708">
        <v>1565197</v>
      </c>
      <c r="CU41" s="1666">
        <v>1680379</v>
      </c>
      <c r="CV41" s="1709">
        <v>1601207</v>
      </c>
      <c r="CW41" s="1709">
        <v>1892092</v>
      </c>
      <c r="CX41" s="1709">
        <v>1898007</v>
      </c>
      <c r="CY41" s="1709">
        <v>2041337</v>
      </c>
      <c r="CZ41" s="1709">
        <v>2068502</v>
      </c>
      <c r="DA41" s="1709">
        <v>2035378</v>
      </c>
      <c r="DB41" s="1709">
        <v>2250420</v>
      </c>
      <c r="DC41" s="1709">
        <v>2203339</v>
      </c>
      <c r="DD41" s="1709">
        <v>2827459</v>
      </c>
      <c r="DE41" s="1709">
        <v>2311418</v>
      </c>
      <c r="DF41" s="1709">
        <v>2189605</v>
      </c>
      <c r="DG41" s="1709">
        <v>2216750</v>
      </c>
      <c r="DH41" s="1709">
        <v>2513901</v>
      </c>
      <c r="DI41" s="1709">
        <v>2799194</v>
      </c>
      <c r="DJ41" s="1709">
        <v>2642710</v>
      </c>
    </row>
    <row r="42" spans="1:114" s="1607" customFormat="1" ht="19.5" thickBot="1" x14ac:dyDescent="0.3">
      <c r="A42" s="1672" t="s">
        <v>3480</v>
      </c>
      <c r="B42" s="1710">
        <v>43475.962768999998</v>
      </c>
      <c r="C42" s="1710">
        <v>53599.680598999999</v>
      </c>
      <c r="D42" s="1710">
        <v>50754</v>
      </c>
      <c r="E42" s="1710">
        <v>44273.632428999998</v>
      </c>
      <c r="F42" s="1710">
        <v>56415.093000000001</v>
      </c>
      <c r="G42" s="1710">
        <v>69886.773830000006</v>
      </c>
      <c r="H42" s="1710">
        <v>95686.427930000005</v>
      </c>
      <c r="I42" s="1710">
        <v>99053.420203000001</v>
      </c>
      <c r="J42" s="1710">
        <v>109788.97238200001</v>
      </c>
      <c r="K42" s="1710">
        <v>94589.501147999996</v>
      </c>
      <c r="L42" s="1710">
        <v>111014.214874</v>
      </c>
      <c r="M42" s="1710">
        <v>135896.03765000001</v>
      </c>
      <c r="N42" s="1710">
        <v>91072.939985999998</v>
      </c>
      <c r="O42" s="1710">
        <v>105733.91310200001</v>
      </c>
      <c r="P42" s="1710">
        <v>156737.17344799999</v>
      </c>
      <c r="Q42" s="1710">
        <v>88654.171180000005</v>
      </c>
      <c r="R42" s="1710">
        <v>123315.401</v>
      </c>
      <c r="S42" s="1710">
        <v>110439.07325723401</v>
      </c>
      <c r="T42" s="1710">
        <v>83870.612330999997</v>
      </c>
      <c r="U42" s="1710">
        <v>131569.13808400001</v>
      </c>
      <c r="V42" s="1710">
        <v>105040.50852712478</v>
      </c>
      <c r="W42" s="1710">
        <v>84908.775735624222</v>
      </c>
      <c r="X42" s="1710">
        <v>187514.1931471756</v>
      </c>
      <c r="Y42" s="1710">
        <v>117692.056832556</v>
      </c>
      <c r="Z42" s="1710">
        <v>82396.713636</v>
      </c>
      <c r="AA42" s="1710">
        <v>104323</v>
      </c>
      <c r="AB42" s="1710">
        <v>97269</v>
      </c>
      <c r="AC42" s="1710">
        <v>126271.62020400001</v>
      </c>
      <c r="AD42" s="1710">
        <v>179424.24770530299</v>
      </c>
      <c r="AE42" s="1710">
        <v>143778.00127400001</v>
      </c>
      <c r="AF42" s="1710">
        <v>126622.30538200001</v>
      </c>
      <c r="AG42" s="1710">
        <v>146464.13355699999</v>
      </c>
      <c r="AH42" s="1710">
        <v>159790.540978</v>
      </c>
      <c r="AI42" s="1710">
        <v>201645.420835</v>
      </c>
      <c r="AJ42" s="1710">
        <v>268652.59542799997</v>
      </c>
      <c r="AK42" s="1710">
        <v>177035.007265758</v>
      </c>
      <c r="AL42" s="1710">
        <v>213554.44691599999</v>
      </c>
      <c r="AM42" s="1710">
        <f>254231630497.023/1000000</f>
        <v>254231.630497023</v>
      </c>
      <c r="AN42" s="1710">
        <v>212520</v>
      </c>
      <c r="AO42" s="1710">
        <v>170706.24584941001</v>
      </c>
      <c r="AP42" s="1710"/>
      <c r="AQ42" s="1711"/>
      <c r="AR42" s="1712"/>
      <c r="AS42" s="1712"/>
      <c r="AT42" s="1712"/>
      <c r="AU42" s="1712"/>
      <c r="AV42" s="1712"/>
      <c r="AW42" s="1712">
        <v>144.076719</v>
      </c>
      <c r="AX42" s="1712">
        <v>139.514498</v>
      </c>
      <c r="AY42" s="1712">
        <v>151.15639999999999</v>
      </c>
      <c r="AZ42" s="1712">
        <v>152.35351800000001</v>
      </c>
      <c r="BA42" s="1712">
        <v>171.221</v>
      </c>
      <c r="BB42" s="1712">
        <v>165.06743270000001</v>
      </c>
      <c r="BC42" s="1712">
        <v>191.357879</v>
      </c>
      <c r="BD42" s="1712">
        <v>198</v>
      </c>
      <c r="BE42" s="1712">
        <v>209</v>
      </c>
      <c r="BF42" s="1712">
        <v>240.162262</v>
      </c>
      <c r="BG42" s="1712">
        <v>254</v>
      </c>
      <c r="BH42" s="1712">
        <v>356.887002</v>
      </c>
      <c r="BI42" s="1712">
        <v>261</v>
      </c>
      <c r="BJ42" s="1712">
        <v>264.89435500000002</v>
      </c>
      <c r="BK42" s="1712">
        <v>319.31384800000001</v>
      </c>
      <c r="BL42" s="1712">
        <v>318.80098099999998</v>
      </c>
      <c r="BM42" s="1712">
        <v>371</v>
      </c>
      <c r="BN42" s="1712">
        <v>359.79</v>
      </c>
      <c r="BO42" s="1712">
        <v>387</v>
      </c>
      <c r="BP42" s="1712">
        <v>411</v>
      </c>
      <c r="BQ42" s="1711">
        <v>414</v>
      </c>
      <c r="BR42" s="1673">
        <v>462</v>
      </c>
      <c r="BS42" s="1673">
        <v>494</v>
      </c>
      <c r="BT42" s="1673">
        <v>683</v>
      </c>
      <c r="BU42" s="1674">
        <v>445</v>
      </c>
      <c r="BV42" s="1673">
        <v>498</v>
      </c>
      <c r="BW42" s="1713">
        <v>628</v>
      </c>
      <c r="BX42" s="1713">
        <v>598</v>
      </c>
      <c r="BY42" s="1713">
        <v>685</v>
      </c>
      <c r="BZ42" s="1713">
        <v>658</v>
      </c>
      <c r="CA42" s="1713">
        <v>740</v>
      </c>
      <c r="CB42" s="1713">
        <v>746</v>
      </c>
      <c r="CC42" s="1713">
        <v>750</v>
      </c>
      <c r="CD42" s="1714">
        <v>883.54638162000003</v>
      </c>
      <c r="CE42" s="1714">
        <v>892.819615</v>
      </c>
      <c r="CF42" s="1714">
        <v>1259.60703582</v>
      </c>
      <c r="CG42" s="1715">
        <v>912.87033027999996</v>
      </c>
      <c r="CH42" s="1673">
        <v>942.25861424000004</v>
      </c>
      <c r="CI42" s="1673">
        <v>1131.9104803</v>
      </c>
      <c r="CJ42" s="1673">
        <v>1201.6992961200001</v>
      </c>
      <c r="CK42" s="1673">
        <v>1365</v>
      </c>
      <c r="CL42" s="1673">
        <v>1323</v>
      </c>
      <c r="CM42" s="1673">
        <v>1485.02323998</v>
      </c>
      <c r="CN42" s="1673">
        <v>1547</v>
      </c>
      <c r="CO42" s="1673">
        <v>1550</v>
      </c>
      <c r="CP42" s="1673">
        <v>1780</v>
      </c>
      <c r="CQ42" s="1673">
        <v>1733</v>
      </c>
      <c r="CR42" s="1673">
        <v>2382</v>
      </c>
      <c r="CS42" s="1716">
        <v>1790</v>
      </c>
      <c r="CT42" s="1679">
        <v>1813.2225481200001</v>
      </c>
      <c r="CU42" s="1679">
        <v>1754.5599538699998</v>
      </c>
      <c r="CV42" s="1717">
        <v>1719</v>
      </c>
      <c r="CW42" s="1717">
        <v>2336</v>
      </c>
      <c r="CX42" s="1717">
        <v>2420</v>
      </c>
      <c r="CY42" s="1717">
        <v>2678</v>
      </c>
      <c r="CZ42" s="1717">
        <v>2669.7463369700004</v>
      </c>
      <c r="DA42" s="1717">
        <v>2666</v>
      </c>
      <c r="DB42" s="1717">
        <v>2979</v>
      </c>
      <c r="DC42" s="1717">
        <v>2906</v>
      </c>
      <c r="DD42" s="1717">
        <v>4209</v>
      </c>
      <c r="DE42" s="1717">
        <v>2871</v>
      </c>
      <c r="DF42" s="1717">
        <v>3005.8193708700001</v>
      </c>
      <c r="DG42" s="1717">
        <v>2919.8340456999999</v>
      </c>
      <c r="DH42" s="1717">
        <v>3318.7448654999998</v>
      </c>
      <c r="DI42" s="1717">
        <v>3914.1980994300002</v>
      </c>
      <c r="DJ42" s="1717">
        <v>3812.0738489</v>
      </c>
    </row>
    <row r="43" spans="1:114" s="1654" customFormat="1" ht="19.5" thickTop="1" x14ac:dyDescent="0.25">
      <c r="A43" s="1635" t="s">
        <v>3481</v>
      </c>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c r="AG43" s="1718"/>
      <c r="AH43" s="1718"/>
      <c r="AI43" s="1718"/>
      <c r="AJ43" s="1718"/>
      <c r="AK43" s="1718"/>
      <c r="AL43" s="1718"/>
      <c r="AM43" s="1718"/>
      <c r="AN43" s="1718"/>
      <c r="AO43" s="1718"/>
      <c r="AP43" s="1718"/>
      <c r="AQ43" s="1718"/>
      <c r="AR43" s="1718"/>
      <c r="AS43" s="1718"/>
      <c r="AT43" s="1718"/>
      <c r="AU43" s="1718"/>
      <c r="AV43" s="1718"/>
      <c r="AW43" s="1718"/>
      <c r="AX43" s="1718"/>
      <c r="AY43" s="1718"/>
      <c r="AZ43" s="1718"/>
      <c r="BA43" s="1718"/>
      <c r="BB43" s="1718"/>
      <c r="BC43" s="1718"/>
      <c r="BD43" s="1718"/>
      <c r="BE43" s="1718"/>
      <c r="BF43" s="1718"/>
      <c r="BG43" s="1718"/>
      <c r="BH43" s="1718"/>
      <c r="BI43" s="1718"/>
      <c r="BJ43" s="1718"/>
      <c r="BK43" s="1718"/>
      <c r="BL43" s="1718"/>
      <c r="BM43" s="1718"/>
      <c r="BN43" s="1718"/>
      <c r="BO43" s="1718"/>
      <c r="BP43" s="1718"/>
      <c r="BQ43" s="1718"/>
      <c r="BR43" s="1718"/>
      <c r="BS43" s="1718"/>
      <c r="BT43" s="1718"/>
      <c r="BU43" s="1719"/>
      <c r="BV43" s="1718"/>
      <c r="BW43" s="1720"/>
      <c r="BX43" s="1720"/>
      <c r="BY43" s="1720"/>
      <c r="BZ43" s="1720"/>
      <c r="CA43" s="1720"/>
      <c r="CB43" s="1720"/>
      <c r="CC43" s="1720"/>
      <c r="CD43" s="1720"/>
      <c r="CE43" s="1720"/>
      <c r="CF43" s="1720"/>
      <c r="CG43" s="1720"/>
      <c r="CH43" s="1720"/>
      <c r="CI43" s="1720"/>
      <c r="CJ43" s="1720"/>
      <c r="CK43" s="1720"/>
      <c r="CL43" s="1720"/>
      <c r="CM43" s="1720"/>
      <c r="CN43" s="1720"/>
      <c r="CO43" s="1720"/>
      <c r="CP43" s="1720"/>
      <c r="CQ43" s="1720"/>
      <c r="CR43" s="1720"/>
      <c r="CS43" s="1720"/>
      <c r="CT43" s="1720"/>
      <c r="CU43" s="1720"/>
      <c r="CV43" s="1720"/>
      <c r="CW43" s="1720"/>
      <c r="CX43" s="1720"/>
      <c r="CY43" s="1720"/>
      <c r="CZ43" s="1720"/>
      <c r="DA43" s="1720"/>
      <c r="DB43" s="1720"/>
      <c r="DC43" s="1720"/>
      <c r="DD43" s="1720"/>
      <c r="DE43" s="1720"/>
      <c r="DF43" s="1720"/>
      <c r="DG43" s="1720"/>
      <c r="DH43" s="1720"/>
      <c r="DI43" s="1721"/>
      <c r="DJ43" s="1720"/>
    </row>
    <row r="44" spans="1:114" s="1637" customFormat="1" x14ac:dyDescent="0.25">
      <c r="A44" s="1635" t="s">
        <v>3482</v>
      </c>
      <c r="B44" s="1636"/>
      <c r="C44" s="1636"/>
      <c r="D44" s="1636"/>
      <c r="E44" s="1636"/>
      <c r="F44" s="1636"/>
      <c r="G44" s="1636"/>
      <c r="H44" s="1636"/>
      <c r="I44" s="1636"/>
      <c r="J44" s="1636"/>
      <c r="K44" s="1636"/>
      <c r="L44" s="1636"/>
      <c r="M44" s="1636"/>
      <c r="N44" s="1636"/>
      <c r="O44" s="1636"/>
      <c r="P44" s="1636"/>
      <c r="Q44" s="1636"/>
      <c r="R44" s="1636"/>
      <c r="S44" s="1636"/>
      <c r="T44" s="1636"/>
      <c r="U44" s="1636"/>
      <c r="V44" s="1636"/>
      <c r="W44" s="1636"/>
      <c r="X44" s="1636"/>
      <c r="Y44" s="1636"/>
      <c r="Z44" s="1636"/>
      <c r="AA44" s="1636"/>
      <c r="AB44" s="1636"/>
      <c r="AC44" s="1636"/>
      <c r="AD44" s="1636"/>
      <c r="AE44" s="1636"/>
      <c r="AF44" s="1636"/>
      <c r="AG44" s="1636"/>
      <c r="AH44" s="1636"/>
      <c r="AI44" s="1636"/>
      <c r="AJ44" s="1636"/>
      <c r="AK44" s="1636"/>
      <c r="AL44" s="1636"/>
      <c r="AM44" s="1636"/>
      <c r="AN44" s="1636"/>
      <c r="AO44" s="1636"/>
      <c r="AP44" s="1636"/>
      <c r="AQ44" s="1636"/>
      <c r="AR44" s="1636"/>
      <c r="AS44" s="1636"/>
      <c r="AT44" s="1636"/>
      <c r="AU44" s="1636"/>
      <c r="AV44" s="1636"/>
      <c r="AW44" s="1636"/>
      <c r="AX44" s="1636"/>
      <c r="AY44" s="1636"/>
      <c r="AZ44" s="1636"/>
      <c r="BA44" s="1636"/>
      <c r="BB44" s="1636"/>
      <c r="BC44" s="1636"/>
      <c r="BD44" s="1636"/>
      <c r="BE44" s="1636"/>
      <c r="BF44" s="1636"/>
      <c r="BG44" s="1636"/>
      <c r="BH44" s="1636" t="s">
        <v>3483</v>
      </c>
      <c r="BI44" s="1636"/>
      <c r="BJ44" s="1636"/>
      <c r="BK44" s="1636"/>
      <c r="BL44" s="1636"/>
      <c r="BM44" s="1636"/>
      <c r="BN44" s="1636"/>
      <c r="BO44" s="1636"/>
      <c r="BP44" s="1636"/>
      <c r="BQ44" s="1636"/>
      <c r="BT44" s="1636"/>
      <c r="BU44" s="1636"/>
      <c r="BV44" s="1636"/>
      <c r="BW44" s="1638"/>
      <c r="BX44" s="1638"/>
      <c r="BY44" s="1638"/>
      <c r="BZ44" s="1638"/>
      <c r="CA44" s="1638"/>
      <c r="CB44" s="1638"/>
      <c r="CC44" s="1638"/>
      <c r="CD44" s="1638"/>
      <c r="CE44" s="1638"/>
      <c r="CF44" s="1638"/>
      <c r="CG44" s="1638"/>
      <c r="CH44" s="1638"/>
      <c r="CI44" s="1638"/>
      <c r="CJ44" s="1638"/>
      <c r="CK44" s="1638"/>
      <c r="CL44" s="1638"/>
      <c r="CM44" s="1638"/>
      <c r="CN44" s="1638"/>
      <c r="CO44" s="1638"/>
      <c r="CP44" s="1638"/>
      <c r="CQ44" s="1638"/>
      <c r="CR44" s="1638"/>
      <c r="CS44" s="1638"/>
      <c r="CT44" s="1638"/>
      <c r="CU44" s="1638"/>
      <c r="CV44" s="1638"/>
      <c r="CW44" s="1638"/>
      <c r="CX44" s="1638"/>
      <c r="CY44" s="1638"/>
      <c r="CZ44" s="1638"/>
      <c r="DA44" s="1638"/>
      <c r="DB44" s="1638"/>
      <c r="DC44" s="1638"/>
      <c r="DD44" s="1638"/>
      <c r="DE44" s="1638"/>
      <c r="DF44" s="1638"/>
      <c r="DG44" s="1638"/>
      <c r="DH44" s="1638"/>
      <c r="DI44" s="1638"/>
      <c r="DJ44" s="1638"/>
    </row>
    <row r="45" spans="1:114" s="1637" customFormat="1" x14ac:dyDescent="0.25">
      <c r="A45" s="1635" t="s">
        <v>3484</v>
      </c>
      <c r="B45" s="1636"/>
      <c r="C45" s="1636"/>
      <c r="D45" s="1636"/>
      <c r="E45" s="1636"/>
      <c r="F45" s="1636"/>
      <c r="G45" s="1636"/>
      <c r="H45" s="1636"/>
      <c r="I45" s="1636"/>
      <c r="J45" s="1636"/>
      <c r="K45" s="1636"/>
      <c r="L45" s="1636"/>
      <c r="M45" s="1636"/>
      <c r="N45" s="1636"/>
      <c r="O45" s="1636"/>
      <c r="P45" s="1636"/>
      <c r="Q45" s="1636"/>
      <c r="R45" s="1636"/>
      <c r="S45" s="1636"/>
      <c r="T45" s="1636"/>
      <c r="U45" s="1636"/>
      <c r="V45" s="1636"/>
      <c r="W45" s="1636"/>
      <c r="X45" s="1636"/>
      <c r="Y45" s="1636"/>
      <c r="Z45" s="1636"/>
      <c r="AA45" s="1636"/>
      <c r="AB45" s="1636"/>
      <c r="AC45" s="1636"/>
      <c r="AD45" s="1636"/>
      <c r="AE45" s="1636"/>
      <c r="AF45" s="1636"/>
      <c r="AG45" s="1636"/>
      <c r="AH45" s="1636"/>
      <c r="AI45" s="1636"/>
      <c r="AJ45" s="1636"/>
      <c r="AK45" s="1636"/>
      <c r="AL45" s="1636"/>
      <c r="AM45" s="1636"/>
      <c r="AN45" s="1636"/>
      <c r="AO45" s="1636"/>
      <c r="AP45" s="1636"/>
      <c r="AQ45" s="1636"/>
      <c r="AR45" s="1636"/>
      <c r="AS45" s="1636"/>
      <c r="AT45" s="1636"/>
      <c r="AU45" s="1636"/>
      <c r="AV45" s="1636"/>
      <c r="AW45" s="1636"/>
      <c r="AX45" s="1636"/>
      <c r="AY45" s="1636"/>
      <c r="AZ45" s="1636"/>
      <c r="BA45" s="1636"/>
      <c r="BB45" s="1636"/>
      <c r="BC45" s="1636"/>
      <c r="BD45" s="1636"/>
      <c r="BE45" s="1636"/>
      <c r="BF45" s="1636"/>
      <c r="BG45" s="1636"/>
      <c r="BH45" s="1636"/>
      <c r="BI45" s="1636"/>
      <c r="BJ45" s="1636"/>
      <c r="BK45" s="1636"/>
      <c r="BL45" s="1636"/>
      <c r="BM45" s="1636"/>
      <c r="BN45" s="1636"/>
      <c r="BO45" s="1636"/>
      <c r="BP45" s="1636"/>
      <c r="BQ45" s="1636"/>
      <c r="BT45" s="1636"/>
      <c r="BU45" s="1636"/>
      <c r="BV45" s="1636"/>
      <c r="BW45" s="1638"/>
      <c r="BX45" s="1638"/>
      <c r="BY45" s="1638"/>
      <c r="BZ45" s="1638"/>
      <c r="CA45" s="1638"/>
      <c r="CB45" s="1638"/>
      <c r="CC45" s="1638"/>
      <c r="CD45" s="1638"/>
      <c r="CE45" s="1638"/>
      <c r="CF45" s="1638"/>
      <c r="CG45" s="1639"/>
      <c r="CH45" s="1639"/>
      <c r="CI45" s="1639"/>
      <c r="CJ45" s="1639"/>
      <c r="CK45" s="1639"/>
      <c r="CL45" s="1639"/>
      <c r="CM45" s="1639"/>
      <c r="CN45" s="1639"/>
      <c r="CO45" s="1639"/>
      <c r="CP45" s="1639"/>
      <c r="CQ45" s="1639"/>
      <c r="CR45" s="1639"/>
      <c r="CS45" s="1639"/>
      <c r="CT45" s="1639"/>
      <c r="CU45" s="1639"/>
      <c r="CV45" s="1639"/>
      <c r="CW45" s="1639"/>
      <c r="CX45" s="1639"/>
      <c r="CY45" s="1639"/>
      <c r="CZ45" s="1639"/>
      <c r="DA45" s="1639"/>
      <c r="DB45" s="1639"/>
      <c r="DC45" s="1639"/>
      <c r="DD45" s="1639"/>
      <c r="DE45" s="1639"/>
      <c r="DF45" s="1639"/>
      <c r="DG45" s="1639"/>
      <c r="DH45" s="1639"/>
      <c r="DI45" s="1639"/>
      <c r="DJ45" s="1638"/>
    </row>
    <row r="46" spans="1:114" x14ac:dyDescent="0.25">
      <c r="DJ46" s="1722"/>
    </row>
  </sheetData>
  <pageMargins left="0.7" right="0.7" top="0.75" bottom="0.75" header="0.3" footer="0.3"/>
  <pageSetup paperSize="9" scale="57"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DI28"/>
  <sheetViews>
    <sheetView zoomScale="85" zoomScaleNormal="85" zoomScaleSheetLayoutView="100" workbookViewId="0"/>
  </sheetViews>
  <sheetFormatPr defaultColWidth="9.140625" defaultRowHeight="12.75" x14ac:dyDescent="0.2"/>
  <cols>
    <col min="1" max="1" width="47.7109375" style="1726" customWidth="1"/>
    <col min="2" max="32" width="13.42578125" style="1726" hidden="1" customWidth="1"/>
    <col min="33" max="33" width="3" style="1726" hidden="1" customWidth="1"/>
    <col min="34" max="49" width="13.42578125" style="1726" hidden="1" customWidth="1"/>
    <col min="50" max="50" width="10.42578125" style="1726" hidden="1" customWidth="1"/>
    <col min="51" max="51" width="9.140625" style="1726" hidden="1" customWidth="1"/>
    <col min="52" max="54" width="13.85546875" style="1726" hidden="1" customWidth="1"/>
    <col min="55" max="57" width="11.5703125" style="1726" hidden="1" customWidth="1"/>
    <col min="58" max="58" width="15.42578125" style="1726" hidden="1" customWidth="1"/>
    <col min="59" max="59" width="15.140625" style="1726" hidden="1" customWidth="1"/>
    <col min="60" max="60" width="15.42578125" style="1726" hidden="1" customWidth="1"/>
    <col min="61" max="61" width="14.85546875" style="1726" hidden="1" customWidth="1"/>
    <col min="62" max="62" width="15.42578125" style="1726" hidden="1" customWidth="1"/>
    <col min="63" max="64" width="15.140625" style="1726" hidden="1" customWidth="1"/>
    <col min="65" max="67" width="15.42578125" style="1726" hidden="1" customWidth="1"/>
    <col min="68" max="68" width="14.85546875" style="1726" hidden="1" customWidth="1"/>
    <col min="69" max="70" width="14.5703125" style="1726" hidden="1" customWidth="1"/>
    <col min="71" max="71" width="14.85546875" style="1726" hidden="1" customWidth="1"/>
    <col min="72" max="76" width="14.5703125" style="1726" hidden="1" customWidth="1"/>
    <col min="77" max="78" width="12.42578125" style="1726" hidden="1" customWidth="1"/>
    <col min="79" max="84" width="12.140625" style="1726" hidden="1" customWidth="1"/>
    <col min="85" max="85" width="13.7109375" style="1726" hidden="1" customWidth="1"/>
    <col min="86" max="86" width="14" style="1726" hidden="1" customWidth="1"/>
    <col min="87" max="88" width="13.7109375" style="1726" hidden="1" customWidth="1"/>
    <col min="89" max="91" width="14" style="1726" hidden="1" customWidth="1"/>
    <col min="92" max="93" width="12.140625" style="1726" hidden="1" customWidth="1"/>
    <col min="94" max="100" width="12.85546875" style="1726" hidden="1" customWidth="1"/>
    <col min="101" max="113" width="12.85546875" style="1726" customWidth="1"/>
    <col min="114" max="16384" width="9.140625" style="1726"/>
  </cols>
  <sheetData>
    <row r="1" spans="1:113" ht="18.75" x14ac:dyDescent="0.3">
      <c r="A1" s="1723" t="s">
        <v>3485</v>
      </c>
      <c r="B1" s="1724"/>
      <c r="C1" s="1724"/>
      <c r="D1" s="1724"/>
      <c r="E1" s="1724"/>
      <c r="F1" s="1724"/>
      <c r="G1" s="1724"/>
      <c r="H1" s="1724"/>
      <c r="I1" s="1724"/>
      <c r="J1" s="1724"/>
      <c r="K1" s="1724"/>
      <c r="L1" s="1724"/>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1724"/>
      <c r="AO1" s="1724"/>
      <c r="AP1" s="1724"/>
      <c r="AQ1" s="1724"/>
      <c r="AR1" s="1724"/>
      <c r="AS1" s="1724"/>
      <c r="AT1" s="1724"/>
      <c r="AU1" s="1724"/>
      <c r="AV1" s="1724"/>
      <c r="AW1" s="1724"/>
      <c r="AX1" s="1724"/>
      <c r="AY1" s="1724"/>
      <c r="AZ1" s="1724"/>
      <c r="BA1" s="1724"/>
      <c r="BB1" s="1724"/>
      <c r="BC1" s="1724"/>
      <c r="BD1" s="1724"/>
      <c r="BE1" s="1724"/>
      <c r="BF1" s="1724"/>
      <c r="BG1" s="1724"/>
      <c r="BH1" s="1724"/>
      <c r="BI1" s="1724"/>
      <c r="BJ1" s="1724"/>
      <c r="BK1" s="1724"/>
      <c r="BL1" s="1724"/>
      <c r="BM1" s="1724"/>
      <c r="BN1" s="1724"/>
      <c r="BO1" s="1724"/>
      <c r="BP1" s="1724"/>
      <c r="BQ1" s="1724"/>
      <c r="BR1" s="1724"/>
      <c r="BS1" s="1724"/>
      <c r="BT1" s="1724"/>
      <c r="BU1" s="1724"/>
      <c r="BV1" s="1724"/>
      <c r="BW1" s="1725"/>
      <c r="BX1" s="1724"/>
    </row>
    <row r="2" spans="1:113" ht="16.5" thickBot="1" x14ac:dyDescent="0.3">
      <c r="A2" s="1727"/>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4"/>
      <c r="AR2" s="1728"/>
      <c r="AS2" s="1728"/>
      <c r="AT2" s="1724"/>
      <c r="AU2" s="1724"/>
      <c r="AV2" s="1728"/>
      <c r="AW2" s="1728"/>
      <c r="AX2" s="1724"/>
      <c r="AY2" s="1728"/>
      <c r="AZ2" s="1729"/>
      <c r="BA2" s="1729"/>
      <c r="BB2" s="1729"/>
      <c r="BC2" s="1724"/>
      <c r="BD2" s="1724"/>
      <c r="BE2" s="1724"/>
      <c r="BF2" s="1724"/>
      <c r="BG2" s="1724"/>
      <c r="BH2" s="1724"/>
      <c r="BI2" s="1729"/>
      <c r="BJ2" s="1729"/>
      <c r="BK2" s="1729"/>
      <c r="BL2" s="1730"/>
      <c r="BM2" s="1730"/>
      <c r="BN2" s="1730"/>
      <c r="BO2" s="1730"/>
      <c r="BP2" s="1730"/>
      <c r="BQ2" s="1730"/>
      <c r="BR2" s="1730"/>
      <c r="BS2" s="1730"/>
      <c r="BT2" s="1730"/>
      <c r="BU2" s="1730"/>
      <c r="BV2" s="1730"/>
      <c r="BX2" s="1730"/>
      <c r="CL2" s="1730"/>
      <c r="CM2" s="1730"/>
      <c r="CN2" s="1730"/>
      <c r="CO2" s="1730"/>
      <c r="CP2" s="1730"/>
      <c r="CQ2" s="1730"/>
      <c r="CR2" s="1730"/>
      <c r="CS2" s="1730"/>
      <c r="CT2" s="1730"/>
      <c r="CU2" s="1730"/>
      <c r="CV2" s="1730"/>
      <c r="CW2" s="1730"/>
      <c r="CX2" s="1730"/>
      <c r="CY2" s="1730"/>
      <c r="CZ2" s="1730"/>
      <c r="DA2" s="1730"/>
      <c r="DB2" s="1730"/>
      <c r="DC2" s="1730"/>
      <c r="DD2" s="1730"/>
      <c r="DE2" s="1730"/>
      <c r="DF2" s="1730"/>
      <c r="DG2" s="1730"/>
      <c r="DH2" s="1730"/>
      <c r="DI2" s="1730" t="s">
        <v>8</v>
      </c>
    </row>
    <row r="3" spans="1:113" ht="17.25" thickTop="1" x14ac:dyDescent="0.3">
      <c r="A3" s="1731" t="s">
        <v>3197</v>
      </c>
      <c r="B3" s="1732">
        <v>40940</v>
      </c>
      <c r="C3" s="1733">
        <v>40969</v>
      </c>
      <c r="D3" s="1733">
        <v>41000</v>
      </c>
      <c r="E3" s="1733">
        <v>41030</v>
      </c>
      <c r="F3" s="1733">
        <v>41061</v>
      </c>
      <c r="G3" s="1733">
        <v>41091</v>
      </c>
      <c r="H3" s="1733">
        <v>41122</v>
      </c>
      <c r="I3" s="1733">
        <v>41153</v>
      </c>
      <c r="J3" s="1733">
        <v>41183</v>
      </c>
      <c r="K3" s="1733">
        <v>41214</v>
      </c>
      <c r="L3" s="1733">
        <v>41244</v>
      </c>
      <c r="M3" s="1733">
        <v>41275</v>
      </c>
      <c r="N3" s="1733">
        <v>41306</v>
      </c>
      <c r="O3" s="1733">
        <v>41334</v>
      </c>
      <c r="P3" s="1733">
        <v>41365</v>
      </c>
      <c r="Q3" s="1733">
        <v>41395</v>
      </c>
      <c r="R3" s="1733">
        <v>41426</v>
      </c>
      <c r="S3" s="1733">
        <v>41456</v>
      </c>
      <c r="T3" s="1733">
        <v>41487</v>
      </c>
      <c r="U3" s="1733">
        <v>41518</v>
      </c>
      <c r="V3" s="1733">
        <v>41548</v>
      </c>
      <c r="W3" s="1733">
        <v>41579</v>
      </c>
      <c r="X3" s="1733">
        <v>41609</v>
      </c>
      <c r="Y3" s="1733">
        <v>41640</v>
      </c>
      <c r="Z3" s="1733">
        <v>41671</v>
      </c>
      <c r="AA3" s="1733">
        <v>41699</v>
      </c>
      <c r="AB3" s="1733">
        <v>41730</v>
      </c>
      <c r="AC3" s="1733">
        <v>41760</v>
      </c>
      <c r="AD3" s="1733">
        <v>41791</v>
      </c>
      <c r="AE3" s="1733">
        <v>41821</v>
      </c>
      <c r="AF3" s="1733">
        <v>41852</v>
      </c>
      <c r="AG3" s="1733">
        <v>41883</v>
      </c>
      <c r="AH3" s="1733">
        <v>41913</v>
      </c>
      <c r="AI3" s="1733">
        <v>41944</v>
      </c>
      <c r="AJ3" s="1733">
        <v>41974</v>
      </c>
      <c r="AK3" s="1733">
        <v>42005</v>
      </c>
      <c r="AL3" s="1733">
        <v>42036</v>
      </c>
      <c r="AM3" s="1733">
        <v>42064</v>
      </c>
      <c r="AN3" s="1733">
        <v>42095</v>
      </c>
      <c r="AO3" s="1733">
        <v>42125</v>
      </c>
      <c r="AP3" s="1733">
        <v>42156</v>
      </c>
      <c r="AQ3" s="1733">
        <v>42186</v>
      </c>
      <c r="AR3" s="1733">
        <v>42217</v>
      </c>
      <c r="AS3" s="1733">
        <v>42248</v>
      </c>
      <c r="AT3" s="1733">
        <v>42278</v>
      </c>
      <c r="AU3" s="1733">
        <v>42309</v>
      </c>
      <c r="AV3" s="1733">
        <v>42339</v>
      </c>
      <c r="AW3" s="1733">
        <v>42370</v>
      </c>
      <c r="AX3" s="1734">
        <v>42401</v>
      </c>
      <c r="AY3" s="1734">
        <v>42430</v>
      </c>
      <c r="AZ3" s="1734">
        <v>42461</v>
      </c>
      <c r="BA3" s="1734">
        <v>42491</v>
      </c>
      <c r="BB3" s="1734">
        <v>42522</v>
      </c>
      <c r="BC3" s="1734">
        <v>42552</v>
      </c>
      <c r="BD3" s="1734">
        <v>42583</v>
      </c>
      <c r="BE3" s="1734">
        <v>42644</v>
      </c>
      <c r="BF3" s="1734">
        <v>42675</v>
      </c>
      <c r="BG3" s="1734">
        <v>42705</v>
      </c>
      <c r="BH3" s="1734">
        <v>42736</v>
      </c>
      <c r="BI3" s="1734">
        <v>42767</v>
      </c>
      <c r="BJ3" s="1734">
        <v>42795</v>
      </c>
      <c r="BK3" s="1734">
        <v>42826</v>
      </c>
      <c r="BL3" s="1734">
        <v>42856</v>
      </c>
      <c r="BM3" s="1734">
        <v>42887</v>
      </c>
      <c r="BN3" s="1734">
        <v>42917</v>
      </c>
      <c r="BO3" s="1734">
        <v>42948</v>
      </c>
      <c r="BP3" s="1734">
        <v>42979</v>
      </c>
      <c r="BQ3" s="1734">
        <v>43009</v>
      </c>
      <c r="BR3" s="1734">
        <v>43040</v>
      </c>
      <c r="BS3" s="1734">
        <v>43070</v>
      </c>
      <c r="BT3" s="1734">
        <v>43101</v>
      </c>
      <c r="BU3" s="1734">
        <v>43132</v>
      </c>
      <c r="BV3" s="1734">
        <v>43160</v>
      </c>
      <c r="BW3" s="1734">
        <v>43191</v>
      </c>
      <c r="BX3" s="1734">
        <v>43221</v>
      </c>
      <c r="BY3" s="1735">
        <v>43252</v>
      </c>
      <c r="BZ3" s="1736">
        <v>43282</v>
      </c>
      <c r="CA3" s="1736">
        <v>43313</v>
      </c>
      <c r="CB3" s="1736">
        <v>43344</v>
      </c>
      <c r="CC3" s="1736">
        <v>43374</v>
      </c>
      <c r="CD3" s="1736">
        <v>43405</v>
      </c>
      <c r="CE3" s="1736">
        <v>43435</v>
      </c>
      <c r="CF3" s="1736">
        <v>43466</v>
      </c>
      <c r="CG3" s="1736">
        <v>43497</v>
      </c>
      <c r="CH3" s="1736">
        <v>43525</v>
      </c>
      <c r="CI3" s="1736">
        <v>43556</v>
      </c>
      <c r="CJ3" s="1736">
        <v>43586</v>
      </c>
      <c r="CK3" s="1736">
        <v>43617</v>
      </c>
      <c r="CL3" s="1736">
        <v>43647</v>
      </c>
      <c r="CM3" s="1736">
        <v>43678</v>
      </c>
      <c r="CN3" s="1736">
        <v>43709</v>
      </c>
      <c r="CO3" s="1736">
        <v>43739</v>
      </c>
      <c r="CP3" s="1736">
        <v>43770</v>
      </c>
      <c r="CQ3" s="1736">
        <v>43800</v>
      </c>
      <c r="CR3" s="1736">
        <v>43831</v>
      </c>
      <c r="CS3" s="1736">
        <v>43862</v>
      </c>
      <c r="CT3" s="1736">
        <v>43891</v>
      </c>
      <c r="CU3" s="1736">
        <v>43922</v>
      </c>
      <c r="CV3" s="1736">
        <v>43952</v>
      </c>
      <c r="CW3" s="1736">
        <v>43983</v>
      </c>
      <c r="CX3" s="1736">
        <v>44013</v>
      </c>
      <c r="CY3" s="1736">
        <v>44044</v>
      </c>
      <c r="CZ3" s="1736">
        <v>44075</v>
      </c>
      <c r="DA3" s="1736">
        <v>44105</v>
      </c>
      <c r="DB3" s="1736">
        <v>44136</v>
      </c>
      <c r="DC3" s="1736">
        <v>44166</v>
      </c>
      <c r="DD3" s="1736">
        <v>44197</v>
      </c>
      <c r="DE3" s="1736">
        <v>44228</v>
      </c>
      <c r="DF3" s="1736">
        <v>44256</v>
      </c>
      <c r="DG3" s="1736">
        <v>44287</v>
      </c>
      <c r="DH3" s="1736">
        <v>44317</v>
      </c>
      <c r="DI3" s="1736">
        <v>44348</v>
      </c>
    </row>
    <row r="4" spans="1:113" ht="16.5" x14ac:dyDescent="0.3">
      <c r="A4" s="1737" t="s">
        <v>3486</v>
      </c>
      <c r="B4" s="1738">
        <v>3784.9486335699999</v>
      </c>
      <c r="C4" s="1739">
        <v>4146.7953958849994</v>
      </c>
      <c r="D4" s="1739">
        <v>4022.084003985</v>
      </c>
      <c r="E4" s="1739">
        <v>3584.497060485</v>
      </c>
      <c r="F4" s="1739">
        <v>3225.2424225109999</v>
      </c>
      <c r="G4" s="1739">
        <v>3388.0164518410006</v>
      </c>
      <c r="H4" s="1739">
        <v>3213.4017549810055</v>
      </c>
      <c r="I4" s="1739">
        <v>3294.4372535110065</v>
      </c>
      <c r="J4" s="1739">
        <v>3154.4285983910063</v>
      </c>
      <c r="K4" s="1739">
        <v>3148.0892080410067</v>
      </c>
      <c r="L4" s="1739">
        <v>3345.1358636110058</v>
      </c>
      <c r="M4" s="1739">
        <v>3128.3774049100002</v>
      </c>
      <c r="N4" s="1739">
        <v>3203.3190910810063</v>
      </c>
      <c r="O4" s="1739">
        <v>3322.5468090010063</v>
      </c>
      <c r="P4" s="1739">
        <v>3313.392617461006</v>
      </c>
      <c r="Q4" s="1739">
        <v>3325.3249562447063</v>
      </c>
      <c r="R4" s="1739">
        <v>3428.9582647047064</v>
      </c>
      <c r="S4" s="1739">
        <v>3200.2595633639089</v>
      </c>
      <c r="T4" s="1739">
        <v>3427.7854060795316</v>
      </c>
      <c r="U4" s="1739">
        <v>3675.1366027608988</v>
      </c>
      <c r="V4" s="1739">
        <v>3458.5248819868975</v>
      </c>
      <c r="W4" s="1739">
        <v>3286.6199989168977</v>
      </c>
      <c r="X4" s="1739">
        <v>3316.0467721327036</v>
      </c>
      <c r="Y4" s="1739">
        <v>3201.0535848027043</v>
      </c>
      <c r="Z4" s="1739">
        <v>3244.2693786322957</v>
      </c>
      <c r="AA4" s="1739">
        <v>3209.5673300822955</v>
      </c>
      <c r="AB4" s="1739">
        <v>3372.8599289422968</v>
      </c>
      <c r="AC4" s="1739">
        <v>3262.1931688182876</v>
      </c>
      <c r="AD4" s="1739">
        <v>3357.269089338251</v>
      </c>
      <c r="AE4" s="1739">
        <v>3454.970170245861</v>
      </c>
      <c r="AF4" s="1739">
        <v>3199.8626864938701</v>
      </c>
      <c r="AG4" s="1739">
        <v>3611.2009549747509</v>
      </c>
      <c r="AH4" s="1739">
        <v>3738.534652824751</v>
      </c>
      <c r="AI4" s="1739">
        <v>3669.9878765200015</v>
      </c>
      <c r="AJ4" s="1739">
        <v>3829.0192880300006</v>
      </c>
      <c r="AK4" s="1739">
        <v>3696.6955143384366</v>
      </c>
      <c r="AL4" s="1739">
        <v>3877.2012400383878</v>
      </c>
      <c r="AM4" s="1739">
        <v>4057.4989944483882</v>
      </c>
      <c r="AN4" s="1739">
        <v>3787.1285439083886</v>
      </c>
      <c r="AO4" s="1739">
        <v>3805.8541573683879</v>
      </c>
      <c r="AP4" s="1739">
        <v>4098.195514651612</v>
      </c>
      <c r="AQ4" s="1739">
        <v>3667.253724035113</v>
      </c>
      <c r="AR4" s="1739">
        <v>3618.0046117023244</v>
      </c>
      <c r="AS4" s="1739">
        <v>3759.7951593273237</v>
      </c>
      <c r="AT4" s="1739">
        <v>3443.2439499577231</v>
      </c>
      <c r="AU4" s="1739">
        <v>3699.9854227800001</v>
      </c>
      <c r="AV4" s="1739">
        <v>3589.3408642577242</v>
      </c>
      <c r="AW4" s="1739">
        <v>3539.1884541786817</v>
      </c>
      <c r="AX4" s="1740">
        <v>3434.3436062520545</v>
      </c>
      <c r="AY4" s="1740">
        <v>3436.3616314499141</v>
      </c>
      <c r="AZ4" s="1740">
        <v>3330.2070528821923</v>
      </c>
      <c r="BA4" s="1740">
        <v>3342.136397937531</v>
      </c>
      <c r="BB4" s="1740">
        <v>3255.9114061509599</v>
      </c>
      <c r="BC4" s="1740">
        <v>3231.9418372969235</v>
      </c>
      <c r="BD4" s="1740">
        <v>3305.8552276699997</v>
      </c>
      <c r="BE4" s="1740">
        <v>3221.5421643699992</v>
      </c>
      <c r="BF4" s="1741">
        <v>3382.4812056800001</v>
      </c>
      <c r="BG4" s="1741">
        <v>3566.3286025253437</v>
      </c>
      <c r="BH4" s="1741">
        <v>3580.7706822065197</v>
      </c>
      <c r="BI4" s="1741">
        <v>3418.2423842825847</v>
      </c>
      <c r="BJ4" s="1741">
        <v>3346.9676388092034</v>
      </c>
      <c r="BK4" s="1741">
        <v>3290.9979959106026</v>
      </c>
      <c r="BL4" s="1741">
        <v>3481.8736139576454</v>
      </c>
      <c r="BM4" s="1741">
        <v>3372.4845592000429</v>
      </c>
      <c r="BN4" s="1741">
        <v>3193.7501008400004</v>
      </c>
      <c r="BO4" s="1741">
        <v>3183.0088155795152</v>
      </c>
      <c r="BP4" s="1741">
        <v>3255.9923272794731</v>
      </c>
      <c r="BQ4" s="1741">
        <v>3457.1440935294727</v>
      </c>
      <c r="BR4" s="1741">
        <v>3303.5069186194714</v>
      </c>
      <c r="BS4" s="1741">
        <v>3412.5936237753435</v>
      </c>
      <c r="BT4" s="1741">
        <v>3486.0294211585842</v>
      </c>
      <c r="BU4" s="1741">
        <v>3535.175439468585</v>
      </c>
      <c r="BV4" s="1741">
        <v>3433.8636157149781</v>
      </c>
      <c r="BW4" s="1741">
        <v>3388.134565612771</v>
      </c>
      <c r="BX4" s="1741">
        <v>3331.923867919978</v>
      </c>
      <c r="BY4" s="1742">
        <v>3237.1330915855106</v>
      </c>
      <c r="BZ4" s="1743">
        <v>3534.4659213856103</v>
      </c>
      <c r="CA4" s="1743">
        <v>3217.5155723172534</v>
      </c>
      <c r="CB4" s="1743">
        <v>3347.5619971200003</v>
      </c>
      <c r="CC4" s="1743">
        <v>2954.4473322599993</v>
      </c>
      <c r="CD4" s="1743">
        <v>2924.5198030900001</v>
      </c>
      <c r="CE4" s="1743">
        <v>2904.8976847799991</v>
      </c>
      <c r="CF4" s="1743">
        <v>3002.7589270400008</v>
      </c>
      <c r="CG4" s="1743">
        <v>2890.9727017300002</v>
      </c>
      <c r="CH4" s="1743">
        <v>2960.3916371599998</v>
      </c>
      <c r="CI4" s="1743">
        <v>5177.8026126500017</v>
      </c>
      <c r="CJ4" s="1743">
        <v>3257.1300759900009</v>
      </c>
      <c r="CK4" s="1743">
        <v>3233.3277186799987</v>
      </c>
      <c r="CL4" s="1743">
        <v>3377.4766460300007</v>
      </c>
      <c r="CM4" s="1743">
        <v>3467.4551905399994</v>
      </c>
      <c r="CN4" s="1743">
        <v>3573.971948129999</v>
      </c>
      <c r="CO4" s="1744">
        <v>3398.2836036400008</v>
      </c>
      <c r="CP4" s="1744">
        <v>3368.4167591</v>
      </c>
      <c r="CQ4" s="1744">
        <v>3511.7614057499991</v>
      </c>
      <c r="CR4" s="1744">
        <v>3245.9720668800001</v>
      </c>
      <c r="CS4" s="1744">
        <v>2590.1622581700008</v>
      </c>
      <c r="CT4" s="1744">
        <v>2818.9719614099999</v>
      </c>
      <c r="CU4" s="1744">
        <v>2713.8473133699999</v>
      </c>
      <c r="CV4" s="1744">
        <v>2765.6148307799999</v>
      </c>
      <c r="CW4" s="1744">
        <v>2866.9301137399989</v>
      </c>
      <c r="CX4" s="1744">
        <v>2688.5757228400003</v>
      </c>
      <c r="CY4" s="1744">
        <v>2618.9709778699998</v>
      </c>
      <c r="CZ4" s="1744">
        <v>2559.2510686999999</v>
      </c>
      <c r="DA4" s="1744">
        <v>2494.5765320100004</v>
      </c>
      <c r="DB4" s="1744">
        <v>2661.2007842200001</v>
      </c>
      <c r="DC4" s="1744">
        <v>2179.4268062000001</v>
      </c>
      <c r="DD4" s="1744">
        <v>2221.37669362</v>
      </c>
      <c r="DE4" s="1744">
        <v>2144.0418746299997</v>
      </c>
      <c r="DF4" s="1744">
        <v>2145.9126493200006</v>
      </c>
      <c r="DG4" s="1744">
        <v>2336.5686450999988</v>
      </c>
      <c r="DH4" s="1744">
        <v>2235.3195117200003</v>
      </c>
      <c r="DI4" s="1744">
        <v>2008.1151922200002</v>
      </c>
    </row>
    <row r="5" spans="1:113" ht="16.5" x14ac:dyDescent="0.3">
      <c r="A5" s="1737" t="s">
        <v>3487</v>
      </c>
      <c r="B5" s="1738">
        <v>9316.2234302199995</v>
      </c>
      <c r="C5" s="1739">
        <v>9415.8096210905005</v>
      </c>
      <c r="D5" s="1739">
        <v>9535.3307578904987</v>
      </c>
      <c r="E5" s="1739">
        <v>7634.3834235704999</v>
      </c>
      <c r="F5" s="1739">
        <v>7685.6638522344992</v>
      </c>
      <c r="G5" s="1739">
        <v>7769.0335341344999</v>
      </c>
      <c r="H5" s="1739">
        <v>7781.6829723244946</v>
      </c>
      <c r="I5" s="1739">
        <v>7825.2223860644945</v>
      </c>
      <c r="J5" s="1739">
        <v>7905.8672250044929</v>
      </c>
      <c r="K5" s="1739">
        <v>7949.0957587237699</v>
      </c>
      <c r="L5" s="1739">
        <v>8093.0274049682712</v>
      </c>
      <c r="M5" s="1739">
        <v>8105.9256304500004</v>
      </c>
      <c r="N5" s="1739">
        <v>8122.4054758394614</v>
      </c>
      <c r="O5" s="1739">
        <v>8173.5077580255911</v>
      </c>
      <c r="P5" s="1739">
        <v>8181.4418704855907</v>
      </c>
      <c r="Q5" s="1739">
        <v>8248.0292083418917</v>
      </c>
      <c r="R5" s="1739">
        <v>8327.257198237392</v>
      </c>
      <c r="S5" s="1739">
        <v>8362.6018428981879</v>
      </c>
      <c r="T5" s="1739">
        <v>8616.3561014105671</v>
      </c>
      <c r="U5" s="1739">
        <v>8540.2080518612001</v>
      </c>
      <c r="V5" s="1739">
        <v>8725.4808364296132</v>
      </c>
      <c r="W5" s="1739">
        <v>8992.3185840638089</v>
      </c>
      <c r="X5" s="1739">
        <v>9146.039682133809</v>
      </c>
      <c r="Y5" s="1739">
        <v>9175.2192890207971</v>
      </c>
      <c r="Z5" s="1739">
        <v>9165.592346084215</v>
      </c>
      <c r="AA5" s="1739">
        <v>9268.3452642042157</v>
      </c>
      <c r="AB5" s="1739">
        <v>9265.6731395319603</v>
      </c>
      <c r="AC5" s="1739">
        <v>9443.9182049919418</v>
      </c>
      <c r="AD5" s="1739">
        <v>9436.8506816582358</v>
      </c>
      <c r="AE5" s="1739">
        <v>9484.7520766305843</v>
      </c>
      <c r="AF5" s="1739">
        <v>9672.0489355405734</v>
      </c>
      <c r="AG5" s="1739">
        <v>9624.0057615456135</v>
      </c>
      <c r="AH5" s="1739">
        <v>9714.1897551355596</v>
      </c>
      <c r="AI5" s="1739">
        <v>9831.3831511399912</v>
      </c>
      <c r="AJ5" s="1739">
        <v>9827.8521064000015</v>
      </c>
      <c r="AK5" s="1739">
        <v>9877.0160043965298</v>
      </c>
      <c r="AL5" s="1739">
        <v>9829.7011622365717</v>
      </c>
      <c r="AM5" s="1739">
        <v>9871.1268300740157</v>
      </c>
      <c r="AN5" s="1739">
        <v>9952.575729425751</v>
      </c>
      <c r="AO5" s="1739">
        <v>9997.967484201452</v>
      </c>
      <c r="AP5" s="1739">
        <v>10008.43832362624</v>
      </c>
      <c r="AQ5" s="1739">
        <v>10011.175122769673</v>
      </c>
      <c r="AR5" s="1739">
        <v>10098.517125396067</v>
      </c>
      <c r="AS5" s="1739">
        <v>10207.617707772424</v>
      </c>
      <c r="AT5" s="1739">
        <v>10276.030584333654</v>
      </c>
      <c r="AU5" s="1739">
        <v>10275.747553329642</v>
      </c>
      <c r="AV5" s="1739">
        <v>10416.145620100175</v>
      </c>
      <c r="AW5" s="1739">
        <v>10420.027987303169</v>
      </c>
      <c r="AX5" s="1740">
        <v>10446.55052447</v>
      </c>
      <c r="AY5" s="1740">
        <v>10267.802319351869</v>
      </c>
      <c r="AZ5" s="1740">
        <v>10295.257761591469</v>
      </c>
      <c r="BA5" s="1740">
        <v>10406.18839023574</v>
      </c>
      <c r="BB5" s="1740">
        <v>10420.132125957958</v>
      </c>
      <c r="BC5" s="1740">
        <v>10486.575870950001</v>
      </c>
      <c r="BD5" s="1740">
        <v>10404.078447350003</v>
      </c>
      <c r="BE5" s="1740">
        <v>10455.245300459999</v>
      </c>
      <c r="BF5" s="1741">
        <v>10487.004091872937</v>
      </c>
      <c r="BG5" s="1741">
        <v>10595.847004370002</v>
      </c>
      <c r="BH5" s="1741">
        <v>10555.723294758551</v>
      </c>
      <c r="BI5" s="1741">
        <v>10564.848610890002</v>
      </c>
      <c r="BJ5" s="1741">
        <v>10585.225225872317</v>
      </c>
      <c r="BK5" s="1741">
        <v>10696.128538712366</v>
      </c>
      <c r="BL5" s="1741">
        <v>10693.562981864117</v>
      </c>
      <c r="BM5" s="1741">
        <v>10793.652550687009</v>
      </c>
      <c r="BN5" s="1741">
        <v>10821.048894110001</v>
      </c>
      <c r="BO5" s="1741">
        <v>10990.127980758189</v>
      </c>
      <c r="BP5" s="1741">
        <v>11161.601316493718</v>
      </c>
      <c r="BQ5" s="1741">
        <v>11086.740416211544</v>
      </c>
      <c r="BR5" s="1741">
        <v>11049.012123037299</v>
      </c>
      <c r="BS5" s="1741">
        <v>11130.687904006198</v>
      </c>
      <c r="BT5" s="1741">
        <v>10986.460070315505</v>
      </c>
      <c r="BU5" s="1741">
        <v>10928.236304384853</v>
      </c>
      <c r="BV5" s="1741">
        <v>10885.062431834207</v>
      </c>
      <c r="BW5" s="1741">
        <v>10804.267953934148</v>
      </c>
      <c r="BX5" s="1741">
        <v>10823.030231112705</v>
      </c>
      <c r="BY5" s="1742">
        <v>10891.283317666115</v>
      </c>
      <c r="BZ5" s="1743">
        <v>10753.64870686372</v>
      </c>
      <c r="CA5" s="1743">
        <v>10035.742398616119</v>
      </c>
      <c r="CB5" s="1743">
        <v>10128.934947061927</v>
      </c>
      <c r="CC5" s="1743">
        <v>10741.174664139999</v>
      </c>
      <c r="CD5" s="1743">
        <v>10784.08233904</v>
      </c>
      <c r="CE5" s="1743">
        <v>10880.33550273</v>
      </c>
      <c r="CF5" s="1743">
        <v>10845.40741473</v>
      </c>
      <c r="CG5" s="1743">
        <v>10841.094995360001</v>
      </c>
      <c r="CH5" s="1743">
        <v>10921.82078048</v>
      </c>
      <c r="CI5" s="1743">
        <v>10953.249745680001</v>
      </c>
      <c r="CJ5" s="1743">
        <v>11100.908133199999</v>
      </c>
      <c r="CK5" s="1743">
        <v>11307.71703166</v>
      </c>
      <c r="CL5" s="1743">
        <v>11304.880539899998</v>
      </c>
      <c r="CM5" s="1743">
        <v>11407.119554700001</v>
      </c>
      <c r="CN5" s="1743">
        <v>11418.316977</v>
      </c>
      <c r="CO5" s="1744">
        <v>11412.526587209999</v>
      </c>
      <c r="CP5" s="1744">
        <v>11479.616208559999</v>
      </c>
      <c r="CQ5" s="1744">
        <v>11533.463798950001</v>
      </c>
      <c r="CR5" s="1744">
        <v>11074.710026889999</v>
      </c>
      <c r="CS5" s="1744">
        <v>8382.0775073099994</v>
      </c>
      <c r="CT5" s="1744">
        <v>8287.3424818399999</v>
      </c>
      <c r="CU5" s="1744">
        <v>8194.4442972300003</v>
      </c>
      <c r="CV5" s="1744">
        <v>8151.1309433100005</v>
      </c>
      <c r="CW5" s="1744">
        <v>8087.8467201600006</v>
      </c>
      <c r="CX5" s="1744">
        <v>8198.1116782900008</v>
      </c>
      <c r="CY5" s="1744">
        <v>8210.9020460600004</v>
      </c>
      <c r="CZ5" s="1744">
        <v>8205.7690273500011</v>
      </c>
      <c r="DA5" s="1744">
        <v>8217.4175259399999</v>
      </c>
      <c r="DB5" s="1744">
        <v>8171.0251405400013</v>
      </c>
      <c r="DC5" s="1744">
        <v>8137.3519900699994</v>
      </c>
      <c r="DD5" s="1744">
        <v>8180.3463182900014</v>
      </c>
      <c r="DE5" s="1744">
        <v>8292.1547225899994</v>
      </c>
      <c r="DF5" s="1744">
        <v>8178.1027759899998</v>
      </c>
      <c r="DG5" s="1744">
        <v>8119.29053062</v>
      </c>
      <c r="DH5" s="1744">
        <v>8109.9018063099993</v>
      </c>
      <c r="DI5" s="1744">
        <v>8321.0410951900012</v>
      </c>
    </row>
    <row r="6" spans="1:113" ht="16.5" x14ac:dyDescent="0.3">
      <c r="A6" s="1737" t="s">
        <v>3488</v>
      </c>
      <c r="B6" s="1738">
        <v>1290.6051660000001</v>
      </c>
      <c r="C6" s="1739">
        <v>1277.0112658987998</v>
      </c>
      <c r="D6" s="1739">
        <v>1278.857266</v>
      </c>
      <c r="E6" s="1739">
        <v>1051.3130000000001</v>
      </c>
      <c r="F6" s="1739">
        <v>1106.2239999999999</v>
      </c>
      <c r="G6" s="1739">
        <v>1106.097</v>
      </c>
      <c r="H6" s="1739">
        <v>1105.9380000000001</v>
      </c>
      <c r="I6" s="1739">
        <v>1106.499</v>
      </c>
      <c r="J6" s="1739">
        <v>1186.9690000000001</v>
      </c>
      <c r="K6" s="1739">
        <v>1211.5940000000001</v>
      </c>
      <c r="L6" s="1739">
        <v>1212.627</v>
      </c>
      <c r="M6" s="1739">
        <v>1398.2760000000001</v>
      </c>
      <c r="N6" s="1739">
        <v>1399.2170000000001</v>
      </c>
      <c r="O6" s="1739">
        <v>1399.761</v>
      </c>
      <c r="P6" s="1739">
        <v>1193.356</v>
      </c>
      <c r="Q6" s="1739">
        <v>1130.297</v>
      </c>
      <c r="R6" s="1739">
        <v>1101.19</v>
      </c>
      <c r="S6" s="1739">
        <v>1057.5060000000001</v>
      </c>
      <c r="T6" s="1739">
        <v>1058.1569999999999</v>
      </c>
      <c r="U6" s="1739">
        <v>1110.588</v>
      </c>
      <c r="V6" s="1739">
        <v>1061.039</v>
      </c>
      <c r="W6" s="1739">
        <v>1061.634</v>
      </c>
      <c r="X6" s="1739">
        <v>1061.9880000000001</v>
      </c>
      <c r="Y6" s="1739">
        <v>957.51099999999997</v>
      </c>
      <c r="Z6" s="1739">
        <v>1007.919</v>
      </c>
      <c r="AA6" s="1739">
        <v>1110.106</v>
      </c>
      <c r="AB6" s="1739">
        <v>1135.75</v>
      </c>
      <c r="AC6" s="1739">
        <v>1168.5239999999999</v>
      </c>
      <c r="AD6" s="1739">
        <v>1173.8989999999999</v>
      </c>
      <c r="AE6" s="1739">
        <v>1173.9290000000001</v>
      </c>
      <c r="AF6" s="1739">
        <v>1128.962</v>
      </c>
      <c r="AG6" s="1739">
        <v>1153.1197500000001</v>
      </c>
      <c r="AH6" s="1739">
        <v>1099.771</v>
      </c>
      <c r="AI6" s="1739">
        <v>1093.9359999999999</v>
      </c>
      <c r="AJ6" s="1739">
        <v>1094.367</v>
      </c>
      <c r="AK6" s="1739">
        <v>1015.933</v>
      </c>
      <c r="AL6" s="1739">
        <v>939.09500000000003</v>
      </c>
      <c r="AM6" s="1739">
        <v>982.322</v>
      </c>
      <c r="AN6" s="1739">
        <v>1027.1479999999999</v>
      </c>
      <c r="AO6" s="1739">
        <v>838.95699999999999</v>
      </c>
      <c r="AP6" s="1739">
        <v>787.16300000000001</v>
      </c>
      <c r="AQ6" s="1739">
        <v>827.42700000000002</v>
      </c>
      <c r="AR6" s="1739">
        <v>826.66099999999994</v>
      </c>
      <c r="AS6" s="1739">
        <v>817.45899999999995</v>
      </c>
      <c r="AT6" s="1739">
        <v>819.81299999999999</v>
      </c>
      <c r="AU6" s="1739">
        <v>831.47699999999998</v>
      </c>
      <c r="AV6" s="1739">
        <v>831.27599999999995</v>
      </c>
      <c r="AW6" s="1739">
        <v>829.80799999999999</v>
      </c>
      <c r="AX6" s="1740">
        <v>832.09500000000003</v>
      </c>
      <c r="AY6" s="1740">
        <v>836.91200000000003</v>
      </c>
      <c r="AZ6" s="1740">
        <v>835.41600000000005</v>
      </c>
      <c r="BA6" s="1740">
        <v>815.03308300000003</v>
      </c>
      <c r="BB6" s="1740">
        <v>858.86400000000003</v>
      </c>
      <c r="BC6" s="1740">
        <v>859.16800000000001</v>
      </c>
      <c r="BD6" s="1740">
        <v>859.18100000000004</v>
      </c>
      <c r="BE6" s="1740">
        <v>860.077</v>
      </c>
      <c r="BF6" s="1741">
        <v>860.46299999999997</v>
      </c>
      <c r="BG6" s="1741">
        <v>860.46199999999999</v>
      </c>
      <c r="BH6" s="1741">
        <v>861.11</v>
      </c>
      <c r="BI6" s="1741">
        <v>861.55899999999997</v>
      </c>
      <c r="BJ6" s="1741">
        <v>861.86400000000003</v>
      </c>
      <c r="BK6" s="1741">
        <v>881.48500000000001</v>
      </c>
      <c r="BL6" s="1741">
        <v>850.40499999999997</v>
      </c>
      <c r="BM6" s="1741">
        <v>810.14</v>
      </c>
      <c r="BN6" s="1741">
        <v>809.48699999999997</v>
      </c>
      <c r="BO6" s="1741">
        <v>809.52</v>
      </c>
      <c r="BP6" s="1741">
        <v>809.47299999999996</v>
      </c>
      <c r="BQ6" s="1741">
        <v>729.78399999999999</v>
      </c>
      <c r="BR6" s="1741">
        <v>731.16200000000003</v>
      </c>
      <c r="BS6" s="1741">
        <v>731.67</v>
      </c>
      <c r="BT6" s="1741">
        <v>732.577</v>
      </c>
      <c r="BU6" s="1741">
        <v>732.44200000000001</v>
      </c>
      <c r="BV6" s="1741">
        <v>731.65599999999995</v>
      </c>
      <c r="BW6" s="1741">
        <v>679.86699999999996</v>
      </c>
      <c r="BX6" s="1741">
        <v>679.15099999999995</v>
      </c>
      <c r="BY6" s="1742">
        <v>598.44200000000001</v>
      </c>
      <c r="BZ6" s="1743">
        <v>556.83000000000004</v>
      </c>
      <c r="CA6" s="1743">
        <v>556.84500000000003</v>
      </c>
      <c r="CB6" s="1743">
        <v>34.301259999999999</v>
      </c>
      <c r="CC6" s="1743">
        <v>35.474803000000001</v>
      </c>
      <c r="CD6" s="1743">
        <v>34.104927000000004</v>
      </c>
      <c r="CE6" s="1743">
        <v>33.114283</v>
      </c>
      <c r="CF6" s="1743">
        <v>34.170343000000003</v>
      </c>
      <c r="CG6" s="1743">
        <v>34.697569000000001</v>
      </c>
      <c r="CH6" s="1743">
        <v>34.954011999999999</v>
      </c>
      <c r="CI6" s="1743">
        <v>35.728226999999997</v>
      </c>
      <c r="CJ6" s="1743">
        <v>35.321415000000002</v>
      </c>
      <c r="CK6" s="1743">
        <v>35.618599000000003</v>
      </c>
      <c r="CL6" s="1743">
        <v>34.930272000000002</v>
      </c>
      <c r="CM6" s="1743">
        <v>34.930272000000002</v>
      </c>
      <c r="CN6" s="1743">
        <v>34.930272000000002</v>
      </c>
      <c r="CO6" s="1744">
        <v>36.956513999999999</v>
      </c>
      <c r="CP6" s="1744">
        <v>36.956513999999999</v>
      </c>
      <c r="CQ6" s="1744">
        <v>36.956513999999999</v>
      </c>
      <c r="CR6" s="1744">
        <v>38.050826999999998</v>
      </c>
      <c r="CS6" s="1744">
        <v>38.965769000000002</v>
      </c>
      <c r="CT6" s="1744">
        <v>31.885622999999999</v>
      </c>
      <c r="CU6" s="1744">
        <v>33.37547</v>
      </c>
      <c r="CV6" s="1744">
        <v>36.303910999999999</v>
      </c>
      <c r="CW6" s="1744">
        <v>38.062595999999999</v>
      </c>
      <c r="CX6" s="1744">
        <v>36.976022</v>
      </c>
      <c r="CY6" s="1744">
        <v>36.976022</v>
      </c>
      <c r="CZ6" s="1744">
        <v>36.976022</v>
      </c>
      <c r="DA6" s="1744">
        <v>39.153762999999998</v>
      </c>
      <c r="DB6" s="1744">
        <v>39.558233999999999</v>
      </c>
      <c r="DC6" s="1744">
        <v>43.344686000000003</v>
      </c>
      <c r="DD6" s="1744">
        <v>43.774751000000002</v>
      </c>
      <c r="DE6" s="1744">
        <v>45.176014000000002</v>
      </c>
      <c r="DF6" s="1744">
        <v>44.561261000000002</v>
      </c>
      <c r="DG6" s="1744">
        <v>45.133375999999998</v>
      </c>
      <c r="DH6" s="1744">
        <v>45.060105</v>
      </c>
      <c r="DI6" s="1744">
        <v>46.403885000000002</v>
      </c>
    </row>
    <row r="7" spans="1:113" ht="16.5" x14ac:dyDescent="0.3">
      <c r="A7" s="1737" t="s">
        <v>154</v>
      </c>
      <c r="B7" s="1738">
        <v>1049.5340839299993</v>
      </c>
      <c r="C7" s="1739">
        <v>1035.4049702700015</v>
      </c>
      <c r="D7" s="1739">
        <v>1040.5369035600033</v>
      </c>
      <c r="E7" s="1739">
        <v>1017.7621709900027</v>
      </c>
      <c r="F7" s="1739">
        <v>1053.8905977500001</v>
      </c>
      <c r="G7" s="1739">
        <v>1026.8778699199981</v>
      </c>
      <c r="H7" s="1739">
        <v>1029.0696868600005</v>
      </c>
      <c r="I7" s="1739">
        <v>1066.4551997700005</v>
      </c>
      <c r="J7" s="1739">
        <v>1035.9338482200012</v>
      </c>
      <c r="K7" s="1739">
        <v>1101.7836990000019</v>
      </c>
      <c r="L7" s="1739">
        <v>1101.4117712299994</v>
      </c>
      <c r="M7" s="1739">
        <v>1059.8975900900002</v>
      </c>
      <c r="N7" s="1739">
        <v>1144.7319792299995</v>
      </c>
      <c r="O7" s="1739">
        <v>1145.6658957799989</v>
      </c>
      <c r="P7" s="1739">
        <v>1034.1520761699983</v>
      </c>
      <c r="Q7" s="1739">
        <v>1024.829464619999</v>
      </c>
      <c r="R7" s="1739">
        <v>1116.2583365200005</v>
      </c>
      <c r="S7" s="1739">
        <v>1038.7184114700012</v>
      </c>
      <c r="T7" s="1739">
        <v>1128.2178182700004</v>
      </c>
      <c r="U7" s="1739">
        <v>1022.4848672200012</v>
      </c>
      <c r="V7" s="1739">
        <v>959.63591970000073</v>
      </c>
      <c r="W7" s="1739">
        <v>982.01230300999828</v>
      </c>
      <c r="X7" s="1739">
        <v>939.57567293000034</v>
      </c>
      <c r="Y7" s="1739">
        <v>939.52300000000002</v>
      </c>
      <c r="Z7" s="1739">
        <v>949.51946127000429</v>
      </c>
      <c r="AA7" s="1739">
        <v>944.67310577999501</v>
      </c>
      <c r="AB7" s="1739">
        <v>922.92985149999618</v>
      </c>
      <c r="AC7" s="1739">
        <v>925.58467952999501</v>
      </c>
      <c r="AD7" s="1739">
        <v>929.61111616999813</v>
      </c>
      <c r="AE7" s="1739">
        <v>927.90292083999634</v>
      </c>
      <c r="AF7" s="1739">
        <v>950.25936095999907</v>
      </c>
      <c r="AG7" s="1739">
        <v>947.22736095999903</v>
      </c>
      <c r="AH7" s="1739">
        <v>405.63400000000001</v>
      </c>
      <c r="AI7" s="1739">
        <v>973.7171097900009</v>
      </c>
      <c r="AJ7" s="1739">
        <v>2915.3857860599974</v>
      </c>
      <c r="AK7" s="1739">
        <v>914.95158881999964</v>
      </c>
      <c r="AL7" s="1739">
        <v>940.64749199000164</v>
      </c>
      <c r="AM7" s="1739">
        <v>898.06081856999776</v>
      </c>
      <c r="AN7" s="1739">
        <v>904.00015748000044</v>
      </c>
      <c r="AO7" s="1739">
        <v>923.54817405000017</v>
      </c>
      <c r="AP7" s="1739">
        <v>900.22477961999994</v>
      </c>
      <c r="AQ7" s="1739">
        <v>893.62689414000317</v>
      </c>
      <c r="AR7" s="1739">
        <v>889.35303468999575</v>
      </c>
      <c r="AS7" s="1739">
        <v>888.45204606999971</v>
      </c>
      <c r="AT7" s="1739">
        <v>886.67939750000187</v>
      </c>
      <c r="AU7" s="1739">
        <v>882.29426043999581</v>
      </c>
      <c r="AV7" s="1739">
        <v>867.77306620999627</v>
      </c>
      <c r="AW7" s="1739">
        <v>890.79272574999618</v>
      </c>
      <c r="AX7" s="1740">
        <v>865.89003259000015</v>
      </c>
      <c r="AY7" s="1740">
        <v>862.42203259000303</v>
      </c>
      <c r="AZ7" s="1740">
        <v>864.14684803000546</v>
      </c>
      <c r="BA7" s="1740">
        <v>832.32920728000545</v>
      </c>
      <c r="BB7" s="1740">
        <v>821.41062785000042</v>
      </c>
      <c r="BC7" s="1740">
        <v>809.73011337000366</v>
      </c>
      <c r="BD7" s="1740">
        <v>809.34795873999599</v>
      </c>
      <c r="BE7" s="1740">
        <v>805.44527805000405</v>
      </c>
      <c r="BF7" s="1741">
        <v>796.79824873999496</v>
      </c>
      <c r="BG7" s="1741">
        <v>784.50463398000522</v>
      </c>
      <c r="BH7" s="1741">
        <v>777.34836773000336</v>
      </c>
      <c r="BI7" s="1741">
        <v>806.32457499000077</v>
      </c>
      <c r="BJ7" s="1741">
        <v>759.17105713999933</v>
      </c>
      <c r="BK7" s="1741">
        <v>761.57717086000162</v>
      </c>
      <c r="BL7" s="1741">
        <v>753.41104232999896</v>
      </c>
      <c r="BM7" s="1741">
        <v>754.83266102999971</v>
      </c>
      <c r="BN7" s="1741">
        <v>743.80834210999967</v>
      </c>
      <c r="BO7" s="1741">
        <v>736.88053032000062</v>
      </c>
      <c r="BP7" s="1741">
        <v>736.79850226999565</v>
      </c>
      <c r="BQ7" s="1741">
        <v>728.58022912000558</v>
      </c>
      <c r="BR7" s="1741">
        <v>729.12772949999908</v>
      </c>
      <c r="BS7" s="1741">
        <v>708.40426999000169</v>
      </c>
      <c r="BT7" s="1741">
        <v>700.73462714000323</v>
      </c>
      <c r="BU7" s="1741">
        <v>699.36815859000012</v>
      </c>
      <c r="BV7" s="1741">
        <v>684.57219224999619</v>
      </c>
      <c r="BW7" s="1741">
        <v>678.17628963999846</v>
      </c>
      <c r="BX7" s="1741">
        <v>670.31701698999495</v>
      </c>
      <c r="BY7" s="1742">
        <v>661.88812798999686</v>
      </c>
      <c r="BZ7" s="1743">
        <v>643.95422869000345</v>
      </c>
      <c r="CA7" s="1743">
        <v>8758.9444633199982</v>
      </c>
      <c r="CB7" s="1743">
        <v>8931.7593750799988</v>
      </c>
      <c r="CC7" s="1743">
        <v>8359.4482119999993</v>
      </c>
      <c r="CD7" s="1743">
        <v>8649.1316550699994</v>
      </c>
      <c r="CE7" s="1743">
        <v>9435.271027069999</v>
      </c>
      <c r="CF7" s="1743">
        <v>9593.4583346700019</v>
      </c>
      <c r="CG7" s="1743">
        <v>9589.4959349599994</v>
      </c>
      <c r="CH7" s="1743">
        <v>9585.5187096499976</v>
      </c>
      <c r="CI7" s="1743">
        <v>9557.0524584100003</v>
      </c>
      <c r="CJ7" s="1743">
        <v>9771.0577860700032</v>
      </c>
      <c r="CK7" s="1743">
        <v>9934.0239732000045</v>
      </c>
      <c r="CL7" s="1743">
        <v>9955.8853331800001</v>
      </c>
      <c r="CM7" s="1743">
        <v>9981.711063849998</v>
      </c>
      <c r="CN7" s="1743">
        <v>10080.034618780002</v>
      </c>
      <c r="CO7" s="1744">
        <v>10195.415309740001</v>
      </c>
      <c r="CP7" s="1744">
        <v>10632.042160270001</v>
      </c>
      <c r="CQ7" s="1744">
        <v>11485.857830200004</v>
      </c>
      <c r="CR7" s="1744">
        <v>11700.614681569996</v>
      </c>
      <c r="CS7" s="1744">
        <v>154.03517099999999</v>
      </c>
      <c r="CT7" s="1744">
        <v>157.76047700000001</v>
      </c>
      <c r="CU7" s="1744">
        <v>143.24761599999999</v>
      </c>
      <c r="CV7" s="1744">
        <v>136.0367</v>
      </c>
      <c r="CW7" s="1744">
        <v>119.11210900000381</v>
      </c>
      <c r="CX7" s="1744">
        <v>117.69924400000382</v>
      </c>
      <c r="CY7" s="1744">
        <v>119.34532800000382</v>
      </c>
      <c r="CZ7" s="1744">
        <v>122.493312</v>
      </c>
      <c r="DA7" s="1744">
        <v>122.530125</v>
      </c>
      <c r="DB7" s="1744">
        <v>129.075661</v>
      </c>
      <c r="DC7" s="1744">
        <v>123.765981</v>
      </c>
      <c r="DD7" s="1744">
        <v>118.416479</v>
      </c>
      <c r="DE7" s="1744">
        <v>113.026855</v>
      </c>
      <c r="DF7" s="1744">
        <v>107.59680899999999</v>
      </c>
      <c r="DG7" s="1744">
        <v>102.126037</v>
      </c>
      <c r="DH7" s="1744">
        <v>96.614234999999994</v>
      </c>
      <c r="DI7" s="1744">
        <v>91.061094999999995</v>
      </c>
    </row>
    <row r="8" spans="1:113" ht="16.5" x14ac:dyDescent="0.3">
      <c r="A8" s="1737" t="s">
        <v>3489</v>
      </c>
      <c r="B8" s="1738">
        <v>1753.9680650199998</v>
      </c>
      <c r="C8" s="1739">
        <v>1774.1520941600004</v>
      </c>
      <c r="D8" s="1739">
        <v>1787.8331137299999</v>
      </c>
      <c r="E8" s="1739">
        <v>1395.2307854299997</v>
      </c>
      <c r="F8" s="1739">
        <v>1472.85677018</v>
      </c>
      <c r="G8" s="1739">
        <v>1475.1329524554644</v>
      </c>
      <c r="H8" s="1739">
        <v>1467.34213931</v>
      </c>
      <c r="I8" s="1739">
        <v>1470.5541987900001</v>
      </c>
      <c r="J8" s="1739">
        <v>1491.4065421199998</v>
      </c>
      <c r="K8" s="1739">
        <v>1518.9228208700001</v>
      </c>
      <c r="L8" s="1739">
        <v>1594.0724050400001</v>
      </c>
      <c r="M8" s="1739">
        <v>1606.2662365599999</v>
      </c>
      <c r="N8" s="1739">
        <v>1605.2700167499995</v>
      </c>
      <c r="O8" s="1739">
        <v>1585.0209128299998</v>
      </c>
      <c r="P8" s="1739">
        <v>1581.5227964000001</v>
      </c>
      <c r="Q8" s="1739">
        <v>1594.7889929200001</v>
      </c>
      <c r="R8" s="1739">
        <v>1633.2042625899996</v>
      </c>
      <c r="S8" s="1739">
        <v>1628.5791776099998</v>
      </c>
      <c r="T8" s="1739">
        <v>1607.4693381700001</v>
      </c>
      <c r="U8" s="1739">
        <v>1580.6486043600003</v>
      </c>
      <c r="V8" s="1739">
        <v>1608.4649095600003</v>
      </c>
      <c r="W8" s="1739">
        <v>1604.9155631599999</v>
      </c>
      <c r="X8" s="1739">
        <v>1595.2074937100001</v>
      </c>
      <c r="Y8" s="1739">
        <v>1586.6967480300002</v>
      </c>
      <c r="Z8" s="1739">
        <v>1576.4994108699998</v>
      </c>
      <c r="AA8" s="1739">
        <v>1587.5429659400004</v>
      </c>
      <c r="AB8" s="1739">
        <v>1582.2983194999997</v>
      </c>
      <c r="AC8" s="1739">
        <v>1610.9319729000001</v>
      </c>
      <c r="AD8" s="1739">
        <v>1633.3828057500002</v>
      </c>
      <c r="AE8" s="1739">
        <v>1636.210760430793</v>
      </c>
      <c r="AF8" s="1739">
        <v>1689.0061177341456</v>
      </c>
      <c r="AG8" s="1739">
        <v>1683.9681872263866</v>
      </c>
      <c r="AH8" s="1739">
        <v>1728.4101491355852</v>
      </c>
      <c r="AI8" s="1739">
        <v>1749.15051756</v>
      </c>
      <c r="AJ8" s="1739">
        <v>1784.8334949700002</v>
      </c>
      <c r="AK8" s="1739">
        <v>1746.4247669700007</v>
      </c>
      <c r="AL8" s="1739">
        <v>1723.7254569800004</v>
      </c>
      <c r="AM8" s="1739">
        <v>1703.6596541400013</v>
      </c>
      <c r="AN8" s="1739">
        <v>1772.4242830200019</v>
      </c>
      <c r="AO8" s="1739">
        <v>1734.3680079200019</v>
      </c>
      <c r="AP8" s="1739">
        <v>1732.5763233996006</v>
      </c>
      <c r="AQ8" s="1739">
        <v>1738.1832551200009</v>
      </c>
      <c r="AR8" s="1739">
        <v>1759.5888913400015</v>
      </c>
      <c r="AS8" s="1739">
        <v>1767.1726364899998</v>
      </c>
      <c r="AT8" s="1739">
        <v>1785.8085636100016</v>
      </c>
      <c r="AU8" s="1739">
        <v>1771.8237305300022</v>
      </c>
      <c r="AV8" s="1739">
        <v>1774.7141900800025</v>
      </c>
      <c r="AW8" s="1739">
        <v>1750.6291802500009</v>
      </c>
      <c r="AX8" s="1740">
        <v>1765.3181984400001</v>
      </c>
      <c r="AY8" s="1740">
        <v>1778.51572848</v>
      </c>
      <c r="AZ8" s="1740">
        <v>1779.0533431599999</v>
      </c>
      <c r="BA8" s="1740">
        <v>1767.1911027200003</v>
      </c>
      <c r="BB8" s="1740">
        <v>1770.6957691399996</v>
      </c>
      <c r="BC8" s="1740">
        <v>1850.1265258600004</v>
      </c>
      <c r="BD8" s="1740">
        <v>1907.9891711700004</v>
      </c>
      <c r="BE8" s="1740">
        <v>1965.7905880699993</v>
      </c>
      <c r="BF8" s="1741">
        <v>1969.7836855899995</v>
      </c>
      <c r="BG8" s="1741">
        <v>2020.07404434</v>
      </c>
      <c r="BH8" s="1741">
        <v>2033.9373661200002</v>
      </c>
      <c r="BI8" s="1741">
        <v>2021.4640648399998</v>
      </c>
      <c r="BJ8" s="1741">
        <v>2051.7948176799996</v>
      </c>
      <c r="BK8" s="1741">
        <v>2040.7888594000003</v>
      </c>
      <c r="BL8" s="1741">
        <v>2053.5333177099997</v>
      </c>
      <c r="BM8" s="1741">
        <v>2097.8477168999998</v>
      </c>
      <c r="BN8" s="1741">
        <v>1963.8983324200001</v>
      </c>
      <c r="BO8" s="1741">
        <v>1953.9416905599996</v>
      </c>
      <c r="BP8" s="1741">
        <v>2107.2825110299996</v>
      </c>
      <c r="BQ8" s="1741">
        <v>1929.1298746099992</v>
      </c>
      <c r="BR8" s="1741">
        <v>1951.9851741</v>
      </c>
      <c r="BS8" s="1741">
        <v>1988.2734670100003</v>
      </c>
      <c r="BT8" s="1741">
        <v>2009.1717503879865</v>
      </c>
      <c r="BU8" s="1741">
        <v>2000.0690951354125</v>
      </c>
      <c r="BV8" s="1741">
        <v>1967.921119195413</v>
      </c>
      <c r="BW8" s="1741">
        <v>1969.9923339354114</v>
      </c>
      <c r="BX8" s="1741">
        <v>1972.5862931954121</v>
      </c>
      <c r="BY8" s="1742">
        <v>1988.853291895412</v>
      </c>
      <c r="BZ8" s="1743">
        <v>2037.8929519334995</v>
      </c>
      <c r="CA8" s="1743">
        <v>2093.6818314200004</v>
      </c>
      <c r="CB8" s="1743">
        <v>2102.3850738292358</v>
      </c>
      <c r="CC8" s="1743">
        <v>2085.2485445000002</v>
      </c>
      <c r="CD8" s="1743">
        <v>2079.3270957899999</v>
      </c>
      <c r="CE8" s="1743">
        <v>2121.1740398700003</v>
      </c>
      <c r="CF8" s="1743">
        <v>2114.5340962600003</v>
      </c>
      <c r="CG8" s="1743">
        <v>2110.9854613900002</v>
      </c>
      <c r="CH8" s="1743">
        <v>2129.1517925099997</v>
      </c>
      <c r="CI8" s="1743">
        <v>2100.8678946299997</v>
      </c>
      <c r="CJ8" s="1743">
        <v>2118.20864123</v>
      </c>
      <c r="CK8" s="1743">
        <v>2184.2538326499998</v>
      </c>
      <c r="CL8" s="1743">
        <v>2182.0527085999997</v>
      </c>
      <c r="CM8" s="1743">
        <v>2168.8708081499999</v>
      </c>
      <c r="CN8" s="1743">
        <v>2169.3520079600003</v>
      </c>
      <c r="CO8" s="1744">
        <v>2286.21979732</v>
      </c>
      <c r="CP8" s="1744">
        <v>2262.4907271399998</v>
      </c>
      <c r="CQ8" s="1744">
        <v>2210.4441525399998</v>
      </c>
      <c r="CR8" s="1744">
        <v>2132.2550996999994</v>
      </c>
      <c r="CS8" s="1744">
        <v>1561.80829505</v>
      </c>
      <c r="CT8" s="1744">
        <v>1548.6014849600001</v>
      </c>
      <c r="CU8" s="1744">
        <v>1537.0287342100005</v>
      </c>
      <c r="CV8" s="1744">
        <v>1517.6163643199998</v>
      </c>
      <c r="CW8" s="1744">
        <v>1483.1605060099998</v>
      </c>
      <c r="CX8" s="1744">
        <v>1461.80394871</v>
      </c>
      <c r="CY8" s="1744">
        <v>1434.3886450199998</v>
      </c>
      <c r="CZ8" s="1744">
        <v>1420.4574956999998</v>
      </c>
      <c r="DA8" s="1744">
        <v>1422.7599289000002</v>
      </c>
      <c r="DB8" s="1744">
        <v>1421.6200500600003</v>
      </c>
      <c r="DC8" s="1744">
        <v>1393.9033389200004</v>
      </c>
      <c r="DD8" s="1744">
        <v>1395.0342871299997</v>
      </c>
      <c r="DE8" s="1744">
        <v>1425.4449284599996</v>
      </c>
      <c r="DF8" s="1744">
        <v>1423.0155749400001</v>
      </c>
      <c r="DG8" s="1744">
        <v>1420.2394278799995</v>
      </c>
      <c r="DH8" s="1744">
        <v>1429.2195515000001</v>
      </c>
      <c r="DI8" s="1744">
        <v>1440.4878230800005</v>
      </c>
    </row>
    <row r="9" spans="1:113" ht="16.5" x14ac:dyDescent="0.3">
      <c r="A9" s="1737" t="s">
        <v>3210</v>
      </c>
      <c r="B9" s="1738">
        <v>3615.5609109199995</v>
      </c>
      <c r="C9" s="1739">
        <v>3591.6548253400001</v>
      </c>
      <c r="D9" s="1739">
        <v>3469.77614696</v>
      </c>
      <c r="E9" s="1739">
        <v>2711.2755812099999</v>
      </c>
      <c r="F9" s="1739">
        <v>2822.6144497200007</v>
      </c>
      <c r="G9" s="1739">
        <v>2681.4932744534253</v>
      </c>
      <c r="H9" s="1739">
        <v>2726.8820131899997</v>
      </c>
      <c r="I9" s="1739">
        <v>2798.1972356799997</v>
      </c>
      <c r="J9" s="1739">
        <v>2723.2698446399995</v>
      </c>
      <c r="K9" s="1739">
        <v>2718.6264536499998</v>
      </c>
      <c r="L9" s="1739">
        <v>2999.4531696499989</v>
      </c>
      <c r="M9" s="1739">
        <v>3074.4410800299988</v>
      </c>
      <c r="N9" s="1739">
        <v>3047.1624065300002</v>
      </c>
      <c r="O9" s="1739">
        <v>3136.2570574599995</v>
      </c>
      <c r="P9" s="1739">
        <v>3092.3309591300003</v>
      </c>
      <c r="Q9" s="1739">
        <v>3105.6022608900003</v>
      </c>
      <c r="R9" s="1739">
        <v>3188.7636856999998</v>
      </c>
      <c r="S9" s="1739">
        <v>3189.1649630400011</v>
      </c>
      <c r="T9" s="1739">
        <v>3188.2292967999992</v>
      </c>
      <c r="U9" s="1739">
        <v>3216.6004821800002</v>
      </c>
      <c r="V9" s="1739">
        <v>3217.7280058900005</v>
      </c>
      <c r="W9" s="1739">
        <v>3258.1434047400003</v>
      </c>
      <c r="X9" s="1739">
        <v>3448.6695504000004</v>
      </c>
      <c r="Y9" s="1739">
        <v>3562.8312456199988</v>
      </c>
      <c r="Z9" s="1739">
        <v>3494.8946900800001</v>
      </c>
      <c r="AA9" s="1739">
        <v>3446.7721609599998</v>
      </c>
      <c r="AB9" s="1739">
        <v>3386.3477944199999</v>
      </c>
      <c r="AC9" s="1739">
        <v>3332.902685234656</v>
      </c>
      <c r="AD9" s="1739">
        <v>3373.7901256299992</v>
      </c>
      <c r="AE9" s="1739">
        <v>3338.8892463825368</v>
      </c>
      <c r="AF9" s="1739">
        <v>3538.4120660798635</v>
      </c>
      <c r="AG9" s="1739">
        <v>3459.2873462780199</v>
      </c>
      <c r="AH9" s="1739">
        <v>3960.929102158429</v>
      </c>
      <c r="AI9" s="1739">
        <v>3676.5465251399992</v>
      </c>
      <c r="AJ9" s="1739">
        <v>1918.3702627100001</v>
      </c>
      <c r="AK9" s="1739">
        <v>4101.9822124599987</v>
      </c>
      <c r="AL9" s="1739">
        <v>3974.5677442600004</v>
      </c>
      <c r="AM9" s="1739">
        <v>3907.3169374400004</v>
      </c>
      <c r="AN9" s="1739">
        <v>3932.8893692599986</v>
      </c>
      <c r="AO9" s="1739">
        <v>4071.0051506499985</v>
      </c>
      <c r="AP9" s="1739">
        <v>3970.4546269400007</v>
      </c>
      <c r="AQ9" s="1739">
        <v>3792.8778268299998</v>
      </c>
      <c r="AR9" s="1739">
        <v>3905.8351481799987</v>
      </c>
      <c r="AS9" s="1739">
        <v>4102.1663902500004</v>
      </c>
      <c r="AT9" s="1739">
        <v>4309.1927375200003</v>
      </c>
      <c r="AU9" s="1739">
        <v>4409.7743337169986</v>
      </c>
      <c r="AV9" s="1739">
        <v>5040.55307825</v>
      </c>
      <c r="AW9" s="1739">
        <v>5257.3123353199999</v>
      </c>
      <c r="AX9" s="1740">
        <v>5404.6482547279456</v>
      </c>
      <c r="AY9" s="1740">
        <v>5517.1750307478087</v>
      </c>
      <c r="AZ9" s="1740">
        <v>5794.3018848178081</v>
      </c>
      <c r="BA9" s="1740">
        <v>5799.6647953700012</v>
      </c>
      <c r="BB9" s="1740">
        <v>6049.0979057590403</v>
      </c>
      <c r="BC9" s="1740">
        <v>6235.9105228057606</v>
      </c>
      <c r="BD9" s="1740">
        <v>5854.078689500001</v>
      </c>
      <c r="BE9" s="1740">
        <v>6096.3414357699994</v>
      </c>
      <c r="BF9" s="1740">
        <v>6242.0639767800003</v>
      </c>
      <c r="BG9" s="1740">
        <v>6959.9584637746584</v>
      </c>
      <c r="BH9" s="1740">
        <v>6990.2804771100009</v>
      </c>
      <c r="BI9" s="1740">
        <v>6945.4745610999998</v>
      </c>
      <c r="BJ9" s="1740">
        <v>7018.6468945046627</v>
      </c>
      <c r="BK9" s="1740">
        <v>7205.4743059000039</v>
      </c>
      <c r="BL9" s="1740">
        <v>7215.9122242600024</v>
      </c>
      <c r="BM9" s="1740">
        <v>7240.9308674599997</v>
      </c>
      <c r="BN9" s="1740">
        <v>7340.3482645699987</v>
      </c>
      <c r="BO9" s="1740">
        <v>7313.0490872499986</v>
      </c>
      <c r="BP9" s="1740">
        <v>7036.4660422000006</v>
      </c>
      <c r="BQ9" s="1740">
        <v>7180.533444040002</v>
      </c>
      <c r="BR9" s="1740">
        <v>7340.0354730299996</v>
      </c>
      <c r="BS9" s="1740">
        <v>8036.3584187899969</v>
      </c>
      <c r="BT9" s="1740">
        <v>8010.254095250003</v>
      </c>
      <c r="BU9" s="1740">
        <v>7882.1737642000035</v>
      </c>
      <c r="BV9" s="1740">
        <v>7934.8145341399995</v>
      </c>
      <c r="BW9" s="1740">
        <v>7992.4139697523779</v>
      </c>
      <c r="BX9" s="1740">
        <v>8019.9271820499998</v>
      </c>
      <c r="BY9" s="1745">
        <v>8299.6088669300061</v>
      </c>
      <c r="BZ9" s="1746">
        <v>8131.7831726184786</v>
      </c>
      <c r="CA9" s="1746">
        <v>768.15630477999969</v>
      </c>
      <c r="CB9" s="1746">
        <v>957.1301575171999</v>
      </c>
      <c r="CC9" s="1746">
        <v>1353.0431392999999</v>
      </c>
      <c r="CD9" s="1746">
        <v>1366.08720842</v>
      </c>
      <c r="CE9" s="1746">
        <v>1410.8095556999999</v>
      </c>
      <c r="CF9" s="1746">
        <v>1358.3498900500001</v>
      </c>
      <c r="CG9" s="1746">
        <v>1344.1976070800001</v>
      </c>
      <c r="CH9" s="1746">
        <v>1290.3821467200003</v>
      </c>
      <c r="CI9" s="1746">
        <v>986.76968858000021</v>
      </c>
      <c r="CJ9" s="1746">
        <v>865.03184806000002</v>
      </c>
      <c r="CK9" s="1746">
        <v>731.97166060000006</v>
      </c>
      <c r="CL9" s="1746">
        <v>717.37302149000004</v>
      </c>
      <c r="CM9" s="1746">
        <v>423.60048712000003</v>
      </c>
      <c r="CN9" s="1746">
        <v>529.81110969000008</v>
      </c>
      <c r="CO9" s="1747">
        <v>447.93289992000007</v>
      </c>
      <c r="CP9" s="1747">
        <v>528.46085170999993</v>
      </c>
      <c r="CQ9" s="1747">
        <v>398.76389963999998</v>
      </c>
      <c r="CR9" s="1747">
        <v>407.26832591999982</v>
      </c>
      <c r="CS9" s="1747">
        <v>182.48846056000005</v>
      </c>
      <c r="CT9" s="1747">
        <v>197.16542909999995</v>
      </c>
      <c r="CU9" s="1747">
        <v>183.90454299999996</v>
      </c>
      <c r="CV9" s="1747">
        <v>181.75300367000003</v>
      </c>
      <c r="CW9" s="1747">
        <v>175.71409212000009</v>
      </c>
      <c r="CX9" s="1747">
        <v>168.98558159000001</v>
      </c>
      <c r="CY9" s="1747">
        <v>212.47395988999989</v>
      </c>
      <c r="CZ9" s="1747">
        <v>231.37985306999997</v>
      </c>
      <c r="DA9" s="1747">
        <v>235.61096356999994</v>
      </c>
      <c r="DB9" s="1747">
        <v>250.1513601499999</v>
      </c>
      <c r="DC9" s="1747">
        <v>269.5532668300001</v>
      </c>
      <c r="DD9" s="1747">
        <v>247.34199363000005</v>
      </c>
      <c r="DE9" s="1747">
        <v>262.98124150999996</v>
      </c>
      <c r="DF9" s="1747">
        <v>226.13817932999993</v>
      </c>
      <c r="DG9" s="1747">
        <v>251.24888951999998</v>
      </c>
      <c r="DH9" s="1747">
        <v>223.85927175999993</v>
      </c>
      <c r="DI9" s="1747">
        <v>224.16625164999994</v>
      </c>
    </row>
    <row r="10" spans="1:113" ht="17.25" thickBot="1" x14ac:dyDescent="0.35">
      <c r="A10" s="1748" t="s">
        <v>135</v>
      </c>
      <c r="B10" s="1749">
        <v>20810.840289659995</v>
      </c>
      <c r="C10" s="1750">
        <v>21240.828172644302</v>
      </c>
      <c r="D10" s="1750">
        <v>21134.4181921255</v>
      </c>
      <c r="E10" s="1750">
        <v>17394.462021685504</v>
      </c>
      <c r="F10" s="1750">
        <v>17366.4920923955</v>
      </c>
      <c r="G10" s="1750">
        <v>17446.651082804387</v>
      </c>
      <c r="H10" s="1750">
        <v>17324.316566665497</v>
      </c>
      <c r="I10" s="1750">
        <v>17561.3652738155</v>
      </c>
      <c r="J10" s="1750">
        <v>17497.875058375503</v>
      </c>
      <c r="K10" s="1750">
        <v>17648.11194028478</v>
      </c>
      <c r="L10" s="1750">
        <v>18345.727614499276</v>
      </c>
      <c r="M10" s="1750">
        <v>18373.183942039999</v>
      </c>
      <c r="N10" s="1750">
        <v>18522.105969430468</v>
      </c>
      <c r="O10" s="1750">
        <v>18762.759433096595</v>
      </c>
      <c r="P10" s="1750">
        <v>18396.196319646595</v>
      </c>
      <c r="Q10" s="1750">
        <v>18428.871883016596</v>
      </c>
      <c r="R10" s="1750">
        <v>18795.631747752101</v>
      </c>
      <c r="S10" s="1750">
        <v>18476.829958382099</v>
      </c>
      <c r="T10" s="1750">
        <v>19026.214960730096</v>
      </c>
      <c r="U10" s="1750">
        <v>19145.6666083821</v>
      </c>
      <c r="V10" s="1750">
        <v>19030.873553566511</v>
      </c>
      <c r="W10" s="1750">
        <v>19185.643853890706</v>
      </c>
      <c r="X10" s="1750">
        <v>19507.527171306516</v>
      </c>
      <c r="Y10" s="1750">
        <v>19422.834867473503</v>
      </c>
      <c r="Z10" s="1750">
        <v>19438.694286936516</v>
      </c>
      <c r="AA10" s="1750">
        <v>19567.006826966506</v>
      </c>
      <c r="AB10" s="1750">
        <v>19665.859033894252</v>
      </c>
      <c r="AC10" s="1750">
        <v>19744.054711474877</v>
      </c>
      <c r="AD10" s="1750">
        <v>19904.802818546483</v>
      </c>
      <c r="AE10" s="1750">
        <v>20016.654174529769</v>
      </c>
      <c r="AF10" s="1750">
        <v>20178.551166808451</v>
      </c>
      <c r="AG10" s="1750">
        <v>20478.809360984771</v>
      </c>
      <c r="AH10" s="1750">
        <v>20647.468659254326</v>
      </c>
      <c r="AI10" s="1750">
        <v>20994.721180149991</v>
      </c>
      <c r="AJ10" s="1750">
        <v>21369.827938169998</v>
      </c>
      <c r="AK10" s="1750">
        <v>21353.003086984969</v>
      </c>
      <c r="AL10" s="1750">
        <v>21284.93809550496</v>
      </c>
      <c r="AM10" s="1750">
        <v>21419.985234672407</v>
      </c>
      <c r="AN10" s="1750">
        <v>21376.166083094144</v>
      </c>
      <c r="AO10" s="1750">
        <v>21371.69997418984</v>
      </c>
      <c r="AP10" s="1750">
        <v>21497.052568237454</v>
      </c>
      <c r="AQ10" s="1750">
        <v>20930.54382289479</v>
      </c>
      <c r="AR10" s="1750">
        <v>21097.959811308388</v>
      </c>
      <c r="AS10" s="1750">
        <v>21542.662939909751</v>
      </c>
      <c r="AT10" s="1750">
        <v>21520.768232921379</v>
      </c>
      <c r="AU10" s="1750">
        <v>21871.10230079664</v>
      </c>
      <c r="AV10" s="1750">
        <v>22519.802818897897</v>
      </c>
      <c r="AW10" s="1750">
        <v>22687.758682801847</v>
      </c>
      <c r="AX10" s="1751">
        <v>22748.845616479997</v>
      </c>
      <c r="AY10" s="1751">
        <v>22699.188742619597</v>
      </c>
      <c r="AZ10" s="1751">
        <v>22898.382890481473</v>
      </c>
      <c r="BA10" s="1751">
        <v>22962.542976543278</v>
      </c>
      <c r="BB10" s="1751">
        <v>23176.111834857958</v>
      </c>
      <c r="BC10" s="1751">
        <v>23473.452870282686</v>
      </c>
      <c r="BD10" s="1751">
        <v>23140.530494430001</v>
      </c>
      <c r="BE10" s="1751">
        <v>23404.44176672</v>
      </c>
      <c r="BF10" s="1751">
        <v>23738.594208662929</v>
      </c>
      <c r="BG10" s="1751">
        <v>24787.174748990008</v>
      </c>
      <c r="BH10" s="1751">
        <v>24799.170187925076</v>
      </c>
      <c r="BI10" s="1751">
        <v>24617.913196102585</v>
      </c>
      <c r="BJ10" s="1751">
        <v>24623.669634006179</v>
      </c>
      <c r="BK10" s="1751">
        <v>24876.451870782974</v>
      </c>
      <c r="BL10" s="1751">
        <v>25048.698180121763</v>
      </c>
      <c r="BM10" s="1751">
        <v>25069.888355277049</v>
      </c>
      <c r="BN10" s="1751">
        <v>24872.34093405</v>
      </c>
      <c r="BO10" s="1751">
        <v>24986.528104467703</v>
      </c>
      <c r="BP10" s="1751">
        <v>25107.613699273188</v>
      </c>
      <c r="BQ10" s="1751">
        <v>25111.912057511021</v>
      </c>
      <c r="BR10" s="1751">
        <v>25104.829418286768</v>
      </c>
      <c r="BS10" s="1751">
        <v>26007.98768357154</v>
      </c>
      <c r="BT10" s="1751">
        <v>25925.226964252081</v>
      </c>
      <c r="BU10" s="1751">
        <v>25777.464761778854</v>
      </c>
      <c r="BV10" s="1751">
        <v>25637.889893134598</v>
      </c>
      <c r="BW10" s="1751">
        <v>25512.852112874705</v>
      </c>
      <c r="BX10" s="1751">
        <v>25496.935591268088</v>
      </c>
      <c r="BY10" s="1752">
        <v>25677.208696067042</v>
      </c>
      <c r="BZ10" s="1753">
        <v>25658.574981491311</v>
      </c>
      <c r="CA10" s="1753">
        <v>25430.885570453371</v>
      </c>
      <c r="CB10" s="1753">
        <v>25502.072810608362</v>
      </c>
      <c r="CC10" s="1753">
        <v>25528.836695199996</v>
      </c>
      <c r="CD10" s="1753">
        <v>25837.253028409999</v>
      </c>
      <c r="CE10" s="1753">
        <v>26785.602093149999</v>
      </c>
      <c r="CF10" s="1753">
        <v>26948.679005750007</v>
      </c>
      <c r="CG10" s="1753">
        <v>26811.444269520001</v>
      </c>
      <c r="CH10" s="1753">
        <v>26922.219078519996</v>
      </c>
      <c r="CI10" s="1753">
        <v>28811.470626949998</v>
      </c>
      <c r="CJ10" s="1753">
        <v>27147.657899550002</v>
      </c>
      <c r="CK10" s="1753">
        <v>27426.912815790005</v>
      </c>
      <c r="CL10" s="1753">
        <v>27572.598521199998</v>
      </c>
      <c r="CM10" s="1753">
        <v>27483.687376360002</v>
      </c>
      <c r="CN10" s="1753">
        <v>27806.416933559998</v>
      </c>
      <c r="CO10" s="1754">
        <v>27777.334711830001</v>
      </c>
      <c r="CP10" s="1754">
        <v>28307.983220779999</v>
      </c>
      <c r="CQ10" s="1754">
        <v>29177.247601080002</v>
      </c>
      <c r="CR10" s="1754">
        <v>28598.871027959991</v>
      </c>
      <c r="CS10" s="1754">
        <v>12909.53746109</v>
      </c>
      <c r="CT10" s="1754">
        <v>13041.727457309998</v>
      </c>
      <c r="CU10" s="1754">
        <v>12805.847973810003</v>
      </c>
      <c r="CV10" s="1754">
        <v>12788.455753080003</v>
      </c>
      <c r="CW10" s="1754">
        <v>12770.826137030002</v>
      </c>
      <c r="CX10" s="1754">
        <v>12672.152197430003</v>
      </c>
      <c r="CY10" s="1754">
        <v>12633.056978840004</v>
      </c>
      <c r="CZ10" s="1754">
        <v>12576.326778820003</v>
      </c>
      <c r="DA10" s="1754">
        <v>12532.04883842</v>
      </c>
      <c r="DB10" s="1754">
        <v>12672.631229970002</v>
      </c>
      <c r="DC10" s="1754">
        <v>12147.346069020001</v>
      </c>
      <c r="DD10" s="1754">
        <v>12206.290522670002</v>
      </c>
      <c r="DE10" s="1754">
        <v>12282.82563619</v>
      </c>
      <c r="DF10" s="1754">
        <v>12125.327249580003</v>
      </c>
      <c r="DG10" s="1754">
        <v>12274.60690612</v>
      </c>
      <c r="DH10" s="1754">
        <v>12139.974481289999</v>
      </c>
      <c r="DI10" s="1754">
        <v>12131.275342140001</v>
      </c>
    </row>
    <row r="11" spans="1:113" ht="16.5" thickTop="1" x14ac:dyDescent="0.3">
      <c r="A11" s="1755"/>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756"/>
      <c r="AV11" s="1756"/>
      <c r="AW11" s="1756"/>
      <c r="AX11" s="1756"/>
      <c r="AY11" s="1756"/>
      <c r="AZ11" s="1756"/>
      <c r="BA11" s="1756"/>
      <c r="BB11" s="1756"/>
      <c r="BC11" s="1756"/>
      <c r="BD11" s="1757"/>
      <c r="BE11" s="1757"/>
      <c r="BF11" s="1757"/>
      <c r="BG11" s="1757"/>
      <c r="BH11" s="1757"/>
      <c r="BI11" s="1756"/>
      <c r="BJ11" s="1756"/>
      <c r="BK11" s="1756"/>
      <c r="BL11" s="1756"/>
      <c r="BM11" s="1756"/>
      <c r="BN11" s="1756"/>
      <c r="BO11" s="1756"/>
      <c r="BP11" s="1756"/>
      <c r="BQ11" s="1756"/>
      <c r="BR11" s="1756"/>
      <c r="BS11" s="1756"/>
      <c r="BT11" s="1724"/>
      <c r="BU11" s="1724"/>
      <c r="BV11" s="1724"/>
      <c r="BW11" s="1724"/>
      <c r="BX11" s="1724"/>
    </row>
    <row r="12" spans="1:113" ht="16.5" thickBot="1" x14ac:dyDescent="0.35">
      <c r="A12" s="1758"/>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7"/>
      <c r="AU12" s="1757"/>
      <c r="AV12" s="1759"/>
      <c r="AW12" s="1759"/>
      <c r="AX12" s="1759"/>
      <c r="AY12" s="1759"/>
      <c r="AZ12" s="1759"/>
      <c r="BA12" s="1759"/>
      <c r="BB12" s="1759"/>
      <c r="BC12" s="1757"/>
      <c r="BD12" s="1759"/>
      <c r="BE12" s="1759"/>
      <c r="BF12" s="1759"/>
      <c r="BG12" s="1759"/>
      <c r="BH12" s="1759"/>
      <c r="BI12" s="1759"/>
      <c r="BJ12" s="1759"/>
      <c r="BK12" s="1759"/>
      <c r="BL12" s="1759"/>
      <c r="BM12" s="1759"/>
      <c r="BN12" s="1759"/>
      <c r="BO12" s="1759"/>
      <c r="BP12" s="1759"/>
      <c r="BQ12" s="1759"/>
      <c r="BR12" s="1759"/>
      <c r="BS12" s="1759"/>
      <c r="BT12" s="1759"/>
      <c r="BU12" s="1759"/>
      <c r="BV12" s="1759"/>
      <c r="BX12" s="1759"/>
      <c r="CL12" s="1730"/>
      <c r="CM12" s="1730"/>
      <c r="CN12" s="1730"/>
      <c r="CO12" s="1730"/>
      <c r="CP12" s="1730"/>
      <c r="CQ12" s="1730"/>
      <c r="CR12" s="1730"/>
      <c r="CS12" s="1730"/>
      <c r="CT12" s="1730"/>
      <c r="CU12" s="1730"/>
      <c r="CV12" s="1730"/>
      <c r="CW12" s="1730"/>
      <c r="CX12" s="1730"/>
      <c r="CY12" s="1730"/>
      <c r="CZ12" s="1730"/>
      <c r="DA12" s="1730"/>
      <c r="DB12" s="1730"/>
      <c r="DC12" s="1730"/>
      <c r="DD12" s="1730"/>
      <c r="DE12" s="1730"/>
      <c r="DF12" s="1730"/>
      <c r="DG12" s="1730"/>
      <c r="DH12" s="1730"/>
      <c r="DI12" s="1730" t="s">
        <v>8</v>
      </c>
    </row>
    <row r="13" spans="1:113" ht="17.25" thickTop="1" x14ac:dyDescent="0.3">
      <c r="A13" s="1731" t="s">
        <v>3211</v>
      </c>
      <c r="B13" s="1732">
        <v>40940</v>
      </c>
      <c r="C13" s="1733">
        <v>40969</v>
      </c>
      <c r="D13" s="1733">
        <v>41000</v>
      </c>
      <c r="E13" s="1733">
        <v>41030</v>
      </c>
      <c r="F13" s="1733">
        <v>41061</v>
      </c>
      <c r="G13" s="1733">
        <v>41091</v>
      </c>
      <c r="H13" s="1733">
        <v>41122</v>
      </c>
      <c r="I13" s="1733">
        <v>41153</v>
      </c>
      <c r="J13" s="1733">
        <v>41183</v>
      </c>
      <c r="K13" s="1733">
        <v>41214</v>
      </c>
      <c r="L13" s="1733">
        <v>41244</v>
      </c>
      <c r="M13" s="1733">
        <v>41275</v>
      </c>
      <c r="N13" s="1733">
        <v>41306</v>
      </c>
      <c r="O13" s="1733">
        <v>41334</v>
      </c>
      <c r="P13" s="1733">
        <v>41365</v>
      </c>
      <c r="Q13" s="1733">
        <v>41395</v>
      </c>
      <c r="R13" s="1733">
        <v>41426</v>
      </c>
      <c r="S13" s="1733">
        <v>41456</v>
      </c>
      <c r="T13" s="1733">
        <v>41487</v>
      </c>
      <c r="U13" s="1733">
        <v>41518</v>
      </c>
      <c r="V13" s="1733">
        <v>41548</v>
      </c>
      <c r="W13" s="1733">
        <v>41579</v>
      </c>
      <c r="X13" s="1733">
        <v>41609</v>
      </c>
      <c r="Y13" s="1733">
        <v>41640</v>
      </c>
      <c r="Z13" s="1733">
        <v>41671</v>
      </c>
      <c r="AA13" s="1733">
        <v>41699</v>
      </c>
      <c r="AB13" s="1733">
        <v>41730</v>
      </c>
      <c r="AC13" s="1733">
        <v>41760</v>
      </c>
      <c r="AD13" s="1733">
        <v>41791</v>
      </c>
      <c r="AE13" s="1733">
        <v>41821</v>
      </c>
      <c r="AF13" s="1733">
        <v>41852</v>
      </c>
      <c r="AG13" s="1733">
        <v>41883</v>
      </c>
      <c r="AH13" s="1733">
        <v>41913</v>
      </c>
      <c r="AI13" s="1733">
        <v>41944</v>
      </c>
      <c r="AJ13" s="1733">
        <v>41974</v>
      </c>
      <c r="AK13" s="1733">
        <v>42005</v>
      </c>
      <c r="AL13" s="1733">
        <v>42036</v>
      </c>
      <c r="AM13" s="1733">
        <v>42064</v>
      </c>
      <c r="AN13" s="1733">
        <v>42095</v>
      </c>
      <c r="AO13" s="1733">
        <v>42125</v>
      </c>
      <c r="AP13" s="1733">
        <v>42156</v>
      </c>
      <c r="AQ13" s="1733">
        <v>42186</v>
      </c>
      <c r="AR13" s="1733">
        <v>42217</v>
      </c>
      <c r="AS13" s="1733">
        <v>42248</v>
      </c>
      <c r="AT13" s="1733">
        <v>42278</v>
      </c>
      <c r="AU13" s="1733">
        <v>42309</v>
      </c>
      <c r="AV13" s="1733">
        <v>42339</v>
      </c>
      <c r="AW13" s="1733">
        <v>42370</v>
      </c>
      <c r="AX13" s="1734">
        <v>42401</v>
      </c>
      <c r="AY13" s="1734">
        <v>42430</v>
      </c>
      <c r="AZ13" s="1734">
        <v>42461</v>
      </c>
      <c r="BA13" s="1734">
        <v>42491</v>
      </c>
      <c r="BB13" s="1734">
        <v>42522</v>
      </c>
      <c r="BC13" s="1734">
        <v>42552</v>
      </c>
      <c r="BD13" s="1734">
        <v>42583</v>
      </c>
      <c r="BE13" s="1734">
        <v>42644</v>
      </c>
      <c r="BF13" s="1734">
        <v>42675</v>
      </c>
      <c r="BG13" s="1734">
        <v>42705</v>
      </c>
      <c r="BH13" s="1734">
        <v>42736</v>
      </c>
      <c r="BI13" s="1734">
        <v>42767</v>
      </c>
      <c r="BJ13" s="1734">
        <v>42795</v>
      </c>
      <c r="BK13" s="1734">
        <v>42826</v>
      </c>
      <c r="BL13" s="1734">
        <v>42856</v>
      </c>
      <c r="BM13" s="1734">
        <v>42887</v>
      </c>
      <c r="BN13" s="1734">
        <v>42917</v>
      </c>
      <c r="BO13" s="1734">
        <v>42948</v>
      </c>
      <c r="BP13" s="1734">
        <v>42979</v>
      </c>
      <c r="BQ13" s="1734">
        <v>43009</v>
      </c>
      <c r="BR13" s="1734">
        <v>43040</v>
      </c>
      <c r="BS13" s="1734">
        <v>43070</v>
      </c>
      <c r="BT13" s="1734">
        <v>43101</v>
      </c>
      <c r="BU13" s="1734">
        <v>43132</v>
      </c>
      <c r="BV13" s="1734">
        <v>43160</v>
      </c>
      <c r="BW13" s="1734">
        <v>43191</v>
      </c>
      <c r="BX13" s="1734">
        <v>43221</v>
      </c>
      <c r="BY13" s="1735">
        <v>43252</v>
      </c>
      <c r="BZ13" s="1736">
        <v>43282</v>
      </c>
      <c r="CA13" s="1736">
        <v>43313</v>
      </c>
      <c r="CB13" s="1736">
        <v>43344</v>
      </c>
      <c r="CC13" s="1736">
        <v>43374</v>
      </c>
      <c r="CD13" s="1736">
        <v>43405</v>
      </c>
      <c r="CE13" s="1736">
        <v>43435</v>
      </c>
      <c r="CF13" s="1736">
        <v>43466</v>
      </c>
      <c r="CG13" s="1736">
        <v>43497</v>
      </c>
      <c r="CH13" s="1736">
        <v>43525</v>
      </c>
      <c r="CI13" s="1736">
        <v>43556</v>
      </c>
      <c r="CJ13" s="1736">
        <v>43586</v>
      </c>
      <c r="CK13" s="1736">
        <v>43617</v>
      </c>
      <c r="CL13" s="1736">
        <v>43647</v>
      </c>
      <c r="CM13" s="1736">
        <v>43678</v>
      </c>
      <c r="CN13" s="1736">
        <v>43709</v>
      </c>
      <c r="CO13" s="1736">
        <v>43739</v>
      </c>
      <c r="CP13" s="1736">
        <v>43770</v>
      </c>
      <c r="CQ13" s="1736">
        <v>43800</v>
      </c>
      <c r="CR13" s="1736">
        <v>43831</v>
      </c>
      <c r="CS13" s="1736">
        <v>43862</v>
      </c>
      <c r="CT13" s="1736">
        <v>43891</v>
      </c>
      <c r="CU13" s="1736">
        <v>43922</v>
      </c>
      <c r="CV13" s="1736">
        <v>43952</v>
      </c>
      <c r="CW13" s="1736">
        <v>43983</v>
      </c>
      <c r="CX13" s="1736">
        <v>44013</v>
      </c>
      <c r="CY13" s="1736">
        <v>44044</v>
      </c>
      <c r="CZ13" s="1736">
        <v>44075</v>
      </c>
      <c r="DA13" s="1736">
        <v>44105</v>
      </c>
      <c r="DB13" s="1736">
        <v>44136</v>
      </c>
      <c r="DC13" s="1736">
        <v>44166</v>
      </c>
      <c r="DD13" s="1736">
        <v>44197</v>
      </c>
      <c r="DE13" s="1736">
        <v>44228</v>
      </c>
      <c r="DF13" s="1736">
        <v>44256</v>
      </c>
      <c r="DG13" s="1736">
        <v>44287</v>
      </c>
      <c r="DH13" s="1736">
        <v>44317</v>
      </c>
      <c r="DI13" s="1736">
        <v>44348</v>
      </c>
    </row>
    <row r="14" spans="1:113" ht="16.5" x14ac:dyDescent="0.3">
      <c r="A14" s="1737" t="s">
        <v>3490</v>
      </c>
      <c r="B14" s="1760">
        <v>1746.58243204</v>
      </c>
      <c r="C14" s="1761">
        <v>1746.58243204</v>
      </c>
      <c r="D14" s="1761">
        <v>1746.5824324499997</v>
      </c>
      <c r="E14" s="1761">
        <v>1325.00000004</v>
      </c>
      <c r="F14" s="1761">
        <v>1325.00000004</v>
      </c>
      <c r="G14" s="1761">
        <v>1325.00000004</v>
      </c>
      <c r="H14" s="1761">
        <v>1325.00000004</v>
      </c>
      <c r="I14" s="1761">
        <v>1325.00000004</v>
      </c>
      <c r="J14" s="1761">
        <v>1325.00000004</v>
      </c>
      <c r="K14" s="1761">
        <v>1325.00000004</v>
      </c>
      <c r="L14" s="1761">
        <v>1325.00000004</v>
      </c>
      <c r="M14" s="1761">
        <v>1325.00000004</v>
      </c>
      <c r="N14" s="1761">
        <v>1325.00000004</v>
      </c>
      <c r="O14" s="1761">
        <v>1325.00000004</v>
      </c>
      <c r="P14" s="1761">
        <v>1325.00000004</v>
      </c>
      <c r="Q14" s="1761">
        <v>1325.00000004</v>
      </c>
      <c r="R14" s="1761">
        <v>1325.00000004</v>
      </c>
      <c r="S14" s="1761">
        <v>1325.00000004</v>
      </c>
      <c r="T14" s="1761">
        <v>1325.00000004</v>
      </c>
      <c r="U14" s="1761">
        <v>1325.00000004</v>
      </c>
      <c r="V14" s="1761">
        <v>1325.00000004</v>
      </c>
      <c r="W14" s="1761">
        <v>1325.00000004</v>
      </c>
      <c r="X14" s="1761">
        <v>1325.00000004</v>
      </c>
      <c r="Y14" s="1761">
        <v>1325.00000004</v>
      </c>
      <c r="Z14" s="1761">
        <v>1325.00000004</v>
      </c>
      <c r="AA14" s="1761">
        <v>1325.00000004</v>
      </c>
      <c r="AB14" s="1761">
        <v>1325.00000004</v>
      </c>
      <c r="AC14" s="1761">
        <v>1325.00000004</v>
      </c>
      <c r="AD14" s="1761">
        <v>1325.00000004</v>
      </c>
      <c r="AE14" s="1761">
        <v>1325.00000004</v>
      </c>
      <c r="AF14" s="1761">
        <v>1325.00000004</v>
      </c>
      <c r="AG14" s="1761">
        <v>1325.00000004</v>
      </c>
      <c r="AH14" s="1761">
        <v>1325.00000004</v>
      </c>
      <c r="AI14" s="1761">
        <v>1325.00000004</v>
      </c>
      <c r="AJ14" s="1761">
        <v>1325.00000004</v>
      </c>
      <c r="AK14" s="1761">
        <v>1325.00000004</v>
      </c>
      <c r="AL14" s="1761">
        <v>1475.00000004</v>
      </c>
      <c r="AM14" s="1761">
        <v>1475.00000004</v>
      </c>
      <c r="AN14" s="1761">
        <v>1475.00000004</v>
      </c>
      <c r="AO14" s="1761">
        <v>1475.00000004</v>
      </c>
      <c r="AP14" s="1761">
        <v>1475.00000004</v>
      </c>
      <c r="AQ14" s="1761">
        <v>1475.00000004</v>
      </c>
      <c r="AR14" s="1761">
        <v>1475.00000004</v>
      </c>
      <c r="AS14" s="1761">
        <v>1475.00000004</v>
      </c>
      <c r="AT14" s="1761">
        <v>1475.00000004</v>
      </c>
      <c r="AU14" s="1761">
        <v>1775.00000004</v>
      </c>
      <c r="AV14" s="1761">
        <v>1775.00000004</v>
      </c>
      <c r="AW14" s="1761">
        <v>1775.00000004</v>
      </c>
      <c r="AX14" s="1740">
        <v>1775.00000004</v>
      </c>
      <c r="AY14" s="1740">
        <v>1775.00000004</v>
      </c>
      <c r="AZ14" s="1740">
        <v>1775.00000004</v>
      </c>
      <c r="BA14" s="1740">
        <v>1775</v>
      </c>
      <c r="BB14" s="1740">
        <v>1825</v>
      </c>
      <c r="BC14" s="1740">
        <v>1825.00000004</v>
      </c>
      <c r="BD14" s="1740">
        <v>1825.00000004</v>
      </c>
      <c r="BE14" s="1740">
        <v>1825.00000004</v>
      </c>
      <c r="BF14" s="1741">
        <v>1825.00000004</v>
      </c>
      <c r="BG14" s="1741">
        <v>1975.00000004</v>
      </c>
      <c r="BH14" s="1741">
        <v>1975.00000004</v>
      </c>
      <c r="BI14" s="1741">
        <v>1975.00000004</v>
      </c>
      <c r="BJ14" s="1741">
        <v>1975.00000004</v>
      </c>
      <c r="BK14" s="1741">
        <v>1975.00000004</v>
      </c>
      <c r="BL14" s="1741">
        <v>1975.00000004</v>
      </c>
      <c r="BM14" s="1741">
        <v>1975.00000004</v>
      </c>
      <c r="BN14" s="1741">
        <v>1975.00000004</v>
      </c>
      <c r="BO14" s="1741">
        <v>1975.00000004</v>
      </c>
      <c r="BP14" s="1741">
        <v>2150.00000004</v>
      </c>
      <c r="BQ14" s="1741">
        <v>2150.00000004</v>
      </c>
      <c r="BR14" s="1741">
        <v>2150.00000004</v>
      </c>
      <c r="BS14" s="1741">
        <v>2150.00000004</v>
      </c>
      <c r="BT14" s="1741">
        <v>2150.00000004</v>
      </c>
      <c r="BU14" s="1741">
        <v>2150.00000004</v>
      </c>
      <c r="BV14" s="1741">
        <v>2150.00000004</v>
      </c>
      <c r="BW14" s="1741">
        <v>2150.00000004</v>
      </c>
      <c r="BX14" s="1741">
        <v>2150.00000004</v>
      </c>
      <c r="BY14" s="1742">
        <v>2350.00000004</v>
      </c>
      <c r="BZ14" s="1743">
        <v>2350.00000004</v>
      </c>
      <c r="CA14" s="1743">
        <v>2350.00000004</v>
      </c>
      <c r="CB14" s="1743">
        <v>2350.00000004</v>
      </c>
      <c r="CC14" s="1743">
        <v>2349.9867880000002</v>
      </c>
      <c r="CD14" s="1743">
        <v>2350.00000004</v>
      </c>
      <c r="CE14" s="1743">
        <v>2550.00000004</v>
      </c>
      <c r="CF14" s="1743">
        <v>2550.00000004</v>
      </c>
      <c r="CG14" s="1743">
        <v>2550.00000004</v>
      </c>
      <c r="CH14" s="1743">
        <v>2550.00000004</v>
      </c>
      <c r="CI14" s="1743">
        <v>2550.00000004</v>
      </c>
      <c r="CJ14" s="1743">
        <v>2550.00000004</v>
      </c>
      <c r="CK14" s="1743">
        <v>2550.00000004</v>
      </c>
      <c r="CL14" s="1743">
        <v>2550.00000004</v>
      </c>
      <c r="CM14" s="1743">
        <v>2350.00000004</v>
      </c>
      <c r="CN14" s="1743">
        <v>2350.00000004</v>
      </c>
      <c r="CO14" s="1744">
        <v>2350.00000004</v>
      </c>
      <c r="CP14" s="1744">
        <v>2550.00000004</v>
      </c>
      <c r="CQ14" s="1744">
        <v>2550.00000004</v>
      </c>
      <c r="CR14" s="1744">
        <v>1860.00000004</v>
      </c>
      <c r="CS14" s="1744">
        <v>1000</v>
      </c>
      <c r="CT14" s="1744">
        <v>800</v>
      </c>
      <c r="CU14" s="1744">
        <v>1000</v>
      </c>
      <c r="CV14" s="1744">
        <v>1000</v>
      </c>
      <c r="CW14" s="1744">
        <v>1000</v>
      </c>
      <c r="CX14" s="1744">
        <v>1000</v>
      </c>
      <c r="CY14" s="1744">
        <v>1000</v>
      </c>
      <c r="CZ14" s="1744">
        <v>1000</v>
      </c>
      <c r="DA14" s="1744">
        <v>1000</v>
      </c>
      <c r="DB14" s="1744">
        <v>1000</v>
      </c>
      <c r="DC14" s="1744">
        <v>1000</v>
      </c>
      <c r="DD14" s="1744">
        <v>1000</v>
      </c>
      <c r="DE14" s="1744">
        <v>1000</v>
      </c>
      <c r="DF14" s="1744">
        <v>1000</v>
      </c>
      <c r="DG14" s="1744">
        <v>1000</v>
      </c>
      <c r="DH14" s="1744">
        <v>1000</v>
      </c>
      <c r="DI14" s="1744">
        <v>1000</v>
      </c>
    </row>
    <row r="15" spans="1:113" ht="16.5" x14ac:dyDescent="0.3">
      <c r="A15" s="1737" t="s">
        <v>3491</v>
      </c>
      <c r="B15" s="1760">
        <v>599.53232722149994</v>
      </c>
      <c r="C15" s="1761">
        <v>597.48768222150011</v>
      </c>
      <c r="D15" s="1761">
        <v>585.08768969800064</v>
      </c>
      <c r="E15" s="1761">
        <v>550.85495347150015</v>
      </c>
      <c r="F15" s="1761">
        <v>550.85495377149937</v>
      </c>
      <c r="G15" s="1761">
        <v>645.15164702100037</v>
      </c>
      <c r="H15" s="1761">
        <v>646.24856795400092</v>
      </c>
      <c r="I15" s="1761">
        <v>672.13719595400096</v>
      </c>
      <c r="J15" s="1761">
        <v>719.21607130400037</v>
      </c>
      <c r="K15" s="1761">
        <v>719.21607129400115</v>
      </c>
      <c r="L15" s="1761">
        <v>694.21606729400105</v>
      </c>
      <c r="M15" s="1761">
        <v>670.71247913400077</v>
      </c>
      <c r="N15" s="1761">
        <v>670.71248195892997</v>
      </c>
      <c r="O15" s="1761">
        <v>670.71248957391742</v>
      </c>
      <c r="P15" s="1761">
        <v>670.71248505391691</v>
      </c>
      <c r="Q15" s="1761">
        <v>660.71248457391744</v>
      </c>
      <c r="R15" s="1761">
        <v>610.71248834191704</v>
      </c>
      <c r="S15" s="1761">
        <v>734.33972089841654</v>
      </c>
      <c r="T15" s="1761">
        <v>733.24190232691672</v>
      </c>
      <c r="U15" s="1761">
        <v>733.7838401344161</v>
      </c>
      <c r="V15" s="1761">
        <v>782.94232321041534</v>
      </c>
      <c r="W15" s="1761">
        <v>782.85444522441719</v>
      </c>
      <c r="X15" s="1761">
        <v>752.85457930648761</v>
      </c>
      <c r="Y15" s="1761">
        <v>763.24215569149976</v>
      </c>
      <c r="Z15" s="1761">
        <v>763.24215869149975</v>
      </c>
      <c r="AA15" s="1761">
        <v>763.24215869149975</v>
      </c>
      <c r="AB15" s="1761">
        <v>748.24215869149975</v>
      </c>
      <c r="AC15" s="1761">
        <v>748.32769254350285</v>
      </c>
      <c r="AD15" s="1761">
        <v>747.54909254350275</v>
      </c>
      <c r="AE15" s="1761">
        <v>773.27414996748257</v>
      </c>
      <c r="AF15" s="1761">
        <v>795.52384592534258</v>
      </c>
      <c r="AG15" s="1761">
        <v>793.82143868338437</v>
      </c>
      <c r="AH15" s="1761">
        <v>860.00679545936248</v>
      </c>
      <c r="AI15" s="1761">
        <v>866.69740693486267</v>
      </c>
      <c r="AJ15" s="1761">
        <v>832.47084905478573</v>
      </c>
      <c r="AK15" s="1761">
        <v>833.7203840475006</v>
      </c>
      <c r="AL15" s="1761">
        <v>832.06366670750049</v>
      </c>
      <c r="AM15" s="1761">
        <v>832.4695897075004</v>
      </c>
      <c r="AN15" s="1761">
        <v>832.06366825008206</v>
      </c>
      <c r="AO15" s="1761">
        <v>832.06366843008232</v>
      </c>
      <c r="AP15" s="1761">
        <v>833.32054886750029</v>
      </c>
      <c r="AQ15" s="1761">
        <v>771.86210399964807</v>
      </c>
      <c r="AR15" s="1761">
        <v>785.97295392969988</v>
      </c>
      <c r="AS15" s="1761">
        <v>770.83561280299853</v>
      </c>
      <c r="AT15" s="1761">
        <v>814.82260084253028</v>
      </c>
      <c r="AU15" s="1761">
        <v>809.20022965300086</v>
      </c>
      <c r="AV15" s="1761">
        <v>808.7943096896505</v>
      </c>
      <c r="AW15" s="1761">
        <v>831.23117294492624</v>
      </c>
      <c r="AX15" s="1740">
        <v>831.23116803964899</v>
      </c>
      <c r="AY15" s="1740">
        <v>831.23116803965002</v>
      </c>
      <c r="AZ15" s="1740">
        <v>831.23116816365052</v>
      </c>
      <c r="BA15" s="1740">
        <v>819.23116751314922</v>
      </c>
      <c r="BB15" s="1740">
        <v>819.23116751314922</v>
      </c>
      <c r="BC15" s="1740">
        <v>847.19829774964808</v>
      </c>
      <c r="BD15" s="1740">
        <v>634.12934612630363</v>
      </c>
      <c r="BE15" s="1740">
        <v>659.80150435696885</v>
      </c>
      <c r="BF15" s="1741">
        <v>659.80147525396637</v>
      </c>
      <c r="BG15" s="1741">
        <v>659.80147510061363</v>
      </c>
      <c r="BH15" s="1741">
        <v>671.07288027696802</v>
      </c>
      <c r="BI15" s="1741">
        <v>668.57317798975748</v>
      </c>
      <c r="BJ15" s="1741">
        <v>668.57317774810792</v>
      </c>
      <c r="BK15" s="1741">
        <v>668.57317774810792</v>
      </c>
      <c r="BL15" s="1741">
        <v>668.57519103810785</v>
      </c>
      <c r="BM15" s="1741">
        <v>667.74699060810849</v>
      </c>
      <c r="BN15" s="1741">
        <v>627.73927389179801</v>
      </c>
      <c r="BO15" s="1741">
        <v>623.63595936744684</v>
      </c>
      <c r="BP15" s="1741">
        <v>646.160986537447</v>
      </c>
      <c r="BQ15" s="1741">
        <v>645.51458674544904</v>
      </c>
      <c r="BR15" s="1741">
        <v>645.97069004545017</v>
      </c>
      <c r="BS15" s="1741">
        <v>736.02729373544889</v>
      </c>
      <c r="BT15" s="1741">
        <v>741.86641447545242</v>
      </c>
      <c r="BU15" s="1741">
        <v>742.28299121699524</v>
      </c>
      <c r="BV15" s="1741">
        <v>742.3659997070198</v>
      </c>
      <c r="BW15" s="1741">
        <v>742.37109340658947</v>
      </c>
      <c r="BX15" s="1741">
        <v>743.00982729658892</v>
      </c>
      <c r="BY15" s="1742">
        <v>743.00982592658806</v>
      </c>
      <c r="BZ15" s="1743">
        <v>725.28222232658766</v>
      </c>
      <c r="CA15" s="1743">
        <v>729.46949401523023</v>
      </c>
      <c r="CB15" s="1743">
        <v>745.4181760313644</v>
      </c>
      <c r="CC15" s="1743">
        <v>684.04040308999822</v>
      </c>
      <c r="CD15" s="1743">
        <v>934.8544641299992</v>
      </c>
      <c r="CE15" s="1743">
        <v>889.03632279999738</v>
      </c>
      <c r="CF15" s="1743">
        <v>906.98005563999561</v>
      </c>
      <c r="CG15" s="1743">
        <v>894.10478247999959</v>
      </c>
      <c r="CH15" s="1743">
        <v>885.43462012000089</v>
      </c>
      <c r="CI15" s="1743">
        <v>894.10478268000031</v>
      </c>
      <c r="CJ15" s="1743">
        <v>894.10478268000031</v>
      </c>
      <c r="CK15" s="1743">
        <v>886.61161057999993</v>
      </c>
      <c r="CL15" s="1743">
        <v>1014.2556434899998</v>
      </c>
      <c r="CM15" s="1743">
        <v>1168.5206182900008</v>
      </c>
      <c r="CN15" s="1743">
        <v>1280.2511898500022</v>
      </c>
      <c r="CO15" s="1744">
        <v>1298.7462345800018</v>
      </c>
      <c r="CP15" s="1744">
        <v>1168.8941123500003</v>
      </c>
      <c r="CQ15" s="1744">
        <v>1127.5642732800006</v>
      </c>
      <c r="CR15" s="1744">
        <v>1571.9663310799999</v>
      </c>
      <c r="CS15" s="1744">
        <v>656.57499901999859</v>
      </c>
      <c r="CT15" s="1744">
        <v>856.57499901999859</v>
      </c>
      <c r="CU15" s="1744">
        <v>656.57499901999859</v>
      </c>
      <c r="CV15" s="1744">
        <v>656.57499901999859</v>
      </c>
      <c r="CW15" s="1744">
        <v>654.03009902000042</v>
      </c>
      <c r="CX15" s="1744">
        <v>697.10580215000152</v>
      </c>
      <c r="CY15" s="1744">
        <v>701.41517633000183</v>
      </c>
      <c r="CZ15" s="1744">
        <v>760.99380193000002</v>
      </c>
      <c r="DA15" s="1744">
        <v>746.30348192999872</v>
      </c>
      <c r="DB15" s="1744">
        <v>760.93980192999993</v>
      </c>
      <c r="DC15" s="1744">
        <v>761.00880193000194</v>
      </c>
      <c r="DD15" s="1744">
        <v>777.22971474999952</v>
      </c>
      <c r="DE15" s="1744">
        <v>777.21471474999908</v>
      </c>
      <c r="DF15" s="1744">
        <v>775.51572893000082</v>
      </c>
      <c r="DG15" s="1744">
        <v>786.57281357000045</v>
      </c>
      <c r="DH15" s="1744">
        <v>786.57281356999965</v>
      </c>
      <c r="DI15" s="1744">
        <v>764.57281357000068</v>
      </c>
    </row>
    <row r="16" spans="1:113" ht="16.5" x14ac:dyDescent="0.3">
      <c r="A16" s="1737" t="s">
        <v>3492</v>
      </c>
      <c r="B16" s="1760">
        <v>0</v>
      </c>
      <c r="C16" s="1761">
        <v>0</v>
      </c>
      <c r="D16" s="1761">
        <v>0</v>
      </c>
      <c r="E16" s="1761">
        <v>0</v>
      </c>
      <c r="F16" s="1761">
        <v>0</v>
      </c>
      <c r="G16" s="1761">
        <v>0</v>
      </c>
      <c r="H16" s="1761">
        <v>0</v>
      </c>
      <c r="I16" s="1761">
        <v>0</v>
      </c>
      <c r="J16" s="1761">
        <v>0</v>
      </c>
      <c r="K16" s="1761">
        <v>0</v>
      </c>
      <c r="L16" s="1761">
        <v>0</v>
      </c>
      <c r="M16" s="1761">
        <v>0</v>
      </c>
      <c r="N16" s="1761">
        <v>0</v>
      </c>
      <c r="O16" s="1761">
        <v>0</v>
      </c>
      <c r="P16" s="1761">
        <v>0</v>
      </c>
      <c r="Q16" s="1761">
        <v>0</v>
      </c>
      <c r="R16" s="1761">
        <v>0</v>
      </c>
      <c r="S16" s="1761">
        <v>0</v>
      </c>
      <c r="T16" s="1761">
        <v>0</v>
      </c>
      <c r="U16" s="1761">
        <v>0</v>
      </c>
      <c r="V16" s="1761">
        <v>0</v>
      </c>
      <c r="W16" s="1761">
        <v>0</v>
      </c>
      <c r="X16" s="1761">
        <v>0</v>
      </c>
      <c r="Y16" s="1761">
        <v>0</v>
      </c>
      <c r="Z16" s="1761">
        <v>0</v>
      </c>
      <c r="AA16" s="1761">
        <v>0</v>
      </c>
      <c r="AB16" s="1761">
        <v>0</v>
      </c>
      <c r="AC16" s="1761">
        <v>0</v>
      </c>
      <c r="AD16" s="1761">
        <v>0</v>
      </c>
      <c r="AE16" s="1761">
        <v>0</v>
      </c>
      <c r="AF16" s="1761">
        <v>0</v>
      </c>
      <c r="AG16" s="1761">
        <v>0</v>
      </c>
      <c r="AH16" s="1761">
        <v>0</v>
      </c>
      <c r="AI16" s="1761">
        <v>0</v>
      </c>
      <c r="AJ16" s="1761">
        <v>0</v>
      </c>
      <c r="AK16" s="1761">
        <v>0</v>
      </c>
      <c r="AL16" s="1761">
        <v>0</v>
      </c>
      <c r="AM16" s="1761">
        <v>0</v>
      </c>
      <c r="AN16" s="1761">
        <v>0</v>
      </c>
      <c r="AO16" s="1761">
        <v>0</v>
      </c>
      <c r="AP16" s="1761">
        <v>0</v>
      </c>
      <c r="AQ16" s="1761">
        <v>0</v>
      </c>
      <c r="AR16" s="1761">
        <v>0</v>
      </c>
      <c r="AS16" s="1761">
        <v>0</v>
      </c>
      <c r="AT16" s="1761">
        <v>0</v>
      </c>
      <c r="AU16" s="1761">
        <v>0</v>
      </c>
      <c r="AV16" s="1761">
        <v>0</v>
      </c>
      <c r="AW16" s="1761">
        <v>0</v>
      </c>
      <c r="AX16" s="1740">
        <v>0</v>
      </c>
      <c r="AY16" s="1740">
        <v>0</v>
      </c>
      <c r="AZ16" s="1740">
        <v>0</v>
      </c>
      <c r="BA16" s="1740">
        <v>0</v>
      </c>
      <c r="BB16" s="1740">
        <v>0</v>
      </c>
      <c r="BC16" s="1740">
        <v>0</v>
      </c>
      <c r="BD16" s="1740">
        <v>0</v>
      </c>
      <c r="BE16" s="1740">
        <v>0</v>
      </c>
      <c r="BF16" s="1741">
        <v>0</v>
      </c>
      <c r="BG16" s="1741">
        <v>0</v>
      </c>
      <c r="BH16" s="1741">
        <v>0</v>
      </c>
      <c r="BI16" s="1741">
        <v>0</v>
      </c>
      <c r="BJ16" s="1741">
        <v>0</v>
      </c>
      <c r="BK16" s="1741">
        <v>0</v>
      </c>
      <c r="BL16" s="1741">
        <v>0</v>
      </c>
      <c r="BM16" s="1741">
        <v>0</v>
      </c>
      <c r="BN16" s="1741">
        <v>0</v>
      </c>
      <c r="BO16" s="1741">
        <v>0</v>
      </c>
      <c r="BP16" s="1741">
        <v>0</v>
      </c>
      <c r="BQ16" s="1741">
        <v>0</v>
      </c>
      <c r="BR16" s="1741">
        <v>0</v>
      </c>
      <c r="BS16" s="1741">
        <v>0</v>
      </c>
      <c r="BT16" s="1741">
        <v>0</v>
      </c>
      <c r="BU16" s="1741">
        <v>0</v>
      </c>
      <c r="BV16" s="1741">
        <v>0</v>
      </c>
      <c r="BW16" s="1741">
        <v>0</v>
      </c>
      <c r="BX16" s="1741">
        <v>0</v>
      </c>
      <c r="BY16" s="1742">
        <v>0</v>
      </c>
      <c r="BZ16" s="1743">
        <v>0</v>
      </c>
      <c r="CA16" s="1743">
        <v>0</v>
      </c>
      <c r="CB16" s="1743">
        <v>0</v>
      </c>
      <c r="CC16" s="1762">
        <v>1219.0999999999999</v>
      </c>
      <c r="CD16" s="1762">
        <v>1397</v>
      </c>
      <c r="CE16" s="1762">
        <v>1396</v>
      </c>
      <c r="CF16" s="1762">
        <v>2264</v>
      </c>
      <c r="CG16" s="1762">
        <v>2234</v>
      </c>
      <c r="CH16" s="1762">
        <v>1785</v>
      </c>
      <c r="CI16" s="1762">
        <v>1734</v>
      </c>
      <c r="CJ16" s="1763">
        <v>2123</v>
      </c>
      <c r="CK16" s="1763">
        <v>1897</v>
      </c>
      <c r="CL16" s="1763">
        <v>1438</v>
      </c>
      <c r="CM16" s="1763">
        <v>1918</v>
      </c>
      <c r="CN16" s="1763">
        <v>2139</v>
      </c>
      <c r="CO16" s="1744">
        <v>2397</v>
      </c>
      <c r="CP16" s="1744">
        <v>3097</v>
      </c>
      <c r="CQ16" s="1744">
        <v>3877.1078760999999</v>
      </c>
      <c r="CR16" s="1744">
        <v>4178.0000705000002</v>
      </c>
      <c r="CS16" s="1744">
        <v>0</v>
      </c>
      <c r="CT16" s="1744">
        <v>0</v>
      </c>
      <c r="CU16" s="1744">
        <v>0</v>
      </c>
      <c r="CV16" s="1744">
        <v>0</v>
      </c>
      <c r="CW16" s="1744">
        <v>0</v>
      </c>
      <c r="CX16" s="1744">
        <v>14.322710599999999</v>
      </c>
      <c r="CY16" s="1744">
        <v>40.7857561</v>
      </c>
      <c r="CZ16" s="1744">
        <v>40.094357799999997</v>
      </c>
      <c r="DA16" s="1744">
        <v>49.347673999999998</v>
      </c>
      <c r="DB16" s="1744">
        <v>0</v>
      </c>
      <c r="DC16" s="1744">
        <v>55.146943189999995</v>
      </c>
      <c r="DD16" s="1744">
        <v>79.958551260000007</v>
      </c>
      <c r="DE16" s="1744">
        <v>85.309603719999998</v>
      </c>
      <c r="DF16" s="1744">
        <v>82.563379999999995</v>
      </c>
      <c r="DG16" s="1744">
        <v>0</v>
      </c>
      <c r="DH16" s="1744">
        <v>0</v>
      </c>
      <c r="DI16" s="1744">
        <v>0</v>
      </c>
    </row>
    <row r="17" spans="1:113" ht="16.5" x14ac:dyDescent="0.3">
      <c r="A17" s="1737" t="s">
        <v>3493</v>
      </c>
      <c r="B17" s="1760">
        <v>174.68465315537588</v>
      </c>
      <c r="C17" s="1761">
        <v>138.83161136000064</v>
      </c>
      <c r="D17" s="1761">
        <v>166.05437092823649</v>
      </c>
      <c r="E17" s="1761">
        <v>184.09390129199969</v>
      </c>
      <c r="F17" s="1761">
        <v>214.51573574299965</v>
      </c>
      <c r="G17" s="1761">
        <v>152.83371287038995</v>
      </c>
      <c r="H17" s="1761">
        <v>183.68492711000061</v>
      </c>
      <c r="I17" s="1761">
        <v>97.722879887501534</v>
      </c>
      <c r="J17" s="1761">
        <v>78.951812543999964</v>
      </c>
      <c r="K17" s="1761">
        <v>106.59191788399994</v>
      </c>
      <c r="L17" s="1761">
        <v>129.06181087241649</v>
      </c>
      <c r="M17" s="1761">
        <v>138.63510564942897</v>
      </c>
      <c r="N17" s="1761">
        <v>174.03551509249951</v>
      </c>
      <c r="O17" s="1761">
        <v>138.81410591500051</v>
      </c>
      <c r="P17" s="1761">
        <v>166.94650340549961</v>
      </c>
      <c r="Q17" s="1761">
        <v>202.46809445749884</v>
      </c>
      <c r="R17" s="1761">
        <v>238.49052996700198</v>
      </c>
      <c r="S17" s="1761">
        <v>168.69020238549959</v>
      </c>
      <c r="T17" s="1761">
        <v>195.02616721850077</v>
      </c>
      <c r="U17" s="1761">
        <v>92.981908756502534</v>
      </c>
      <c r="V17" s="1761">
        <v>80.497340199501778</v>
      </c>
      <c r="W17" s="1761">
        <v>110.35300234900004</v>
      </c>
      <c r="X17" s="1761">
        <v>132.31135786501284</v>
      </c>
      <c r="Y17" s="1761">
        <v>154.90767153200554</v>
      </c>
      <c r="Z17" s="1761">
        <v>191.2673920019993</v>
      </c>
      <c r="AA17" s="1761">
        <v>134.18046513999943</v>
      </c>
      <c r="AB17" s="1761">
        <v>169.56187140749978</v>
      </c>
      <c r="AC17" s="1761">
        <v>204.00408966017156</v>
      </c>
      <c r="AD17" s="1761">
        <v>162.03582013999878</v>
      </c>
      <c r="AE17" s="1761">
        <v>181.02625737277651</v>
      </c>
      <c r="AF17" s="1761">
        <v>169.9038893095867</v>
      </c>
      <c r="AG17" s="1761">
        <v>186.86123331597574</v>
      </c>
      <c r="AH17" s="1761">
        <v>90.006159540000084</v>
      </c>
      <c r="AI17" s="1761">
        <v>102.00333708000016</v>
      </c>
      <c r="AJ17" s="1761">
        <v>150.19311207821463</v>
      </c>
      <c r="AK17" s="1761">
        <v>-216.06557044155002</v>
      </c>
      <c r="AL17" s="1761">
        <v>209.65880384789824</v>
      </c>
      <c r="AM17" s="1761">
        <v>150.29535886365224</v>
      </c>
      <c r="AN17" s="1761">
        <v>158.84471261826491</v>
      </c>
      <c r="AO17" s="1761">
        <v>194.65759772665669</v>
      </c>
      <c r="AP17" s="1761">
        <v>239.42893458454776</v>
      </c>
      <c r="AQ17" s="1761">
        <v>172.04503190000008</v>
      </c>
      <c r="AR17" s="1761">
        <v>169.00169310994983</v>
      </c>
      <c r="AS17" s="1761">
        <v>85.847129245998914</v>
      </c>
      <c r="AT17" s="1761">
        <v>70.68240364646995</v>
      </c>
      <c r="AU17" s="1761">
        <v>107.70849731405603</v>
      </c>
      <c r="AV17" s="1761">
        <v>134.06343513600004</v>
      </c>
      <c r="AW17" s="1761">
        <v>139.82272541743328</v>
      </c>
      <c r="AX17" s="1740">
        <v>165.65544617525006</v>
      </c>
      <c r="AY17" s="1740">
        <v>106.80229341558814</v>
      </c>
      <c r="AZ17" s="1740">
        <v>138.557794619622</v>
      </c>
      <c r="BA17" s="1740">
        <v>170.65712077381801</v>
      </c>
      <c r="BB17" s="1740">
        <v>202.02155803649973</v>
      </c>
      <c r="BC17" s="1740">
        <v>185.60365223580055</v>
      </c>
      <c r="BD17" s="1740">
        <v>213.32282774911232</v>
      </c>
      <c r="BE17" s="1740">
        <v>76.283308970000022</v>
      </c>
      <c r="BF17" s="1741">
        <v>110.54931157376718</v>
      </c>
      <c r="BG17" s="1741">
        <v>167.09030305206204</v>
      </c>
      <c r="BH17" s="1741">
        <v>164.47564709906888</v>
      </c>
      <c r="BI17" s="1741">
        <v>194.79945758999634</v>
      </c>
      <c r="BJ17" s="1741">
        <v>209.29435350919366</v>
      </c>
      <c r="BK17" s="1741">
        <v>248.62936686845492</v>
      </c>
      <c r="BL17" s="1741">
        <v>280.82475814068653</v>
      </c>
      <c r="BM17" s="1741">
        <v>291.21956197858856</v>
      </c>
      <c r="BN17" s="1741">
        <v>252.50854629277066</v>
      </c>
      <c r="BO17" s="1741">
        <v>283.36200757933454</v>
      </c>
      <c r="BP17" s="1741">
        <v>128.7036083100102</v>
      </c>
      <c r="BQ17" s="1741">
        <v>150.70864823000281</v>
      </c>
      <c r="BR17" s="1741">
        <v>180.80212667599844</v>
      </c>
      <c r="BS17" s="1741">
        <v>116.48133193643523</v>
      </c>
      <c r="BT17" s="1741">
        <v>137.1555063735546</v>
      </c>
      <c r="BU17" s="1741">
        <v>171.93324952029562</v>
      </c>
      <c r="BV17" s="1741">
        <v>208.82559758646107</v>
      </c>
      <c r="BW17" s="1741">
        <v>241.33477175041176</v>
      </c>
      <c r="BX17" s="1741">
        <v>268.03565540246035</v>
      </c>
      <c r="BY17" s="1742">
        <v>302.25995946770337</v>
      </c>
      <c r="BZ17" s="1743">
        <v>279.87000616121685</v>
      </c>
      <c r="CA17" s="1743">
        <v>312.43621396634239</v>
      </c>
      <c r="CB17" s="1743">
        <v>290.55729616229615</v>
      </c>
      <c r="CC17" s="1743">
        <v>328.83564994999995</v>
      </c>
      <c r="CD17" s="1743">
        <v>112.24536213999998</v>
      </c>
      <c r="CE17" s="1743">
        <v>-47.166363429999947</v>
      </c>
      <c r="CF17" s="1743">
        <v>-27.400076799999951</v>
      </c>
      <c r="CG17" s="1743">
        <v>14.091280479999901</v>
      </c>
      <c r="CH17" s="1743">
        <v>56.337394970000027</v>
      </c>
      <c r="CI17" s="1743">
        <v>95.774723420000072</v>
      </c>
      <c r="CJ17" s="1743">
        <v>127.6425096400001</v>
      </c>
      <c r="CK17" s="1743">
        <v>187.27607280000018</v>
      </c>
      <c r="CL17" s="1743">
        <v>111.43825767999982</v>
      </c>
      <c r="CM17" s="1743">
        <v>-154.39618263999986</v>
      </c>
      <c r="CN17" s="1743">
        <v>188.46717269000004</v>
      </c>
      <c r="CO17" s="1744">
        <v>197.17778993999988</v>
      </c>
      <c r="CP17" s="1744">
        <v>142.02343580000007</v>
      </c>
      <c r="CQ17" s="1744">
        <v>181.30471326000011</v>
      </c>
      <c r="CR17" s="1744">
        <v>244.12778694999992</v>
      </c>
      <c r="CS17" s="1744">
        <v>100.17190537</v>
      </c>
      <c r="CT17" s="1744">
        <v>109.33319537999988</v>
      </c>
      <c r="CU17" s="1744">
        <v>106.17590707999993</v>
      </c>
      <c r="CV17" s="1744">
        <v>105.82817207999993</v>
      </c>
      <c r="CW17" s="1744">
        <v>106.61301096000004</v>
      </c>
      <c r="CX17" s="1744">
        <v>79.683708969999998</v>
      </c>
      <c r="CY17" s="1744">
        <v>107.73703015000001</v>
      </c>
      <c r="CZ17" s="1744">
        <v>37.959577990000007</v>
      </c>
      <c r="DA17" s="1744">
        <v>67.458603179999955</v>
      </c>
      <c r="DB17" s="1744">
        <v>71.227789820000055</v>
      </c>
      <c r="DC17" s="1744">
        <v>78.154069740000011</v>
      </c>
      <c r="DD17" s="1744">
        <v>99.880736480000024</v>
      </c>
      <c r="DE17" s="1744">
        <v>115.45730788000012</v>
      </c>
      <c r="DF17" s="1744">
        <v>108.49021367999983</v>
      </c>
      <c r="DG17" s="1744">
        <v>125.38755776999975</v>
      </c>
      <c r="DH17" s="1744">
        <v>139.48289299999999</v>
      </c>
      <c r="DI17" s="1744">
        <v>156.57536396000003</v>
      </c>
    </row>
    <row r="18" spans="1:113" ht="16.5" x14ac:dyDescent="0.3">
      <c r="A18" s="1737" t="s">
        <v>3494</v>
      </c>
      <c r="B18" s="1760">
        <v>14673.987694020007</v>
      </c>
      <c r="C18" s="1761">
        <v>15022.280191680002</v>
      </c>
      <c r="D18" s="1761">
        <v>14950.51709168</v>
      </c>
      <c r="E18" s="1761">
        <v>12226.293971069999</v>
      </c>
      <c r="F18" s="1761">
        <v>11892.032891719997</v>
      </c>
      <c r="G18" s="1761">
        <v>12056.502985439998</v>
      </c>
      <c r="H18" s="1761">
        <v>12136.8419505</v>
      </c>
      <c r="I18" s="1761">
        <v>12195.952606729999</v>
      </c>
      <c r="J18" s="1761">
        <v>12297.28802287</v>
      </c>
      <c r="K18" s="1761">
        <v>12244.178058209996</v>
      </c>
      <c r="L18" s="1761">
        <v>12481.682409219993</v>
      </c>
      <c r="M18" s="1761">
        <v>12805.170594069996</v>
      </c>
      <c r="N18" s="1761">
        <v>12881.226528809995</v>
      </c>
      <c r="O18" s="1761">
        <v>13034.154719470002</v>
      </c>
      <c r="P18" s="1761">
        <v>12777.125437519997</v>
      </c>
      <c r="Q18" s="1761">
        <v>12855.538266410002</v>
      </c>
      <c r="R18" s="1761">
        <v>12936.980305380001</v>
      </c>
      <c r="S18" s="1761">
        <v>12753.110069369999</v>
      </c>
      <c r="T18" s="1761">
        <v>12769.440596630004</v>
      </c>
      <c r="U18" s="1761">
        <v>12859.20819573</v>
      </c>
      <c r="V18" s="1761">
        <v>12841.551802059997</v>
      </c>
      <c r="W18" s="1761">
        <v>12847.820847959993</v>
      </c>
      <c r="X18" s="1761">
        <v>12681.677415169997</v>
      </c>
      <c r="Y18" s="1761">
        <v>12598.589176169999</v>
      </c>
      <c r="Z18" s="1761">
        <v>12606.652558670003</v>
      </c>
      <c r="AA18" s="1761">
        <v>12516.867773700002</v>
      </c>
      <c r="AB18" s="1761">
        <v>12728.165184020003</v>
      </c>
      <c r="AC18" s="1761">
        <v>12619.011896249995</v>
      </c>
      <c r="AD18" s="1761">
        <v>12670.801787809994</v>
      </c>
      <c r="AE18" s="1761">
        <v>12746.752611029999</v>
      </c>
      <c r="AF18" s="1761">
        <v>12640.080890633646</v>
      </c>
      <c r="AG18" s="1761">
        <v>12886.816174719101</v>
      </c>
      <c r="AH18" s="1761">
        <v>12980.330780480786</v>
      </c>
      <c r="AI18" s="1761">
        <v>12986.737583169997</v>
      </c>
      <c r="AJ18" s="1761">
        <v>13046.342853210004</v>
      </c>
      <c r="AK18" s="1761">
        <v>12912.732273344805</v>
      </c>
      <c r="AL18" s="1761">
        <v>12792.471171226414</v>
      </c>
      <c r="AM18" s="1761">
        <v>12875.36210425326</v>
      </c>
      <c r="AN18" s="1761">
        <v>13219.451940166635</v>
      </c>
      <c r="AO18" s="1761">
        <v>13105.709520297352</v>
      </c>
      <c r="AP18" s="1761">
        <v>13265.866946603664</v>
      </c>
      <c r="AQ18" s="1761">
        <v>13048.951064894271</v>
      </c>
      <c r="AR18" s="1761">
        <v>12982.570250911642</v>
      </c>
      <c r="AS18" s="1761">
        <v>13009.324764056431</v>
      </c>
      <c r="AT18" s="1761">
        <v>13221.405926468185</v>
      </c>
      <c r="AU18" s="1761">
        <v>13242.494205370045</v>
      </c>
      <c r="AV18" s="1761">
        <v>13263.809498084305</v>
      </c>
      <c r="AW18" s="1761">
        <v>13256.534100927116</v>
      </c>
      <c r="AX18" s="1740">
        <v>13256.360152814792</v>
      </c>
      <c r="AY18" s="1740">
        <v>13288.908411514871</v>
      </c>
      <c r="AZ18" s="1740">
        <v>16875.40673020258</v>
      </c>
      <c r="BA18" s="1740">
        <v>16765.248431349995</v>
      </c>
      <c r="BB18" s="1740">
        <v>17137.679123249982</v>
      </c>
      <c r="BC18" s="1740">
        <v>17376.099993186908</v>
      </c>
      <c r="BD18" s="1740">
        <v>17428.407302862764</v>
      </c>
      <c r="BE18" s="1740">
        <v>17738.381566440814</v>
      </c>
      <c r="BF18" s="1741">
        <v>17946.484293900001</v>
      </c>
      <c r="BG18" s="1741">
        <v>18285.0117527652</v>
      </c>
      <c r="BH18" s="1741">
        <v>18783.867083362984</v>
      </c>
      <c r="BI18" s="1741">
        <v>18611.171095912996</v>
      </c>
      <c r="BJ18" s="1741">
        <v>18739.13105871269</v>
      </c>
      <c r="BK18" s="1741">
        <v>18979.902545366847</v>
      </c>
      <c r="BL18" s="1741">
        <v>19422.48212747624</v>
      </c>
      <c r="BM18" s="1741">
        <v>19255.956116455152</v>
      </c>
      <c r="BN18" s="1741">
        <v>19478.635069266849</v>
      </c>
      <c r="BO18" s="1741">
        <v>19654.114805928912</v>
      </c>
      <c r="BP18" s="1741">
        <v>19720.579716469994</v>
      </c>
      <c r="BQ18" s="1741">
        <v>19595.554687976426</v>
      </c>
      <c r="BR18" s="1741">
        <v>19595.345502093642</v>
      </c>
      <c r="BS18" s="1741">
        <v>19698.614263014544</v>
      </c>
      <c r="BT18" s="1741">
        <v>20097.099789499138</v>
      </c>
      <c r="BU18" s="1741">
        <v>20015.516292392971</v>
      </c>
      <c r="BV18" s="1741">
        <v>20067.93109543555</v>
      </c>
      <c r="BW18" s="1741">
        <v>19791.407510068606</v>
      </c>
      <c r="BX18" s="1741">
        <v>19737.624061193732</v>
      </c>
      <c r="BY18" s="1742">
        <v>19616.509121218231</v>
      </c>
      <c r="BZ18" s="1743">
        <v>19714.675410455322</v>
      </c>
      <c r="CA18" s="1743">
        <v>19501.64549568266</v>
      </c>
      <c r="CB18" s="1743">
        <v>18986.31109443316</v>
      </c>
      <c r="CC18" s="1743">
        <v>18134.248618940008</v>
      </c>
      <c r="CD18" s="1743">
        <v>18069.70585432</v>
      </c>
      <c r="CE18" s="1743">
        <v>18233.509130710005</v>
      </c>
      <c r="CF18" s="1743">
        <v>18005.402947099996</v>
      </c>
      <c r="CG18" s="1743">
        <v>17996.918063909998</v>
      </c>
      <c r="CH18" s="1743">
        <v>18539.59464512</v>
      </c>
      <c r="CI18" s="1743">
        <v>19934.907353239996</v>
      </c>
      <c r="CJ18" s="1743">
        <v>17377.186205500006</v>
      </c>
      <c r="CK18" s="1743">
        <v>18068.048031860002</v>
      </c>
      <c r="CL18" s="1743">
        <v>18628.192461040002</v>
      </c>
      <c r="CM18" s="1743">
        <v>18191.71929325</v>
      </c>
      <c r="CN18" s="1743">
        <v>18196.297847480004</v>
      </c>
      <c r="CO18" s="1744">
        <v>17754.194019840004</v>
      </c>
      <c r="CP18" s="1744">
        <v>17442.81957163</v>
      </c>
      <c r="CQ18" s="1744">
        <v>17112.736399590001</v>
      </c>
      <c r="CR18" s="1744">
        <v>17392.291893730002</v>
      </c>
      <c r="CS18" s="1744">
        <v>10472.794021310001</v>
      </c>
      <c r="CT18" s="1744">
        <v>10571.531087239993</v>
      </c>
      <c r="CU18" s="1744">
        <v>10402.904414350001</v>
      </c>
      <c r="CV18" s="1744">
        <v>10320.10921373</v>
      </c>
      <c r="CW18" s="1744">
        <v>10310.399606170002</v>
      </c>
      <c r="CX18" s="1744">
        <v>10114.099764160008</v>
      </c>
      <c r="CY18" s="1744">
        <v>10028.465335939994</v>
      </c>
      <c r="CZ18" s="1744">
        <v>10052.468762219998</v>
      </c>
      <c r="DA18" s="1744">
        <v>9988.6774175499995</v>
      </c>
      <c r="DB18" s="1744">
        <v>10108.67275184</v>
      </c>
      <c r="DC18" s="1744">
        <v>9505.9741238099941</v>
      </c>
      <c r="DD18" s="1744">
        <v>9507.5303157099952</v>
      </c>
      <c r="DE18" s="1744">
        <v>9538.6086657800097</v>
      </c>
      <c r="DF18" s="1744">
        <v>9399.0016920499984</v>
      </c>
      <c r="DG18" s="1744">
        <v>9590.4538876200022</v>
      </c>
      <c r="DH18" s="1744">
        <v>9578.1975383799982</v>
      </c>
      <c r="DI18" s="1744">
        <v>9458.932866060004</v>
      </c>
    </row>
    <row r="19" spans="1:113" ht="16.5" x14ac:dyDescent="0.3">
      <c r="A19" s="1764" t="s">
        <v>3495</v>
      </c>
      <c r="B19" s="1765">
        <v>14551.555964250007</v>
      </c>
      <c r="C19" s="1766">
        <v>14902.643488680002</v>
      </c>
      <c r="D19" s="1766">
        <v>14831.144394680001</v>
      </c>
      <c r="E19" s="1766">
        <v>12109.832539069999</v>
      </c>
      <c r="F19" s="1766">
        <v>11778.019082239998</v>
      </c>
      <c r="G19" s="1766">
        <v>11949.233858439999</v>
      </c>
      <c r="H19" s="1766">
        <v>12026.675456499999</v>
      </c>
      <c r="I19" s="1766">
        <v>12076.429211659999</v>
      </c>
      <c r="J19" s="1766">
        <v>12177.216458729999</v>
      </c>
      <c r="K19" s="1766">
        <v>12127.075089559998</v>
      </c>
      <c r="L19" s="1766">
        <v>12370.895662509995</v>
      </c>
      <c r="M19" s="1766">
        <v>12696.615796389995</v>
      </c>
      <c r="N19" s="1766">
        <v>12774.912824429997</v>
      </c>
      <c r="O19" s="1766">
        <v>12930.049730080002</v>
      </c>
      <c r="P19" s="1766">
        <v>12675.321549519997</v>
      </c>
      <c r="Q19" s="1766">
        <v>12755.96350263</v>
      </c>
      <c r="R19" s="1766">
        <v>12794.52027936</v>
      </c>
      <c r="S19" s="1766">
        <v>12588.450738419999</v>
      </c>
      <c r="T19" s="1766">
        <v>12593.328752050003</v>
      </c>
      <c r="U19" s="1766">
        <v>12687.318257049999</v>
      </c>
      <c r="V19" s="1766">
        <v>12673.612646059997</v>
      </c>
      <c r="W19" s="1766">
        <v>12678.074341059993</v>
      </c>
      <c r="X19" s="1766">
        <v>12495.064819719997</v>
      </c>
      <c r="Y19" s="1766">
        <v>12416.832218329999</v>
      </c>
      <c r="Z19" s="1766">
        <v>12416.327303240001</v>
      </c>
      <c r="AA19" s="1766">
        <v>12398.51194604</v>
      </c>
      <c r="AB19" s="1766">
        <v>12612.756203890003</v>
      </c>
      <c r="AC19" s="1766">
        <v>12506.284809149995</v>
      </c>
      <c r="AD19" s="1766">
        <v>12560.846690849994</v>
      </c>
      <c r="AE19" s="1766">
        <v>12619.01920137</v>
      </c>
      <c r="AF19" s="1766">
        <v>12515.133505893646</v>
      </c>
      <c r="AG19" s="1766">
        <v>12762.893653859101</v>
      </c>
      <c r="AH19" s="1766">
        <v>12856.408259620786</v>
      </c>
      <c r="AI19" s="1766">
        <v>12846.057671599998</v>
      </c>
      <c r="AJ19" s="1766">
        <v>12898.127239020005</v>
      </c>
      <c r="AK19" s="1766">
        <v>12775.631758314805</v>
      </c>
      <c r="AL19" s="1766">
        <v>12655.370656226414</v>
      </c>
      <c r="AM19" s="1766">
        <v>12738.261589223259</v>
      </c>
      <c r="AN19" s="1766">
        <v>13043.080241426636</v>
      </c>
      <c r="AO19" s="1766">
        <v>12932.628574297352</v>
      </c>
      <c r="AP19" s="1766">
        <v>13100.456734923664</v>
      </c>
      <c r="AQ19" s="1761">
        <v>12861.953987354271</v>
      </c>
      <c r="AR19" s="1761">
        <v>12802.991847871643</v>
      </c>
      <c r="AS19" s="1761">
        <v>12833.000492556432</v>
      </c>
      <c r="AT19" s="1761">
        <v>13047.897504268185</v>
      </c>
      <c r="AU19" s="1761">
        <v>13076.869333600045</v>
      </c>
      <c r="AV19" s="1766">
        <v>13101.419448314304</v>
      </c>
      <c r="AW19" s="1766">
        <v>13095.686274477115</v>
      </c>
      <c r="AX19" s="1767">
        <v>13103.118408104794</v>
      </c>
      <c r="AY19" s="1767">
        <v>13138.767070704873</v>
      </c>
      <c r="AZ19" s="1767">
        <v>13196.305067102581</v>
      </c>
      <c r="BA19" s="1767">
        <v>13080.319003549996</v>
      </c>
      <c r="BB19" s="1767">
        <v>13466.830935869984</v>
      </c>
      <c r="BC19" s="1767">
        <v>13642.682349716908</v>
      </c>
      <c r="BD19" s="1767">
        <v>13753.828811512767</v>
      </c>
      <c r="BE19" s="1767">
        <v>13796.306534330814</v>
      </c>
      <c r="BF19" s="1768">
        <v>13970.039204050003</v>
      </c>
      <c r="BG19" s="1768">
        <v>14043.5684854552</v>
      </c>
      <c r="BH19" s="1768">
        <v>14093.767107802982</v>
      </c>
      <c r="BI19" s="1768">
        <v>14063.318879082992</v>
      </c>
      <c r="BJ19" s="1768">
        <v>14080.719229781658</v>
      </c>
      <c r="BK19" s="1768">
        <v>14267.990155636848</v>
      </c>
      <c r="BL19" s="1768">
        <v>14401.093353559501</v>
      </c>
      <c r="BM19" s="1768">
        <v>14153.43733946051</v>
      </c>
      <c r="BN19" s="1768">
        <v>14361.434246488636</v>
      </c>
      <c r="BO19" s="1768">
        <v>14493.219530117947</v>
      </c>
      <c r="BP19" s="1768">
        <v>14508.222435969994</v>
      </c>
      <c r="BQ19" s="1768">
        <v>14492.574901636444</v>
      </c>
      <c r="BR19" s="1768">
        <v>14480.520392113644</v>
      </c>
      <c r="BS19" s="1768">
        <v>14603.007379394547</v>
      </c>
      <c r="BT19" s="1768">
        <v>14622.110016742759</v>
      </c>
      <c r="BU19" s="1768">
        <v>14647.56082974289</v>
      </c>
      <c r="BV19" s="1768">
        <v>14524.018021467758</v>
      </c>
      <c r="BW19" s="1768">
        <v>14293.914609431813</v>
      </c>
      <c r="BX19" s="1768">
        <v>14104.649268106255</v>
      </c>
      <c r="BY19" s="1769">
        <v>13914.33140980873</v>
      </c>
      <c r="BZ19" s="1770">
        <v>13655.45052684982</v>
      </c>
      <c r="CA19" s="1770">
        <v>13570.384336272658</v>
      </c>
      <c r="CB19" s="1770">
        <v>13315.642535143157</v>
      </c>
      <c r="CC19" s="1770">
        <v>13540.276955940006</v>
      </c>
      <c r="CD19" s="1770">
        <v>13497.6459593</v>
      </c>
      <c r="CE19" s="1770">
        <v>13439.656781300004</v>
      </c>
      <c r="CF19" s="1770">
        <v>13496.106846619996</v>
      </c>
      <c r="CG19" s="1770">
        <v>13232.221416189996</v>
      </c>
      <c r="CH19" s="1770">
        <v>13087.630669079997</v>
      </c>
      <c r="CI19" s="1770">
        <v>12884.829017889999</v>
      </c>
      <c r="CJ19" s="1770">
        <v>10057.531552380005</v>
      </c>
      <c r="CK19" s="1770">
        <v>10049.96511714</v>
      </c>
      <c r="CL19" s="1770">
        <v>10230.350620600002</v>
      </c>
      <c r="CM19" s="1770">
        <v>10236.641656669999</v>
      </c>
      <c r="CN19" s="1770">
        <v>10208.519348650001</v>
      </c>
      <c r="CO19" s="1771">
        <v>10233.664571470004</v>
      </c>
      <c r="CP19" s="1771">
        <v>10312.852694499999</v>
      </c>
      <c r="CQ19" s="1771">
        <v>10311.262601639999</v>
      </c>
      <c r="CR19" s="1771">
        <v>10402.329297860004</v>
      </c>
      <c r="CS19" s="1771">
        <v>10472.794021310001</v>
      </c>
      <c r="CT19" s="1771">
        <v>10571.531087239993</v>
      </c>
      <c r="CU19" s="1771">
        <v>10402.904414350001</v>
      </c>
      <c r="CV19" s="1771">
        <v>10319.49421373</v>
      </c>
      <c r="CW19" s="1771">
        <v>10309.784606170002</v>
      </c>
      <c r="CX19" s="1771">
        <v>10114.099764160008</v>
      </c>
      <c r="CY19" s="1771">
        <v>10028.465335939994</v>
      </c>
      <c r="CZ19" s="1771">
        <v>10052.468762219998</v>
      </c>
      <c r="DA19" s="1771">
        <v>9988.6774175499995</v>
      </c>
      <c r="DB19" s="1771">
        <v>10057.25084864</v>
      </c>
      <c r="DC19" s="1771">
        <v>9505.9741238099941</v>
      </c>
      <c r="DD19" s="1771">
        <v>9507.5303157099952</v>
      </c>
      <c r="DE19" s="1771">
        <v>9538.6086657800097</v>
      </c>
      <c r="DF19" s="1771">
        <v>9399.0016920499984</v>
      </c>
      <c r="DG19" s="1771">
        <v>9505.0825623900037</v>
      </c>
      <c r="DH19" s="1771">
        <v>9489.4891785899963</v>
      </c>
      <c r="DI19" s="1771">
        <v>9360.5100836600031</v>
      </c>
    </row>
    <row r="20" spans="1:113" ht="16.5" x14ac:dyDescent="0.3">
      <c r="A20" s="1737" t="s">
        <v>3496</v>
      </c>
      <c r="B20" s="1760">
        <v>1816.2484834300003</v>
      </c>
      <c r="C20" s="1761">
        <v>1871.3934472400003</v>
      </c>
      <c r="D20" s="1761">
        <v>1823.9683416599994</v>
      </c>
      <c r="E20" s="1761">
        <v>1415.7926568399998</v>
      </c>
      <c r="F20" s="1761">
        <v>1740.0558439700003</v>
      </c>
      <c r="G20" s="1761">
        <v>1573.7345048299999</v>
      </c>
      <c r="H20" s="1761">
        <v>1401.1215261600003</v>
      </c>
      <c r="I20" s="1761">
        <v>1583.2044379400002</v>
      </c>
      <c r="J20" s="1761">
        <v>1385.15929467</v>
      </c>
      <c r="K20" s="1761">
        <v>1459.4611832399996</v>
      </c>
      <c r="L20" s="1761">
        <v>1770.0614025900002</v>
      </c>
      <c r="M20" s="1761">
        <v>1850.4168175099996</v>
      </c>
      <c r="N20" s="1761">
        <v>1810.5282499099999</v>
      </c>
      <c r="O20" s="1761">
        <v>1949.0623081799997</v>
      </c>
      <c r="P20" s="1761">
        <v>1804.3358888600001</v>
      </c>
      <c r="Q20" s="1761">
        <v>1640.3018918900004</v>
      </c>
      <c r="R20" s="1761">
        <v>1865.9683750199999</v>
      </c>
      <c r="S20" s="1761">
        <v>1545.2656388999997</v>
      </c>
      <c r="T20" s="1761">
        <v>1910.7907514600001</v>
      </c>
      <c r="U20" s="1761">
        <v>2070.54935471</v>
      </c>
      <c r="V20" s="1761">
        <v>2120.6724401199999</v>
      </c>
      <c r="W20" s="1761">
        <v>2192.7014391800003</v>
      </c>
      <c r="X20" s="1761">
        <v>2396.9668014700001</v>
      </c>
      <c r="Y20" s="1761">
        <v>2595.5052623199995</v>
      </c>
      <c r="Z20" s="1761">
        <v>2580.2813334799998</v>
      </c>
      <c r="AA20" s="1761">
        <v>2899.7717887999997</v>
      </c>
      <c r="AB20" s="1761">
        <v>2793.1222935299993</v>
      </c>
      <c r="AC20" s="1761">
        <v>2960.8303499099993</v>
      </c>
      <c r="AD20" s="1761">
        <v>3078.3956087700003</v>
      </c>
      <c r="AE20" s="1761">
        <v>3025.6830691499995</v>
      </c>
      <c r="AF20" s="1761">
        <v>3254.0411064189998</v>
      </c>
      <c r="AG20" s="1761">
        <v>3301.8126503000003</v>
      </c>
      <c r="AH20" s="1761">
        <v>3477.2955768400002</v>
      </c>
      <c r="AI20" s="1761">
        <v>3575.1337587800008</v>
      </c>
      <c r="AJ20" s="1761">
        <v>3625.4098094999999</v>
      </c>
      <c r="AK20" s="1761">
        <v>3451.3163360500002</v>
      </c>
      <c r="AL20" s="1761">
        <v>4002.4317127300001</v>
      </c>
      <c r="AM20" s="1761">
        <v>4099.3227502899999</v>
      </c>
      <c r="AN20" s="1761">
        <v>3668.6098897894985</v>
      </c>
      <c r="AO20" s="1761">
        <v>3559.3600213699997</v>
      </c>
      <c r="AP20" s="1761">
        <v>3687.7407699099999</v>
      </c>
      <c r="AQ20" s="1761">
        <v>3517.0215815446663</v>
      </c>
      <c r="AR20" s="1761">
        <v>3661.6867347200005</v>
      </c>
      <c r="AS20" s="1761">
        <v>4000.0865004936004</v>
      </c>
      <c r="AT20" s="1761">
        <v>3541.0446523508986</v>
      </c>
      <c r="AU20" s="1761">
        <v>3606.1145415144665</v>
      </c>
      <c r="AV20" s="1761">
        <v>3835.5236469627248</v>
      </c>
      <c r="AW20" s="1761">
        <v>4389.8431062571372</v>
      </c>
      <c r="AX20" s="1740">
        <v>4365.9022720600005</v>
      </c>
      <c r="AY20" s="1740">
        <v>4434.2311773900001</v>
      </c>
      <c r="AZ20" s="1740">
        <v>1023.4398458400002</v>
      </c>
      <c r="BA20" s="1740">
        <v>974.06662237</v>
      </c>
      <c r="BB20" s="1740">
        <v>933.80490799000006</v>
      </c>
      <c r="BC20" s="1740">
        <v>946.5549568199998</v>
      </c>
      <c r="BD20" s="1740">
        <v>942.84598686999993</v>
      </c>
      <c r="BE20" s="1740">
        <v>803.54577884999992</v>
      </c>
      <c r="BF20" s="1741">
        <v>847.59292643000026</v>
      </c>
      <c r="BG20" s="1741">
        <v>843.35158961000013</v>
      </c>
      <c r="BH20" s="1741">
        <v>869.21577429999991</v>
      </c>
      <c r="BI20" s="1741">
        <v>928.78164730000015</v>
      </c>
      <c r="BJ20" s="1741">
        <v>805.91581670999994</v>
      </c>
      <c r="BK20" s="1741">
        <v>772.23062445999994</v>
      </c>
      <c r="BL20" s="1741">
        <v>232.99213406999993</v>
      </c>
      <c r="BM20" s="1741">
        <v>351.58679354000009</v>
      </c>
      <c r="BN20" s="1741">
        <v>124.15683064000005</v>
      </c>
      <c r="BO20" s="1741">
        <v>114.48455827000009</v>
      </c>
      <c r="BP20" s="1741">
        <v>174.86522035000007</v>
      </c>
      <c r="BQ20" s="1741">
        <v>247.86141871999985</v>
      </c>
      <c r="BR20" s="1741">
        <v>85.678532419999954</v>
      </c>
      <c r="BS20" s="1741">
        <v>225.11379834999997</v>
      </c>
      <c r="BT20" s="1741">
        <v>183.21921305000001</v>
      </c>
      <c r="BU20" s="1741">
        <v>160.13195795999991</v>
      </c>
      <c r="BV20" s="1741">
        <v>60.235424429999945</v>
      </c>
      <c r="BW20" s="1741">
        <v>214.33766721000001</v>
      </c>
      <c r="BX20" s="1741">
        <v>55.77295925</v>
      </c>
      <c r="BY20" s="1742">
        <v>181.95448250999999</v>
      </c>
      <c r="BZ20" s="1743">
        <v>52.407413439999999</v>
      </c>
      <c r="CA20" s="1743">
        <v>0</v>
      </c>
      <c r="CB20" s="1743">
        <v>465.06986664000004</v>
      </c>
      <c r="CC20" s="1743">
        <v>295.25656327000047</v>
      </c>
      <c r="CD20" s="1743">
        <v>323.15296814999959</v>
      </c>
      <c r="CE20" s="1743">
        <v>416.67540065999987</v>
      </c>
      <c r="CF20" s="1743">
        <v>400.23098097000025</v>
      </c>
      <c r="CG20" s="1743">
        <v>307.44968061999987</v>
      </c>
      <c r="CH20" s="1743">
        <v>303.98506186999987</v>
      </c>
      <c r="CI20" s="1743">
        <v>800.43821095999817</v>
      </c>
      <c r="CJ20" s="1743">
        <v>912.24071331000039</v>
      </c>
      <c r="CK20" s="1743">
        <v>937.28445207000061</v>
      </c>
      <c r="CL20" s="1743">
        <v>897.94564272999855</v>
      </c>
      <c r="CM20" s="1743">
        <v>910.73430867000195</v>
      </c>
      <c r="CN20" s="1743">
        <v>901.81463099999996</v>
      </c>
      <c r="CO20" s="1744">
        <v>893.1705803699989</v>
      </c>
      <c r="CP20" s="1744">
        <v>853.27631388000009</v>
      </c>
      <c r="CQ20" s="1744">
        <v>694.74676272999955</v>
      </c>
      <c r="CR20" s="1744">
        <v>27.976828530000688</v>
      </c>
      <c r="CS20" s="1744">
        <v>78.435644409999966</v>
      </c>
      <c r="CT20" s="1744">
        <v>77.000799870000009</v>
      </c>
      <c r="CU20" s="1744">
        <v>76.893432389999987</v>
      </c>
      <c r="CV20" s="1744">
        <v>48.992732360000012</v>
      </c>
      <c r="CW20" s="1744">
        <v>45.820342389999986</v>
      </c>
      <c r="CX20" s="1744">
        <v>44.174074910000087</v>
      </c>
      <c r="CY20" s="1744">
        <v>41.597661110000011</v>
      </c>
      <c r="CZ20" s="1744">
        <v>38.388861030000093</v>
      </c>
      <c r="DA20" s="1744">
        <v>41.387002429999946</v>
      </c>
      <c r="DB20" s="1744">
        <v>35.899933120000007</v>
      </c>
      <c r="DC20" s="1744">
        <v>166.37858211000002</v>
      </c>
      <c r="DD20" s="1744">
        <v>155.11149161999995</v>
      </c>
      <c r="DE20" s="1744">
        <v>139.53297325000005</v>
      </c>
      <c r="DF20" s="1744">
        <v>167.46980770999997</v>
      </c>
      <c r="DG20" s="1744">
        <v>162.15675029000002</v>
      </c>
      <c r="DH20" s="1744">
        <v>31.170513950000046</v>
      </c>
      <c r="DI20" s="1744">
        <v>129.56919865000003</v>
      </c>
    </row>
    <row r="21" spans="1:113" ht="16.5" x14ac:dyDescent="0.3">
      <c r="A21" s="1737" t="s">
        <v>3497</v>
      </c>
      <c r="B21" s="1760">
        <v>1799.8046994554986</v>
      </c>
      <c r="C21" s="1761">
        <v>1864.2528078224993</v>
      </c>
      <c r="D21" s="1761">
        <v>1862.2082661299992</v>
      </c>
      <c r="E21" s="1761">
        <v>1692.4265391454996</v>
      </c>
      <c r="F21" s="1761">
        <v>1644.0326673576606</v>
      </c>
      <c r="G21" s="1761">
        <v>1693.4282335971793</v>
      </c>
      <c r="H21" s="1761">
        <v>1631.4195957471791</v>
      </c>
      <c r="I21" s="1761">
        <v>1687.3481527838196</v>
      </c>
      <c r="J21" s="1761">
        <v>1692.2598568708188</v>
      </c>
      <c r="K21" s="1761">
        <v>1793.6647095710955</v>
      </c>
      <c r="L21" s="1761">
        <v>1945.7059241178026</v>
      </c>
      <c r="M21" s="1761">
        <v>1583.2489452885827</v>
      </c>
      <c r="N21" s="1761">
        <v>1660.603190898051</v>
      </c>
      <c r="O21" s="1761">
        <v>1645.0158121701809</v>
      </c>
      <c r="P21" s="1761">
        <v>1652.0760039620964</v>
      </c>
      <c r="Q21" s="1761">
        <v>1744.851146639181</v>
      </c>
      <c r="R21" s="1761">
        <v>1818.4800479889018</v>
      </c>
      <c r="S21" s="1761">
        <v>1950.424325898819</v>
      </c>
      <c r="T21" s="1761">
        <v>2092.7155430588191</v>
      </c>
      <c r="U21" s="1761">
        <v>2064.1435028648857</v>
      </c>
      <c r="V21" s="1761">
        <v>1880.2096480220112</v>
      </c>
      <c r="W21" s="1761">
        <v>1926.9139964014933</v>
      </c>
      <c r="X21" s="1761">
        <v>2218.7168944220116</v>
      </c>
      <c r="Y21" s="1761">
        <v>1985.5904765195039</v>
      </c>
      <c r="Z21" s="1761">
        <v>1972.2507203140117</v>
      </c>
      <c r="AA21" s="1761">
        <v>1927.9445168920113</v>
      </c>
      <c r="AB21" s="1761">
        <v>1901.7674149797515</v>
      </c>
      <c r="AC21" s="1761">
        <v>1886.8805592166605</v>
      </c>
      <c r="AD21" s="1761">
        <v>1921.0224354300935</v>
      </c>
      <c r="AE21" s="1761">
        <v>1964.920014049894</v>
      </c>
      <c r="AF21" s="1761">
        <v>1994.0033608783267</v>
      </c>
      <c r="AG21" s="1761">
        <v>1984.4977902220121</v>
      </c>
      <c r="AH21" s="1761">
        <v>1914.8292231520109</v>
      </c>
      <c r="AI21" s="1761">
        <v>2139.14897036</v>
      </c>
      <c r="AJ21" s="1761">
        <v>2390.4111904900005</v>
      </c>
      <c r="AK21" s="1761">
        <v>3046.2996005074833</v>
      </c>
      <c r="AL21" s="1761">
        <v>1973.312739295822</v>
      </c>
      <c r="AM21" s="1761">
        <v>1987.5354303920108</v>
      </c>
      <c r="AN21" s="1761">
        <v>2022.1958714371826</v>
      </c>
      <c r="AO21" s="1761">
        <v>2204.9091645160111</v>
      </c>
      <c r="AP21" s="1761">
        <v>1995.6953669103707</v>
      </c>
      <c r="AQ21" s="1761">
        <v>1945.6640394770111</v>
      </c>
      <c r="AR21" s="1761">
        <v>2023.7281758620102</v>
      </c>
      <c r="AS21" s="1761">
        <v>2201.5689331232115</v>
      </c>
      <c r="AT21" s="1761">
        <v>2397.8126471387277</v>
      </c>
      <c r="AU21" s="1761">
        <v>2330.5848261245992</v>
      </c>
      <c r="AV21" s="1761">
        <v>2702.6119290699999</v>
      </c>
      <c r="AW21" s="1761">
        <v>2295.3275763679453</v>
      </c>
      <c r="AX21" s="1740">
        <v>2354.6965760959711</v>
      </c>
      <c r="AY21" s="1740">
        <v>2263.0156921693228</v>
      </c>
      <c r="AZ21" s="1740">
        <v>2254.747353292119</v>
      </c>
      <c r="BA21" s="1740">
        <v>2458.3396344982448</v>
      </c>
      <c r="BB21" s="1740">
        <v>2258.3750768500004</v>
      </c>
      <c r="BC21" s="1740">
        <v>2292.995968752999</v>
      </c>
      <c r="BD21" s="1740">
        <v>2096.8250312299992</v>
      </c>
      <c r="BE21" s="1740">
        <v>2301.4296075299999</v>
      </c>
      <c r="BF21" s="1741">
        <v>2349.1662012700003</v>
      </c>
      <c r="BG21" s="1741">
        <v>2856.9196301800002</v>
      </c>
      <c r="BH21" s="1741">
        <v>2335.5388014096661</v>
      </c>
      <c r="BI21" s="1741">
        <v>2239.5878153600679</v>
      </c>
      <c r="BJ21" s="1741">
        <v>2225.755809337013</v>
      </c>
      <c r="BK21" s="1741">
        <v>2232.1164126844119</v>
      </c>
      <c r="BL21" s="1741">
        <v>2468.823968792758</v>
      </c>
      <c r="BM21" s="1741">
        <v>2528.3813496002363</v>
      </c>
      <c r="BN21" s="1741">
        <v>2414.3012149571473</v>
      </c>
      <c r="BO21" s="1741">
        <v>2335.9307743360346</v>
      </c>
      <c r="BP21" s="1741">
        <v>2287.3041683760366</v>
      </c>
      <c r="BQ21" s="1741">
        <v>2322.2727170301641</v>
      </c>
      <c r="BR21" s="1741">
        <v>2447.0325683601636</v>
      </c>
      <c r="BS21" s="1741">
        <v>3081.7509952360351</v>
      </c>
      <c r="BT21" s="1741">
        <v>2615.8860403160361</v>
      </c>
      <c r="BU21" s="1741">
        <v>2537.6002708696424</v>
      </c>
      <c r="BV21" s="1741">
        <v>2408.5317776354759</v>
      </c>
      <c r="BW21" s="1741">
        <v>2373.4010716632329</v>
      </c>
      <c r="BX21" s="1741">
        <v>2542.4930889532357</v>
      </c>
      <c r="BY21" s="1742">
        <v>2483.4753081454041</v>
      </c>
      <c r="BZ21" s="1743">
        <v>2536.3399269157626</v>
      </c>
      <c r="CA21" s="1743">
        <v>2537.3343583177648</v>
      </c>
      <c r="CB21" s="1743">
        <v>2664.7170697805786</v>
      </c>
      <c r="CC21" s="1743">
        <v>2517.3925789500004</v>
      </c>
      <c r="CD21" s="1743">
        <v>2650.2943796300005</v>
      </c>
      <c r="CE21" s="1743">
        <v>3347.5476023699998</v>
      </c>
      <c r="CF21" s="1743">
        <v>2849.4650987999985</v>
      </c>
      <c r="CG21" s="1743">
        <v>2814.8804619899984</v>
      </c>
      <c r="CH21" s="1743">
        <v>2801.8673563999996</v>
      </c>
      <c r="CI21" s="1743">
        <v>2802.2455566100007</v>
      </c>
      <c r="CJ21" s="1743">
        <v>3163.4836883800003</v>
      </c>
      <c r="CK21" s="1743">
        <v>2900.6926484400001</v>
      </c>
      <c r="CL21" s="1743">
        <v>2932.7665162200001</v>
      </c>
      <c r="CM21" s="1743">
        <v>3099.1093387500005</v>
      </c>
      <c r="CN21" s="1743">
        <v>2750.5860924999993</v>
      </c>
      <c r="CO21" s="1744">
        <v>2887.04608706</v>
      </c>
      <c r="CP21" s="1744">
        <v>3053.9697870799996</v>
      </c>
      <c r="CQ21" s="1744">
        <v>3633.7875760800002</v>
      </c>
      <c r="CR21" s="1744">
        <v>3324.5081167200001</v>
      </c>
      <c r="CS21" s="1744">
        <v>601.56089097999939</v>
      </c>
      <c r="CT21" s="1744">
        <v>627.2873757999995</v>
      </c>
      <c r="CU21" s="1744">
        <v>563.29922097000031</v>
      </c>
      <c r="CV21" s="1744">
        <v>656.95063589000085</v>
      </c>
      <c r="CW21" s="1744">
        <v>653.96307848999982</v>
      </c>
      <c r="CX21" s="1744">
        <v>722.76613664000013</v>
      </c>
      <c r="CY21" s="1744">
        <v>713.05601921000016</v>
      </c>
      <c r="CZ21" s="1744">
        <v>646.42141785000035</v>
      </c>
      <c r="DA21" s="1744">
        <v>638.87465932999987</v>
      </c>
      <c r="DB21" s="1744">
        <v>695.89095325999972</v>
      </c>
      <c r="DC21" s="1744">
        <v>580.68354824000028</v>
      </c>
      <c r="DD21" s="1744">
        <v>586.5797128499994</v>
      </c>
      <c r="DE21" s="1744">
        <v>626.70237080999948</v>
      </c>
      <c r="DF21" s="1744">
        <v>592.2864272099996</v>
      </c>
      <c r="DG21" s="1744">
        <v>610.03589686999987</v>
      </c>
      <c r="DH21" s="1744">
        <v>604.55072238999992</v>
      </c>
      <c r="DI21" s="1744">
        <v>621.62509990000012</v>
      </c>
    </row>
    <row r="22" spans="1:113" ht="17.25" thickBot="1" x14ac:dyDescent="0.35">
      <c r="A22" s="1772" t="s">
        <v>137</v>
      </c>
      <c r="B22" s="1773">
        <v>20810.840289322379</v>
      </c>
      <c r="C22" s="1774">
        <v>21240.828172364003</v>
      </c>
      <c r="D22" s="1774">
        <v>21134.418192546233</v>
      </c>
      <c r="E22" s="1774">
        <v>17394.462021858999</v>
      </c>
      <c r="F22" s="1774">
        <v>17366.492092602155</v>
      </c>
      <c r="G22" s="1774">
        <v>17446.651083798566</v>
      </c>
      <c r="H22" s="1774">
        <v>17324.316567511185</v>
      </c>
      <c r="I22" s="1774">
        <v>17561.365273335323</v>
      </c>
      <c r="J22" s="1774">
        <v>17497.875058298818</v>
      </c>
      <c r="K22" s="1774">
        <v>17648.11194023909</v>
      </c>
      <c r="L22" s="1774">
        <v>18345.727614134215</v>
      </c>
      <c r="M22" s="1774">
        <v>18373.183941692008</v>
      </c>
      <c r="N22" s="1774">
        <v>18522.105966709474</v>
      </c>
      <c r="O22" s="1774">
        <v>18762.7594353491</v>
      </c>
      <c r="P22" s="1774">
        <v>18396.19631884151</v>
      </c>
      <c r="Q22" s="1774">
        <v>18428.871884010601</v>
      </c>
      <c r="R22" s="1774">
        <v>18795.631746737821</v>
      </c>
      <c r="S22" s="1774">
        <v>18476.829957492737</v>
      </c>
      <c r="T22" s="1774">
        <v>19026.214960734244</v>
      </c>
      <c r="U22" s="1774">
        <v>19145.666802235803</v>
      </c>
      <c r="V22" s="1774">
        <v>19030.873553651923</v>
      </c>
      <c r="W22" s="1774">
        <v>19185.643731154905</v>
      </c>
      <c r="X22" s="1774">
        <v>19507.527048273507</v>
      </c>
      <c r="Y22" s="1774">
        <v>19422.834742273008</v>
      </c>
      <c r="Z22" s="1774">
        <v>19438.694163197513</v>
      </c>
      <c r="AA22" s="1774">
        <v>19567.006703263512</v>
      </c>
      <c r="AB22" s="1774">
        <v>19665.858922668755</v>
      </c>
      <c r="AC22" s="1774">
        <v>19744.054587620329</v>
      </c>
      <c r="AD22" s="1774">
        <v>19904.804744733592</v>
      </c>
      <c r="AE22" s="1774">
        <v>20016.656101610151</v>
      </c>
      <c r="AF22" s="1774">
        <v>20178.553093205905</v>
      </c>
      <c r="AG22" s="1774">
        <v>20478.809287280474</v>
      </c>
      <c r="AH22" s="1774">
        <v>20647.468535512158</v>
      </c>
      <c r="AI22" s="1774">
        <v>20994.721056364862</v>
      </c>
      <c r="AJ22" s="1774">
        <v>21369.827814373006</v>
      </c>
      <c r="AK22" s="1774">
        <v>21353.003023548241</v>
      </c>
      <c r="AL22" s="1774">
        <v>21284.938093847635</v>
      </c>
      <c r="AM22" s="1774">
        <v>21419.985233546424</v>
      </c>
      <c r="AN22" s="1774">
        <v>21376.166082301665</v>
      </c>
      <c r="AO22" s="1774">
        <v>21371.699972380102</v>
      </c>
      <c r="AP22" s="1774">
        <v>21497.052566916085</v>
      </c>
      <c r="AQ22" s="1774">
        <v>20930.543821855597</v>
      </c>
      <c r="AR22" s="1774">
        <v>21097.959808573301</v>
      </c>
      <c r="AS22" s="1774">
        <v>21542.662939762246</v>
      </c>
      <c r="AT22" s="1774">
        <v>21520.768230486814</v>
      </c>
      <c r="AU22" s="1774">
        <v>21871.102300016169</v>
      </c>
      <c r="AV22" s="1774">
        <v>22519.80281898268</v>
      </c>
      <c r="AW22" s="1774">
        <v>22687.758681954558</v>
      </c>
      <c r="AX22" s="1751">
        <v>22748.845615225662</v>
      </c>
      <c r="AY22" s="1751">
        <v>22699.188742569433</v>
      </c>
      <c r="AZ22" s="1751">
        <v>22898.38289215797</v>
      </c>
      <c r="BA22" s="1751">
        <v>22962.542976505203</v>
      </c>
      <c r="BB22" s="1751">
        <v>23176.111833639632</v>
      </c>
      <c r="BC22" s="1751">
        <v>23473.452868785356</v>
      </c>
      <c r="BD22" s="1751">
        <v>23140.530494878181</v>
      </c>
      <c r="BE22" s="1751">
        <v>23404.441766187781</v>
      </c>
      <c r="BF22" s="1775">
        <v>23738.594208467734</v>
      </c>
      <c r="BG22" s="1775">
        <v>24787.174750747876</v>
      </c>
      <c r="BH22" s="1775">
        <v>24799.170186488685</v>
      </c>
      <c r="BI22" s="1775">
        <v>24617.913194192817</v>
      </c>
      <c r="BJ22" s="1775">
        <v>24623.670216057006</v>
      </c>
      <c r="BK22" s="1775">
        <v>24876.452127167824</v>
      </c>
      <c r="BL22" s="1775">
        <v>25048.698179557789</v>
      </c>
      <c r="BM22" s="1775">
        <v>25069.890812222086</v>
      </c>
      <c r="BN22" s="1775">
        <v>24872.340935088567</v>
      </c>
      <c r="BO22" s="1775">
        <v>24986.528105521727</v>
      </c>
      <c r="BP22" s="1775">
        <v>25107.613700083486</v>
      </c>
      <c r="BQ22" s="1775">
        <v>25111.91205874204</v>
      </c>
      <c r="BR22" s="1775">
        <v>25104.829419635251</v>
      </c>
      <c r="BS22" s="1775">
        <v>26007.987682312465</v>
      </c>
      <c r="BT22" s="1775">
        <v>25925.226963754183</v>
      </c>
      <c r="BU22" s="1775">
        <v>25777.464761999905</v>
      </c>
      <c r="BV22" s="1775">
        <v>25637.889894834505</v>
      </c>
      <c r="BW22" s="1775">
        <v>25512.852114138837</v>
      </c>
      <c r="BX22" s="1775">
        <v>25496.935592136018</v>
      </c>
      <c r="BY22" s="1776">
        <v>25677.208697307924</v>
      </c>
      <c r="BZ22" s="1777">
        <v>25658.57497933889</v>
      </c>
      <c r="CA22" s="1777">
        <v>25430.885562021998</v>
      </c>
      <c r="CB22" s="1777">
        <v>25502.073503087398</v>
      </c>
      <c r="CC22" s="1777">
        <v>25528.836695200007</v>
      </c>
      <c r="CD22" s="1777">
        <v>25837.253028410003</v>
      </c>
      <c r="CE22" s="1777">
        <v>26785.602093150006</v>
      </c>
      <c r="CF22" s="1777">
        <v>26948.679005749997</v>
      </c>
      <c r="CG22" s="1777">
        <v>26811.44426951999</v>
      </c>
      <c r="CH22" s="1777">
        <v>26922.21907852</v>
      </c>
      <c r="CI22" s="1777">
        <v>28811.470626949995</v>
      </c>
      <c r="CJ22" s="1777">
        <v>27147.657899550006</v>
      </c>
      <c r="CK22" s="1777">
        <v>27426.912815790001</v>
      </c>
      <c r="CL22" s="1777">
        <v>27572.598521199994</v>
      </c>
      <c r="CM22" s="1777">
        <v>27483.687376360002</v>
      </c>
      <c r="CN22" s="1777">
        <v>27806.416933560009</v>
      </c>
      <c r="CO22" s="1778">
        <v>27777.334711830008</v>
      </c>
      <c r="CP22" s="1778">
        <v>28307.983220779999</v>
      </c>
      <c r="CQ22" s="1778">
        <v>29177.247601080006</v>
      </c>
      <c r="CR22" s="1778">
        <v>28598.871027550002</v>
      </c>
      <c r="CS22" s="1778">
        <v>12909.53746109</v>
      </c>
      <c r="CT22" s="1778">
        <v>13041.727457309989</v>
      </c>
      <c r="CU22" s="1778">
        <v>12805.847973809998</v>
      </c>
      <c r="CV22" s="1778">
        <v>12788.455753079999</v>
      </c>
      <c r="CW22" s="1778">
        <v>12770.826137030004</v>
      </c>
      <c r="CX22" s="1778">
        <v>12672.152197430009</v>
      </c>
      <c r="CY22" s="1778">
        <v>12633.056978839997</v>
      </c>
      <c r="CZ22" s="1778">
        <v>12576.326778820001</v>
      </c>
      <c r="DA22" s="1778">
        <v>12532.048838419996</v>
      </c>
      <c r="DB22" s="1778">
        <v>12672.63122997</v>
      </c>
      <c r="DC22" s="1778">
        <v>12147.346069019995</v>
      </c>
      <c r="DD22" s="1778">
        <v>12206.290522669991</v>
      </c>
      <c r="DE22" s="1778">
        <v>12282.825636190008</v>
      </c>
      <c r="DF22" s="1778">
        <v>12125.327249579997</v>
      </c>
      <c r="DG22" s="1778">
        <v>12274.606906120001</v>
      </c>
      <c r="DH22" s="1778">
        <v>12139.974481289999</v>
      </c>
      <c r="DI22" s="1778">
        <v>12131.275342140005</v>
      </c>
    </row>
    <row r="23" spans="1:113" s="1783" customFormat="1" ht="15" thickTop="1" x14ac:dyDescent="0.25">
      <c r="A23" s="1779" t="s">
        <v>172</v>
      </c>
      <c r="B23" s="1780"/>
      <c r="C23" s="1780"/>
      <c r="D23" s="1780"/>
      <c r="E23" s="1780"/>
      <c r="F23" s="1780"/>
      <c r="G23" s="1780"/>
      <c r="H23" s="1780"/>
      <c r="I23" s="1780"/>
      <c r="J23" s="1780"/>
      <c r="K23" s="1780"/>
      <c r="L23" s="1780"/>
      <c r="M23" s="1780"/>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c r="AL23" s="1780"/>
      <c r="AM23" s="1780"/>
      <c r="AN23" s="1780"/>
      <c r="AO23" s="1780"/>
      <c r="AP23" s="1780"/>
      <c r="AQ23" s="1780"/>
      <c r="AR23" s="1780"/>
      <c r="AS23" s="1780"/>
      <c r="AT23" s="1780"/>
      <c r="AU23" s="1780"/>
      <c r="AV23" s="1780"/>
      <c r="AW23" s="1780"/>
      <c r="AX23" s="1780"/>
      <c r="AY23" s="1780"/>
      <c r="AZ23" s="1780"/>
      <c r="BA23" s="1780"/>
      <c r="BB23" s="1780"/>
      <c r="BC23" s="1780"/>
      <c r="BD23" s="1781"/>
      <c r="BE23" s="1781"/>
      <c r="BF23" s="1781"/>
      <c r="BG23" s="1781"/>
      <c r="BH23" s="1781"/>
      <c r="BI23" s="1781"/>
      <c r="BJ23" s="1781"/>
      <c r="BK23" s="1781"/>
      <c r="BL23" s="1781"/>
      <c r="BM23" s="1781"/>
      <c r="BN23" s="1782"/>
      <c r="BO23" s="1782"/>
      <c r="BP23" s="1782"/>
      <c r="BQ23" s="1782"/>
      <c r="BR23" s="1782"/>
      <c r="BS23" s="1782"/>
      <c r="BT23" s="1782"/>
      <c r="BU23" s="1782"/>
      <c r="BV23" s="1782"/>
      <c r="BW23" s="1782"/>
      <c r="BX23" s="1782"/>
    </row>
    <row r="24" spans="1:113" s="1783" customFormat="1" ht="15.75" x14ac:dyDescent="0.25">
      <c r="A24" s="1779" t="s">
        <v>3498</v>
      </c>
      <c r="B24" s="1780"/>
      <c r="C24" s="1780"/>
      <c r="D24" s="1780"/>
      <c r="E24" s="1780"/>
      <c r="F24" s="1780"/>
      <c r="G24" s="1780"/>
      <c r="H24" s="1780"/>
      <c r="I24" s="1780"/>
      <c r="J24" s="1780"/>
      <c r="K24" s="1780"/>
      <c r="L24" s="1780"/>
      <c r="M24" s="1780"/>
      <c r="N24" s="1780"/>
      <c r="O24" s="1780"/>
      <c r="P24" s="1780"/>
      <c r="Q24" s="1780"/>
      <c r="R24" s="1780"/>
      <c r="S24" s="1780"/>
      <c r="T24" s="1780"/>
      <c r="U24" s="1780"/>
      <c r="V24" s="1780"/>
      <c r="W24" s="1780"/>
      <c r="X24" s="1780"/>
      <c r="Y24" s="1780"/>
      <c r="Z24" s="1780"/>
      <c r="AA24" s="1780"/>
      <c r="AB24" s="1780"/>
      <c r="AC24" s="1780"/>
      <c r="AD24" s="1780">
        <v>0.75129096898639425</v>
      </c>
      <c r="AE24" s="1780"/>
      <c r="AF24" s="1780"/>
      <c r="AG24" s="1780"/>
      <c r="AH24" s="1780"/>
      <c r="AI24" s="1780"/>
      <c r="AJ24" s="1780"/>
      <c r="AK24" s="1780"/>
      <c r="AL24" s="1780"/>
      <c r="AM24" s="1780"/>
      <c r="AN24" s="1780"/>
      <c r="AO24" s="1780"/>
      <c r="AP24" s="1780"/>
      <c r="AQ24" s="1780"/>
      <c r="AR24" s="1780"/>
      <c r="AS24" s="1780"/>
      <c r="AT24" s="1780"/>
      <c r="AU24" s="1780"/>
      <c r="AV24" s="1780"/>
      <c r="AW24" s="1780"/>
      <c r="AX24" s="1780"/>
      <c r="AY24" s="1780"/>
      <c r="AZ24" s="1780"/>
      <c r="BA24" s="1780"/>
      <c r="BB24" s="1780"/>
      <c r="BC24" s="1780"/>
      <c r="BD24" s="1781"/>
      <c r="BE24" s="1781"/>
      <c r="BF24" s="1781"/>
      <c r="BG24" s="1781"/>
      <c r="BH24" s="1781"/>
      <c r="BI24" s="1781"/>
      <c r="BJ24" s="1781"/>
      <c r="BK24" s="1781"/>
      <c r="BL24" s="1781"/>
      <c r="BM24" s="1781"/>
      <c r="BN24" s="1784"/>
      <c r="BO24" s="1784"/>
      <c r="BP24" s="1784"/>
      <c r="BQ24" s="1784"/>
      <c r="BR24" s="1784"/>
      <c r="BS24" s="1784"/>
      <c r="BT24" s="1782"/>
      <c r="BU24" s="1782"/>
      <c r="BV24" s="1782"/>
      <c r="BW24" s="1782"/>
      <c r="BX24" s="1782"/>
    </row>
    <row r="25" spans="1:113" s="1783" customFormat="1" ht="14.25" x14ac:dyDescent="0.25">
      <c r="A25" s="1779" t="s">
        <v>3499</v>
      </c>
      <c r="B25" s="1780"/>
      <c r="C25" s="1780"/>
      <c r="D25" s="1780"/>
      <c r="E25" s="1780"/>
      <c r="F25" s="1780"/>
      <c r="G25" s="1780"/>
      <c r="H25" s="1780"/>
      <c r="I25" s="1780"/>
      <c r="J25" s="1780"/>
      <c r="K25" s="1780"/>
      <c r="L25" s="1780"/>
      <c r="M25" s="1780"/>
      <c r="N25" s="1780"/>
      <c r="O25" s="1780"/>
      <c r="P25" s="1780"/>
      <c r="Q25" s="1780"/>
      <c r="R25" s="1780"/>
      <c r="S25" s="1780"/>
      <c r="T25" s="1780"/>
      <c r="U25" s="1780"/>
      <c r="V25" s="1780"/>
      <c r="W25" s="1780"/>
      <c r="X25" s="1780"/>
      <c r="Y25" s="1780"/>
      <c r="Z25" s="1780"/>
      <c r="AA25" s="1780"/>
      <c r="AB25" s="1780"/>
      <c r="AC25" s="1780"/>
      <c r="AD25" s="1780"/>
      <c r="AE25" s="1780"/>
      <c r="AF25" s="1780"/>
      <c r="AG25" s="1780"/>
      <c r="AH25" s="1780"/>
      <c r="AI25" s="1780"/>
      <c r="AJ25" s="1780"/>
      <c r="AK25" s="1780"/>
      <c r="AL25" s="1780"/>
      <c r="AM25" s="1780"/>
      <c r="AN25" s="1780"/>
      <c r="AO25" s="1780"/>
      <c r="AP25" s="1780"/>
      <c r="AQ25" s="1780"/>
      <c r="AR25" s="1780"/>
      <c r="AS25" s="1780"/>
      <c r="AT25" s="1780"/>
      <c r="AU25" s="1780"/>
      <c r="AV25" s="1780"/>
      <c r="AW25" s="1780"/>
      <c r="AX25" s="1780"/>
      <c r="AY25" s="1780"/>
      <c r="AZ25" s="1780"/>
      <c r="BA25" s="1780"/>
      <c r="BB25" s="1780"/>
      <c r="BC25" s="1780"/>
      <c r="BD25" s="1781"/>
      <c r="BE25" s="1781"/>
      <c r="BF25" s="1781"/>
      <c r="BG25" s="1781"/>
      <c r="BH25" s="1781"/>
      <c r="BI25" s="1781"/>
      <c r="BJ25" s="1781"/>
      <c r="BK25" s="1781"/>
      <c r="BL25" s="1781"/>
      <c r="BM25" s="1781"/>
      <c r="BN25" s="1784"/>
      <c r="BO25" s="1784"/>
      <c r="BP25" s="1784"/>
      <c r="BQ25" s="1784"/>
      <c r="BR25" s="1784"/>
      <c r="BS25" s="1784"/>
      <c r="BT25" s="1782"/>
      <c r="BU25" s="1782"/>
      <c r="BV25" s="1782"/>
      <c r="BW25" s="1782"/>
      <c r="BX25" s="1782"/>
    </row>
    <row r="26" spans="1:113" s="1783" customFormat="1" ht="14.25" x14ac:dyDescent="0.25">
      <c r="A26" s="1779" t="s">
        <v>3484</v>
      </c>
      <c r="B26" s="1780"/>
      <c r="C26" s="1780"/>
      <c r="D26" s="1780"/>
      <c r="E26" s="1780"/>
      <c r="F26" s="1780"/>
      <c r="G26" s="1780"/>
      <c r="H26" s="1780"/>
      <c r="I26" s="1780"/>
      <c r="J26" s="1780"/>
      <c r="K26" s="1780"/>
      <c r="L26" s="1780"/>
      <c r="M26" s="1780"/>
      <c r="N26" s="1780"/>
      <c r="O26" s="1780"/>
      <c r="P26" s="1780"/>
      <c r="Q26" s="1780"/>
      <c r="R26" s="1780"/>
      <c r="S26" s="1780"/>
      <c r="T26" s="1780"/>
      <c r="U26" s="1780"/>
      <c r="V26" s="1780"/>
      <c r="W26" s="1780"/>
      <c r="X26" s="1780"/>
      <c r="Y26" s="1780"/>
      <c r="Z26" s="1780"/>
      <c r="AA26" s="1780"/>
      <c r="AB26" s="1780"/>
      <c r="AC26" s="1780"/>
      <c r="AD26" s="1780"/>
      <c r="AE26" s="1780"/>
      <c r="AF26" s="1780"/>
      <c r="AG26" s="1780"/>
      <c r="AH26" s="1780"/>
      <c r="AI26" s="1780"/>
      <c r="AJ26" s="1780"/>
      <c r="AK26" s="1780"/>
      <c r="AL26" s="1780"/>
      <c r="AM26" s="1780"/>
      <c r="AN26" s="1780"/>
      <c r="AO26" s="1780"/>
      <c r="AP26" s="1780"/>
      <c r="AQ26" s="1780"/>
      <c r="AR26" s="1780"/>
      <c r="AS26" s="1780"/>
      <c r="AT26" s="1780"/>
      <c r="AU26" s="1780"/>
      <c r="AV26" s="1780"/>
      <c r="AW26" s="1780"/>
      <c r="AX26" s="1780"/>
      <c r="AY26" s="1780"/>
      <c r="AZ26" s="1780"/>
      <c r="BA26" s="1780"/>
      <c r="BB26" s="1780"/>
      <c r="BC26" s="1780"/>
      <c r="BD26" s="1781"/>
      <c r="BE26" s="1781"/>
      <c r="BF26" s="1781"/>
      <c r="BG26" s="1781"/>
      <c r="BH26" s="1781"/>
      <c r="BI26" s="1781"/>
      <c r="BJ26" s="1781"/>
      <c r="BK26" s="1781"/>
      <c r="BL26" s="1781"/>
      <c r="BM26" s="1781"/>
      <c r="BN26" s="1784"/>
      <c r="BO26" s="1784"/>
      <c r="BP26" s="1784"/>
      <c r="BQ26" s="1784"/>
      <c r="BR26" s="1784"/>
      <c r="BS26" s="1784"/>
      <c r="BT26" s="1782"/>
      <c r="BU26" s="1782"/>
      <c r="BV26" s="1782"/>
      <c r="BW26" s="1782"/>
      <c r="BX26" s="1782"/>
    </row>
    <row r="27" spans="1:113" s="1783" customFormat="1" ht="14.25" x14ac:dyDescent="0.25">
      <c r="B27" s="1781"/>
      <c r="C27" s="1781"/>
      <c r="D27" s="1781"/>
      <c r="E27" s="1781"/>
      <c r="F27" s="1781"/>
      <c r="G27" s="1781"/>
      <c r="H27" s="1781"/>
      <c r="I27" s="1781"/>
      <c r="J27" s="1781"/>
      <c r="K27" s="1781"/>
      <c r="L27" s="1781"/>
      <c r="M27" s="1781"/>
      <c r="N27" s="1781"/>
      <c r="O27" s="1781"/>
      <c r="P27" s="1781"/>
      <c r="Q27" s="1781"/>
      <c r="R27" s="1781"/>
      <c r="S27" s="1781"/>
      <c r="T27" s="1781"/>
      <c r="U27" s="1781"/>
      <c r="V27" s="1781"/>
      <c r="W27" s="1781"/>
      <c r="X27" s="1781"/>
      <c r="Y27" s="1781"/>
      <c r="Z27" s="1781"/>
      <c r="AA27" s="1781"/>
      <c r="AB27" s="1781"/>
      <c r="AC27" s="1781"/>
      <c r="AD27" s="1781"/>
      <c r="AE27" s="1781"/>
      <c r="AF27" s="1781"/>
      <c r="AG27" s="1781"/>
      <c r="AH27" s="1781"/>
      <c r="AI27" s="1781"/>
      <c r="AJ27" s="1781"/>
      <c r="AK27" s="1781"/>
      <c r="AL27" s="1781"/>
      <c r="AM27" s="1781"/>
      <c r="AN27" s="1781"/>
      <c r="AO27" s="1781"/>
      <c r="AP27" s="1781"/>
      <c r="AQ27" s="1781"/>
      <c r="AR27" s="1781"/>
      <c r="AS27" s="1781"/>
      <c r="AT27" s="1781"/>
      <c r="AU27" s="1781"/>
      <c r="AV27" s="1781"/>
      <c r="AW27" s="1781"/>
      <c r="AX27" s="1781"/>
      <c r="AY27" s="1781"/>
      <c r="AZ27" s="1781"/>
      <c r="BA27" s="1781"/>
      <c r="BB27" s="1781"/>
      <c r="BC27" s="1781"/>
      <c r="BD27" s="1781"/>
      <c r="BE27" s="1781"/>
      <c r="BF27" s="1781"/>
      <c r="BG27" s="1781"/>
      <c r="BH27" s="1781"/>
      <c r="BI27" s="1781"/>
      <c r="BJ27" s="1781"/>
      <c r="BK27" s="1781"/>
      <c r="BL27" s="1781"/>
      <c r="BM27" s="1781"/>
      <c r="BN27" s="1785"/>
      <c r="BO27" s="1785"/>
      <c r="BP27" s="1785"/>
      <c r="BQ27" s="1785"/>
      <c r="BR27" s="1785"/>
      <c r="BS27" s="1785"/>
      <c r="BT27" s="1782"/>
      <c r="BU27" s="1782"/>
      <c r="BV27" s="1782"/>
      <c r="BW27" s="1782"/>
      <c r="BX27" s="1782"/>
    </row>
    <row r="28" spans="1:113" ht="15.75" x14ac:dyDescent="0.25">
      <c r="A28" s="1727"/>
      <c r="B28" s="1724"/>
      <c r="C28" s="1724"/>
      <c r="D28" s="1724"/>
      <c r="E28" s="1724"/>
      <c r="F28" s="1724"/>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c r="AL28" s="1724"/>
      <c r="AM28" s="1724"/>
      <c r="AN28" s="1724"/>
      <c r="AO28" s="1724"/>
      <c r="AP28" s="1724"/>
      <c r="AQ28" s="1724"/>
      <c r="AR28" s="1724"/>
      <c r="AS28" s="1724"/>
      <c r="AT28" s="1724"/>
      <c r="AU28" s="1724"/>
      <c r="AV28" s="1724"/>
      <c r="AW28" s="1724"/>
      <c r="AX28" s="1724"/>
      <c r="AY28" s="1724"/>
      <c r="AZ28" s="1724"/>
      <c r="BA28" s="1724"/>
      <c r="BB28" s="1724"/>
      <c r="BC28" s="1724"/>
      <c r="BD28" s="1724"/>
      <c r="BE28" s="1724"/>
      <c r="BF28" s="1724"/>
      <c r="BG28" s="1724"/>
      <c r="BH28" s="1724"/>
      <c r="BI28" s="1724"/>
      <c r="BJ28" s="1724"/>
      <c r="BK28" s="1724"/>
      <c r="BL28" s="1724"/>
      <c r="BM28" s="1724"/>
      <c r="BN28" s="1724"/>
      <c r="BO28" s="1724"/>
      <c r="BP28" s="1724"/>
      <c r="BQ28" s="1724"/>
      <c r="BR28" s="1724"/>
      <c r="BS28" s="1724"/>
      <c r="BT28" s="1724"/>
      <c r="BU28" s="1724"/>
      <c r="BV28" s="1724"/>
      <c r="BW28" s="1724"/>
      <c r="BX28" s="1724"/>
    </row>
  </sheetData>
  <pageMargins left="0.7" right="0.7" top="0.75" bottom="0.75" header="0.3" footer="0.3"/>
  <pageSetup paperSize="9" scale="61"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S134"/>
  <sheetViews>
    <sheetView zoomScale="80" zoomScaleNormal="80" workbookViewId="0"/>
  </sheetViews>
  <sheetFormatPr defaultColWidth="9.140625" defaultRowHeight="16.5" x14ac:dyDescent="0.3"/>
  <cols>
    <col min="1" max="1" width="52.5703125" style="53" customWidth="1"/>
    <col min="2" max="2" width="10.5703125" style="53" hidden="1" customWidth="1"/>
    <col min="3" max="3" width="11.85546875" style="53" hidden="1" customWidth="1"/>
    <col min="4" max="4" width="9.85546875" style="53" hidden="1" customWidth="1"/>
    <col min="5" max="5" width="10.42578125" style="53" hidden="1" customWidth="1"/>
    <col min="6" max="8" width="10.85546875" style="53" hidden="1" customWidth="1"/>
    <col min="9" max="10" width="10.7109375" style="53" hidden="1" customWidth="1"/>
    <col min="11" max="11" width="7.7109375" style="53" hidden="1" customWidth="1"/>
    <col min="12" max="12" width="8" style="53" hidden="1" customWidth="1"/>
    <col min="13" max="13" width="7.28515625" style="53" hidden="1" customWidth="1"/>
    <col min="14" max="15" width="7.7109375" style="53" hidden="1" customWidth="1"/>
    <col min="16" max="16" width="8" style="53" hidden="1" customWidth="1"/>
    <col min="17" max="17" width="7.28515625" style="53" hidden="1" customWidth="1"/>
    <col min="18" max="18" width="7.7109375" style="53" hidden="1" customWidth="1"/>
    <col min="19" max="21" width="9" style="53" bestFit="1" customWidth="1"/>
    <col min="22" max="22" width="9.28515625" style="53" bestFit="1" customWidth="1"/>
    <col min="23" max="25" width="9" style="53" bestFit="1" customWidth="1"/>
    <col min="26" max="26" width="9.28515625" style="53" bestFit="1" customWidth="1"/>
    <col min="27" max="29" width="9" style="53" bestFit="1" customWidth="1"/>
    <col min="30" max="30" width="9.28515625" style="53" bestFit="1" customWidth="1"/>
    <col min="31" max="33" width="9" style="53" bestFit="1" customWidth="1"/>
    <col min="34" max="34" width="9.28515625" style="53" bestFit="1" customWidth="1"/>
    <col min="35" max="37" width="9" style="53" bestFit="1" customWidth="1"/>
    <col min="38" max="38" width="9.28515625" style="53" bestFit="1" customWidth="1"/>
    <col min="39" max="42" width="9.28515625" style="53" customWidth="1"/>
    <col min="43" max="43" width="8.42578125" style="53" bestFit="1" customWidth="1"/>
    <col min="44" max="45" width="10.28515625" style="53" customWidth="1"/>
    <col min="46" max="46" width="9.140625" style="53"/>
    <col min="47" max="47" width="9.140625" style="53" customWidth="1"/>
    <col min="48" max="16384" width="9.140625" style="53"/>
  </cols>
  <sheetData>
    <row r="1" spans="1:45" s="84" customFormat="1" ht="18.75" x14ac:dyDescent="0.3">
      <c r="A1" s="699" t="s">
        <v>3500</v>
      </c>
      <c r="B1" s="699"/>
      <c r="C1" s="699"/>
      <c r="D1" s="699"/>
      <c r="E1" s="699"/>
      <c r="F1" s="699"/>
      <c r="G1" s="699"/>
      <c r="H1" s="699"/>
      <c r="I1" s="699"/>
      <c r="J1" s="699"/>
      <c r="K1" s="699"/>
      <c r="L1" s="699"/>
      <c r="M1" s="699"/>
      <c r="N1" s="699"/>
      <c r="O1" s="699"/>
      <c r="P1" s="699"/>
      <c r="Q1" s="699"/>
      <c r="R1" s="699"/>
      <c r="S1" s="699"/>
      <c r="T1" s="699"/>
      <c r="U1" s="699"/>
    </row>
    <row r="2" spans="1:45" ht="17.25" thickBot="1" x14ac:dyDescent="0.35">
      <c r="E2" s="86"/>
      <c r="F2" s="86"/>
      <c r="G2" s="86"/>
      <c r="H2" s="86"/>
      <c r="Y2" s="102"/>
      <c r="Z2" s="102"/>
      <c r="AA2" s="102"/>
      <c r="AB2" s="102"/>
      <c r="AC2" s="102"/>
      <c r="AD2" s="102"/>
      <c r="AE2" s="102"/>
      <c r="AF2" s="102"/>
      <c r="AG2" s="102"/>
      <c r="AH2" s="102"/>
      <c r="AI2" s="102"/>
      <c r="AJ2" s="102"/>
      <c r="AK2" s="102"/>
      <c r="AL2" s="102"/>
      <c r="AM2" s="102"/>
      <c r="AN2" s="102"/>
      <c r="AO2" s="102"/>
      <c r="AP2" s="102"/>
      <c r="AQ2" s="102"/>
      <c r="AR2" s="102"/>
      <c r="AS2" s="102" t="s">
        <v>8</v>
      </c>
    </row>
    <row r="3" spans="1:45" s="1790" customFormat="1" ht="18" thickTop="1" thickBot="1" x14ac:dyDescent="0.35">
      <c r="A3" s="1786"/>
      <c r="B3" s="1787">
        <v>40451</v>
      </c>
      <c r="C3" s="1788">
        <v>40543</v>
      </c>
      <c r="D3" s="1788">
        <v>40633</v>
      </c>
      <c r="E3" s="1788">
        <v>40724</v>
      </c>
      <c r="F3" s="1788">
        <v>40816</v>
      </c>
      <c r="G3" s="1788">
        <v>40907</v>
      </c>
      <c r="H3" s="1788">
        <v>40969</v>
      </c>
      <c r="I3" s="1788">
        <v>41061</v>
      </c>
      <c r="J3" s="1788">
        <v>41153</v>
      </c>
      <c r="K3" s="1788">
        <v>41244</v>
      </c>
      <c r="L3" s="1788">
        <v>41334</v>
      </c>
      <c r="M3" s="1788">
        <v>41426</v>
      </c>
      <c r="N3" s="1788">
        <v>41518</v>
      </c>
      <c r="O3" s="1788">
        <v>41609</v>
      </c>
      <c r="P3" s="1788">
        <v>41699</v>
      </c>
      <c r="Q3" s="1788">
        <v>41791</v>
      </c>
      <c r="R3" s="1788">
        <v>41883</v>
      </c>
      <c r="S3" s="1788">
        <v>41974</v>
      </c>
      <c r="T3" s="1788">
        <v>42064</v>
      </c>
      <c r="U3" s="1788">
        <v>42156</v>
      </c>
      <c r="V3" s="1788">
        <v>42248</v>
      </c>
      <c r="W3" s="1789">
        <v>42339</v>
      </c>
      <c r="X3" s="1789">
        <v>42430</v>
      </c>
      <c r="Y3" s="1789">
        <v>42522</v>
      </c>
      <c r="Z3" s="1789">
        <v>42614</v>
      </c>
      <c r="AA3" s="1789">
        <v>42705</v>
      </c>
      <c r="AB3" s="1789">
        <v>42795</v>
      </c>
      <c r="AC3" s="1789">
        <v>42887</v>
      </c>
      <c r="AD3" s="1789">
        <v>42979</v>
      </c>
      <c r="AE3" s="1789">
        <v>43070</v>
      </c>
      <c r="AF3" s="1789">
        <v>43160</v>
      </c>
      <c r="AG3" s="1789">
        <v>43252</v>
      </c>
      <c r="AH3" s="1789">
        <v>43344</v>
      </c>
      <c r="AI3" s="1789">
        <v>43435</v>
      </c>
      <c r="AJ3" s="1789">
        <v>43525</v>
      </c>
      <c r="AK3" s="1789">
        <v>43617</v>
      </c>
      <c r="AL3" s="1789">
        <v>43709</v>
      </c>
      <c r="AM3" s="1789">
        <v>43800</v>
      </c>
      <c r="AN3" s="1789">
        <v>43891</v>
      </c>
      <c r="AO3" s="1789">
        <v>43983</v>
      </c>
      <c r="AP3" s="1789">
        <v>44075</v>
      </c>
      <c r="AQ3" s="1789">
        <v>44166</v>
      </c>
      <c r="AR3" s="1789">
        <v>44256</v>
      </c>
      <c r="AS3" s="1789">
        <v>44348</v>
      </c>
    </row>
    <row r="4" spans="1:45" s="1790" customFormat="1" ht="17.25" customHeight="1" thickTop="1" x14ac:dyDescent="0.3">
      <c r="A4" s="1791" t="s">
        <v>3501</v>
      </c>
      <c r="B4" s="1792">
        <v>472.36257554000002</v>
      </c>
      <c r="C4" s="1793">
        <v>510</v>
      </c>
      <c r="D4" s="1793">
        <v>491</v>
      </c>
      <c r="E4" s="1793">
        <v>498</v>
      </c>
      <c r="F4" s="1793">
        <v>497</v>
      </c>
      <c r="G4" s="1793">
        <v>476</v>
      </c>
      <c r="H4" s="1793">
        <v>491</v>
      </c>
      <c r="I4" s="1793">
        <v>422</v>
      </c>
      <c r="J4" s="1793">
        <v>408.45183361999989</v>
      </c>
      <c r="K4" s="1793">
        <v>408</v>
      </c>
      <c r="L4" s="1793">
        <v>415</v>
      </c>
      <c r="M4" s="1793">
        <v>400</v>
      </c>
      <c r="N4" s="1793">
        <v>408</v>
      </c>
      <c r="O4" s="1793">
        <v>399</v>
      </c>
      <c r="P4" s="1793">
        <v>405</v>
      </c>
      <c r="Q4" s="1793">
        <v>412</v>
      </c>
      <c r="R4" s="1793">
        <v>400</v>
      </c>
      <c r="S4" s="1793">
        <v>398</v>
      </c>
      <c r="T4" s="1793">
        <v>414</v>
      </c>
      <c r="U4" s="1793">
        <v>406</v>
      </c>
      <c r="V4" s="1793">
        <v>401.86626766947501</v>
      </c>
      <c r="W4" s="1793">
        <v>395.52858592927186</v>
      </c>
      <c r="X4" s="1793">
        <v>418</v>
      </c>
      <c r="Y4" s="1793">
        <v>433</v>
      </c>
      <c r="Z4" s="1793">
        <v>434</v>
      </c>
      <c r="AA4" s="1793">
        <v>444</v>
      </c>
      <c r="AB4" s="1793">
        <v>462</v>
      </c>
      <c r="AC4" s="1793">
        <v>480</v>
      </c>
      <c r="AD4" s="1793">
        <v>529</v>
      </c>
      <c r="AE4" s="1793">
        <v>480</v>
      </c>
      <c r="AF4" s="1793">
        <v>483</v>
      </c>
      <c r="AG4" s="1793">
        <v>505</v>
      </c>
      <c r="AH4" s="1793">
        <v>509.74441149</v>
      </c>
      <c r="AI4" s="1793">
        <v>596.64842377999992</v>
      </c>
      <c r="AJ4" s="1793">
        <v>697.02543480999998</v>
      </c>
      <c r="AK4" s="1793">
        <v>965.54258916999993</v>
      </c>
      <c r="AL4" s="1793">
        <v>587.64968397000007</v>
      </c>
      <c r="AM4" s="1793">
        <v>676.22714891999999</v>
      </c>
      <c r="AN4" s="1793">
        <v>315.88571564000006</v>
      </c>
      <c r="AO4" s="1793">
        <v>366.47707080000004</v>
      </c>
      <c r="AP4" s="1793">
        <v>165.87705930999999</v>
      </c>
      <c r="AQ4" s="1793">
        <v>226.10274924999999</v>
      </c>
      <c r="AR4" s="1793">
        <v>289.08222619999998</v>
      </c>
      <c r="AS4" s="1793">
        <v>349.66432273000004</v>
      </c>
    </row>
    <row r="5" spans="1:45" s="1790" customFormat="1" x14ac:dyDescent="0.3">
      <c r="A5" s="1791" t="s">
        <v>3502</v>
      </c>
      <c r="B5" s="1792">
        <v>335.91336057999996</v>
      </c>
      <c r="C5" s="1793">
        <v>357</v>
      </c>
      <c r="D5" s="1793">
        <v>319</v>
      </c>
      <c r="E5" s="1793">
        <v>321</v>
      </c>
      <c r="F5" s="1793">
        <v>324</v>
      </c>
      <c r="G5" s="1793">
        <v>304</v>
      </c>
      <c r="H5" s="1793">
        <v>304</v>
      </c>
      <c r="I5" s="1793">
        <v>241</v>
      </c>
      <c r="J5" s="1793">
        <v>235.49498532999999</v>
      </c>
      <c r="K5" s="1793">
        <v>234</v>
      </c>
      <c r="L5" s="1793">
        <v>228</v>
      </c>
      <c r="M5" s="1793">
        <v>235</v>
      </c>
      <c r="N5" s="1793">
        <v>231</v>
      </c>
      <c r="O5" s="1793">
        <v>229</v>
      </c>
      <c r="P5" s="1793">
        <v>223</v>
      </c>
      <c r="Q5" s="1793">
        <v>224</v>
      </c>
      <c r="R5" s="1793">
        <v>224</v>
      </c>
      <c r="S5" s="1793">
        <v>219</v>
      </c>
      <c r="T5" s="1793">
        <v>241</v>
      </c>
      <c r="U5" s="1793">
        <v>231</v>
      </c>
      <c r="V5" s="1793">
        <v>224.83341470972292</v>
      </c>
      <c r="W5" s="1793">
        <v>229.86400646224232</v>
      </c>
      <c r="X5" s="1793">
        <v>229</v>
      </c>
      <c r="Y5" s="1793">
        <v>229</v>
      </c>
      <c r="Z5" s="1793">
        <v>235</v>
      </c>
      <c r="AA5" s="1793">
        <v>235</v>
      </c>
      <c r="AB5" s="1793">
        <v>233</v>
      </c>
      <c r="AC5" s="1793">
        <v>232</v>
      </c>
      <c r="AD5" s="1793">
        <v>235</v>
      </c>
      <c r="AE5" s="1793">
        <v>233</v>
      </c>
      <c r="AF5" s="1793">
        <v>225</v>
      </c>
      <c r="AG5" s="1793">
        <v>222</v>
      </c>
      <c r="AH5" s="1793">
        <v>216.54254553999999</v>
      </c>
      <c r="AI5" s="1793">
        <v>260.03473246000004</v>
      </c>
      <c r="AJ5" s="1793">
        <v>308.30074027999996</v>
      </c>
      <c r="AK5" s="1793">
        <v>360.08495305000002</v>
      </c>
      <c r="AL5" s="1793">
        <v>226.18893376</v>
      </c>
      <c r="AM5" s="1793">
        <v>277.37223548000003</v>
      </c>
      <c r="AN5" s="1793">
        <v>205.51292738000001</v>
      </c>
      <c r="AO5" s="1793">
        <v>242.80348332</v>
      </c>
      <c r="AP5" s="1793">
        <v>100.19423251000001</v>
      </c>
      <c r="AQ5" s="1793">
        <v>133.92486477</v>
      </c>
      <c r="AR5" s="1793">
        <v>159.99429061000001</v>
      </c>
      <c r="AS5" s="1793">
        <v>193.63288853999998</v>
      </c>
    </row>
    <row r="6" spans="1:45" s="1790" customFormat="1" x14ac:dyDescent="0.3">
      <c r="A6" s="1794" t="s">
        <v>3503</v>
      </c>
      <c r="B6" s="1795">
        <v>136.44921496000006</v>
      </c>
      <c r="C6" s="1796">
        <v>153</v>
      </c>
      <c r="D6" s="1796">
        <f>D4-D5</f>
        <v>172</v>
      </c>
      <c r="E6" s="1796">
        <f>E4-E5</f>
        <v>177</v>
      </c>
      <c r="F6" s="1796">
        <f>F4-F5</f>
        <v>173</v>
      </c>
      <c r="G6" s="1796">
        <v>172</v>
      </c>
      <c r="H6" s="1796">
        <f>H4-H5</f>
        <v>187</v>
      </c>
      <c r="I6" s="1796">
        <f>I4-I5</f>
        <v>181</v>
      </c>
      <c r="J6" s="1796">
        <f>J4-J5</f>
        <v>172.9568482899999</v>
      </c>
      <c r="K6" s="1796">
        <v>174</v>
      </c>
      <c r="L6" s="1796">
        <f>L4-L5</f>
        <v>187</v>
      </c>
      <c r="M6" s="1796">
        <f>M4-M5</f>
        <v>165</v>
      </c>
      <c r="N6" s="1796">
        <f>N4-N5</f>
        <v>177</v>
      </c>
      <c r="O6" s="1796">
        <f>O4-O5</f>
        <v>170</v>
      </c>
      <c r="P6" s="1796">
        <v>182</v>
      </c>
      <c r="Q6" s="1796">
        <v>188</v>
      </c>
      <c r="R6" s="1796">
        <f>R4-R5</f>
        <v>176</v>
      </c>
      <c r="S6" s="1796">
        <f>S4-S5</f>
        <v>179</v>
      </c>
      <c r="T6" s="1796">
        <v>173</v>
      </c>
      <c r="U6" s="1796">
        <f>U4-U5</f>
        <v>175</v>
      </c>
      <c r="V6" s="1796">
        <v>177.03285295975209</v>
      </c>
      <c r="W6" s="1796">
        <v>165.66457946702954</v>
      </c>
      <c r="X6" s="1796">
        <v>189</v>
      </c>
      <c r="Y6" s="1796">
        <v>204</v>
      </c>
      <c r="Z6" s="1796">
        <v>199</v>
      </c>
      <c r="AA6" s="1796">
        <v>209</v>
      </c>
      <c r="AB6" s="1796">
        <v>229</v>
      </c>
      <c r="AC6" s="1796">
        <v>248</v>
      </c>
      <c r="AD6" s="1796">
        <v>294</v>
      </c>
      <c r="AE6" s="1796">
        <v>247</v>
      </c>
      <c r="AF6" s="1796">
        <v>258</v>
      </c>
      <c r="AG6" s="1796">
        <v>283</v>
      </c>
      <c r="AH6" s="1796">
        <v>293.20186595000001</v>
      </c>
      <c r="AI6" s="1796">
        <v>336.61369131999999</v>
      </c>
      <c r="AJ6" s="1796">
        <v>388.72469452999997</v>
      </c>
      <c r="AK6" s="1796">
        <v>605.45763611999996</v>
      </c>
      <c r="AL6" s="1796">
        <v>361.46075021000007</v>
      </c>
      <c r="AM6" s="1796">
        <v>398.85491343999996</v>
      </c>
      <c r="AN6" s="1796">
        <v>110.37278826000002</v>
      </c>
      <c r="AO6" s="1796">
        <v>123.67358748000004</v>
      </c>
      <c r="AP6" s="1796">
        <v>65.682826799999987</v>
      </c>
      <c r="AQ6" s="1796">
        <v>92.177884479999989</v>
      </c>
      <c r="AR6" s="1796">
        <v>129.08793558999997</v>
      </c>
      <c r="AS6" s="1796">
        <v>156.03143419000006</v>
      </c>
    </row>
    <row r="7" spans="1:45" s="1790" customFormat="1" x14ac:dyDescent="0.3">
      <c r="A7" s="1791"/>
      <c r="B7" s="1792"/>
      <c r="C7" s="1793"/>
      <c r="D7" s="1793"/>
      <c r="E7" s="1793"/>
      <c r="F7" s="1793"/>
      <c r="G7" s="1793"/>
      <c r="H7" s="1793"/>
      <c r="I7" s="1793"/>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3"/>
      <c r="AG7" s="1793"/>
      <c r="AH7" s="1793"/>
      <c r="AI7" s="1793"/>
      <c r="AJ7" s="1793"/>
      <c r="AK7" s="1793"/>
      <c r="AL7" s="1793"/>
      <c r="AM7" s="1793"/>
      <c r="AN7" s="1793">
        <v>0</v>
      </c>
      <c r="AO7" s="1793"/>
      <c r="AP7" s="1793"/>
      <c r="AQ7" s="1793"/>
      <c r="AR7" s="1793"/>
      <c r="AS7" s="1793"/>
    </row>
    <row r="8" spans="1:45" s="1790" customFormat="1" x14ac:dyDescent="0.3">
      <c r="A8" s="1794" t="s">
        <v>3504</v>
      </c>
      <c r="B8" s="1795">
        <v>184.51846550000002</v>
      </c>
      <c r="C8" s="1796">
        <v>202</v>
      </c>
      <c r="D8" s="1796">
        <f>D9+D10</f>
        <v>168.01905119000003</v>
      </c>
      <c r="E8" s="1796">
        <f>E9+E10</f>
        <v>175</v>
      </c>
      <c r="F8" s="1796">
        <f>F9+F10</f>
        <v>185</v>
      </c>
      <c r="G8" s="1796">
        <v>184</v>
      </c>
      <c r="H8" s="1796">
        <f>H9+H10</f>
        <v>189</v>
      </c>
      <c r="I8" s="1796">
        <f>I9+I10</f>
        <v>167</v>
      </c>
      <c r="J8" s="1796">
        <v>177.96196124999997</v>
      </c>
      <c r="K8" s="1796">
        <v>185</v>
      </c>
      <c r="L8" s="1796">
        <f>L9+L10</f>
        <v>182</v>
      </c>
      <c r="M8" s="1796">
        <f>M9+M10</f>
        <v>198</v>
      </c>
      <c r="N8" s="1796">
        <f>N9+N10</f>
        <v>193</v>
      </c>
      <c r="O8" s="1796">
        <f>O9+O10</f>
        <v>202</v>
      </c>
      <c r="P8" s="1796">
        <v>191</v>
      </c>
      <c r="Q8" s="1796">
        <v>194</v>
      </c>
      <c r="R8" s="1796">
        <f>R9+R10</f>
        <v>197</v>
      </c>
      <c r="S8" s="1796">
        <f>S9+S10</f>
        <v>214</v>
      </c>
      <c r="T8" s="1796">
        <v>197</v>
      </c>
      <c r="U8" s="1796">
        <f>U9+U10</f>
        <v>210</v>
      </c>
      <c r="V8" s="1796">
        <v>222.59457931750001</v>
      </c>
      <c r="W8" s="1796">
        <v>229.45092545999995</v>
      </c>
      <c r="X8" s="1796">
        <v>234</v>
      </c>
      <c r="Y8" s="1796">
        <v>247</v>
      </c>
      <c r="Z8" s="1796">
        <v>237</v>
      </c>
      <c r="AA8" s="1796">
        <v>262</v>
      </c>
      <c r="AB8" s="1796">
        <v>242</v>
      </c>
      <c r="AC8" s="1796">
        <v>263</v>
      </c>
      <c r="AD8" s="1796">
        <v>194</v>
      </c>
      <c r="AE8" s="1796">
        <v>238</v>
      </c>
      <c r="AF8" s="1796">
        <v>258</v>
      </c>
      <c r="AG8" s="1796">
        <v>219</v>
      </c>
      <c r="AH8" s="1796">
        <f>AH9+AH10</f>
        <v>210.96831672000002</v>
      </c>
      <c r="AI8" s="1796">
        <f>AI9+AI10</f>
        <v>271.08882468000002</v>
      </c>
      <c r="AJ8" s="1796">
        <f>AJ9+AJ10</f>
        <v>322.99070518000002</v>
      </c>
      <c r="AK8" s="1796">
        <f>AK9+AK10</f>
        <v>188.48268381999998</v>
      </c>
      <c r="AL8" s="1796">
        <v>227.95095777</v>
      </c>
      <c r="AM8" s="1796">
        <v>289.31414397999998</v>
      </c>
      <c r="AN8" s="1796">
        <v>232.92367705000001</v>
      </c>
      <c r="AO8" s="1796">
        <v>291.93065766000001</v>
      </c>
      <c r="AP8" s="1796">
        <v>123.65602158</v>
      </c>
      <c r="AQ8" s="1796">
        <v>174.04292397999998</v>
      </c>
      <c r="AR8" s="1796">
        <v>230.20917188999999</v>
      </c>
      <c r="AS8" s="1796">
        <v>282.17174626000002</v>
      </c>
    </row>
    <row r="9" spans="1:45" s="1790" customFormat="1" x14ac:dyDescent="0.3">
      <c r="A9" s="1791" t="s">
        <v>3505</v>
      </c>
      <c r="B9" s="1792">
        <v>55.894596980000038</v>
      </c>
      <c r="C9" s="1793">
        <v>65</v>
      </c>
      <c r="D9" s="1793">
        <v>58.019051190000013</v>
      </c>
      <c r="E9" s="1793">
        <v>65</v>
      </c>
      <c r="F9" s="1793">
        <v>67</v>
      </c>
      <c r="G9" s="1793">
        <v>67</v>
      </c>
      <c r="H9" s="1793">
        <v>66</v>
      </c>
      <c r="I9" s="1793">
        <v>67</v>
      </c>
      <c r="J9" s="1793">
        <v>70.554284209999977</v>
      </c>
      <c r="K9" s="1793">
        <v>72</v>
      </c>
      <c r="L9" s="1793">
        <v>70</v>
      </c>
      <c r="M9" s="1793">
        <v>78</v>
      </c>
      <c r="N9" s="1793">
        <v>79</v>
      </c>
      <c r="O9" s="1793">
        <v>79</v>
      </c>
      <c r="P9" s="1793">
        <v>73</v>
      </c>
      <c r="Q9" s="1793">
        <v>81</v>
      </c>
      <c r="R9" s="1793">
        <v>81</v>
      </c>
      <c r="S9" s="1793">
        <v>97</v>
      </c>
      <c r="T9" s="1793">
        <v>83</v>
      </c>
      <c r="U9" s="1793">
        <v>91</v>
      </c>
      <c r="V9" s="1793">
        <v>89.594579317500006</v>
      </c>
      <c r="W9" s="1793">
        <v>110.45092545999997</v>
      </c>
      <c r="X9" s="1793">
        <v>115</v>
      </c>
      <c r="Y9" s="1793">
        <v>118</v>
      </c>
      <c r="Z9" s="1793">
        <v>106</v>
      </c>
      <c r="AA9" s="1793">
        <v>112</v>
      </c>
      <c r="AB9" s="1793">
        <v>112</v>
      </c>
      <c r="AC9" s="1793">
        <v>109</v>
      </c>
      <c r="AD9" s="1793">
        <v>97</v>
      </c>
      <c r="AE9" s="1793">
        <v>104</v>
      </c>
      <c r="AF9" s="1793">
        <v>98</v>
      </c>
      <c r="AG9" s="1793">
        <v>99</v>
      </c>
      <c r="AH9" s="1793">
        <v>92.566607439999999</v>
      </c>
      <c r="AI9" s="1793">
        <v>102.39047675</v>
      </c>
      <c r="AJ9" s="1793">
        <v>99.877142500000005</v>
      </c>
      <c r="AK9" s="1793">
        <v>101.8499003</v>
      </c>
      <c r="AL9" s="1793">
        <v>153.47649256</v>
      </c>
      <c r="AM9" s="1793">
        <v>211.66970603999999</v>
      </c>
      <c r="AN9" s="1793">
        <v>160.71016800000001</v>
      </c>
      <c r="AO9" s="1793">
        <v>214.57063902000002</v>
      </c>
      <c r="AP9" s="1793">
        <v>62.378458299999998</v>
      </c>
      <c r="AQ9" s="1793">
        <v>109.51042548999999</v>
      </c>
      <c r="AR9" s="1793">
        <v>161.05729466</v>
      </c>
      <c r="AS9" s="1793">
        <v>201.76117211000002</v>
      </c>
    </row>
    <row r="10" spans="1:45" s="1790" customFormat="1" x14ac:dyDescent="0.3">
      <c r="A10" s="1791" t="s">
        <v>3506</v>
      </c>
      <c r="B10" s="1792">
        <v>128.62386851999997</v>
      </c>
      <c r="C10" s="1793">
        <v>137</v>
      </c>
      <c r="D10" s="1793">
        <v>110</v>
      </c>
      <c r="E10" s="1793">
        <v>110</v>
      </c>
      <c r="F10" s="1793">
        <v>118</v>
      </c>
      <c r="G10" s="1793">
        <v>117</v>
      </c>
      <c r="H10" s="1793">
        <v>123</v>
      </c>
      <c r="I10" s="1793">
        <v>100</v>
      </c>
      <c r="J10" s="1793">
        <v>107.40767704</v>
      </c>
      <c r="K10" s="1793">
        <v>113</v>
      </c>
      <c r="L10" s="1793">
        <v>112</v>
      </c>
      <c r="M10" s="1793">
        <v>120</v>
      </c>
      <c r="N10" s="1793">
        <v>114</v>
      </c>
      <c r="O10" s="1793">
        <v>123</v>
      </c>
      <c r="P10" s="1793">
        <v>118</v>
      </c>
      <c r="Q10" s="1793">
        <v>113</v>
      </c>
      <c r="R10" s="1793">
        <v>116</v>
      </c>
      <c r="S10" s="1793">
        <v>117</v>
      </c>
      <c r="T10" s="1793">
        <v>114</v>
      </c>
      <c r="U10" s="1793">
        <v>119</v>
      </c>
      <c r="V10" s="1793">
        <v>133</v>
      </c>
      <c r="W10" s="1793">
        <v>119</v>
      </c>
      <c r="X10" s="1793">
        <v>119</v>
      </c>
      <c r="Y10" s="1793">
        <v>129</v>
      </c>
      <c r="Z10" s="1793">
        <v>131</v>
      </c>
      <c r="AA10" s="1793">
        <v>150</v>
      </c>
      <c r="AB10" s="1793">
        <v>130</v>
      </c>
      <c r="AC10" s="1793">
        <v>154</v>
      </c>
      <c r="AD10" s="1793">
        <v>97</v>
      </c>
      <c r="AE10" s="1793">
        <v>134</v>
      </c>
      <c r="AF10" s="1793">
        <v>160</v>
      </c>
      <c r="AG10" s="1793">
        <v>120</v>
      </c>
      <c r="AH10" s="1793">
        <v>118.40170928000001</v>
      </c>
      <c r="AI10" s="1793">
        <v>168.69834793000001</v>
      </c>
      <c r="AJ10" s="1793">
        <v>223.11356268</v>
      </c>
      <c r="AK10" s="1793">
        <v>86.63278351999999</v>
      </c>
      <c r="AL10" s="1793">
        <v>74.474465209999991</v>
      </c>
      <c r="AM10" s="1793">
        <v>77.644437940000003</v>
      </c>
      <c r="AN10" s="1793">
        <v>72.213509049999985</v>
      </c>
      <c r="AO10" s="1793">
        <v>77.360018639999993</v>
      </c>
      <c r="AP10" s="1793">
        <v>61.277563280000003</v>
      </c>
      <c r="AQ10" s="1793">
        <v>64.532498489999995</v>
      </c>
      <c r="AR10" s="1793">
        <v>69.151877229999997</v>
      </c>
      <c r="AS10" s="1793">
        <v>80.410574150000002</v>
      </c>
    </row>
    <row r="11" spans="1:45" s="1790" customFormat="1" x14ac:dyDescent="0.3">
      <c r="A11" s="1791"/>
      <c r="B11" s="1792"/>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v>0</v>
      </c>
      <c r="AO11" s="1793"/>
      <c r="AP11" s="1793"/>
      <c r="AQ11" s="1793"/>
      <c r="AR11" s="1793"/>
      <c r="AS11" s="1793"/>
    </row>
    <row r="12" spans="1:45" s="1790" customFormat="1" x14ac:dyDescent="0.3">
      <c r="A12" s="1794" t="s">
        <v>3507</v>
      </c>
      <c r="B12" s="1795">
        <v>320.96768046000011</v>
      </c>
      <c r="C12" s="1796">
        <v>355</v>
      </c>
      <c r="D12" s="1796">
        <f>D6+D8</f>
        <v>340.01905119000003</v>
      </c>
      <c r="E12" s="1796">
        <f>E6+E8</f>
        <v>352</v>
      </c>
      <c r="F12" s="1796">
        <f>F6+F8</f>
        <v>358</v>
      </c>
      <c r="G12" s="1796">
        <v>356</v>
      </c>
      <c r="H12" s="1796">
        <f>H6+H8</f>
        <v>376</v>
      </c>
      <c r="I12" s="1796">
        <f>I6+I8</f>
        <v>348</v>
      </c>
      <c r="J12" s="1796">
        <v>350.91880953999987</v>
      </c>
      <c r="K12" s="1796">
        <v>359</v>
      </c>
      <c r="L12" s="1796">
        <f>L6+L8</f>
        <v>369</v>
      </c>
      <c r="M12" s="1796">
        <f>M6+M8</f>
        <v>363</v>
      </c>
      <c r="N12" s="1796">
        <f>N6+N8</f>
        <v>370</v>
      </c>
      <c r="O12" s="1796">
        <f>O6+O8</f>
        <v>372</v>
      </c>
      <c r="P12" s="1796">
        <v>373</v>
      </c>
      <c r="Q12" s="1796">
        <v>382</v>
      </c>
      <c r="R12" s="1796">
        <f>R6+R8</f>
        <v>373</v>
      </c>
      <c r="S12" s="1796">
        <f>S6+S8</f>
        <v>393</v>
      </c>
      <c r="T12" s="1796">
        <v>370</v>
      </c>
      <c r="U12" s="1796">
        <f>U6+U8</f>
        <v>385</v>
      </c>
      <c r="V12" s="1796">
        <v>399.62743227725207</v>
      </c>
      <c r="W12" s="1796">
        <v>395.11550492702952</v>
      </c>
      <c r="X12" s="1796">
        <v>423</v>
      </c>
      <c r="Y12" s="1796">
        <v>451</v>
      </c>
      <c r="Z12" s="1796">
        <v>436</v>
      </c>
      <c r="AA12" s="1796">
        <v>471</v>
      </c>
      <c r="AB12" s="1796">
        <v>471</v>
      </c>
      <c r="AC12" s="1796">
        <v>511</v>
      </c>
      <c r="AD12" s="1796">
        <v>488</v>
      </c>
      <c r="AE12" s="1796">
        <v>485</v>
      </c>
      <c r="AF12" s="1796">
        <v>516</v>
      </c>
      <c r="AG12" s="1796">
        <v>502</v>
      </c>
      <c r="AH12" s="1796">
        <f>AH6+AH8</f>
        <v>504.17018267000003</v>
      </c>
      <c r="AI12" s="1796">
        <f>AI6+AI8</f>
        <v>607.70251600000006</v>
      </c>
      <c r="AJ12" s="1796">
        <f>AJ6+AJ8</f>
        <v>711.71539970999993</v>
      </c>
      <c r="AK12" s="1796">
        <f>AK6+AK8</f>
        <v>793.94031993999988</v>
      </c>
      <c r="AL12" s="1796">
        <v>589.41170798000007</v>
      </c>
      <c r="AM12" s="1796">
        <v>688.16905741999994</v>
      </c>
      <c r="AN12" s="1796">
        <v>343.29646531000003</v>
      </c>
      <c r="AO12" s="1796">
        <v>415.60424514000005</v>
      </c>
      <c r="AP12" s="1796">
        <v>189.33884838</v>
      </c>
      <c r="AQ12" s="1796">
        <v>266.22080845999994</v>
      </c>
      <c r="AR12" s="1796">
        <v>359.29710747999997</v>
      </c>
      <c r="AS12" s="1796">
        <v>438.2031804500001</v>
      </c>
    </row>
    <row r="13" spans="1:45" s="1790" customFormat="1" x14ac:dyDescent="0.3">
      <c r="A13" s="1794"/>
      <c r="B13" s="1792"/>
      <c r="C13" s="1793"/>
      <c r="D13" s="1793"/>
      <c r="E13" s="1793"/>
      <c r="F13" s="1793"/>
      <c r="G13" s="1793"/>
      <c r="H13" s="1793"/>
      <c r="I13" s="1793"/>
      <c r="J13" s="1793"/>
      <c r="K13" s="1793"/>
      <c r="L13" s="1793"/>
      <c r="M13" s="1793"/>
      <c r="N13" s="1793"/>
      <c r="O13" s="1793"/>
      <c r="P13" s="1793"/>
      <c r="Q13" s="1793"/>
      <c r="R13" s="1793"/>
      <c r="S13" s="1793"/>
      <c r="T13" s="1793"/>
      <c r="U13" s="1793"/>
      <c r="V13" s="1793"/>
      <c r="W13" s="1793"/>
      <c r="X13" s="1793"/>
      <c r="Y13" s="1793"/>
      <c r="Z13" s="1793"/>
      <c r="AA13" s="1793"/>
      <c r="AB13" s="1793"/>
      <c r="AC13" s="1793"/>
      <c r="AD13" s="1793"/>
      <c r="AE13" s="1793"/>
      <c r="AF13" s="1793"/>
      <c r="AG13" s="1793"/>
      <c r="AH13" s="1793"/>
      <c r="AI13" s="1793"/>
      <c r="AJ13" s="1793"/>
      <c r="AK13" s="1793"/>
      <c r="AL13" s="1793"/>
      <c r="AM13" s="1793"/>
      <c r="AN13" s="1793">
        <v>0</v>
      </c>
      <c r="AO13" s="1793"/>
      <c r="AP13" s="1793"/>
      <c r="AQ13" s="1793"/>
      <c r="AR13" s="1793"/>
      <c r="AS13" s="1793"/>
    </row>
    <row r="14" spans="1:45" s="1790" customFormat="1" x14ac:dyDescent="0.3">
      <c r="A14" s="1794" t="s">
        <v>3508</v>
      </c>
      <c r="B14" s="1795">
        <v>209.14297093000002</v>
      </c>
      <c r="C14" s="1796">
        <v>244</v>
      </c>
      <c r="D14" s="1796">
        <f>D15+D16</f>
        <v>231</v>
      </c>
      <c r="E14" s="1796">
        <f>E15+E16</f>
        <v>241</v>
      </c>
      <c r="F14" s="1796">
        <f>F15+F16</f>
        <v>251</v>
      </c>
      <c r="G14" s="1796">
        <v>240</v>
      </c>
      <c r="H14" s="1796">
        <f>H15+H16</f>
        <v>246</v>
      </c>
      <c r="I14" s="1796">
        <f>I15+I16</f>
        <v>225</v>
      </c>
      <c r="J14" s="1796">
        <v>223.43907991</v>
      </c>
      <c r="K14" s="1796">
        <v>240</v>
      </c>
      <c r="L14" s="1796">
        <f>L15+L16</f>
        <v>243</v>
      </c>
      <c r="M14" s="1796">
        <f>M15+M16</f>
        <v>220</v>
      </c>
      <c r="N14" s="1796">
        <f>N15+N16</f>
        <v>246</v>
      </c>
      <c r="O14" s="1796">
        <f>O15+O16</f>
        <v>239</v>
      </c>
      <c r="P14" s="1796">
        <v>246</v>
      </c>
      <c r="Q14" s="1796">
        <v>248</v>
      </c>
      <c r="R14" s="1796">
        <f>R15+R16</f>
        <v>247</v>
      </c>
      <c r="S14" s="1796">
        <f>S15+S16</f>
        <v>265</v>
      </c>
      <c r="T14" s="1796">
        <v>273</v>
      </c>
      <c r="U14" s="1796">
        <f>U15+U16</f>
        <v>277</v>
      </c>
      <c r="V14" s="1796">
        <v>310.5876818328307</v>
      </c>
      <c r="W14" s="1796">
        <v>263</v>
      </c>
      <c r="X14" s="1796">
        <v>289</v>
      </c>
      <c r="Y14" s="1796">
        <v>291</v>
      </c>
      <c r="Z14" s="1796">
        <v>304</v>
      </c>
      <c r="AA14" s="1796">
        <v>305</v>
      </c>
      <c r="AB14" s="1796">
        <v>341</v>
      </c>
      <c r="AC14" s="1796">
        <v>315</v>
      </c>
      <c r="AD14" s="1796">
        <v>327</v>
      </c>
      <c r="AE14" s="1796">
        <v>322</v>
      </c>
      <c r="AF14" s="1796">
        <v>331</v>
      </c>
      <c r="AG14" s="1796">
        <v>328</v>
      </c>
      <c r="AH14" s="1796">
        <f>AH15+AH16</f>
        <v>344</v>
      </c>
      <c r="AI14" s="1796">
        <f>AI15+AI16</f>
        <v>405.90323859</v>
      </c>
      <c r="AJ14" s="1796">
        <f>AJ15+AJ16</f>
        <v>470.28197757999999</v>
      </c>
      <c r="AK14" s="1796">
        <f>AK15+AK16</f>
        <v>532.04234343999997</v>
      </c>
      <c r="AL14" s="1796">
        <v>398.55719883</v>
      </c>
      <c r="AM14" s="1796">
        <v>463.82865828000001</v>
      </c>
      <c r="AN14" s="1796">
        <v>262.707158746</v>
      </c>
      <c r="AO14" s="1796">
        <v>320.64548165999997</v>
      </c>
      <c r="AP14" s="1796">
        <v>137.57623566000001</v>
      </c>
      <c r="AQ14" s="1796">
        <v>187.92603947000001</v>
      </c>
      <c r="AR14" s="1796">
        <v>263.02101099999999</v>
      </c>
      <c r="AS14" s="1796">
        <v>295.69985015000003</v>
      </c>
    </row>
    <row r="15" spans="1:45" s="1790" customFormat="1" x14ac:dyDescent="0.3">
      <c r="A15" s="1791" t="s">
        <v>3509</v>
      </c>
      <c r="B15" s="1792">
        <v>61.287354260000001</v>
      </c>
      <c r="C15" s="1793">
        <v>66</v>
      </c>
      <c r="D15" s="1793">
        <v>64</v>
      </c>
      <c r="E15" s="1793">
        <v>67</v>
      </c>
      <c r="F15" s="1793">
        <v>73</v>
      </c>
      <c r="G15" s="1793">
        <v>68</v>
      </c>
      <c r="H15" s="1793">
        <v>71</v>
      </c>
      <c r="I15" s="1793">
        <v>59</v>
      </c>
      <c r="J15" s="1793">
        <v>56.377752529999903</v>
      </c>
      <c r="K15" s="1793">
        <v>64</v>
      </c>
      <c r="L15" s="1793">
        <v>65</v>
      </c>
      <c r="M15" s="1793">
        <v>64</v>
      </c>
      <c r="N15" s="1793">
        <v>61</v>
      </c>
      <c r="O15" s="1793">
        <v>65</v>
      </c>
      <c r="P15" s="1793">
        <v>68</v>
      </c>
      <c r="Q15" s="1793">
        <v>66</v>
      </c>
      <c r="R15" s="1793">
        <v>70</v>
      </c>
      <c r="S15" s="1793">
        <v>71</v>
      </c>
      <c r="T15" s="1793">
        <v>91</v>
      </c>
      <c r="U15" s="1793">
        <v>88</v>
      </c>
      <c r="V15" s="1793">
        <v>74.79489670000001</v>
      </c>
      <c r="W15" s="1793">
        <v>66</v>
      </c>
      <c r="X15" s="1793">
        <v>82</v>
      </c>
      <c r="Y15" s="1793">
        <v>85</v>
      </c>
      <c r="Z15" s="1793">
        <v>90</v>
      </c>
      <c r="AA15" s="1793">
        <v>91</v>
      </c>
      <c r="AB15" s="1793">
        <v>101</v>
      </c>
      <c r="AC15" s="1793">
        <v>97</v>
      </c>
      <c r="AD15" s="1793">
        <v>99</v>
      </c>
      <c r="AE15" s="1793">
        <v>102</v>
      </c>
      <c r="AF15" s="1793">
        <v>110</v>
      </c>
      <c r="AG15" s="1793">
        <v>123</v>
      </c>
      <c r="AH15" s="1793">
        <v>131</v>
      </c>
      <c r="AI15" s="1793">
        <v>138.60010142000002</v>
      </c>
      <c r="AJ15" s="1793">
        <v>153.41401752000002</v>
      </c>
      <c r="AK15" s="1793">
        <v>160.19509493000001</v>
      </c>
      <c r="AL15" s="1793">
        <v>131.90624733999999</v>
      </c>
      <c r="AM15" s="1793">
        <v>160.64252921000002</v>
      </c>
      <c r="AN15" s="1793">
        <v>54.364287779999998</v>
      </c>
      <c r="AO15" s="1793">
        <v>63.185571780000004</v>
      </c>
      <c r="AP15" s="1793">
        <v>32.005464539999998</v>
      </c>
      <c r="AQ15" s="1793">
        <v>44.184956179999993</v>
      </c>
      <c r="AR15" s="1793">
        <v>54.898523329999996</v>
      </c>
      <c r="AS15" s="1793">
        <v>61.768729630000003</v>
      </c>
    </row>
    <row r="16" spans="1:45" s="1790" customFormat="1" x14ac:dyDescent="0.3">
      <c r="A16" s="1791" t="s">
        <v>3510</v>
      </c>
      <c r="B16" s="1792">
        <v>147.85561667000002</v>
      </c>
      <c r="C16" s="1793">
        <v>178</v>
      </c>
      <c r="D16" s="1793">
        <v>167</v>
      </c>
      <c r="E16" s="1793">
        <v>174</v>
      </c>
      <c r="F16" s="1793">
        <v>178</v>
      </c>
      <c r="G16" s="1793">
        <v>172</v>
      </c>
      <c r="H16" s="1793">
        <v>175</v>
      </c>
      <c r="I16" s="1793">
        <v>166</v>
      </c>
      <c r="J16" s="1793">
        <v>167.06132738000011</v>
      </c>
      <c r="K16" s="1793">
        <v>176</v>
      </c>
      <c r="L16" s="1793">
        <v>178</v>
      </c>
      <c r="M16" s="1793">
        <v>156</v>
      </c>
      <c r="N16" s="1793">
        <v>185</v>
      </c>
      <c r="O16" s="1793">
        <v>174</v>
      </c>
      <c r="P16" s="1793">
        <v>178</v>
      </c>
      <c r="Q16" s="1793">
        <v>182</v>
      </c>
      <c r="R16" s="1793">
        <v>177</v>
      </c>
      <c r="S16" s="1793">
        <v>194</v>
      </c>
      <c r="T16" s="1793">
        <v>182</v>
      </c>
      <c r="U16" s="1793">
        <v>189</v>
      </c>
      <c r="V16" s="1793">
        <v>235.79278513283069</v>
      </c>
      <c r="W16" s="1793">
        <v>196.98818191637574</v>
      </c>
      <c r="X16" s="1793">
        <v>207</v>
      </c>
      <c r="Y16" s="1793">
        <v>206</v>
      </c>
      <c r="Z16" s="1793">
        <v>214</v>
      </c>
      <c r="AA16" s="1793">
        <v>214</v>
      </c>
      <c r="AB16" s="1793">
        <v>240</v>
      </c>
      <c r="AC16" s="1793">
        <v>218</v>
      </c>
      <c r="AD16" s="1793">
        <v>228</v>
      </c>
      <c r="AE16" s="1793">
        <v>220</v>
      </c>
      <c r="AF16" s="1793">
        <v>221</v>
      </c>
      <c r="AG16" s="1793">
        <v>205</v>
      </c>
      <c r="AH16" s="1793">
        <v>213</v>
      </c>
      <c r="AI16" s="1793">
        <v>267.30313717000001</v>
      </c>
      <c r="AJ16" s="1793">
        <v>316.86796005999997</v>
      </c>
      <c r="AK16" s="1793">
        <v>371.84724850999999</v>
      </c>
      <c r="AL16" s="1793">
        <v>266.65095149000001</v>
      </c>
      <c r="AM16" s="1793">
        <v>303.18612906999999</v>
      </c>
      <c r="AN16" s="1793">
        <v>208.34287096600002</v>
      </c>
      <c r="AO16" s="1793">
        <v>257.45990988</v>
      </c>
      <c r="AP16" s="1793">
        <v>105.57077112</v>
      </c>
      <c r="AQ16" s="1793">
        <v>143.74108329000001</v>
      </c>
      <c r="AR16" s="1793">
        <v>208.12248767</v>
      </c>
      <c r="AS16" s="1793">
        <v>233.93112052000001</v>
      </c>
    </row>
    <row r="17" spans="1:45" s="1790" customFormat="1" x14ac:dyDescent="0.3">
      <c r="A17" s="1791"/>
      <c r="B17" s="1792"/>
      <c r="C17" s="1793"/>
      <c r="D17" s="1793"/>
      <c r="E17" s="1793"/>
      <c r="F17" s="1793"/>
      <c r="G17" s="1793"/>
      <c r="H17" s="1793"/>
      <c r="I17" s="1793"/>
      <c r="J17" s="1793"/>
      <c r="K17" s="1793"/>
      <c r="L17" s="1793"/>
      <c r="M17" s="1793"/>
      <c r="N17" s="1793"/>
      <c r="O17" s="1793"/>
      <c r="P17" s="1793"/>
      <c r="Q17" s="1793"/>
      <c r="R17" s="1793"/>
      <c r="S17" s="1793"/>
      <c r="T17" s="1793"/>
      <c r="U17" s="1793"/>
      <c r="V17" s="1793"/>
      <c r="W17" s="1793"/>
      <c r="X17" s="1793"/>
      <c r="Y17" s="1793"/>
      <c r="Z17" s="1793"/>
      <c r="AA17" s="1793"/>
      <c r="AB17" s="1793"/>
      <c r="AC17" s="1793"/>
      <c r="AD17" s="1793"/>
      <c r="AE17" s="1793"/>
      <c r="AF17" s="1793"/>
      <c r="AG17" s="1793"/>
      <c r="AH17" s="1793"/>
      <c r="AI17" s="1793"/>
      <c r="AJ17" s="1793"/>
      <c r="AK17" s="1793"/>
      <c r="AL17" s="1793"/>
      <c r="AM17" s="1793"/>
      <c r="AN17" s="1793">
        <v>0</v>
      </c>
      <c r="AO17" s="1793"/>
      <c r="AP17" s="1793"/>
      <c r="AQ17" s="1793"/>
      <c r="AR17" s="1793"/>
      <c r="AS17" s="1793"/>
    </row>
    <row r="18" spans="1:45" s="1790" customFormat="1" x14ac:dyDescent="0.3">
      <c r="A18" s="1794" t="s">
        <v>3511</v>
      </c>
      <c r="B18" s="1795">
        <v>111.82470953000009</v>
      </c>
      <c r="C18" s="1796">
        <v>111</v>
      </c>
      <c r="D18" s="1796">
        <f>D12-D14</f>
        <v>109.01905119000003</v>
      </c>
      <c r="E18" s="1796">
        <f>E12-E14</f>
        <v>111</v>
      </c>
      <c r="F18" s="1796">
        <f>F12-F14</f>
        <v>107</v>
      </c>
      <c r="G18" s="1796">
        <v>116</v>
      </c>
      <c r="H18" s="1796">
        <f>H12-H14</f>
        <v>130</v>
      </c>
      <c r="I18" s="1796">
        <f>I12-I14</f>
        <v>123</v>
      </c>
      <c r="J18" s="1796">
        <v>128</v>
      </c>
      <c r="K18" s="1796">
        <v>119</v>
      </c>
      <c r="L18" s="1796">
        <f>L12-L14</f>
        <v>126</v>
      </c>
      <c r="M18" s="1796">
        <f>M12-M14</f>
        <v>143</v>
      </c>
      <c r="N18" s="1796">
        <f>N12-N14</f>
        <v>124</v>
      </c>
      <c r="O18" s="1796">
        <f>O12-O14</f>
        <v>133</v>
      </c>
      <c r="P18" s="1796">
        <v>127</v>
      </c>
      <c r="Q18" s="1796">
        <v>134</v>
      </c>
      <c r="R18" s="1796">
        <f>R12-R14</f>
        <v>126</v>
      </c>
      <c r="S18" s="1796">
        <f>S12-S14</f>
        <v>128</v>
      </c>
      <c r="T18" s="1796">
        <v>97</v>
      </c>
      <c r="U18" s="1796">
        <f>U12-U14</f>
        <v>108</v>
      </c>
      <c r="V18" s="1796">
        <v>89.039750444421372</v>
      </c>
      <c r="W18" s="1796">
        <v>131.50715414465378</v>
      </c>
      <c r="X18" s="1796">
        <v>134</v>
      </c>
      <c r="Y18" s="1796">
        <v>160</v>
      </c>
      <c r="Z18" s="1796">
        <v>132</v>
      </c>
      <c r="AA18" s="1796">
        <v>166</v>
      </c>
      <c r="AB18" s="1796">
        <v>130</v>
      </c>
      <c r="AC18" s="1796">
        <v>196</v>
      </c>
      <c r="AD18" s="1796">
        <v>161</v>
      </c>
      <c r="AE18" s="1796">
        <v>163</v>
      </c>
      <c r="AF18" s="1796">
        <v>185</v>
      </c>
      <c r="AG18" s="1796">
        <v>174</v>
      </c>
      <c r="AH18" s="1796">
        <f>AH12-AH14</f>
        <v>160.17018267000003</v>
      </c>
      <c r="AI18" s="1796">
        <f>AI12-AI14</f>
        <v>201.79927741000006</v>
      </c>
      <c r="AJ18" s="1796">
        <f>AJ12-AJ14</f>
        <v>241.43342212999994</v>
      </c>
      <c r="AK18" s="1796">
        <f>AK12-AK14</f>
        <v>261.89797649999991</v>
      </c>
      <c r="AL18" s="1796">
        <v>190.85450915000007</v>
      </c>
      <c r="AM18" s="1796">
        <v>224.34039913999993</v>
      </c>
      <c r="AN18" s="1796">
        <v>80.589306563999969</v>
      </c>
      <c r="AO18" s="1796">
        <v>94.958763480000073</v>
      </c>
      <c r="AP18" s="1796">
        <v>51.762612719999993</v>
      </c>
      <c r="AQ18" s="1796">
        <v>78.294768989999938</v>
      </c>
      <c r="AR18" s="1796">
        <v>96.276096479999978</v>
      </c>
      <c r="AS18" s="1796">
        <v>142.50333030000007</v>
      </c>
    </row>
    <row r="19" spans="1:45" s="1790" customFormat="1" x14ac:dyDescent="0.3">
      <c r="A19" s="1791"/>
      <c r="B19" s="1792"/>
      <c r="C19" s="1793"/>
      <c r="D19" s="1793"/>
      <c r="E19" s="1793"/>
      <c r="F19" s="1793"/>
      <c r="G19" s="1793"/>
      <c r="H19" s="1793"/>
      <c r="I19" s="1793"/>
      <c r="J19" s="1793"/>
      <c r="K19" s="1793"/>
      <c r="L19" s="1793"/>
      <c r="M19" s="1793"/>
      <c r="N19" s="1793"/>
      <c r="O19" s="1793"/>
      <c r="P19" s="1793"/>
      <c r="Q19" s="1793"/>
      <c r="R19" s="1793"/>
      <c r="S19" s="1793"/>
      <c r="T19" s="1793"/>
      <c r="U19" s="1793"/>
      <c r="V19" s="1793"/>
      <c r="W19" s="1793"/>
      <c r="X19" s="1793"/>
      <c r="Y19" s="1793"/>
      <c r="Z19" s="1793"/>
      <c r="AA19" s="1793"/>
      <c r="AB19" s="1793"/>
      <c r="AC19" s="1793"/>
      <c r="AD19" s="1793"/>
      <c r="AE19" s="1793"/>
      <c r="AF19" s="1793"/>
      <c r="AG19" s="1793"/>
      <c r="AH19" s="1793"/>
      <c r="AI19" s="1793"/>
      <c r="AJ19" s="1793"/>
      <c r="AK19" s="1793"/>
      <c r="AL19" s="1793"/>
      <c r="AM19" s="1793"/>
      <c r="AN19" s="1793">
        <v>0</v>
      </c>
      <c r="AO19" s="1793"/>
      <c r="AP19" s="1793"/>
      <c r="AQ19" s="1793"/>
      <c r="AR19" s="1793"/>
      <c r="AS19" s="1793"/>
    </row>
    <row r="20" spans="1:45" s="1790" customFormat="1" x14ac:dyDescent="0.3">
      <c r="A20" s="1791" t="s">
        <v>3512</v>
      </c>
      <c r="B20" s="1792">
        <v>26.476855660000002</v>
      </c>
      <c r="C20" s="1793">
        <v>34</v>
      </c>
      <c r="D20" s="1793">
        <v>14</v>
      </c>
      <c r="E20" s="1793">
        <v>50</v>
      </c>
      <c r="F20" s="1793">
        <v>22</v>
      </c>
      <c r="G20" s="1793">
        <v>13</v>
      </c>
      <c r="H20" s="1793">
        <v>17</v>
      </c>
      <c r="I20" s="1793">
        <v>17</v>
      </c>
      <c r="J20" s="1793">
        <v>13.67015</v>
      </c>
      <c r="K20" s="1793">
        <v>22</v>
      </c>
      <c r="L20" s="1793">
        <v>17</v>
      </c>
      <c r="M20" s="1793">
        <v>17</v>
      </c>
      <c r="N20" s="1793">
        <v>12</v>
      </c>
      <c r="O20" s="1793">
        <v>31</v>
      </c>
      <c r="P20" s="1793">
        <v>17</v>
      </c>
      <c r="Q20" s="1793">
        <v>7</v>
      </c>
      <c r="R20" s="1797">
        <v>0.4</v>
      </c>
      <c r="S20" s="1793">
        <v>10</v>
      </c>
      <c r="T20" s="1793">
        <v>30</v>
      </c>
      <c r="U20" s="1793">
        <v>5</v>
      </c>
      <c r="V20" s="1793">
        <v>-21.500401710000002</v>
      </c>
      <c r="W20" s="1793">
        <v>62.864840700000002</v>
      </c>
      <c r="X20" s="1793">
        <v>115</v>
      </c>
      <c r="Y20" s="1793">
        <v>73</v>
      </c>
      <c r="Z20" s="1793">
        <v>59</v>
      </c>
      <c r="AA20" s="1793">
        <v>56</v>
      </c>
      <c r="AB20" s="1793">
        <v>56</v>
      </c>
      <c r="AC20" s="1793">
        <v>74</v>
      </c>
      <c r="AD20" s="1793">
        <v>72</v>
      </c>
      <c r="AE20" s="1793">
        <v>81</v>
      </c>
      <c r="AF20" s="1793">
        <v>84</v>
      </c>
      <c r="AG20" s="1793">
        <v>53</v>
      </c>
      <c r="AH20" s="1793">
        <v>47</v>
      </c>
      <c r="AI20" s="1793">
        <v>61.826489909999999</v>
      </c>
      <c r="AJ20" s="1793">
        <v>52.6</v>
      </c>
      <c r="AK20" s="1793">
        <v>55.893227600000003</v>
      </c>
      <c r="AL20" s="1793">
        <v>38.033402680000002</v>
      </c>
      <c r="AM20" s="1793">
        <v>57.155543999999999</v>
      </c>
      <c r="AN20" s="1793">
        <v>8.9351128499999994</v>
      </c>
      <c r="AO20" s="1793">
        <v>20.333593710000002</v>
      </c>
      <c r="AP20" s="1793">
        <v>21.44578881</v>
      </c>
      <c r="AQ20" s="1793">
        <v>5.6639371000000001</v>
      </c>
      <c r="AR20" s="1793">
        <v>24.300773660000001</v>
      </c>
      <c r="AS20" s="1793">
        <v>24.023468999999999</v>
      </c>
    </row>
    <row r="21" spans="1:45" s="1790" customFormat="1" x14ac:dyDescent="0.3">
      <c r="A21" s="1791"/>
      <c r="B21" s="1792"/>
      <c r="C21" s="1793"/>
      <c r="D21" s="1793"/>
      <c r="E21" s="1793"/>
      <c r="F21" s="1793"/>
      <c r="G21" s="1793"/>
      <c r="H21" s="1793"/>
      <c r="I21" s="1793"/>
      <c r="J21" s="1793"/>
      <c r="K21" s="1793"/>
      <c r="L21" s="1793"/>
      <c r="M21" s="1793"/>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c r="AL21" s="1793"/>
      <c r="AM21" s="1793"/>
      <c r="AN21" s="1793">
        <v>0</v>
      </c>
      <c r="AO21" s="1793"/>
      <c r="AP21" s="1793"/>
      <c r="AQ21" s="1793"/>
      <c r="AR21" s="1793"/>
      <c r="AS21" s="1793"/>
    </row>
    <row r="22" spans="1:45" s="1790" customFormat="1" x14ac:dyDescent="0.3">
      <c r="A22" s="1794" t="s">
        <v>3513</v>
      </c>
      <c r="B22" s="1795">
        <v>86</v>
      </c>
      <c r="C22" s="1796">
        <v>77</v>
      </c>
      <c r="D22" s="1796">
        <f>D18-D20</f>
        <v>95.019051190000027</v>
      </c>
      <c r="E22" s="1796">
        <f>E18-E20</f>
        <v>61</v>
      </c>
      <c r="F22" s="1796">
        <f>F18-F20</f>
        <v>85</v>
      </c>
      <c r="G22" s="1796">
        <v>103</v>
      </c>
      <c r="H22" s="1796">
        <f>H18-H20</f>
        <v>113</v>
      </c>
      <c r="I22" s="1796">
        <f>I18-I20</f>
        <v>106</v>
      </c>
      <c r="J22" s="1796">
        <v>114.32984999999999</v>
      </c>
      <c r="K22" s="1796">
        <v>97</v>
      </c>
      <c r="L22" s="1796">
        <f>L18-L20</f>
        <v>109</v>
      </c>
      <c r="M22" s="1796">
        <f>M18-M20</f>
        <v>126</v>
      </c>
      <c r="N22" s="1796">
        <f>N18-N20</f>
        <v>112</v>
      </c>
      <c r="O22" s="1796">
        <f>O18-O20</f>
        <v>102</v>
      </c>
      <c r="P22" s="1796">
        <v>110</v>
      </c>
      <c r="Q22" s="1796">
        <v>127</v>
      </c>
      <c r="R22" s="1796">
        <f>R18-R20</f>
        <v>125.6</v>
      </c>
      <c r="S22" s="1796">
        <f>S18-S20</f>
        <v>118</v>
      </c>
      <c r="T22" s="1796">
        <v>67</v>
      </c>
      <c r="U22" s="1796">
        <f>U18-U20</f>
        <v>103</v>
      </c>
      <c r="V22" s="1796">
        <v>110.54015215442138</v>
      </c>
      <c r="W22" s="1796">
        <v>68.64231344465378</v>
      </c>
      <c r="X22" s="1796">
        <v>20</v>
      </c>
      <c r="Y22" s="1796">
        <v>87</v>
      </c>
      <c r="Z22" s="1796">
        <v>73</v>
      </c>
      <c r="AA22" s="1796">
        <v>110</v>
      </c>
      <c r="AB22" s="1796">
        <v>74</v>
      </c>
      <c r="AC22" s="1796">
        <v>122</v>
      </c>
      <c r="AD22" s="1796">
        <v>89</v>
      </c>
      <c r="AE22" s="1796">
        <v>82</v>
      </c>
      <c r="AF22" s="1796">
        <v>101</v>
      </c>
      <c r="AG22" s="1796">
        <v>121</v>
      </c>
      <c r="AH22" s="1796">
        <f>AH18-AH20</f>
        <v>113.17018267000003</v>
      </c>
      <c r="AI22" s="1796">
        <f>AI18-AI20</f>
        <v>139.97278750000007</v>
      </c>
      <c r="AJ22" s="1796">
        <f>AJ18-AJ20</f>
        <v>188.83342212999995</v>
      </c>
      <c r="AK22" s="1796">
        <f>AK18-AK20</f>
        <v>206.00474889999992</v>
      </c>
      <c r="AL22" s="1796">
        <v>152.82110647000007</v>
      </c>
      <c r="AM22" s="1796">
        <v>167.18485513999994</v>
      </c>
      <c r="AN22" s="1796">
        <v>71.654193713999973</v>
      </c>
      <c r="AO22" s="1796">
        <v>74.62516977000007</v>
      </c>
      <c r="AP22" s="1796">
        <v>30.316823909999993</v>
      </c>
      <c r="AQ22" s="1796">
        <v>72.630831889999939</v>
      </c>
      <c r="AR22" s="1796">
        <v>71.975322819999974</v>
      </c>
      <c r="AS22" s="1796">
        <v>118.47986130000007</v>
      </c>
    </row>
    <row r="23" spans="1:45" s="1790" customFormat="1" x14ac:dyDescent="0.3">
      <c r="A23" s="1791"/>
      <c r="B23" s="1792"/>
      <c r="C23" s="1793"/>
      <c r="D23" s="1793"/>
      <c r="E23" s="1793"/>
      <c r="F23" s="1793"/>
      <c r="G23" s="1793"/>
      <c r="H23" s="1793"/>
      <c r="I23" s="1793"/>
      <c r="J23" s="1793"/>
      <c r="K23" s="1793"/>
      <c r="L23" s="1793"/>
      <c r="M23" s="1793"/>
      <c r="N23" s="1793"/>
      <c r="O23" s="1793"/>
      <c r="P23" s="1793"/>
      <c r="Q23" s="1793"/>
      <c r="R23" s="1793"/>
      <c r="S23" s="1793"/>
      <c r="T23" s="1793"/>
      <c r="U23" s="1793"/>
      <c r="V23" s="1793"/>
      <c r="W23" s="1793"/>
      <c r="X23" s="1793"/>
      <c r="Y23" s="1793"/>
      <c r="Z23" s="1793"/>
      <c r="AA23" s="1793"/>
      <c r="AB23" s="1793"/>
      <c r="AC23" s="1793"/>
      <c r="AD23" s="1793"/>
      <c r="AE23" s="1793"/>
      <c r="AF23" s="1793"/>
      <c r="AG23" s="1793"/>
      <c r="AH23" s="1793"/>
      <c r="AI23" s="1793"/>
      <c r="AJ23" s="1793"/>
      <c r="AK23" s="1793"/>
      <c r="AL23" s="1793"/>
      <c r="AM23" s="1793"/>
      <c r="AN23" s="1793">
        <v>0</v>
      </c>
      <c r="AO23" s="1793"/>
      <c r="AP23" s="1793"/>
      <c r="AQ23" s="1793"/>
      <c r="AR23" s="1793"/>
      <c r="AS23" s="1793"/>
    </row>
    <row r="24" spans="1:45" s="1790" customFormat="1" x14ac:dyDescent="0.3">
      <c r="A24" s="1791" t="s">
        <v>3514</v>
      </c>
      <c r="B24" s="1792">
        <v>13.971818000000001</v>
      </c>
      <c r="C24" s="1793">
        <v>12</v>
      </c>
      <c r="D24" s="1793">
        <v>13</v>
      </c>
      <c r="E24" s="1793">
        <v>17</v>
      </c>
      <c r="F24" s="1793">
        <v>14</v>
      </c>
      <c r="G24" s="1793">
        <v>17</v>
      </c>
      <c r="H24" s="1793">
        <v>17</v>
      </c>
      <c r="I24" s="1793">
        <v>18</v>
      </c>
      <c r="J24" s="1793">
        <v>18.839625000000002</v>
      </c>
      <c r="K24" s="1793">
        <v>18</v>
      </c>
      <c r="L24" s="1793">
        <v>18</v>
      </c>
      <c r="M24" s="1793">
        <v>22</v>
      </c>
      <c r="N24" s="1793">
        <v>18</v>
      </c>
      <c r="O24" s="1793">
        <v>18</v>
      </c>
      <c r="P24" s="1793">
        <v>20</v>
      </c>
      <c r="Q24" s="1793">
        <v>12</v>
      </c>
      <c r="R24" s="1793">
        <v>18</v>
      </c>
      <c r="S24" s="1793">
        <v>19</v>
      </c>
      <c r="T24" s="1793">
        <v>21</v>
      </c>
      <c r="U24" s="1793">
        <v>20</v>
      </c>
      <c r="V24" s="1793">
        <v>14.644615752414341</v>
      </c>
      <c r="W24" s="1793">
        <v>18.636109964079402</v>
      </c>
      <c r="X24" s="1793">
        <v>22</v>
      </c>
      <c r="Y24" s="1793">
        <v>21</v>
      </c>
      <c r="Z24" s="1793">
        <v>12</v>
      </c>
      <c r="AA24" s="1793">
        <v>25</v>
      </c>
      <c r="AB24" s="1793">
        <v>21</v>
      </c>
      <c r="AC24" s="1793">
        <v>32</v>
      </c>
      <c r="AD24" s="1793">
        <v>-1</v>
      </c>
      <c r="AE24" s="1793">
        <v>13</v>
      </c>
      <c r="AF24" s="1793">
        <v>19</v>
      </c>
      <c r="AG24" s="1793">
        <v>15</v>
      </c>
      <c r="AH24" s="1793">
        <v>18</v>
      </c>
      <c r="AI24" s="1793">
        <v>19.671657530000001</v>
      </c>
      <c r="AJ24" s="1793">
        <v>32.6</v>
      </c>
      <c r="AK24" s="1793">
        <v>34.609895479999999</v>
      </c>
      <c r="AL24" s="1793">
        <v>0.230213</v>
      </c>
      <c r="AM24" s="1793">
        <v>16.956762000000001</v>
      </c>
      <c r="AN24" s="1793">
        <v>-8.910640999999922E-2</v>
      </c>
      <c r="AO24" s="1793">
        <v>13.9007425</v>
      </c>
      <c r="AP24" s="1793">
        <v>2.7808959999999998</v>
      </c>
      <c r="AQ24" s="1793">
        <v>7.7626816700000001</v>
      </c>
      <c r="AR24" s="1793">
        <v>5.9641339999999996</v>
      </c>
      <c r="AS24" s="1793">
        <v>16.9598622</v>
      </c>
    </row>
    <row r="25" spans="1:45" s="1790" customFormat="1" x14ac:dyDescent="0.3">
      <c r="A25" s="1791"/>
      <c r="B25" s="1792"/>
      <c r="C25" s="1793"/>
      <c r="D25" s="1793"/>
      <c r="E25" s="1793"/>
      <c r="F25" s="1793"/>
      <c r="G25" s="1793"/>
      <c r="H25" s="1793"/>
      <c r="I25" s="1793"/>
      <c r="J25" s="1793"/>
      <c r="K25" s="1793"/>
      <c r="L25" s="1793"/>
      <c r="M25" s="1793"/>
      <c r="N25" s="1793"/>
      <c r="O25" s="1793"/>
      <c r="P25" s="1793"/>
      <c r="Q25" s="1793"/>
      <c r="R25" s="1793"/>
      <c r="S25" s="1793"/>
      <c r="T25" s="1793"/>
      <c r="U25" s="1793"/>
      <c r="V25" s="1793"/>
      <c r="W25" s="1793"/>
      <c r="X25" s="1793"/>
      <c r="Y25" s="1793"/>
      <c r="Z25" s="1793"/>
      <c r="AA25" s="1793"/>
      <c r="AB25" s="1793"/>
      <c r="AC25" s="1793"/>
      <c r="AD25" s="1793"/>
      <c r="AE25" s="1793"/>
      <c r="AF25" s="1793"/>
      <c r="AG25" s="1793"/>
      <c r="AH25" s="1793"/>
      <c r="AI25" s="1793"/>
      <c r="AJ25" s="1793"/>
      <c r="AK25" s="1793"/>
      <c r="AL25" s="1793"/>
      <c r="AM25" s="1793"/>
      <c r="AN25" s="1793">
        <v>0</v>
      </c>
      <c r="AO25" s="1793"/>
      <c r="AP25" s="1793"/>
      <c r="AQ25" s="1793"/>
      <c r="AR25" s="1793"/>
      <c r="AS25" s="1793"/>
    </row>
    <row r="26" spans="1:45" s="1790" customFormat="1" ht="17.25" thickBot="1" x14ac:dyDescent="0.35">
      <c r="A26" s="1798" t="s">
        <v>3515</v>
      </c>
      <c r="B26" s="1799">
        <v>72.028182000000001</v>
      </c>
      <c r="C26" s="1800">
        <v>65</v>
      </c>
      <c r="D26" s="1800">
        <f>D22-D24</f>
        <v>82.019051190000027</v>
      </c>
      <c r="E26" s="1800">
        <f>E22-E24</f>
        <v>44</v>
      </c>
      <c r="F26" s="1800">
        <f>F22-F24</f>
        <v>71</v>
      </c>
      <c r="G26" s="1800">
        <v>86</v>
      </c>
      <c r="H26" s="1800">
        <f>H22-H24</f>
        <v>96</v>
      </c>
      <c r="I26" s="1800">
        <f>I22-I24</f>
        <v>88</v>
      </c>
      <c r="J26" s="1800">
        <v>95.490224999999995</v>
      </c>
      <c r="K26" s="1800">
        <v>79</v>
      </c>
      <c r="L26" s="1800">
        <f>L22-L24</f>
        <v>91</v>
      </c>
      <c r="M26" s="1800">
        <f>M22-M24</f>
        <v>104</v>
      </c>
      <c r="N26" s="1800">
        <f>N22-N24</f>
        <v>94</v>
      </c>
      <c r="O26" s="1800">
        <f>O22-O24</f>
        <v>84</v>
      </c>
      <c r="P26" s="1800">
        <v>90</v>
      </c>
      <c r="Q26" s="1800">
        <v>115</v>
      </c>
      <c r="R26" s="1800">
        <f>R22-R24</f>
        <v>107.6</v>
      </c>
      <c r="S26" s="1800">
        <f>S22-S24</f>
        <v>99</v>
      </c>
      <c r="T26" s="1800">
        <v>46</v>
      </c>
      <c r="U26" s="1800">
        <f>U22-U24</f>
        <v>83</v>
      </c>
      <c r="V26" s="1800">
        <v>95.895536402007039</v>
      </c>
      <c r="W26" s="1800">
        <v>50.006203480574378</v>
      </c>
      <c r="X26" s="1800">
        <v>-2</v>
      </c>
      <c r="Y26" s="1800">
        <v>66</v>
      </c>
      <c r="Z26" s="1800">
        <v>61</v>
      </c>
      <c r="AA26" s="1800">
        <v>85</v>
      </c>
      <c r="AB26" s="1800">
        <v>53</v>
      </c>
      <c r="AC26" s="1800">
        <v>90</v>
      </c>
      <c r="AD26" s="1800">
        <v>90</v>
      </c>
      <c r="AE26" s="1800">
        <v>69</v>
      </c>
      <c r="AF26" s="1800">
        <v>82</v>
      </c>
      <c r="AG26" s="1800">
        <v>106</v>
      </c>
      <c r="AH26" s="1800">
        <f>AH22-AH24</f>
        <v>95.170182670000031</v>
      </c>
      <c r="AI26" s="1800">
        <f>AI22-AI24</f>
        <v>120.30112997000006</v>
      </c>
      <c r="AJ26" s="1800">
        <f>AJ22-AJ24</f>
        <v>156.23342212999995</v>
      </c>
      <c r="AK26" s="1800">
        <f>AK22-AK24</f>
        <v>171.39485341999992</v>
      </c>
      <c r="AL26" s="1800">
        <v>152.59089347000008</v>
      </c>
      <c r="AM26" s="1800">
        <v>150.22809313999994</v>
      </c>
      <c r="AN26" s="1800">
        <v>71.743300123999973</v>
      </c>
      <c r="AO26" s="1800">
        <v>60.724427270000071</v>
      </c>
      <c r="AP26" s="1800">
        <v>27.535927909999995</v>
      </c>
      <c r="AQ26" s="1800">
        <v>64.868150219999933</v>
      </c>
      <c r="AR26" s="1800">
        <v>66.011188819999973</v>
      </c>
      <c r="AS26" s="1800">
        <v>101.51999910000006</v>
      </c>
    </row>
    <row r="27" spans="1:45" s="417" customFormat="1" ht="17.25" thickTop="1" x14ac:dyDescent="0.3">
      <c r="A27" s="1801" t="s">
        <v>3516</v>
      </c>
      <c r="B27" s="1801"/>
      <c r="C27" s="1801"/>
      <c r="D27" s="1801"/>
      <c r="E27" s="1801"/>
      <c r="F27" s="1801"/>
      <c r="G27" s="1801"/>
      <c r="H27" s="1801"/>
      <c r="I27" s="1801"/>
      <c r="J27" s="1801"/>
      <c r="K27" s="1801"/>
      <c r="L27" s="1801"/>
      <c r="M27" s="1801"/>
      <c r="N27" s="1801"/>
      <c r="O27" s="1801"/>
      <c r="P27" s="1801"/>
      <c r="Q27" s="1801"/>
      <c r="R27" s="1802"/>
      <c r="S27" s="1802"/>
      <c r="T27" s="1802"/>
      <c r="U27" s="1802"/>
      <c r="V27" s="1802"/>
      <c r="W27" s="1802"/>
      <c r="X27" s="1802"/>
      <c r="Y27" s="1802"/>
      <c r="Z27" s="1802"/>
      <c r="AA27" s="1802"/>
      <c r="AB27" s="1802"/>
      <c r="AC27" s="1802"/>
      <c r="AD27" s="1802"/>
      <c r="AE27" s="1802"/>
      <c r="AF27" s="1802"/>
      <c r="AG27" s="1802"/>
      <c r="AH27" s="1802"/>
      <c r="AI27" s="1802"/>
      <c r="AJ27" s="1802"/>
      <c r="AK27" s="1802" t="s">
        <v>3430</v>
      </c>
    </row>
    <row r="28" spans="1:45" s="417" customFormat="1" x14ac:dyDescent="0.3">
      <c r="A28" s="1803" t="s">
        <v>3499</v>
      </c>
      <c r="B28" s="1803"/>
      <c r="C28" s="1803"/>
      <c r="D28" s="1803"/>
      <c r="E28" s="1803"/>
      <c r="F28" s="1803"/>
      <c r="G28" s="1803"/>
      <c r="H28" s="1803"/>
      <c r="I28" s="1803"/>
      <c r="J28" s="1803"/>
      <c r="K28" s="1803"/>
      <c r="L28" s="1803"/>
      <c r="M28" s="1803"/>
      <c r="N28" s="1803"/>
      <c r="O28" s="1803"/>
      <c r="P28" s="1803"/>
      <c r="Q28" s="1803"/>
      <c r="R28" s="1802"/>
      <c r="S28" s="1802"/>
      <c r="T28" s="1802"/>
      <c r="U28" s="1802"/>
      <c r="V28" s="1802"/>
      <c r="W28" s="1802"/>
      <c r="X28" s="1802"/>
      <c r="Y28" s="1802"/>
      <c r="Z28" s="1802"/>
      <c r="AA28" s="1802"/>
      <c r="AB28" s="1802"/>
      <c r="AC28" s="1802"/>
      <c r="AD28" s="1802"/>
      <c r="AE28" s="1802"/>
      <c r="AF28" s="1802"/>
      <c r="AG28" s="1802"/>
      <c r="AH28" s="1802"/>
      <c r="AI28" s="1802"/>
      <c r="AJ28" s="1802"/>
      <c r="AK28" s="1802"/>
    </row>
    <row r="29" spans="1:45" s="417" customFormat="1" x14ac:dyDescent="0.3">
      <c r="A29" s="1804" t="s">
        <v>3517</v>
      </c>
      <c r="B29" s="102"/>
      <c r="C29" s="102"/>
      <c r="D29" s="102"/>
      <c r="E29" s="102"/>
      <c r="F29" s="102"/>
      <c r="G29" s="102"/>
      <c r="H29" s="102"/>
      <c r="I29" s="102"/>
      <c r="J29" s="102"/>
      <c r="K29" s="102"/>
      <c r="L29" s="102"/>
      <c r="M29" s="102"/>
      <c r="N29" s="102"/>
      <c r="O29" s="102"/>
    </row>
    <row r="34" ht="16.5" customHeight="1" x14ac:dyDescent="0.3"/>
    <row r="119" ht="16.5" customHeight="1" x14ac:dyDescent="0.3"/>
    <row r="129" ht="16.5" customHeight="1" x14ac:dyDescent="0.3"/>
    <row r="134" ht="16.5" customHeight="1" x14ac:dyDescent="0.3"/>
  </sheetData>
  <pageMargins left="0.7" right="0.7" top="0.75" bottom="0.75" header="0.3" footer="0.3"/>
  <pageSetup paperSize="9" scale="4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82"/>
  <sheetViews>
    <sheetView zoomScaleNormal="100" workbookViewId="0"/>
  </sheetViews>
  <sheetFormatPr defaultRowHeight="14.25" x14ac:dyDescent="0.25"/>
  <cols>
    <col min="1" max="1" width="73.85546875" style="1806" customWidth="1"/>
    <col min="2" max="3" width="13.7109375" style="1806" customWidth="1"/>
    <col min="4" max="4" width="15.7109375" style="1806" customWidth="1"/>
    <col min="5" max="6" width="13.7109375" style="1806" customWidth="1"/>
    <col min="7" max="7" width="15.42578125" style="1806" customWidth="1"/>
    <col min="8" max="10" width="13.7109375" style="1806" customWidth="1"/>
    <col min="11" max="11" width="9.140625" style="1806"/>
    <col min="12" max="12" width="9.140625" style="1806" customWidth="1"/>
    <col min="13" max="255" width="9.140625" style="1806"/>
    <col min="256" max="256" width="38.140625" style="1806" customWidth="1"/>
    <col min="257" max="257" width="10.140625" style="1806" customWidth="1"/>
    <col min="258" max="258" width="12.85546875" style="1806" customWidth="1"/>
    <col min="259" max="259" width="11.7109375" style="1806" customWidth="1"/>
    <col min="260" max="260" width="11.42578125" style="1806" customWidth="1"/>
    <col min="261" max="261" width="11.28515625" style="1806" customWidth="1"/>
    <col min="262" max="262" width="13.5703125" style="1806" customWidth="1"/>
    <col min="263" max="263" width="10.5703125" style="1806" customWidth="1"/>
    <col min="264" max="264" width="11.7109375" style="1806" customWidth="1"/>
    <col min="265" max="265" width="13.7109375" style="1806" customWidth="1"/>
    <col min="266" max="511" width="9.140625" style="1806"/>
    <col min="512" max="512" width="38.140625" style="1806" customWidth="1"/>
    <col min="513" max="513" width="10.140625" style="1806" customWidth="1"/>
    <col min="514" max="514" width="12.85546875" style="1806" customWidth="1"/>
    <col min="515" max="515" width="11.7109375" style="1806" customWidth="1"/>
    <col min="516" max="516" width="11.42578125" style="1806" customWidth="1"/>
    <col min="517" max="517" width="11.28515625" style="1806" customWidth="1"/>
    <col min="518" max="518" width="13.5703125" style="1806" customWidth="1"/>
    <col min="519" max="519" width="10.5703125" style="1806" customWidth="1"/>
    <col min="520" max="520" width="11.7109375" style="1806" customWidth="1"/>
    <col min="521" max="521" width="13.7109375" style="1806" customWidth="1"/>
    <col min="522" max="767" width="9.140625" style="1806"/>
    <col min="768" max="768" width="38.140625" style="1806" customWidth="1"/>
    <col min="769" max="769" width="10.140625" style="1806" customWidth="1"/>
    <col min="770" max="770" width="12.85546875" style="1806" customWidth="1"/>
    <col min="771" max="771" width="11.7109375" style="1806" customWidth="1"/>
    <col min="772" max="772" width="11.42578125" style="1806" customWidth="1"/>
    <col min="773" max="773" width="11.28515625" style="1806" customWidth="1"/>
    <col min="774" max="774" width="13.5703125" style="1806" customWidth="1"/>
    <col min="775" max="775" width="10.5703125" style="1806" customWidth="1"/>
    <col min="776" max="776" width="11.7109375" style="1806" customWidth="1"/>
    <col min="777" max="777" width="13.7109375" style="1806" customWidth="1"/>
    <col min="778" max="1023" width="9.140625" style="1806"/>
    <col min="1024" max="1024" width="38.140625" style="1806" customWidth="1"/>
    <col min="1025" max="1025" width="10.140625" style="1806" customWidth="1"/>
    <col min="1026" max="1026" width="12.85546875" style="1806" customWidth="1"/>
    <col min="1027" max="1027" width="11.7109375" style="1806" customWidth="1"/>
    <col min="1028" max="1028" width="11.42578125" style="1806" customWidth="1"/>
    <col min="1029" max="1029" width="11.28515625" style="1806" customWidth="1"/>
    <col min="1030" max="1030" width="13.5703125" style="1806" customWidth="1"/>
    <col min="1031" max="1031" width="10.5703125" style="1806" customWidth="1"/>
    <col min="1032" max="1032" width="11.7109375" style="1806" customWidth="1"/>
    <col min="1033" max="1033" width="13.7109375" style="1806" customWidth="1"/>
    <col min="1034" max="1279" width="9.140625" style="1806"/>
    <col min="1280" max="1280" width="38.140625" style="1806" customWidth="1"/>
    <col min="1281" max="1281" width="10.140625" style="1806" customWidth="1"/>
    <col min="1282" max="1282" width="12.85546875" style="1806" customWidth="1"/>
    <col min="1283" max="1283" width="11.7109375" style="1806" customWidth="1"/>
    <col min="1284" max="1284" width="11.42578125" style="1806" customWidth="1"/>
    <col min="1285" max="1285" width="11.28515625" style="1806" customWidth="1"/>
    <col min="1286" max="1286" width="13.5703125" style="1806" customWidth="1"/>
    <col min="1287" max="1287" width="10.5703125" style="1806" customWidth="1"/>
    <col min="1288" max="1288" width="11.7109375" style="1806" customWidth="1"/>
    <col min="1289" max="1289" width="13.7109375" style="1806" customWidth="1"/>
    <col min="1290" max="1535" width="9.140625" style="1806"/>
    <col min="1536" max="1536" width="38.140625" style="1806" customWidth="1"/>
    <col min="1537" max="1537" width="10.140625" style="1806" customWidth="1"/>
    <col min="1538" max="1538" width="12.85546875" style="1806" customWidth="1"/>
    <col min="1539" max="1539" width="11.7109375" style="1806" customWidth="1"/>
    <col min="1540" max="1540" width="11.42578125" style="1806" customWidth="1"/>
    <col min="1541" max="1541" width="11.28515625" style="1806" customWidth="1"/>
    <col min="1542" max="1542" width="13.5703125" style="1806" customWidth="1"/>
    <col min="1543" max="1543" width="10.5703125" style="1806" customWidth="1"/>
    <col min="1544" max="1544" width="11.7109375" style="1806" customWidth="1"/>
    <col min="1545" max="1545" width="13.7109375" style="1806" customWidth="1"/>
    <col min="1546" max="1791" width="9.140625" style="1806"/>
    <col min="1792" max="1792" width="38.140625" style="1806" customWidth="1"/>
    <col min="1793" max="1793" width="10.140625" style="1806" customWidth="1"/>
    <col min="1794" max="1794" width="12.85546875" style="1806" customWidth="1"/>
    <col min="1795" max="1795" width="11.7109375" style="1806" customWidth="1"/>
    <col min="1796" max="1796" width="11.42578125" style="1806" customWidth="1"/>
    <col min="1797" max="1797" width="11.28515625" style="1806" customWidth="1"/>
    <col min="1798" max="1798" width="13.5703125" style="1806" customWidth="1"/>
    <col min="1799" max="1799" width="10.5703125" style="1806" customWidth="1"/>
    <col min="1800" max="1800" width="11.7109375" style="1806" customWidth="1"/>
    <col min="1801" max="1801" width="13.7109375" style="1806" customWidth="1"/>
    <col min="1802" max="2047" width="9.140625" style="1806"/>
    <col min="2048" max="2048" width="38.140625" style="1806" customWidth="1"/>
    <col min="2049" max="2049" width="10.140625" style="1806" customWidth="1"/>
    <col min="2050" max="2050" width="12.85546875" style="1806" customWidth="1"/>
    <col min="2051" max="2051" width="11.7109375" style="1806" customWidth="1"/>
    <col min="2052" max="2052" width="11.42578125" style="1806" customWidth="1"/>
    <col min="2053" max="2053" width="11.28515625" style="1806" customWidth="1"/>
    <col min="2054" max="2054" width="13.5703125" style="1806" customWidth="1"/>
    <col min="2055" max="2055" width="10.5703125" style="1806" customWidth="1"/>
    <col min="2056" max="2056" width="11.7109375" style="1806" customWidth="1"/>
    <col min="2057" max="2057" width="13.7109375" style="1806" customWidth="1"/>
    <col min="2058" max="2303" width="9.140625" style="1806"/>
    <col min="2304" max="2304" width="38.140625" style="1806" customWidth="1"/>
    <col min="2305" max="2305" width="10.140625" style="1806" customWidth="1"/>
    <col min="2306" max="2306" width="12.85546875" style="1806" customWidth="1"/>
    <col min="2307" max="2307" width="11.7109375" style="1806" customWidth="1"/>
    <col min="2308" max="2308" width="11.42578125" style="1806" customWidth="1"/>
    <col min="2309" max="2309" width="11.28515625" style="1806" customWidth="1"/>
    <col min="2310" max="2310" width="13.5703125" style="1806" customWidth="1"/>
    <col min="2311" max="2311" width="10.5703125" style="1806" customWidth="1"/>
    <col min="2312" max="2312" width="11.7109375" style="1806" customWidth="1"/>
    <col min="2313" max="2313" width="13.7109375" style="1806" customWidth="1"/>
    <col min="2314" max="2559" width="9.140625" style="1806"/>
    <col min="2560" max="2560" width="38.140625" style="1806" customWidth="1"/>
    <col min="2561" max="2561" width="10.140625" style="1806" customWidth="1"/>
    <col min="2562" max="2562" width="12.85546875" style="1806" customWidth="1"/>
    <col min="2563" max="2563" width="11.7109375" style="1806" customWidth="1"/>
    <col min="2564" max="2564" width="11.42578125" style="1806" customWidth="1"/>
    <col min="2565" max="2565" width="11.28515625" style="1806" customWidth="1"/>
    <col min="2566" max="2566" width="13.5703125" style="1806" customWidth="1"/>
    <col min="2567" max="2567" width="10.5703125" style="1806" customWidth="1"/>
    <col min="2568" max="2568" width="11.7109375" style="1806" customWidth="1"/>
    <col min="2569" max="2569" width="13.7109375" style="1806" customWidth="1"/>
    <col min="2570" max="2815" width="9.140625" style="1806"/>
    <col min="2816" max="2816" width="38.140625" style="1806" customWidth="1"/>
    <col min="2817" max="2817" width="10.140625" style="1806" customWidth="1"/>
    <col min="2818" max="2818" width="12.85546875" style="1806" customWidth="1"/>
    <col min="2819" max="2819" width="11.7109375" style="1806" customWidth="1"/>
    <col min="2820" max="2820" width="11.42578125" style="1806" customWidth="1"/>
    <col min="2821" max="2821" width="11.28515625" style="1806" customWidth="1"/>
    <col min="2822" max="2822" width="13.5703125" style="1806" customWidth="1"/>
    <col min="2823" max="2823" width="10.5703125" style="1806" customWidth="1"/>
    <col min="2824" max="2824" width="11.7109375" style="1806" customWidth="1"/>
    <col min="2825" max="2825" width="13.7109375" style="1806" customWidth="1"/>
    <col min="2826" max="3071" width="9.140625" style="1806"/>
    <col min="3072" max="3072" width="38.140625" style="1806" customWidth="1"/>
    <col min="3073" max="3073" width="10.140625" style="1806" customWidth="1"/>
    <col min="3074" max="3074" width="12.85546875" style="1806" customWidth="1"/>
    <col min="3075" max="3075" width="11.7109375" style="1806" customWidth="1"/>
    <col min="3076" max="3076" width="11.42578125" style="1806" customWidth="1"/>
    <col min="3077" max="3077" width="11.28515625" style="1806" customWidth="1"/>
    <col min="3078" max="3078" width="13.5703125" style="1806" customWidth="1"/>
    <col min="3079" max="3079" width="10.5703125" style="1806" customWidth="1"/>
    <col min="3080" max="3080" width="11.7109375" style="1806" customWidth="1"/>
    <col min="3081" max="3081" width="13.7109375" style="1806" customWidth="1"/>
    <col min="3082" max="3327" width="9.140625" style="1806"/>
    <col min="3328" max="3328" width="38.140625" style="1806" customWidth="1"/>
    <col min="3329" max="3329" width="10.140625" style="1806" customWidth="1"/>
    <col min="3330" max="3330" width="12.85546875" style="1806" customWidth="1"/>
    <col min="3331" max="3331" width="11.7109375" style="1806" customWidth="1"/>
    <col min="3332" max="3332" width="11.42578125" style="1806" customWidth="1"/>
    <col min="3333" max="3333" width="11.28515625" style="1806" customWidth="1"/>
    <col min="3334" max="3334" width="13.5703125" style="1806" customWidth="1"/>
    <col min="3335" max="3335" width="10.5703125" style="1806" customWidth="1"/>
    <col min="3336" max="3336" width="11.7109375" style="1806" customWidth="1"/>
    <col min="3337" max="3337" width="13.7109375" style="1806" customWidth="1"/>
    <col min="3338" max="3583" width="9.140625" style="1806"/>
    <col min="3584" max="3584" width="38.140625" style="1806" customWidth="1"/>
    <col min="3585" max="3585" width="10.140625" style="1806" customWidth="1"/>
    <col min="3586" max="3586" width="12.85546875" style="1806" customWidth="1"/>
    <col min="3587" max="3587" width="11.7109375" style="1806" customWidth="1"/>
    <col min="3588" max="3588" width="11.42578125" style="1806" customWidth="1"/>
    <col min="3589" max="3589" width="11.28515625" style="1806" customWidth="1"/>
    <col min="3590" max="3590" width="13.5703125" style="1806" customWidth="1"/>
    <col min="3591" max="3591" width="10.5703125" style="1806" customWidth="1"/>
    <col min="3592" max="3592" width="11.7109375" style="1806" customWidth="1"/>
    <col min="3593" max="3593" width="13.7109375" style="1806" customWidth="1"/>
    <col min="3594" max="3839" width="9.140625" style="1806"/>
    <col min="3840" max="3840" width="38.140625" style="1806" customWidth="1"/>
    <col min="3841" max="3841" width="10.140625" style="1806" customWidth="1"/>
    <col min="3842" max="3842" width="12.85546875" style="1806" customWidth="1"/>
    <col min="3843" max="3843" width="11.7109375" style="1806" customWidth="1"/>
    <col min="3844" max="3844" width="11.42578125" style="1806" customWidth="1"/>
    <col min="3845" max="3845" width="11.28515625" style="1806" customWidth="1"/>
    <col min="3846" max="3846" width="13.5703125" style="1806" customWidth="1"/>
    <col min="3847" max="3847" width="10.5703125" style="1806" customWidth="1"/>
    <col min="3848" max="3848" width="11.7109375" style="1806" customWidth="1"/>
    <col min="3849" max="3849" width="13.7109375" style="1806" customWidth="1"/>
    <col min="3850" max="4095" width="9.140625" style="1806"/>
    <col min="4096" max="4096" width="38.140625" style="1806" customWidth="1"/>
    <col min="4097" max="4097" width="10.140625" style="1806" customWidth="1"/>
    <col min="4098" max="4098" width="12.85546875" style="1806" customWidth="1"/>
    <col min="4099" max="4099" width="11.7109375" style="1806" customWidth="1"/>
    <col min="4100" max="4100" width="11.42578125" style="1806" customWidth="1"/>
    <col min="4101" max="4101" width="11.28515625" style="1806" customWidth="1"/>
    <col min="4102" max="4102" width="13.5703125" style="1806" customWidth="1"/>
    <col min="4103" max="4103" width="10.5703125" style="1806" customWidth="1"/>
    <col min="4104" max="4104" width="11.7109375" style="1806" customWidth="1"/>
    <col min="4105" max="4105" width="13.7109375" style="1806" customWidth="1"/>
    <col min="4106" max="4351" width="9.140625" style="1806"/>
    <col min="4352" max="4352" width="38.140625" style="1806" customWidth="1"/>
    <col min="4353" max="4353" width="10.140625" style="1806" customWidth="1"/>
    <col min="4354" max="4354" width="12.85546875" style="1806" customWidth="1"/>
    <col min="4355" max="4355" width="11.7109375" style="1806" customWidth="1"/>
    <col min="4356" max="4356" width="11.42578125" style="1806" customWidth="1"/>
    <col min="4357" max="4357" width="11.28515625" style="1806" customWidth="1"/>
    <col min="4358" max="4358" width="13.5703125" style="1806" customWidth="1"/>
    <col min="4359" max="4359" width="10.5703125" style="1806" customWidth="1"/>
    <col min="4360" max="4360" width="11.7109375" style="1806" customWidth="1"/>
    <col min="4361" max="4361" width="13.7109375" style="1806" customWidth="1"/>
    <col min="4362" max="4607" width="9.140625" style="1806"/>
    <col min="4608" max="4608" width="38.140625" style="1806" customWidth="1"/>
    <col min="4609" max="4609" width="10.140625" style="1806" customWidth="1"/>
    <col min="4610" max="4610" width="12.85546875" style="1806" customWidth="1"/>
    <col min="4611" max="4611" width="11.7109375" style="1806" customWidth="1"/>
    <col min="4612" max="4612" width="11.42578125" style="1806" customWidth="1"/>
    <col min="4613" max="4613" width="11.28515625" style="1806" customWidth="1"/>
    <col min="4614" max="4614" width="13.5703125" style="1806" customWidth="1"/>
    <col min="4615" max="4615" width="10.5703125" style="1806" customWidth="1"/>
    <col min="4616" max="4616" width="11.7109375" style="1806" customWidth="1"/>
    <col min="4617" max="4617" width="13.7109375" style="1806" customWidth="1"/>
    <col min="4618" max="4863" width="9.140625" style="1806"/>
    <col min="4864" max="4864" width="38.140625" style="1806" customWidth="1"/>
    <col min="4865" max="4865" width="10.140625" style="1806" customWidth="1"/>
    <col min="4866" max="4866" width="12.85546875" style="1806" customWidth="1"/>
    <col min="4867" max="4867" width="11.7109375" style="1806" customWidth="1"/>
    <col min="4868" max="4868" width="11.42578125" style="1806" customWidth="1"/>
    <col min="4869" max="4869" width="11.28515625" style="1806" customWidth="1"/>
    <col min="4870" max="4870" width="13.5703125" style="1806" customWidth="1"/>
    <col min="4871" max="4871" width="10.5703125" style="1806" customWidth="1"/>
    <col min="4872" max="4872" width="11.7109375" style="1806" customWidth="1"/>
    <col min="4873" max="4873" width="13.7109375" style="1806" customWidth="1"/>
    <col min="4874" max="5119" width="9.140625" style="1806"/>
    <col min="5120" max="5120" width="38.140625" style="1806" customWidth="1"/>
    <col min="5121" max="5121" width="10.140625" style="1806" customWidth="1"/>
    <col min="5122" max="5122" width="12.85546875" style="1806" customWidth="1"/>
    <col min="5123" max="5123" width="11.7109375" style="1806" customWidth="1"/>
    <col min="5124" max="5124" width="11.42578125" style="1806" customWidth="1"/>
    <col min="5125" max="5125" width="11.28515625" style="1806" customWidth="1"/>
    <col min="5126" max="5126" width="13.5703125" style="1806" customWidth="1"/>
    <col min="5127" max="5127" width="10.5703125" style="1806" customWidth="1"/>
    <col min="5128" max="5128" width="11.7109375" style="1806" customWidth="1"/>
    <col min="5129" max="5129" width="13.7109375" style="1806" customWidth="1"/>
    <col min="5130" max="5375" width="9.140625" style="1806"/>
    <col min="5376" max="5376" width="38.140625" style="1806" customWidth="1"/>
    <col min="5377" max="5377" width="10.140625" style="1806" customWidth="1"/>
    <col min="5378" max="5378" width="12.85546875" style="1806" customWidth="1"/>
    <col min="5379" max="5379" width="11.7109375" style="1806" customWidth="1"/>
    <col min="5380" max="5380" width="11.42578125" style="1806" customWidth="1"/>
    <col min="5381" max="5381" width="11.28515625" style="1806" customWidth="1"/>
    <col min="5382" max="5382" width="13.5703125" style="1806" customWidth="1"/>
    <col min="5383" max="5383" width="10.5703125" style="1806" customWidth="1"/>
    <col min="5384" max="5384" width="11.7109375" style="1806" customWidth="1"/>
    <col min="5385" max="5385" width="13.7109375" style="1806" customWidth="1"/>
    <col min="5386" max="5631" width="9.140625" style="1806"/>
    <col min="5632" max="5632" width="38.140625" style="1806" customWidth="1"/>
    <col min="5633" max="5633" width="10.140625" style="1806" customWidth="1"/>
    <col min="5634" max="5634" width="12.85546875" style="1806" customWidth="1"/>
    <col min="5635" max="5635" width="11.7109375" style="1806" customWidth="1"/>
    <col min="5636" max="5636" width="11.42578125" style="1806" customWidth="1"/>
    <col min="5637" max="5637" width="11.28515625" style="1806" customWidth="1"/>
    <col min="5638" max="5638" width="13.5703125" style="1806" customWidth="1"/>
    <col min="5639" max="5639" width="10.5703125" style="1806" customWidth="1"/>
    <col min="5640" max="5640" width="11.7109375" style="1806" customWidth="1"/>
    <col min="5641" max="5641" width="13.7109375" style="1806" customWidth="1"/>
    <col min="5642" max="5887" width="9.140625" style="1806"/>
    <col min="5888" max="5888" width="38.140625" style="1806" customWidth="1"/>
    <col min="5889" max="5889" width="10.140625" style="1806" customWidth="1"/>
    <col min="5890" max="5890" width="12.85546875" style="1806" customWidth="1"/>
    <col min="5891" max="5891" width="11.7109375" style="1806" customWidth="1"/>
    <col min="5892" max="5892" width="11.42578125" style="1806" customWidth="1"/>
    <col min="5893" max="5893" width="11.28515625" style="1806" customWidth="1"/>
    <col min="5894" max="5894" width="13.5703125" style="1806" customWidth="1"/>
    <col min="5895" max="5895" width="10.5703125" style="1806" customWidth="1"/>
    <col min="5896" max="5896" width="11.7109375" style="1806" customWidth="1"/>
    <col min="5897" max="5897" width="13.7109375" style="1806" customWidth="1"/>
    <col min="5898" max="6143" width="9.140625" style="1806"/>
    <col min="6144" max="6144" width="38.140625" style="1806" customWidth="1"/>
    <col min="6145" max="6145" width="10.140625" style="1806" customWidth="1"/>
    <col min="6146" max="6146" width="12.85546875" style="1806" customWidth="1"/>
    <col min="6147" max="6147" width="11.7109375" style="1806" customWidth="1"/>
    <col min="6148" max="6148" width="11.42578125" style="1806" customWidth="1"/>
    <col min="6149" max="6149" width="11.28515625" style="1806" customWidth="1"/>
    <col min="6150" max="6150" width="13.5703125" style="1806" customWidth="1"/>
    <col min="6151" max="6151" width="10.5703125" style="1806" customWidth="1"/>
    <col min="6152" max="6152" width="11.7109375" style="1806" customWidth="1"/>
    <col min="6153" max="6153" width="13.7109375" style="1806" customWidth="1"/>
    <col min="6154" max="6399" width="9.140625" style="1806"/>
    <col min="6400" max="6400" width="38.140625" style="1806" customWidth="1"/>
    <col min="6401" max="6401" width="10.140625" style="1806" customWidth="1"/>
    <col min="6402" max="6402" width="12.85546875" style="1806" customWidth="1"/>
    <col min="6403" max="6403" width="11.7109375" style="1806" customWidth="1"/>
    <col min="6404" max="6404" width="11.42578125" style="1806" customWidth="1"/>
    <col min="6405" max="6405" width="11.28515625" style="1806" customWidth="1"/>
    <col min="6406" max="6406" width="13.5703125" style="1806" customWidth="1"/>
    <col min="6407" max="6407" width="10.5703125" style="1806" customWidth="1"/>
    <col min="6408" max="6408" width="11.7109375" style="1806" customWidth="1"/>
    <col min="6409" max="6409" width="13.7109375" style="1806" customWidth="1"/>
    <col min="6410" max="6655" width="9.140625" style="1806"/>
    <col min="6656" max="6656" width="38.140625" style="1806" customWidth="1"/>
    <col min="6657" max="6657" width="10.140625" style="1806" customWidth="1"/>
    <col min="6658" max="6658" width="12.85546875" style="1806" customWidth="1"/>
    <col min="6659" max="6659" width="11.7109375" style="1806" customWidth="1"/>
    <col min="6660" max="6660" width="11.42578125" style="1806" customWidth="1"/>
    <col min="6661" max="6661" width="11.28515625" style="1806" customWidth="1"/>
    <col min="6662" max="6662" width="13.5703125" style="1806" customWidth="1"/>
    <col min="6663" max="6663" width="10.5703125" style="1806" customWidth="1"/>
    <col min="6664" max="6664" width="11.7109375" style="1806" customWidth="1"/>
    <col min="6665" max="6665" width="13.7109375" style="1806" customWidth="1"/>
    <col min="6666" max="6911" width="9.140625" style="1806"/>
    <col min="6912" max="6912" width="38.140625" style="1806" customWidth="1"/>
    <col min="6913" max="6913" width="10.140625" style="1806" customWidth="1"/>
    <col min="6914" max="6914" width="12.85546875" style="1806" customWidth="1"/>
    <col min="6915" max="6915" width="11.7109375" style="1806" customWidth="1"/>
    <col min="6916" max="6916" width="11.42578125" style="1806" customWidth="1"/>
    <col min="6917" max="6917" width="11.28515625" style="1806" customWidth="1"/>
    <col min="6918" max="6918" width="13.5703125" style="1806" customWidth="1"/>
    <col min="6919" max="6919" width="10.5703125" style="1806" customWidth="1"/>
    <col min="6920" max="6920" width="11.7109375" style="1806" customWidth="1"/>
    <col min="6921" max="6921" width="13.7109375" style="1806" customWidth="1"/>
    <col min="6922" max="7167" width="9.140625" style="1806"/>
    <col min="7168" max="7168" width="38.140625" style="1806" customWidth="1"/>
    <col min="7169" max="7169" width="10.140625" style="1806" customWidth="1"/>
    <col min="7170" max="7170" width="12.85546875" style="1806" customWidth="1"/>
    <col min="7171" max="7171" width="11.7109375" style="1806" customWidth="1"/>
    <col min="7172" max="7172" width="11.42578125" style="1806" customWidth="1"/>
    <col min="7173" max="7173" width="11.28515625" style="1806" customWidth="1"/>
    <col min="7174" max="7174" width="13.5703125" style="1806" customWidth="1"/>
    <col min="7175" max="7175" width="10.5703125" style="1806" customWidth="1"/>
    <col min="7176" max="7176" width="11.7109375" style="1806" customWidth="1"/>
    <col min="7177" max="7177" width="13.7109375" style="1806" customWidth="1"/>
    <col min="7178" max="7423" width="9.140625" style="1806"/>
    <col min="7424" max="7424" width="38.140625" style="1806" customWidth="1"/>
    <col min="7425" max="7425" width="10.140625" style="1806" customWidth="1"/>
    <col min="7426" max="7426" width="12.85546875" style="1806" customWidth="1"/>
    <col min="7427" max="7427" width="11.7109375" style="1806" customWidth="1"/>
    <col min="7428" max="7428" width="11.42578125" style="1806" customWidth="1"/>
    <col min="7429" max="7429" width="11.28515625" style="1806" customWidth="1"/>
    <col min="7430" max="7430" width="13.5703125" style="1806" customWidth="1"/>
    <col min="7431" max="7431" width="10.5703125" style="1806" customWidth="1"/>
    <col min="7432" max="7432" width="11.7109375" style="1806" customWidth="1"/>
    <col min="7433" max="7433" width="13.7109375" style="1806" customWidth="1"/>
    <col min="7434" max="7679" width="9.140625" style="1806"/>
    <col min="7680" max="7680" width="38.140625" style="1806" customWidth="1"/>
    <col min="7681" max="7681" width="10.140625" style="1806" customWidth="1"/>
    <col min="7682" max="7682" width="12.85546875" style="1806" customWidth="1"/>
    <col min="7683" max="7683" width="11.7109375" style="1806" customWidth="1"/>
    <col min="7684" max="7684" width="11.42578125" style="1806" customWidth="1"/>
    <col min="7685" max="7685" width="11.28515625" style="1806" customWidth="1"/>
    <col min="7686" max="7686" width="13.5703125" style="1806" customWidth="1"/>
    <col min="7687" max="7687" width="10.5703125" style="1806" customWidth="1"/>
    <col min="7688" max="7688" width="11.7109375" style="1806" customWidth="1"/>
    <col min="7689" max="7689" width="13.7109375" style="1806" customWidth="1"/>
    <col min="7690" max="7935" width="9.140625" style="1806"/>
    <col min="7936" max="7936" width="38.140625" style="1806" customWidth="1"/>
    <col min="7937" max="7937" width="10.140625" style="1806" customWidth="1"/>
    <col min="7938" max="7938" width="12.85546875" style="1806" customWidth="1"/>
    <col min="7939" max="7939" width="11.7109375" style="1806" customWidth="1"/>
    <col min="7940" max="7940" width="11.42578125" style="1806" customWidth="1"/>
    <col min="7941" max="7941" width="11.28515625" style="1806" customWidth="1"/>
    <col min="7942" max="7942" width="13.5703125" style="1806" customWidth="1"/>
    <col min="7943" max="7943" width="10.5703125" style="1806" customWidth="1"/>
    <col min="7944" max="7944" width="11.7109375" style="1806" customWidth="1"/>
    <col min="7945" max="7945" width="13.7109375" style="1806" customWidth="1"/>
    <col min="7946" max="8191" width="9.140625" style="1806"/>
    <col min="8192" max="8192" width="38.140625" style="1806" customWidth="1"/>
    <col min="8193" max="8193" width="10.140625" style="1806" customWidth="1"/>
    <col min="8194" max="8194" width="12.85546875" style="1806" customWidth="1"/>
    <col min="8195" max="8195" width="11.7109375" style="1806" customWidth="1"/>
    <col min="8196" max="8196" width="11.42578125" style="1806" customWidth="1"/>
    <col min="8197" max="8197" width="11.28515625" style="1806" customWidth="1"/>
    <col min="8198" max="8198" width="13.5703125" style="1806" customWidth="1"/>
    <col min="8199" max="8199" width="10.5703125" style="1806" customWidth="1"/>
    <col min="8200" max="8200" width="11.7109375" style="1806" customWidth="1"/>
    <col min="8201" max="8201" width="13.7109375" style="1806" customWidth="1"/>
    <col min="8202" max="8447" width="9.140625" style="1806"/>
    <col min="8448" max="8448" width="38.140625" style="1806" customWidth="1"/>
    <col min="8449" max="8449" width="10.140625" style="1806" customWidth="1"/>
    <col min="8450" max="8450" width="12.85546875" style="1806" customWidth="1"/>
    <col min="8451" max="8451" width="11.7109375" style="1806" customWidth="1"/>
    <col min="8452" max="8452" width="11.42578125" style="1806" customWidth="1"/>
    <col min="8453" max="8453" width="11.28515625" style="1806" customWidth="1"/>
    <col min="8454" max="8454" width="13.5703125" style="1806" customWidth="1"/>
    <col min="8455" max="8455" width="10.5703125" style="1806" customWidth="1"/>
    <col min="8456" max="8456" width="11.7109375" style="1806" customWidth="1"/>
    <col min="8457" max="8457" width="13.7109375" style="1806" customWidth="1"/>
    <col min="8458" max="8703" width="9.140625" style="1806"/>
    <col min="8704" max="8704" width="38.140625" style="1806" customWidth="1"/>
    <col min="8705" max="8705" width="10.140625" style="1806" customWidth="1"/>
    <col min="8706" max="8706" width="12.85546875" style="1806" customWidth="1"/>
    <col min="8707" max="8707" width="11.7109375" style="1806" customWidth="1"/>
    <col min="8708" max="8708" width="11.42578125" style="1806" customWidth="1"/>
    <col min="8709" max="8709" width="11.28515625" style="1806" customWidth="1"/>
    <col min="8710" max="8710" width="13.5703125" style="1806" customWidth="1"/>
    <col min="8711" max="8711" width="10.5703125" style="1806" customWidth="1"/>
    <col min="8712" max="8712" width="11.7109375" style="1806" customWidth="1"/>
    <col min="8713" max="8713" width="13.7109375" style="1806" customWidth="1"/>
    <col min="8714" max="8959" width="9.140625" style="1806"/>
    <col min="8960" max="8960" width="38.140625" style="1806" customWidth="1"/>
    <col min="8961" max="8961" width="10.140625" style="1806" customWidth="1"/>
    <col min="8962" max="8962" width="12.85546875" style="1806" customWidth="1"/>
    <col min="8963" max="8963" width="11.7109375" style="1806" customWidth="1"/>
    <col min="8964" max="8964" width="11.42578125" style="1806" customWidth="1"/>
    <col min="8965" max="8965" width="11.28515625" style="1806" customWidth="1"/>
    <col min="8966" max="8966" width="13.5703125" style="1806" customWidth="1"/>
    <col min="8967" max="8967" width="10.5703125" style="1806" customWidth="1"/>
    <col min="8968" max="8968" width="11.7109375" style="1806" customWidth="1"/>
    <col min="8969" max="8969" width="13.7109375" style="1806" customWidth="1"/>
    <col min="8970" max="9215" width="9.140625" style="1806"/>
    <col min="9216" max="9216" width="38.140625" style="1806" customWidth="1"/>
    <col min="9217" max="9217" width="10.140625" style="1806" customWidth="1"/>
    <col min="9218" max="9218" width="12.85546875" style="1806" customWidth="1"/>
    <col min="9219" max="9219" width="11.7109375" style="1806" customWidth="1"/>
    <col min="9220" max="9220" width="11.42578125" style="1806" customWidth="1"/>
    <col min="9221" max="9221" width="11.28515625" style="1806" customWidth="1"/>
    <col min="9222" max="9222" width="13.5703125" style="1806" customWidth="1"/>
    <col min="9223" max="9223" width="10.5703125" style="1806" customWidth="1"/>
    <col min="9224" max="9224" width="11.7109375" style="1806" customWidth="1"/>
    <col min="9225" max="9225" width="13.7109375" style="1806" customWidth="1"/>
    <col min="9226" max="9471" width="9.140625" style="1806"/>
    <col min="9472" max="9472" width="38.140625" style="1806" customWidth="1"/>
    <col min="9473" max="9473" width="10.140625" style="1806" customWidth="1"/>
    <col min="9474" max="9474" width="12.85546875" style="1806" customWidth="1"/>
    <col min="9475" max="9475" width="11.7109375" style="1806" customWidth="1"/>
    <col min="9476" max="9476" width="11.42578125" style="1806" customWidth="1"/>
    <col min="9477" max="9477" width="11.28515625" style="1806" customWidth="1"/>
    <col min="9478" max="9478" width="13.5703125" style="1806" customWidth="1"/>
    <col min="9479" max="9479" width="10.5703125" style="1806" customWidth="1"/>
    <col min="9480" max="9480" width="11.7109375" style="1806" customWidth="1"/>
    <col min="9481" max="9481" width="13.7109375" style="1806" customWidth="1"/>
    <col min="9482" max="9727" width="9.140625" style="1806"/>
    <col min="9728" max="9728" width="38.140625" style="1806" customWidth="1"/>
    <col min="9729" max="9729" width="10.140625" style="1806" customWidth="1"/>
    <col min="9730" max="9730" width="12.85546875" style="1806" customWidth="1"/>
    <col min="9731" max="9731" width="11.7109375" style="1806" customWidth="1"/>
    <col min="9732" max="9732" width="11.42578125" style="1806" customWidth="1"/>
    <col min="9733" max="9733" width="11.28515625" style="1806" customWidth="1"/>
    <col min="9734" max="9734" width="13.5703125" style="1806" customWidth="1"/>
    <col min="9735" max="9735" width="10.5703125" style="1806" customWidth="1"/>
    <col min="9736" max="9736" width="11.7109375" style="1806" customWidth="1"/>
    <col min="9737" max="9737" width="13.7109375" style="1806" customWidth="1"/>
    <col min="9738" max="9983" width="9.140625" style="1806"/>
    <col min="9984" max="9984" width="38.140625" style="1806" customWidth="1"/>
    <col min="9985" max="9985" width="10.140625" style="1806" customWidth="1"/>
    <col min="9986" max="9986" width="12.85546875" style="1806" customWidth="1"/>
    <col min="9987" max="9987" width="11.7109375" style="1806" customWidth="1"/>
    <col min="9988" max="9988" width="11.42578125" style="1806" customWidth="1"/>
    <col min="9989" max="9989" width="11.28515625" style="1806" customWidth="1"/>
    <col min="9990" max="9990" width="13.5703125" style="1806" customWidth="1"/>
    <col min="9991" max="9991" width="10.5703125" style="1806" customWidth="1"/>
    <col min="9992" max="9992" width="11.7109375" style="1806" customWidth="1"/>
    <col min="9993" max="9993" width="13.7109375" style="1806" customWidth="1"/>
    <col min="9994" max="10239" width="9.140625" style="1806"/>
    <col min="10240" max="10240" width="38.140625" style="1806" customWidth="1"/>
    <col min="10241" max="10241" width="10.140625" style="1806" customWidth="1"/>
    <col min="10242" max="10242" width="12.85546875" style="1806" customWidth="1"/>
    <col min="10243" max="10243" width="11.7109375" style="1806" customWidth="1"/>
    <col min="10244" max="10244" width="11.42578125" style="1806" customWidth="1"/>
    <col min="10245" max="10245" width="11.28515625" style="1806" customWidth="1"/>
    <col min="10246" max="10246" width="13.5703125" style="1806" customWidth="1"/>
    <col min="10247" max="10247" width="10.5703125" style="1806" customWidth="1"/>
    <col min="10248" max="10248" width="11.7109375" style="1806" customWidth="1"/>
    <col min="10249" max="10249" width="13.7109375" style="1806" customWidth="1"/>
    <col min="10250" max="10495" width="9.140625" style="1806"/>
    <col min="10496" max="10496" width="38.140625" style="1806" customWidth="1"/>
    <col min="10497" max="10497" width="10.140625" style="1806" customWidth="1"/>
    <col min="10498" max="10498" width="12.85546875" style="1806" customWidth="1"/>
    <col min="10499" max="10499" width="11.7109375" style="1806" customWidth="1"/>
    <col min="10500" max="10500" width="11.42578125" style="1806" customWidth="1"/>
    <col min="10501" max="10501" width="11.28515625" style="1806" customWidth="1"/>
    <col min="10502" max="10502" width="13.5703125" style="1806" customWidth="1"/>
    <col min="10503" max="10503" width="10.5703125" style="1806" customWidth="1"/>
    <col min="10504" max="10504" width="11.7109375" style="1806" customWidth="1"/>
    <col min="10505" max="10505" width="13.7109375" style="1806" customWidth="1"/>
    <col min="10506" max="10751" width="9.140625" style="1806"/>
    <col min="10752" max="10752" width="38.140625" style="1806" customWidth="1"/>
    <col min="10753" max="10753" width="10.140625" style="1806" customWidth="1"/>
    <col min="10754" max="10754" width="12.85546875" style="1806" customWidth="1"/>
    <col min="10755" max="10755" width="11.7109375" style="1806" customWidth="1"/>
    <col min="10756" max="10756" width="11.42578125" style="1806" customWidth="1"/>
    <col min="10757" max="10757" width="11.28515625" style="1806" customWidth="1"/>
    <col min="10758" max="10758" width="13.5703125" style="1806" customWidth="1"/>
    <col min="10759" max="10759" width="10.5703125" style="1806" customWidth="1"/>
    <col min="10760" max="10760" width="11.7109375" style="1806" customWidth="1"/>
    <col min="10761" max="10761" width="13.7109375" style="1806" customWidth="1"/>
    <col min="10762" max="11007" width="9.140625" style="1806"/>
    <col min="11008" max="11008" width="38.140625" style="1806" customWidth="1"/>
    <col min="11009" max="11009" width="10.140625" style="1806" customWidth="1"/>
    <col min="11010" max="11010" width="12.85546875" style="1806" customWidth="1"/>
    <col min="11011" max="11011" width="11.7109375" style="1806" customWidth="1"/>
    <col min="11012" max="11012" width="11.42578125" style="1806" customWidth="1"/>
    <col min="11013" max="11013" width="11.28515625" style="1806" customWidth="1"/>
    <col min="11014" max="11014" width="13.5703125" style="1806" customWidth="1"/>
    <col min="11015" max="11015" width="10.5703125" style="1806" customWidth="1"/>
    <col min="11016" max="11016" width="11.7109375" style="1806" customWidth="1"/>
    <col min="11017" max="11017" width="13.7109375" style="1806" customWidth="1"/>
    <col min="11018" max="11263" width="9.140625" style="1806"/>
    <col min="11264" max="11264" width="38.140625" style="1806" customWidth="1"/>
    <col min="11265" max="11265" width="10.140625" style="1806" customWidth="1"/>
    <col min="11266" max="11266" width="12.85546875" style="1806" customWidth="1"/>
    <col min="11267" max="11267" width="11.7109375" style="1806" customWidth="1"/>
    <col min="11268" max="11268" width="11.42578125" style="1806" customWidth="1"/>
    <col min="11269" max="11269" width="11.28515625" style="1806" customWidth="1"/>
    <col min="11270" max="11270" width="13.5703125" style="1806" customWidth="1"/>
    <col min="11271" max="11271" width="10.5703125" style="1806" customWidth="1"/>
    <col min="11272" max="11272" width="11.7109375" style="1806" customWidth="1"/>
    <col min="11273" max="11273" width="13.7109375" style="1806" customWidth="1"/>
    <col min="11274" max="11519" width="9.140625" style="1806"/>
    <col min="11520" max="11520" width="38.140625" style="1806" customWidth="1"/>
    <col min="11521" max="11521" width="10.140625" style="1806" customWidth="1"/>
    <col min="11522" max="11522" width="12.85546875" style="1806" customWidth="1"/>
    <col min="11523" max="11523" width="11.7109375" style="1806" customWidth="1"/>
    <col min="11524" max="11524" width="11.42578125" style="1806" customWidth="1"/>
    <col min="11525" max="11525" width="11.28515625" style="1806" customWidth="1"/>
    <col min="11526" max="11526" width="13.5703125" style="1806" customWidth="1"/>
    <col min="11527" max="11527" width="10.5703125" style="1806" customWidth="1"/>
    <col min="11528" max="11528" width="11.7109375" style="1806" customWidth="1"/>
    <col min="11529" max="11529" width="13.7109375" style="1806" customWidth="1"/>
    <col min="11530" max="11775" width="9.140625" style="1806"/>
    <col min="11776" max="11776" width="38.140625" style="1806" customWidth="1"/>
    <col min="11777" max="11777" width="10.140625" style="1806" customWidth="1"/>
    <col min="11778" max="11778" width="12.85546875" style="1806" customWidth="1"/>
    <col min="11779" max="11779" width="11.7109375" style="1806" customWidth="1"/>
    <col min="11780" max="11780" width="11.42578125" style="1806" customWidth="1"/>
    <col min="11781" max="11781" width="11.28515625" style="1806" customWidth="1"/>
    <col min="11782" max="11782" width="13.5703125" style="1806" customWidth="1"/>
    <col min="11783" max="11783" width="10.5703125" style="1806" customWidth="1"/>
    <col min="11784" max="11784" width="11.7109375" style="1806" customWidth="1"/>
    <col min="11785" max="11785" width="13.7109375" style="1806" customWidth="1"/>
    <col min="11786" max="12031" width="9.140625" style="1806"/>
    <col min="12032" max="12032" width="38.140625" style="1806" customWidth="1"/>
    <col min="12033" max="12033" width="10.140625" style="1806" customWidth="1"/>
    <col min="12034" max="12034" width="12.85546875" style="1806" customWidth="1"/>
    <col min="12035" max="12035" width="11.7109375" style="1806" customWidth="1"/>
    <col min="12036" max="12036" width="11.42578125" style="1806" customWidth="1"/>
    <col min="12037" max="12037" width="11.28515625" style="1806" customWidth="1"/>
    <col min="12038" max="12038" width="13.5703125" style="1806" customWidth="1"/>
    <col min="12039" max="12039" width="10.5703125" style="1806" customWidth="1"/>
    <col min="12040" max="12040" width="11.7109375" style="1806" customWidth="1"/>
    <col min="12041" max="12041" width="13.7109375" style="1806" customWidth="1"/>
    <col min="12042" max="12287" width="9.140625" style="1806"/>
    <col min="12288" max="12288" width="38.140625" style="1806" customWidth="1"/>
    <col min="12289" max="12289" width="10.140625" style="1806" customWidth="1"/>
    <col min="12290" max="12290" width="12.85546875" style="1806" customWidth="1"/>
    <col min="12291" max="12291" width="11.7109375" style="1806" customWidth="1"/>
    <col min="12292" max="12292" width="11.42578125" style="1806" customWidth="1"/>
    <col min="12293" max="12293" width="11.28515625" style="1806" customWidth="1"/>
    <col min="12294" max="12294" width="13.5703125" style="1806" customWidth="1"/>
    <col min="12295" max="12295" width="10.5703125" style="1806" customWidth="1"/>
    <col min="12296" max="12296" width="11.7109375" style="1806" customWidth="1"/>
    <col min="12297" max="12297" width="13.7109375" style="1806" customWidth="1"/>
    <col min="12298" max="12543" width="9.140625" style="1806"/>
    <col min="12544" max="12544" width="38.140625" style="1806" customWidth="1"/>
    <col min="12545" max="12545" width="10.140625" style="1806" customWidth="1"/>
    <col min="12546" max="12546" width="12.85546875" style="1806" customWidth="1"/>
    <col min="12547" max="12547" width="11.7109375" style="1806" customWidth="1"/>
    <col min="12548" max="12548" width="11.42578125" style="1806" customWidth="1"/>
    <col min="12549" max="12549" width="11.28515625" style="1806" customWidth="1"/>
    <col min="12550" max="12550" width="13.5703125" style="1806" customWidth="1"/>
    <col min="12551" max="12551" width="10.5703125" style="1806" customWidth="1"/>
    <col min="12552" max="12552" width="11.7109375" style="1806" customWidth="1"/>
    <col min="12553" max="12553" width="13.7109375" style="1806" customWidth="1"/>
    <col min="12554" max="12799" width="9.140625" style="1806"/>
    <col min="12800" max="12800" width="38.140625" style="1806" customWidth="1"/>
    <col min="12801" max="12801" width="10.140625" style="1806" customWidth="1"/>
    <col min="12802" max="12802" width="12.85546875" style="1806" customWidth="1"/>
    <col min="12803" max="12803" width="11.7109375" style="1806" customWidth="1"/>
    <col min="12804" max="12804" width="11.42578125" style="1806" customWidth="1"/>
    <col min="12805" max="12805" width="11.28515625" style="1806" customWidth="1"/>
    <col min="12806" max="12806" width="13.5703125" style="1806" customWidth="1"/>
    <col min="12807" max="12807" width="10.5703125" style="1806" customWidth="1"/>
    <col min="12808" max="12808" width="11.7109375" style="1806" customWidth="1"/>
    <col min="12809" max="12809" width="13.7109375" style="1806" customWidth="1"/>
    <col min="12810" max="13055" width="9.140625" style="1806"/>
    <col min="13056" max="13056" width="38.140625" style="1806" customWidth="1"/>
    <col min="13057" max="13057" width="10.140625" style="1806" customWidth="1"/>
    <col min="13058" max="13058" width="12.85546875" style="1806" customWidth="1"/>
    <col min="13059" max="13059" width="11.7109375" style="1806" customWidth="1"/>
    <col min="13060" max="13060" width="11.42578125" style="1806" customWidth="1"/>
    <col min="13061" max="13061" width="11.28515625" style="1806" customWidth="1"/>
    <col min="13062" max="13062" width="13.5703125" style="1806" customWidth="1"/>
    <col min="13063" max="13063" width="10.5703125" style="1806" customWidth="1"/>
    <col min="13064" max="13064" width="11.7109375" style="1806" customWidth="1"/>
    <col min="13065" max="13065" width="13.7109375" style="1806" customWidth="1"/>
    <col min="13066" max="13311" width="9.140625" style="1806"/>
    <col min="13312" max="13312" width="38.140625" style="1806" customWidth="1"/>
    <col min="13313" max="13313" width="10.140625" style="1806" customWidth="1"/>
    <col min="13314" max="13314" width="12.85546875" style="1806" customWidth="1"/>
    <col min="13315" max="13315" width="11.7109375" style="1806" customWidth="1"/>
    <col min="13316" max="13316" width="11.42578125" style="1806" customWidth="1"/>
    <col min="13317" max="13317" width="11.28515625" style="1806" customWidth="1"/>
    <col min="13318" max="13318" width="13.5703125" style="1806" customWidth="1"/>
    <col min="13319" max="13319" width="10.5703125" style="1806" customWidth="1"/>
    <col min="13320" max="13320" width="11.7109375" style="1806" customWidth="1"/>
    <col min="13321" max="13321" width="13.7109375" style="1806" customWidth="1"/>
    <col min="13322" max="13567" width="9.140625" style="1806"/>
    <col min="13568" max="13568" width="38.140625" style="1806" customWidth="1"/>
    <col min="13569" max="13569" width="10.140625" style="1806" customWidth="1"/>
    <col min="13570" max="13570" width="12.85546875" style="1806" customWidth="1"/>
    <col min="13571" max="13571" width="11.7109375" style="1806" customWidth="1"/>
    <col min="13572" max="13572" width="11.42578125" style="1806" customWidth="1"/>
    <col min="13573" max="13573" width="11.28515625" style="1806" customWidth="1"/>
    <col min="13574" max="13574" width="13.5703125" style="1806" customWidth="1"/>
    <col min="13575" max="13575" width="10.5703125" style="1806" customWidth="1"/>
    <col min="13576" max="13576" width="11.7109375" style="1806" customWidth="1"/>
    <col min="13577" max="13577" width="13.7109375" style="1806" customWidth="1"/>
    <col min="13578" max="13823" width="9.140625" style="1806"/>
    <col min="13824" max="13824" width="38.140625" style="1806" customWidth="1"/>
    <col min="13825" max="13825" width="10.140625" style="1806" customWidth="1"/>
    <col min="13826" max="13826" width="12.85546875" style="1806" customWidth="1"/>
    <col min="13827" max="13827" width="11.7109375" style="1806" customWidth="1"/>
    <col min="13828" max="13828" width="11.42578125" style="1806" customWidth="1"/>
    <col min="13829" max="13829" width="11.28515625" style="1806" customWidth="1"/>
    <col min="13830" max="13830" width="13.5703125" style="1806" customWidth="1"/>
    <col min="13831" max="13831" width="10.5703125" style="1806" customWidth="1"/>
    <col min="13832" max="13832" width="11.7109375" style="1806" customWidth="1"/>
    <col min="13833" max="13833" width="13.7109375" style="1806" customWidth="1"/>
    <col min="13834" max="14079" width="9.140625" style="1806"/>
    <col min="14080" max="14080" width="38.140625" style="1806" customWidth="1"/>
    <col min="14081" max="14081" width="10.140625" style="1806" customWidth="1"/>
    <col min="14082" max="14082" width="12.85546875" style="1806" customWidth="1"/>
    <col min="14083" max="14083" width="11.7109375" style="1806" customWidth="1"/>
    <col min="14084" max="14084" width="11.42578125" style="1806" customWidth="1"/>
    <col min="14085" max="14085" width="11.28515625" style="1806" customWidth="1"/>
    <col min="14086" max="14086" width="13.5703125" style="1806" customWidth="1"/>
    <col min="14087" max="14087" width="10.5703125" style="1806" customWidth="1"/>
    <col min="14088" max="14088" width="11.7109375" style="1806" customWidth="1"/>
    <col min="14089" max="14089" width="13.7109375" style="1806" customWidth="1"/>
    <col min="14090" max="14335" width="9.140625" style="1806"/>
    <col min="14336" max="14336" width="38.140625" style="1806" customWidth="1"/>
    <col min="14337" max="14337" width="10.140625" style="1806" customWidth="1"/>
    <col min="14338" max="14338" width="12.85546875" style="1806" customWidth="1"/>
    <col min="14339" max="14339" width="11.7109375" style="1806" customWidth="1"/>
    <col min="14340" max="14340" width="11.42578125" style="1806" customWidth="1"/>
    <col min="14341" max="14341" width="11.28515625" style="1806" customWidth="1"/>
    <col min="14342" max="14342" width="13.5703125" style="1806" customWidth="1"/>
    <col min="14343" max="14343" width="10.5703125" style="1806" customWidth="1"/>
    <col min="14344" max="14344" width="11.7109375" style="1806" customWidth="1"/>
    <col min="14345" max="14345" width="13.7109375" style="1806" customWidth="1"/>
    <col min="14346" max="14591" width="9.140625" style="1806"/>
    <col min="14592" max="14592" width="38.140625" style="1806" customWidth="1"/>
    <col min="14593" max="14593" width="10.140625" style="1806" customWidth="1"/>
    <col min="14594" max="14594" width="12.85546875" style="1806" customWidth="1"/>
    <col min="14595" max="14595" width="11.7109375" style="1806" customWidth="1"/>
    <col min="14596" max="14596" width="11.42578125" style="1806" customWidth="1"/>
    <col min="14597" max="14597" width="11.28515625" style="1806" customWidth="1"/>
    <col min="14598" max="14598" width="13.5703125" style="1806" customWidth="1"/>
    <col min="14599" max="14599" width="10.5703125" style="1806" customWidth="1"/>
    <col min="14600" max="14600" width="11.7109375" style="1806" customWidth="1"/>
    <col min="14601" max="14601" width="13.7109375" style="1806" customWidth="1"/>
    <col min="14602" max="14847" width="9.140625" style="1806"/>
    <col min="14848" max="14848" width="38.140625" style="1806" customWidth="1"/>
    <col min="14849" max="14849" width="10.140625" style="1806" customWidth="1"/>
    <col min="14850" max="14850" width="12.85546875" style="1806" customWidth="1"/>
    <col min="14851" max="14851" width="11.7109375" style="1806" customWidth="1"/>
    <col min="14852" max="14852" width="11.42578125" style="1806" customWidth="1"/>
    <col min="14853" max="14853" width="11.28515625" style="1806" customWidth="1"/>
    <col min="14854" max="14854" width="13.5703125" style="1806" customWidth="1"/>
    <col min="14855" max="14855" width="10.5703125" style="1806" customWidth="1"/>
    <col min="14856" max="14856" width="11.7109375" style="1806" customWidth="1"/>
    <col min="14857" max="14857" width="13.7109375" style="1806" customWidth="1"/>
    <col min="14858" max="15103" width="9.140625" style="1806"/>
    <col min="15104" max="15104" width="38.140625" style="1806" customWidth="1"/>
    <col min="15105" max="15105" width="10.140625" style="1806" customWidth="1"/>
    <col min="15106" max="15106" width="12.85546875" style="1806" customWidth="1"/>
    <col min="15107" max="15107" width="11.7109375" style="1806" customWidth="1"/>
    <col min="15108" max="15108" width="11.42578125" style="1806" customWidth="1"/>
    <col min="15109" max="15109" width="11.28515625" style="1806" customWidth="1"/>
    <col min="15110" max="15110" width="13.5703125" style="1806" customWidth="1"/>
    <col min="15111" max="15111" width="10.5703125" style="1806" customWidth="1"/>
    <col min="15112" max="15112" width="11.7109375" style="1806" customWidth="1"/>
    <col min="15113" max="15113" width="13.7109375" style="1806" customWidth="1"/>
    <col min="15114" max="15359" width="9.140625" style="1806"/>
    <col min="15360" max="15360" width="38.140625" style="1806" customWidth="1"/>
    <col min="15361" max="15361" width="10.140625" style="1806" customWidth="1"/>
    <col min="15362" max="15362" width="12.85546875" style="1806" customWidth="1"/>
    <col min="15363" max="15363" width="11.7109375" style="1806" customWidth="1"/>
    <col min="15364" max="15364" width="11.42578125" style="1806" customWidth="1"/>
    <col min="15365" max="15365" width="11.28515625" style="1806" customWidth="1"/>
    <col min="15366" max="15366" width="13.5703125" style="1806" customWidth="1"/>
    <col min="15367" max="15367" width="10.5703125" style="1806" customWidth="1"/>
    <col min="15368" max="15368" width="11.7109375" style="1806" customWidth="1"/>
    <col min="15369" max="15369" width="13.7109375" style="1806" customWidth="1"/>
    <col min="15370" max="15615" width="9.140625" style="1806"/>
    <col min="15616" max="15616" width="38.140625" style="1806" customWidth="1"/>
    <col min="15617" max="15617" width="10.140625" style="1806" customWidth="1"/>
    <col min="15618" max="15618" width="12.85546875" style="1806" customWidth="1"/>
    <col min="15619" max="15619" width="11.7109375" style="1806" customWidth="1"/>
    <col min="15620" max="15620" width="11.42578125" style="1806" customWidth="1"/>
    <col min="15621" max="15621" width="11.28515625" style="1806" customWidth="1"/>
    <col min="15622" max="15622" width="13.5703125" style="1806" customWidth="1"/>
    <col min="15623" max="15623" width="10.5703125" style="1806" customWidth="1"/>
    <col min="15624" max="15624" width="11.7109375" style="1806" customWidth="1"/>
    <col min="15625" max="15625" width="13.7109375" style="1806" customWidth="1"/>
    <col min="15626" max="15871" width="9.140625" style="1806"/>
    <col min="15872" max="15872" width="38.140625" style="1806" customWidth="1"/>
    <col min="15873" max="15873" width="10.140625" style="1806" customWidth="1"/>
    <col min="15874" max="15874" width="12.85546875" style="1806" customWidth="1"/>
    <col min="15875" max="15875" width="11.7109375" style="1806" customWidth="1"/>
    <col min="15876" max="15876" width="11.42578125" style="1806" customWidth="1"/>
    <col min="15877" max="15877" width="11.28515625" style="1806" customWidth="1"/>
    <col min="15878" max="15878" width="13.5703125" style="1806" customWidth="1"/>
    <col min="15879" max="15879" width="10.5703125" style="1806" customWidth="1"/>
    <col min="15880" max="15880" width="11.7109375" style="1806" customWidth="1"/>
    <col min="15881" max="15881" width="13.7109375" style="1806" customWidth="1"/>
    <col min="15882" max="16127" width="9.140625" style="1806"/>
    <col min="16128" max="16128" width="38.140625" style="1806" customWidth="1"/>
    <col min="16129" max="16129" width="10.140625" style="1806" customWidth="1"/>
    <col min="16130" max="16130" width="12.85546875" style="1806" customWidth="1"/>
    <col min="16131" max="16131" width="11.7109375" style="1806" customWidth="1"/>
    <col min="16132" max="16132" width="11.42578125" style="1806" customWidth="1"/>
    <col min="16133" max="16133" width="11.28515625" style="1806" customWidth="1"/>
    <col min="16134" max="16134" width="13.5703125" style="1806" customWidth="1"/>
    <col min="16135" max="16135" width="10.5703125" style="1806" customWidth="1"/>
    <col min="16136" max="16136" width="11.7109375" style="1806" customWidth="1"/>
    <col min="16137" max="16137" width="13.7109375" style="1806" customWidth="1"/>
    <col min="16138" max="16384" width="9.140625" style="1806"/>
  </cols>
  <sheetData>
    <row r="1" spans="1:12" s="838" customFormat="1" ht="17.25" x14ac:dyDescent="0.3">
      <c r="A1" s="1805" t="s">
        <v>3518</v>
      </c>
      <c r="B1" s="1805"/>
      <c r="C1" s="1805"/>
      <c r="D1" s="1805"/>
      <c r="E1" s="1805"/>
    </row>
    <row r="2" spans="1:12" ht="15" thickBot="1" x14ac:dyDescent="0.3">
      <c r="F2" s="1807"/>
      <c r="G2" s="1807"/>
      <c r="H2" s="1807"/>
      <c r="I2" s="1807"/>
      <c r="J2" s="1808" t="s">
        <v>8</v>
      </c>
    </row>
    <row r="3" spans="1:12" s="1809" customFormat="1" ht="18.75" customHeight="1" thickTop="1" thickBot="1" x14ac:dyDescent="0.3">
      <c r="A3" s="3757" t="s">
        <v>3519</v>
      </c>
      <c r="B3" s="3760" t="s">
        <v>3520</v>
      </c>
      <c r="C3" s="3760" t="s">
        <v>154</v>
      </c>
      <c r="D3" s="3760" t="s">
        <v>3521</v>
      </c>
      <c r="E3" s="3760" t="s">
        <v>3522</v>
      </c>
      <c r="F3" s="3763" t="s">
        <v>3523</v>
      </c>
      <c r="G3" s="3764"/>
      <c r="H3" s="3764"/>
      <c r="I3" s="3765"/>
      <c r="J3" s="3766" t="s">
        <v>274</v>
      </c>
      <c r="L3" s="1810"/>
    </row>
    <row r="4" spans="1:12" s="1809" customFormat="1" ht="17.25" customHeight="1" x14ac:dyDescent="0.25">
      <c r="A4" s="3758"/>
      <c r="B4" s="3761"/>
      <c r="C4" s="3761"/>
      <c r="D4" s="3761"/>
      <c r="E4" s="3761"/>
      <c r="F4" s="3769" t="s">
        <v>3524</v>
      </c>
      <c r="G4" s="3769" t="s">
        <v>3525</v>
      </c>
      <c r="H4" s="3769" t="s">
        <v>3526</v>
      </c>
      <c r="I4" s="3769" t="s">
        <v>3527</v>
      </c>
      <c r="J4" s="3767"/>
    </row>
    <row r="5" spans="1:12" s="1809" customFormat="1" ht="15.75" customHeight="1" thickBot="1" x14ac:dyDescent="0.3">
      <c r="A5" s="3759"/>
      <c r="B5" s="3762"/>
      <c r="C5" s="3762"/>
      <c r="D5" s="3762"/>
      <c r="E5" s="3762"/>
      <c r="F5" s="3770"/>
      <c r="G5" s="3770"/>
      <c r="H5" s="3770"/>
      <c r="I5" s="3770"/>
      <c r="J5" s="3768"/>
    </row>
    <row r="6" spans="1:12" ht="16.5" x14ac:dyDescent="0.3">
      <c r="A6" s="1811" t="s">
        <v>3528</v>
      </c>
      <c r="B6" s="1812">
        <v>49.462769729999998</v>
      </c>
      <c r="C6" s="1812">
        <v>2910.7706850058898</v>
      </c>
      <c r="D6" s="1812">
        <v>39.349159829999998</v>
      </c>
      <c r="E6" s="1812">
        <v>0</v>
      </c>
      <c r="F6" s="1812">
        <v>0</v>
      </c>
      <c r="G6" s="1812">
        <v>0</v>
      </c>
      <c r="H6" s="1812">
        <v>0</v>
      </c>
      <c r="I6" s="1812">
        <v>0</v>
      </c>
      <c r="J6" s="1813">
        <v>2999.5826145658903</v>
      </c>
      <c r="L6" s="1814"/>
    </row>
    <row r="7" spans="1:12" ht="16.5" x14ac:dyDescent="0.3">
      <c r="A7" s="1811" t="s">
        <v>3529</v>
      </c>
      <c r="B7" s="1812">
        <v>0.16066629999999998</v>
      </c>
      <c r="C7" s="1812">
        <v>18254.599983869302</v>
      </c>
      <c r="D7" s="1812">
        <v>0</v>
      </c>
      <c r="E7" s="1812">
        <v>0</v>
      </c>
      <c r="F7" s="1812">
        <v>0.16556150977599998</v>
      </c>
      <c r="G7" s="1812">
        <v>0</v>
      </c>
      <c r="H7" s="1812">
        <v>0</v>
      </c>
      <c r="I7" s="1812">
        <v>0</v>
      </c>
      <c r="J7" s="1813">
        <v>18254.926211679078</v>
      </c>
      <c r="L7" s="1814"/>
    </row>
    <row r="8" spans="1:12" ht="16.5" x14ac:dyDescent="0.3">
      <c r="A8" s="1811" t="s">
        <v>1149</v>
      </c>
      <c r="B8" s="1812">
        <v>134.16846002</v>
      </c>
      <c r="C8" s="1812">
        <v>48700.913419939701</v>
      </c>
      <c r="D8" s="1812">
        <v>2.6516167999999998</v>
      </c>
      <c r="E8" s="1812">
        <v>2698.9759803244201</v>
      </c>
      <c r="F8" s="1812">
        <v>20.8047204175144</v>
      </c>
      <c r="G8" s="1812">
        <v>0</v>
      </c>
      <c r="H8" s="1812">
        <v>1148.7887471848801</v>
      </c>
      <c r="I8" s="1812">
        <v>0</v>
      </c>
      <c r="J8" s="1813">
        <v>52706.302944686526</v>
      </c>
      <c r="L8" s="1814"/>
    </row>
    <row r="9" spans="1:12" ht="16.5" x14ac:dyDescent="0.3">
      <c r="A9" s="1811" t="s">
        <v>3530</v>
      </c>
      <c r="B9" s="1812">
        <v>0</v>
      </c>
      <c r="C9" s="1812">
        <v>13105.048270273501</v>
      </c>
      <c r="D9" s="1812">
        <v>0</v>
      </c>
      <c r="E9" s="1812">
        <v>0</v>
      </c>
      <c r="F9" s="1812">
        <v>0</v>
      </c>
      <c r="G9" s="1812">
        <v>0</v>
      </c>
      <c r="H9" s="1812">
        <v>0</v>
      </c>
      <c r="I9" s="1812">
        <v>0</v>
      </c>
      <c r="J9" s="1813">
        <v>13105.048270273501</v>
      </c>
      <c r="L9" s="1814"/>
    </row>
    <row r="10" spans="1:12" ht="20.25" customHeight="1" x14ac:dyDescent="0.3">
      <c r="A10" s="1815" t="s">
        <v>3531</v>
      </c>
      <c r="B10" s="1812">
        <v>0</v>
      </c>
      <c r="C10" s="1812">
        <v>0</v>
      </c>
      <c r="D10" s="1812">
        <v>0</v>
      </c>
      <c r="E10" s="1812">
        <v>0</v>
      </c>
      <c r="F10" s="1812">
        <v>0</v>
      </c>
      <c r="G10" s="1812">
        <v>0</v>
      </c>
      <c r="H10" s="1812">
        <v>0</v>
      </c>
      <c r="I10" s="1812">
        <v>0</v>
      </c>
      <c r="J10" s="1813">
        <v>0</v>
      </c>
      <c r="L10" s="1814"/>
    </row>
    <row r="11" spans="1:12" ht="16.5" x14ac:dyDescent="0.3">
      <c r="A11" s="1811" t="s">
        <v>1150</v>
      </c>
      <c r="B11" s="1812">
        <v>0.69393327999999999</v>
      </c>
      <c r="C11" s="1812">
        <v>8104.34414298098</v>
      </c>
      <c r="D11" s="1812">
        <v>0</v>
      </c>
      <c r="E11" s="1812">
        <v>0</v>
      </c>
      <c r="F11" s="1812">
        <v>0</v>
      </c>
      <c r="G11" s="1812">
        <v>0</v>
      </c>
      <c r="H11" s="1812">
        <v>0</v>
      </c>
      <c r="I11" s="1812">
        <v>0</v>
      </c>
      <c r="J11" s="1813">
        <v>8105.0380762609802</v>
      </c>
      <c r="L11" s="1814"/>
    </row>
    <row r="12" spans="1:12" ht="20.25" customHeight="1" x14ac:dyDescent="0.3">
      <c r="A12" s="1815" t="s">
        <v>3532</v>
      </c>
      <c r="B12" s="1812">
        <v>3524.8885404555203</v>
      </c>
      <c r="C12" s="1812">
        <v>21483.141087414479</v>
      </c>
      <c r="D12" s="1812">
        <v>5430.9310977299992</v>
      </c>
      <c r="E12" s="1812">
        <v>23360.519280339999</v>
      </c>
      <c r="F12" s="1812">
        <v>0</v>
      </c>
      <c r="G12" s="1812">
        <v>0</v>
      </c>
      <c r="H12" s="1812">
        <v>0</v>
      </c>
      <c r="I12" s="1812">
        <v>642.96600000000001</v>
      </c>
      <c r="J12" s="1813">
        <v>54442.446005939993</v>
      </c>
      <c r="L12" s="1814"/>
    </row>
    <row r="13" spans="1:12" ht="16.5" x14ac:dyDescent="0.3">
      <c r="A13" s="1811" t="s">
        <v>3533</v>
      </c>
      <c r="B13" s="1812">
        <v>5.2578048200000005</v>
      </c>
      <c r="C13" s="1812">
        <v>12214.047627525501</v>
      </c>
      <c r="D13" s="1812">
        <v>0</v>
      </c>
      <c r="E13" s="1812">
        <v>0</v>
      </c>
      <c r="F13" s="1812">
        <v>7.0969999999999993E-5</v>
      </c>
      <c r="G13" s="1812">
        <v>0</v>
      </c>
      <c r="H13" s="1812">
        <v>0.11294885</v>
      </c>
      <c r="I13" s="1812">
        <v>0</v>
      </c>
      <c r="J13" s="1813">
        <v>12219.418452165499</v>
      </c>
      <c r="L13" s="1814"/>
    </row>
    <row r="14" spans="1:12" ht="16.5" x14ac:dyDescent="0.3">
      <c r="A14" s="1811" t="s">
        <v>3534</v>
      </c>
      <c r="B14" s="1812">
        <v>812.75964137999995</v>
      </c>
      <c r="C14" s="1812">
        <v>12289.318395522101</v>
      </c>
      <c r="D14" s="1812">
        <v>0</v>
      </c>
      <c r="E14" s="1812">
        <v>0</v>
      </c>
      <c r="F14" s="1812">
        <v>0</v>
      </c>
      <c r="G14" s="1812">
        <v>0</v>
      </c>
      <c r="H14" s="1812">
        <v>0</v>
      </c>
      <c r="I14" s="1812">
        <v>0</v>
      </c>
      <c r="J14" s="1813">
        <v>13102.078036902101</v>
      </c>
      <c r="L14" s="1814"/>
    </row>
    <row r="15" spans="1:12" ht="16.5" x14ac:dyDescent="0.3">
      <c r="A15" s="1811" t="s">
        <v>3535</v>
      </c>
      <c r="B15" s="1812">
        <v>615.56152459999998</v>
      </c>
      <c r="C15" s="1812">
        <v>13620.335914267398</v>
      </c>
      <c r="D15" s="1812">
        <v>1273.9182525636302</v>
      </c>
      <c r="E15" s="1812">
        <v>0</v>
      </c>
      <c r="F15" s="1812">
        <v>0</v>
      </c>
      <c r="G15" s="1812">
        <v>0</v>
      </c>
      <c r="H15" s="1812">
        <v>0</v>
      </c>
      <c r="I15" s="1812">
        <v>0</v>
      </c>
      <c r="J15" s="1813">
        <v>15509.815691431028</v>
      </c>
      <c r="L15" s="1814"/>
    </row>
    <row r="16" spans="1:12" ht="16.5" x14ac:dyDescent="0.3">
      <c r="A16" s="1811" t="s">
        <v>1156</v>
      </c>
      <c r="B16" s="1812">
        <v>119.45386267000001</v>
      </c>
      <c r="C16" s="1812">
        <v>13563.9000950186</v>
      </c>
      <c r="D16" s="1812">
        <v>0</v>
      </c>
      <c r="E16" s="1812">
        <v>0</v>
      </c>
      <c r="F16" s="1812">
        <v>0</v>
      </c>
      <c r="G16" s="1812">
        <v>0</v>
      </c>
      <c r="H16" s="1812">
        <v>3641.6447344798598</v>
      </c>
      <c r="I16" s="1812">
        <v>0</v>
      </c>
      <c r="J16" s="1813">
        <v>17324.998692168461</v>
      </c>
      <c r="L16" s="1814"/>
    </row>
    <row r="17" spans="1:12" ht="16.5" x14ac:dyDescent="0.3">
      <c r="A17" s="1811" t="s">
        <v>3536</v>
      </c>
      <c r="B17" s="1812">
        <v>6.2240946272651199</v>
      </c>
      <c r="C17" s="1812">
        <v>2341.5231729049951</v>
      </c>
      <c r="D17" s="1812">
        <v>0</v>
      </c>
      <c r="E17" s="1812">
        <v>0</v>
      </c>
      <c r="F17" s="1812">
        <v>0</v>
      </c>
      <c r="G17" s="1812">
        <v>0</v>
      </c>
      <c r="H17" s="1812">
        <v>0</v>
      </c>
      <c r="I17" s="1812">
        <v>0</v>
      </c>
      <c r="J17" s="1813">
        <v>2347.7472675322601</v>
      </c>
      <c r="L17" s="1814"/>
    </row>
    <row r="18" spans="1:12" ht="16.5" x14ac:dyDescent="0.3">
      <c r="A18" s="1811" t="s">
        <v>3537</v>
      </c>
      <c r="B18" s="1812">
        <v>3.8654936900000001</v>
      </c>
      <c r="C18" s="1812">
        <v>1107.35938393111</v>
      </c>
      <c r="D18" s="1812">
        <v>0</v>
      </c>
      <c r="E18" s="1812">
        <v>0</v>
      </c>
      <c r="F18" s="1812">
        <v>0</v>
      </c>
      <c r="G18" s="1812">
        <v>0</v>
      </c>
      <c r="H18" s="1812">
        <v>167.64477049000001</v>
      </c>
      <c r="I18" s="1812">
        <v>0</v>
      </c>
      <c r="J18" s="1813">
        <v>1278.8696481111099</v>
      </c>
      <c r="L18" s="1814"/>
    </row>
    <row r="19" spans="1:12" ht="16.5" x14ac:dyDescent="0.3">
      <c r="A19" s="1811" t="s">
        <v>3538</v>
      </c>
      <c r="B19" s="1812">
        <v>0</v>
      </c>
      <c r="C19" s="1812">
        <v>213.30414741165399</v>
      </c>
      <c r="D19" s="1812">
        <v>0</v>
      </c>
      <c r="E19" s="1812">
        <v>0</v>
      </c>
      <c r="F19" s="1812">
        <v>0</v>
      </c>
      <c r="G19" s="1812">
        <v>0</v>
      </c>
      <c r="H19" s="1812">
        <v>0</v>
      </c>
      <c r="I19" s="1812">
        <v>0</v>
      </c>
      <c r="J19" s="1813">
        <v>213.30414741165399</v>
      </c>
      <c r="L19" s="1814"/>
    </row>
    <row r="20" spans="1:12" ht="16.5" x14ac:dyDescent="0.3">
      <c r="A20" s="1811" t="s">
        <v>3539</v>
      </c>
      <c r="B20" s="1812">
        <v>0.47836719999999999</v>
      </c>
      <c r="C20" s="1812">
        <v>2099.0978593806499</v>
      </c>
      <c r="D20" s="1812">
        <v>0</v>
      </c>
      <c r="E20" s="1812">
        <v>0</v>
      </c>
      <c r="F20" s="1812">
        <v>0</v>
      </c>
      <c r="G20" s="1812">
        <v>0</v>
      </c>
      <c r="H20" s="1812">
        <v>0</v>
      </c>
      <c r="I20" s="1812">
        <v>0</v>
      </c>
      <c r="J20" s="1813">
        <v>2099.5762265806497</v>
      </c>
      <c r="L20" s="1814"/>
    </row>
    <row r="21" spans="1:12" ht="16.5" x14ac:dyDescent="0.3">
      <c r="A21" s="1811" t="s">
        <v>3540</v>
      </c>
      <c r="B21" s="1812">
        <v>0</v>
      </c>
      <c r="C21" s="1812">
        <v>0</v>
      </c>
      <c r="D21" s="1812">
        <v>0</v>
      </c>
      <c r="E21" s="1812">
        <v>0</v>
      </c>
      <c r="F21" s="1812">
        <v>0</v>
      </c>
      <c r="G21" s="1812">
        <v>0</v>
      </c>
      <c r="H21" s="1812">
        <v>0</v>
      </c>
      <c r="I21" s="1812">
        <v>0</v>
      </c>
      <c r="J21" s="1813">
        <v>0</v>
      </c>
      <c r="L21" s="1814"/>
    </row>
    <row r="22" spans="1:12" ht="16.5" x14ac:dyDescent="0.3">
      <c r="A22" s="1811" t="s">
        <v>3541</v>
      </c>
      <c r="B22" s="1812">
        <v>5.9973430000000001E-2</v>
      </c>
      <c r="C22" s="1812">
        <v>4.0591999999999825E-4</v>
      </c>
      <c r="D22" s="1812">
        <v>0</v>
      </c>
      <c r="E22" s="1812">
        <v>0</v>
      </c>
      <c r="F22" s="1812">
        <v>0</v>
      </c>
      <c r="G22" s="1812">
        <v>0</v>
      </c>
      <c r="H22" s="1812">
        <v>0</v>
      </c>
      <c r="I22" s="1812">
        <v>0</v>
      </c>
      <c r="J22" s="1813">
        <v>6.0379349999999998E-2</v>
      </c>
      <c r="L22" s="1814"/>
    </row>
    <row r="23" spans="1:12" ht="16.5" x14ac:dyDescent="0.3">
      <c r="A23" s="1811" t="s">
        <v>3542</v>
      </c>
      <c r="B23" s="1812">
        <v>1264.006278912477</v>
      </c>
      <c r="C23" s="1812">
        <v>6930.7380786465237</v>
      </c>
      <c r="D23" s="1812">
        <v>0</v>
      </c>
      <c r="E23" s="1812">
        <v>0</v>
      </c>
      <c r="F23" s="1812">
        <v>0</v>
      </c>
      <c r="G23" s="1812">
        <v>0</v>
      </c>
      <c r="H23" s="1812">
        <v>0</v>
      </c>
      <c r="I23" s="1812">
        <v>0</v>
      </c>
      <c r="J23" s="1813">
        <v>8194.7443575590005</v>
      </c>
      <c r="L23" s="1814"/>
    </row>
    <row r="24" spans="1:12" ht="17.25" thickBot="1" x14ac:dyDescent="0.35">
      <c r="A24" s="1811" t="s">
        <v>3543</v>
      </c>
      <c r="B24" s="1812">
        <v>1100.071491487937</v>
      </c>
      <c r="C24" s="1812">
        <v>88870.734903837554</v>
      </c>
      <c r="D24" s="1812">
        <v>38996.665295378902</v>
      </c>
      <c r="E24" s="1812">
        <v>885.91688954999995</v>
      </c>
      <c r="F24" s="1812">
        <v>9355.0384672072596</v>
      </c>
      <c r="G24" s="1812">
        <v>0</v>
      </c>
      <c r="H24" s="1812">
        <v>17009.751019806408</v>
      </c>
      <c r="I24" s="1812">
        <v>162056.72100517704</v>
      </c>
      <c r="J24" s="1813">
        <v>318274.89907244511</v>
      </c>
      <c r="L24" s="1814"/>
    </row>
    <row r="25" spans="1:12" ht="17.25" thickBot="1" x14ac:dyDescent="0.35">
      <c r="A25" s="1816" t="s">
        <v>274</v>
      </c>
      <c r="B25" s="1817">
        <v>7637.1129026031995</v>
      </c>
      <c r="C25" s="1817">
        <v>265809.17757384997</v>
      </c>
      <c r="D25" s="1817">
        <v>45743.515422302531</v>
      </c>
      <c r="E25" s="1817">
        <v>26945.412150214419</v>
      </c>
      <c r="F25" s="1817">
        <v>9376.0088201045492</v>
      </c>
      <c r="G25" s="1817">
        <v>0</v>
      </c>
      <c r="H25" s="1817">
        <v>21967.94222081115</v>
      </c>
      <c r="I25" s="1817">
        <v>162699.68700517702</v>
      </c>
      <c r="J25" s="1818">
        <v>540178.8560950628</v>
      </c>
      <c r="L25" s="1814"/>
    </row>
    <row r="26" spans="1:12" ht="18" hidden="1" customHeight="1" thickTop="1" x14ac:dyDescent="0.25">
      <c r="A26" s="1819"/>
      <c r="B26" s="1819"/>
      <c r="C26" s="1819"/>
      <c r="D26" s="1819"/>
      <c r="E26" s="1819"/>
      <c r="F26" s="1820"/>
      <c r="G26" s="1820"/>
      <c r="H26" s="1820"/>
      <c r="I26" s="1820"/>
      <c r="J26" s="1820"/>
    </row>
    <row r="27" spans="1:12" s="841" customFormat="1" ht="32.25" customHeight="1" thickTop="1" x14ac:dyDescent="0.3">
      <c r="A27" s="3756" t="s">
        <v>3544</v>
      </c>
      <c r="B27" s="3756"/>
      <c r="C27" s="3756"/>
      <c r="D27" s="3756"/>
      <c r="E27" s="3756"/>
      <c r="F27" s="3756"/>
      <c r="G27" s="3756"/>
      <c r="H27" s="3756"/>
      <c r="I27" s="3756"/>
      <c r="J27" s="3756"/>
    </row>
    <row r="28" spans="1:12" s="841" customFormat="1" ht="16.5" x14ac:dyDescent="0.3">
      <c r="A28" s="1821" t="s">
        <v>172</v>
      </c>
      <c r="B28" s="1821"/>
      <c r="C28" s="1821"/>
      <c r="D28" s="1821"/>
      <c r="E28" s="1821"/>
      <c r="F28" s="52"/>
      <c r="G28" s="52"/>
      <c r="H28" s="52"/>
      <c r="I28" s="52"/>
      <c r="J28" s="52"/>
    </row>
    <row r="29" spans="1:12" s="841" customFormat="1" ht="16.5" x14ac:dyDescent="0.3">
      <c r="A29" s="52" t="s">
        <v>3484</v>
      </c>
      <c r="B29" s="1822"/>
      <c r="C29" s="1822"/>
      <c r="D29" s="1822"/>
      <c r="E29" s="1822"/>
      <c r="F29" s="1823"/>
      <c r="G29" s="1823"/>
      <c r="H29" s="1823"/>
      <c r="I29" s="1823"/>
      <c r="J29" s="1823"/>
    </row>
    <row r="30" spans="1:12" x14ac:dyDescent="0.25">
      <c r="A30" s="185"/>
      <c r="B30" s="185"/>
      <c r="C30" s="185"/>
      <c r="D30" s="185"/>
      <c r="E30" s="185"/>
      <c r="F30" s="1824"/>
      <c r="G30" s="1824"/>
      <c r="H30" s="185"/>
      <c r="I30" s="185"/>
    </row>
    <row r="31" spans="1:12" ht="17.25" x14ac:dyDescent="0.3">
      <c r="A31" s="838"/>
      <c r="B31" s="838"/>
      <c r="C31" s="838"/>
      <c r="D31" s="838"/>
      <c r="E31" s="838"/>
      <c r="F31" s="1824"/>
      <c r="G31" s="1824"/>
      <c r="H31" s="185"/>
      <c r="I31" s="185"/>
    </row>
    <row r="32" spans="1:12" ht="17.25" x14ac:dyDescent="0.3">
      <c r="A32" s="838"/>
      <c r="B32" s="838"/>
      <c r="C32" s="838"/>
      <c r="D32" s="838"/>
      <c r="E32" s="838"/>
      <c r="F32" s="1824"/>
      <c r="G32" s="1824"/>
      <c r="H32" s="185"/>
      <c r="I32" s="185"/>
    </row>
    <row r="33" spans="1:9" ht="17.25" x14ac:dyDescent="0.3">
      <c r="A33" s="1825"/>
      <c r="B33" s="838"/>
      <c r="C33" s="838"/>
      <c r="D33" s="838"/>
      <c r="E33" s="838"/>
      <c r="F33" s="1824"/>
      <c r="G33" s="1824"/>
      <c r="H33" s="185"/>
      <c r="I33" s="185"/>
    </row>
    <row r="34" spans="1:9" ht="17.25" x14ac:dyDescent="0.3">
      <c r="A34" s="838"/>
      <c r="B34" s="838"/>
      <c r="C34" s="838"/>
      <c r="D34" s="838"/>
      <c r="E34" s="838"/>
      <c r="F34" s="1824"/>
      <c r="G34" s="1824"/>
      <c r="H34" s="185"/>
      <c r="I34" s="185"/>
    </row>
    <row r="35" spans="1:9" ht="17.25" x14ac:dyDescent="0.3">
      <c r="A35" s="838"/>
      <c r="B35" s="838"/>
      <c r="C35" s="838"/>
      <c r="D35" s="838"/>
      <c r="E35" s="838"/>
      <c r="F35" s="1824"/>
      <c r="G35" s="1824"/>
      <c r="H35" s="185"/>
      <c r="I35" s="185"/>
    </row>
    <row r="36" spans="1:9" ht="17.25" x14ac:dyDescent="0.3">
      <c r="A36" s="838"/>
      <c r="B36" s="838"/>
      <c r="C36" s="838"/>
      <c r="D36" s="838"/>
      <c r="E36" s="838"/>
      <c r="F36" s="1824"/>
      <c r="G36" s="1824"/>
      <c r="H36" s="185"/>
      <c r="I36" s="185"/>
    </row>
    <row r="37" spans="1:9" ht="17.25" x14ac:dyDescent="0.3">
      <c r="A37" s="838"/>
      <c r="B37" s="838"/>
      <c r="C37" s="838"/>
      <c r="D37" s="838"/>
      <c r="E37" s="838"/>
      <c r="F37" s="1824"/>
      <c r="G37" s="1824"/>
      <c r="H37" s="185"/>
      <c r="I37" s="185"/>
    </row>
    <row r="38" spans="1:9" ht="17.25" x14ac:dyDescent="0.3">
      <c r="A38" s="838"/>
      <c r="B38" s="838"/>
      <c r="C38" s="838"/>
      <c r="D38" s="838"/>
      <c r="E38" s="838"/>
      <c r="F38" s="1824"/>
      <c r="G38" s="1824"/>
      <c r="H38" s="185"/>
      <c r="I38" s="185"/>
    </row>
    <row r="39" spans="1:9" ht="17.25" x14ac:dyDescent="0.3">
      <c r="A39" s="838"/>
      <c r="B39" s="838"/>
      <c r="C39" s="838"/>
      <c r="D39" s="838"/>
      <c r="E39" s="838"/>
      <c r="F39" s="1824"/>
      <c r="G39" s="1824"/>
      <c r="H39" s="185"/>
      <c r="I39" s="185"/>
    </row>
    <row r="40" spans="1:9" ht="17.25" x14ac:dyDescent="0.3">
      <c r="A40" s="838"/>
      <c r="B40" s="838"/>
      <c r="C40" s="838"/>
      <c r="D40" s="838"/>
      <c r="E40" s="838"/>
    </row>
    <row r="41" spans="1:9" ht="17.25" x14ac:dyDescent="0.3">
      <c r="A41" s="838"/>
      <c r="B41" s="838"/>
      <c r="C41" s="838"/>
      <c r="D41" s="838"/>
      <c r="E41" s="838"/>
    </row>
    <row r="42" spans="1:9" ht="17.25" x14ac:dyDescent="0.3">
      <c r="A42" s="838"/>
      <c r="B42" s="838"/>
      <c r="C42" s="838"/>
      <c r="D42" s="838"/>
      <c r="E42" s="838"/>
    </row>
    <row r="43" spans="1:9" ht="17.25" x14ac:dyDescent="0.3">
      <c r="A43" s="838"/>
      <c r="B43" s="838"/>
      <c r="C43" s="838"/>
      <c r="D43" s="838"/>
      <c r="E43" s="838"/>
    </row>
    <row r="44" spans="1:9" ht="17.25" x14ac:dyDescent="0.3">
      <c r="A44" s="838"/>
      <c r="B44" s="838"/>
      <c r="C44" s="838"/>
      <c r="D44" s="838"/>
      <c r="E44" s="838"/>
    </row>
    <row r="45" spans="1:9" ht="17.25" x14ac:dyDescent="0.3">
      <c r="A45" s="838"/>
      <c r="B45" s="838"/>
      <c r="C45" s="838"/>
      <c r="D45" s="838"/>
      <c r="E45" s="838"/>
    </row>
    <row r="46" spans="1:9" ht="17.25" x14ac:dyDescent="0.3">
      <c r="A46" s="838"/>
      <c r="B46" s="838"/>
      <c r="C46" s="838"/>
      <c r="D46" s="838"/>
      <c r="E46" s="838"/>
    </row>
    <row r="47" spans="1:9" ht="17.25" x14ac:dyDescent="0.3">
      <c r="A47" s="838"/>
      <c r="B47" s="838"/>
      <c r="C47" s="838"/>
      <c r="D47" s="838"/>
      <c r="E47" s="838"/>
    </row>
    <row r="48" spans="1:9" ht="17.25" x14ac:dyDescent="0.3">
      <c r="A48" s="838"/>
      <c r="B48" s="838"/>
      <c r="C48" s="838"/>
      <c r="D48" s="838"/>
      <c r="E48" s="838"/>
    </row>
    <row r="49" spans="1:5" ht="17.25" x14ac:dyDescent="0.3">
      <c r="A49" s="838"/>
      <c r="B49" s="838"/>
      <c r="C49" s="838"/>
      <c r="D49" s="838"/>
      <c r="E49" s="838"/>
    </row>
    <row r="50" spans="1:5" ht="17.25" x14ac:dyDescent="0.3">
      <c r="A50" s="838"/>
      <c r="B50" s="838"/>
      <c r="C50" s="838"/>
      <c r="D50" s="838"/>
      <c r="E50" s="838"/>
    </row>
    <row r="51" spans="1:5" ht="17.25" x14ac:dyDescent="0.3">
      <c r="A51" s="838"/>
      <c r="B51" s="838"/>
      <c r="C51" s="838"/>
      <c r="D51" s="838"/>
      <c r="E51" s="838"/>
    </row>
    <row r="52" spans="1:5" ht="17.25" x14ac:dyDescent="0.3">
      <c r="A52" s="838"/>
      <c r="B52" s="838"/>
      <c r="C52" s="838"/>
      <c r="D52" s="838"/>
      <c r="E52" s="838"/>
    </row>
    <row r="53" spans="1:5" ht="17.25" x14ac:dyDescent="0.3">
      <c r="A53" s="838"/>
      <c r="B53" s="838"/>
      <c r="C53" s="838"/>
      <c r="D53" s="838"/>
      <c r="E53" s="838"/>
    </row>
    <row r="54" spans="1:5" ht="17.25" x14ac:dyDescent="0.3">
      <c r="A54" s="838"/>
      <c r="B54" s="838"/>
      <c r="C54" s="838"/>
      <c r="D54" s="838"/>
      <c r="E54" s="838"/>
    </row>
    <row r="55" spans="1:5" ht="17.25" x14ac:dyDescent="0.3">
      <c r="A55" s="838"/>
      <c r="B55" s="838"/>
      <c r="C55" s="838"/>
      <c r="D55" s="838"/>
      <c r="E55" s="838"/>
    </row>
    <row r="56" spans="1:5" ht="17.25" x14ac:dyDescent="0.3">
      <c r="A56" s="838"/>
      <c r="B56" s="838"/>
      <c r="C56" s="838"/>
      <c r="D56" s="838"/>
      <c r="E56" s="838"/>
    </row>
    <row r="57" spans="1:5" ht="17.25" x14ac:dyDescent="0.3">
      <c r="A57" s="838"/>
      <c r="B57" s="838"/>
      <c r="C57" s="838"/>
      <c r="D57" s="838"/>
      <c r="E57" s="838"/>
    </row>
    <row r="58" spans="1:5" ht="17.25" x14ac:dyDescent="0.3">
      <c r="A58" s="838"/>
      <c r="B58" s="838"/>
      <c r="C58" s="838"/>
      <c r="D58" s="838"/>
      <c r="E58" s="838"/>
    </row>
    <row r="59" spans="1:5" ht="17.25" x14ac:dyDescent="0.3">
      <c r="A59" s="838"/>
      <c r="B59" s="838"/>
      <c r="C59" s="838"/>
      <c r="D59" s="838"/>
      <c r="E59" s="838"/>
    </row>
    <row r="60" spans="1:5" ht="17.25" x14ac:dyDescent="0.3">
      <c r="A60" s="838"/>
      <c r="B60" s="838"/>
      <c r="C60" s="838"/>
      <c r="D60" s="838"/>
      <c r="E60" s="838"/>
    </row>
    <row r="61" spans="1:5" ht="17.25" x14ac:dyDescent="0.3">
      <c r="A61" s="838"/>
      <c r="B61" s="838"/>
      <c r="C61" s="838"/>
      <c r="D61" s="838"/>
      <c r="E61" s="838"/>
    </row>
    <row r="62" spans="1:5" ht="17.25" x14ac:dyDescent="0.3">
      <c r="A62" s="838"/>
      <c r="B62" s="838"/>
      <c r="C62" s="838"/>
      <c r="D62" s="838"/>
      <c r="E62" s="838"/>
    </row>
    <row r="63" spans="1:5" ht="17.25" x14ac:dyDescent="0.3">
      <c r="A63" s="838"/>
      <c r="B63" s="838"/>
      <c r="C63" s="838"/>
      <c r="D63" s="838"/>
      <c r="E63" s="838"/>
    </row>
    <row r="64" spans="1:5" ht="17.25" x14ac:dyDescent="0.3">
      <c r="A64" s="838"/>
      <c r="B64" s="838"/>
      <c r="C64" s="838"/>
      <c r="D64" s="838"/>
      <c r="E64" s="838"/>
    </row>
    <row r="65" spans="1:5" ht="17.25" x14ac:dyDescent="0.3">
      <c r="A65" s="838"/>
      <c r="B65" s="838"/>
      <c r="C65" s="838"/>
      <c r="D65" s="838"/>
      <c r="E65" s="838"/>
    </row>
    <row r="66" spans="1:5" ht="17.25" x14ac:dyDescent="0.3">
      <c r="A66" s="838"/>
      <c r="B66" s="838"/>
      <c r="C66" s="838"/>
      <c r="D66" s="838"/>
      <c r="E66" s="838"/>
    </row>
    <row r="67" spans="1:5" ht="17.25" x14ac:dyDescent="0.3">
      <c r="A67" s="838"/>
      <c r="B67" s="838"/>
      <c r="C67" s="838"/>
      <c r="D67" s="838"/>
      <c r="E67" s="838"/>
    </row>
    <row r="68" spans="1:5" ht="17.25" x14ac:dyDescent="0.3">
      <c r="A68" s="838"/>
      <c r="B68" s="838"/>
      <c r="C68" s="838"/>
      <c r="D68" s="838"/>
      <c r="E68" s="838"/>
    </row>
    <row r="69" spans="1:5" ht="17.25" x14ac:dyDescent="0.3">
      <c r="A69" s="838"/>
      <c r="B69" s="838"/>
      <c r="C69" s="838"/>
      <c r="D69" s="838"/>
      <c r="E69" s="838"/>
    </row>
    <row r="70" spans="1:5" ht="17.25" x14ac:dyDescent="0.3">
      <c r="A70" s="838"/>
      <c r="B70" s="838"/>
      <c r="C70" s="838"/>
      <c r="D70" s="838"/>
      <c r="E70" s="838"/>
    </row>
    <row r="71" spans="1:5" ht="17.25" x14ac:dyDescent="0.3">
      <c r="A71" s="838"/>
      <c r="B71" s="838"/>
      <c r="C71" s="838"/>
      <c r="D71" s="838"/>
      <c r="E71" s="838"/>
    </row>
    <row r="72" spans="1:5" ht="17.25" x14ac:dyDescent="0.3">
      <c r="A72" s="838"/>
      <c r="B72" s="838"/>
      <c r="C72" s="838"/>
      <c r="D72" s="838"/>
      <c r="E72" s="838"/>
    </row>
    <row r="73" spans="1:5" ht="17.25" x14ac:dyDescent="0.3">
      <c r="A73" s="838"/>
      <c r="B73" s="838"/>
      <c r="C73" s="838"/>
      <c r="D73" s="838"/>
      <c r="E73" s="838"/>
    </row>
    <row r="74" spans="1:5" ht="17.25" x14ac:dyDescent="0.3">
      <c r="A74" s="838"/>
      <c r="B74" s="838"/>
      <c r="C74" s="838"/>
      <c r="D74" s="838"/>
      <c r="E74" s="838"/>
    </row>
    <row r="75" spans="1:5" ht="17.25" x14ac:dyDescent="0.3">
      <c r="A75" s="838"/>
      <c r="B75" s="838"/>
      <c r="C75" s="838"/>
      <c r="D75" s="838"/>
      <c r="E75" s="838"/>
    </row>
    <row r="76" spans="1:5" ht="17.25" x14ac:dyDescent="0.3">
      <c r="A76" s="838"/>
      <c r="B76" s="838"/>
      <c r="C76" s="838"/>
      <c r="D76" s="838"/>
      <c r="E76" s="838"/>
    </row>
    <row r="77" spans="1:5" ht="17.25" x14ac:dyDescent="0.3">
      <c r="A77" s="838"/>
      <c r="B77" s="838"/>
      <c r="C77" s="838"/>
      <c r="D77" s="838"/>
      <c r="E77" s="838"/>
    </row>
    <row r="78" spans="1:5" ht="17.25" x14ac:dyDescent="0.3">
      <c r="A78" s="838"/>
      <c r="B78" s="838"/>
      <c r="C78" s="838"/>
      <c r="D78" s="838"/>
      <c r="E78" s="838"/>
    </row>
    <row r="79" spans="1:5" ht="17.25" x14ac:dyDescent="0.3">
      <c r="A79" s="838"/>
      <c r="B79" s="838"/>
      <c r="C79" s="838"/>
      <c r="D79" s="838"/>
      <c r="E79" s="838"/>
    </row>
    <row r="80" spans="1:5" ht="17.25" x14ac:dyDescent="0.3">
      <c r="A80" s="838"/>
      <c r="B80" s="838"/>
      <c r="C80" s="838"/>
      <c r="D80" s="838"/>
      <c r="E80" s="838"/>
    </row>
    <row r="81" spans="1:5" ht="17.25" x14ac:dyDescent="0.3">
      <c r="A81" s="838"/>
      <c r="B81" s="838"/>
      <c r="C81" s="838"/>
      <c r="D81" s="838"/>
      <c r="E81" s="838"/>
    </row>
    <row r="82" spans="1:5" ht="17.25" x14ac:dyDescent="0.3">
      <c r="A82" s="838"/>
      <c r="B82" s="838"/>
      <c r="C82" s="838"/>
      <c r="D82" s="838"/>
      <c r="E82" s="838"/>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R46"/>
  <sheetViews>
    <sheetView zoomScale="90" zoomScaleNormal="90" zoomScaleSheetLayoutView="70" workbookViewId="0">
      <selection activeCell="A38" sqref="A38"/>
    </sheetView>
  </sheetViews>
  <sheetFormatPr defaultColWidth="8.85546875" defaultRowHeight="20.100000000000001" customHeight="1" x14ac:dyDescent="0.25"/>
  <cols>
    <col min="1" max="1" width="4.85546875" style="1829" customWidth="1"/>
    <col min="2" max="2" width="31.85546875" style="1829" bestFit="1" customWidth="1"/>
    <col min="3" max="3" width="14" style="1829" bestFit="1" customWidth="1"/>
    <col min="4" max="5" width="14.42578125" style="1829" bestFit="1" customWidth="1"/>
    <col min="6" max="6" width="14" style="1829" bestFit="1" customWidth="1"/>
    <col min="7" max="7" width="14.42578125" style="1829" bestFit="1" customWidth="1"/>
    <col min="8" max="8" width="14.5703125" style="1829" bestFit="1" customWidth="1"/>
    <col min="9" max="9" width="13.140625" style="1829" customWidth="1"/>
    <col min="10" max="10" width="13.5703125" style="1829" bestFit="1" customWidth="1"/>
    <col min="11" max="11" width="13.7109375" style="1829" customWidth="1"/>
    <col min="12" max="12" width="13.140625" style="1829" bestFit="1" customWidth="1"/>
    <col min="13" max="13" width="13.28515625" style="1829" customWidth="1"/>
    <col min="14" max="14" width="13.5703125" style="1829" customWidth="1"/>
    <col min="15" max="15" width="13.42578125" style="1829" customWidth="1"/>
    <col min="16" max="16" width="12.5703125" style="1829" customWidth="1"/>
    <col min="17" max="18" width="8.85546875" style="1829"/>
    <col min="19" max="19" width="13.5703125" style="1829" bestFit="1" customWidth="1"/>
    <col min="20" max="20" width="8.85546875" style="1829"/>
    <col min="21" max="21" width="11.140625" style="1829" bestFit="1" customWidth="1"/>
    <col min="22" max="16384" width="8.85546875" style="1829"/>
  </cols>
  <sheetData>
    <row r="1" spans="1:16" ht="17.25" x14ac:dyDescent="0.25">
      <c r="A1" s="1826" t="s">
        <v>3545</v>
      </c>
      <c r="B1" s="1827"/>
      <c r="C1" s="1827"/>
      <c r="D1" s="1827"/>
      <c r="E1" s="1827"/>
      <c r="F1" s="1827"/>
      <c r="G1" s="1827"/>
      <c r="H1" s="1827"/>
      <c r="I1" s="1827"/>
      <c r="J1" s="1827"/>
      <c r="K1" s="1827"/>
      <c r="L1" s="1828"/>
      <c r="M1" s="1828"/>
      <c r="N1" s="1828"/>
      <c r="O1" s="1828"/>
    </row>
    <row r="2" spans="1:16" ht="18" thickBot="1" x14ac:dyDescent="0.3">
      <c r="A2" s="1830"/>
      <c r="B2" s="1830"/>
      <c r="C2" s="1831"/>
      <c r="D2" s="1831"/>
      <c r="E2" s="1831"/>
      <c r="F2" s="1832"/>
      <c r="G2" s="1832"/>
      <c r="I2" s="1833" t="s">
        <v>3546</v>
      </c>
      <c r="K2" s="1832"/>
      <c r="L2" s="1833"/>
      <c r="M2" s="1832"/>
      <c r="N2" s="1834"/>
      <c r="O2" s="1828"/>
    </row>
    <row r="3" spans="1:16" s="1644" customFormat="1" ht="17.25" thickBot="1" x14ac:dyDescent="0.3">
      <c r="A3" s="3771"/>
      <c r="B3" s="3772"/>
      <c r="C3" s="3773" t="s">
        <v>3547</v>
      </c>
      <c r="D3" s="3774"/>
      <c r="E3" s="3774"/>
      <c r="F3" s="3774"/>
      <c r="G3" s="3775"/>
      <c r="H3" s="1835" t="s">
        <v>114</v>
      </c>
      <c r="I3" s="1835" t="s">
        <v>114</v>
      </c>
    </row>
    <row r="4" spans="1:16" s="1644" customFormat="1" ht="17.25" thickBot="1" x14ac:dyDescent="0.3">
      <c r="A4" s="1836"/>
      <c r="B4" s="1837"/>
      <c r="C4" s="1838">
        <v>44379</v>
      </c>
      <c r="D4" s="1838">
        <v>44386</v>
      </c>
      <c r="E4" s="1839">
        <v>44393</v>
      </c>
      <c r="F4" s="1838">
        <v>44400</v>
      </c>
      <c r="G4" s="1838">
        <v>44407</v>
      </c>
      <c r="H4" s="1840">
        <v>44348</v>
      </c>
      <c r="I4" s="1840">
        <v>44378</v>
      </c>
    </row>
    <row r="5" spans="1:16" ht="17.25" x14ac:dyDescent="0.25">
      <c r="A5" s="1841"/>
      <c r="B5" s="1842"/>
      <c r="C5" s="1843" t="s">
        <v>3430</v>
      </c>
      <c r="D5" s="1843"/>
      <c r="E5" s="1843"/>
      <c r="F5" s="1843"/>
      <c r="G5" s="1843"/>
      <c r="H5" s="1844"/>
      <c r="I5" s="1845"/>
    </row>
    <row r="6" spans="1:16" ht="18" customHeight="1" x14ac:dyDescent="0.25">
      <c r="A6" s="1846">
        <v>1</v>
      </c>
      <c r="B6" s="1847" t="s">
        <v>3548</v>
      </c>
      <c r="C6" s="1848">
        <v>1000</v>
      </c>
      <c r="D6" s="1848">
        <v>1000</v>
      </c>
      <c r="E6" s="1848">
        <v>500</v>
      </c>
      <c r="F6" s="1848">
        <v>500</v>
      </c>
      <c r="G6" s="1848">
        <v>500</v>
      </c>
      <c r="H6" s="1849">
        <v>6000</v>
      </c>
      <c r="I6" s="1848">
        <f>SUM(C6:G6)</f>
        <v>3500</v>
      </c>
    </row>
    <row r="7" spans="1:16" ht="18" customHeight="1" x14ac:dyDescent="0.25">
      <c r="A7" s="1846">
        <v>2</v>
      </c>
      <c r="B7" s="1847" t="s">
        <v>3549</v>
      </c>
      <c r="C7" s="1848">
        <v>3400</v>
      </c>
      <c r="D7" s="1848">
        <v>3100</v>
      </c>
      <c r="E7" s="1848">
        <v>1400</v>
      </c>
      <c r="F7" s="1848">
        <v>1500</v>
      </c>
      <c r="G7" s="1848">
        <v>1500</v>
      </c>
      <c r="H7" s="1849">
        <v>22100</v>
      </c>
      <c r="I7" s="1848">
        <f>SUM(C7:G7)</f>
        <v>10900</v>
      </c>
    </row>
    <row r="8" spans="1:16" ht="18" customHeight="1" x14ac:dyDescent="0.25">
      <c r="A8" s="1846">
        <v>3</v>
      </c>
      <c r="B8" s="1850" t="s">
        <v>3550</v>
      </c>
      <c r="C8" s="1848">
        <v>1000</v>
      </c>
      <c r="D8" s="1848">
        <v>1000</v>
      </c>
      <c r="E8" s="1848">
        <v>500</v>
      </c>
      <c r="F8" s="1848">
        <v>500</v>
      </c>
      <c r="G8" s="1848">
        <v>500</v>
      </c>
      <c r="H8" s="1849">
        <v>9100</v>
      </c>
      <c r="I8" s="1848">
        <f>SUM(C8:G8)</f>
        <v>3500</v>
      </c>
    </row>
    <row r="9" spans="1:16" ht="18" customHeight="1" x14ac:dyDescent="0.25">
      <c r="A9" s="1846">
        <v>4</v>
      </c>
      <c r="B9" s="1847" t="s">
        <v>3551</v>
      </c>
      <c r="C9" s="1848">
        <v>0</v>
      </c>
      <c r="D9" s="1848">
        <v>1000</v>
      </c>
      <c r="E9" s="1848">
        <v>0</v>
      </c>
      <c r="F9" s="1848">
        <v>900</v>
      </c>
      <c r="G9" s="1848">
        <v>1000</v>
      </c>
      <c r="H9" s="1849">
        <v>7100</v>
      </c>
      <c r="I9" s="1848">
        <f>SUM(C9:G9)</f>
        <v>2900</v>
      </c>
    </row>
    <row r="10" spans="1:16" ht="18" customHeight="1" x14ac:dyDescent="0.25">
      <c r="A10" s="1846">
        <v>5</v>
      </c>
      <c r="B10" s="1847" t="s">
        <v>3552</v>
      </c>
      <c r="C10" s="1848">
        <f t="shared" ref="C10:G10" si="0">C8-C9</f>
        <v>1000</v>
      </c>
      <c r="D10" s="1848">
        <f t="shared" si="0"/>
        <v>0</v>
      </c>
      <c r="E10" s="1848">
        <f t="shared" si="0"/>
        <v>500</v>
      </c>
      <c r="F10" s="1848">
        <f t="shared" si="0"/>
        <v>-400</v>
      </c>
      <c r="G10" s="1848">
        <f t="shared" si="0"/>
        <v>-500</v>
      </c>
      <c r="H10" s="1851">
        <v>2000</v>
      </c>
      <c r="I10" s="1848">
        <f>SUM(C10:G10)</f>
        <v>600</v>
      </c>
    </row>
    <row r="11" spans="1:16" ht="18" thickBot="1" x14ac:dyDescent="0.3">
      <c r="A11" s="1852"/>
      <c r="B11" s="1853"/>
      <c r="C11" s="1854"/>
      <c r="D11" s="1854"/>
      <c r="E11" s="1854"/>
      <c r="F11" s="1854"/>
      <c r="G11" s="1854"/>
      <c r="H11" s="1855"/>
      <c r="I11" s="1854"/>
    </row>
    <row r="12" spans="1:16" s="1858" customFormat="1" ht="20.100000000000001" customHeight="1" x14ac:dyDescent="0.25">
      <c r="A12" s="1856" t="s">
        <v>172</v>
      </c>
      <c r="B12" s="1857"/>
      <c r="C12" s="1857"/>
      <c r="D12" s="1857"/>
      <c r="E12" s="1857"/>
      <c r="F12" s="1857"/>
      <c r="G12" s="1857"/>
      <c r="H12" s="1857"/>
      <c r="I12" s="1857"/>
      <c r="J12" s="1857"/>
      <c r="K12" s="1857"/>
      <c r="L12" s="1857"/>
      <c r="M12" s="1857"/>
      <c r="N12" s="1857"/>
      <c r="O12" s="1857"/>
    </row>
    <row r="13" spans="1:16" s="1858" customFormat="1" ht="20.100000000000001" customHeight="1" x14ac:dyDescent="0.25">
      <c r="A13" s="1859" t="s">
        <v>3553</v>
      </c>
      <c r="B13" s="1860"/>
      <c r="C13" s="1860"/>
      <c r="D13" s="1860"/>
      <c r="E13" s="1860"/>
      <c r="F13" s="1860"/>
      <c r="G13" s="1860"/>
      <c r="H13" s="1860"/>
      <c r="I13" s="1860"/>
      <c r="J13" s="1860"/>
      <c r="K13" s="1860"/>
      <c r="L13" s="1860"/>
      <c r="M13" s="1860"/>
      <c r="N13" s="1860"/>
      <c r="O13" s="1860"/>
    </row>
    <row r="14" spans="1:16" ht="20.100000000000001" customHeight="1" x14ac:dyDescent="0.25">
      <c r="A14" s="1828"/>
      <c r="B14" s="1827"/>
      <c r="C14" s="1827"/>
      <c r="D14" s="1827"/>
      <c r="E14" s="1827"/>
      <c r="F14" s="1827"/>
      <c r="G14" s="1827"/>
      <c r="H14" s="1827"/>
      <c r="I14" s="1827"/>
      <c r="J14" s="1827"/>
      <c r="K14" s="1827"/>
      <c r="L14" s="1828"/>
      <c r="M14" s="1828"/>
      <c r="N14" s="1832"/>
      <c r="O14" s="1828"/>
    </row>
    <row r="15" spans="1:16" ht="20.100000000000001" customHeight="1" x14ac:dyDescent="0.25">
      <c r="A15" s="1826" t="s">
        <v>3554</v>
      </c>
      <c r="B15" s="1828"/>
      <c r="C15" s="1828"/>
      <c r="D15" s="1828"/>
      <c r="E15" s="1828"/>
      <c r="F15" s="1828"/>
      <c r="G15" s="1831"/>
    </row>
    <row r="16" spans="1:16" ht="20.100000000000001" customHeight="1" thickBot="1" x14ac:dyDescent="0.3">
      <c r="A16" s="1827"/>
      <c r="B16" s="1828"/>
      <c r="C16" s="1828"/>
      <c r="D16" s="1828"/>
      <c r="E16" s="1828"/>
      <c r="F16" s="1828"/>
      <c r="G16" s="1861"/>
      <c r="H16" s="1861"/>
      <c r="I16" s="1861"/>
      <c r="J16" s="1861"/>
      <c r="K16" s="1861"/>
      <c r="L16" s="1861"/>
      <c r="M16" s="1861"/>
      <c r="N16" s="1861"/>
      <c r="O16" s="1862" t="s">
        <v>8</v>
      </c>
      <c r="P16" s="1831"/>
    </row>
    <row r="17" spans="1:15" s="1644" customFormat="1" ht="20.100000000000001" customHeight="1" thickBot="1" x14ac:dyDescent="0.3">
      <c r="A17" s="3776"/>
      <c r="B17" s="3777"/>
      <c r="C17" s="1840">
        <v>44013</v>
      </c>
      <c r="D17" s="1840">
        <v>44044</v>
      </c>
      <c r="E17" s="1840">
        <v>44075</v>
      </c>
      <c r="F17" s="1840">
        <v>44105</v>
      </c>
      <c r="G17" s="1840">
        <v>44136</v>
      </c>
      <c r="H17" s="1840">
        <v>44166</v>
      </c>
      <c r="I17" s="1840">
        <v>44197</v>
      </c>
      <c r="J17" s="1840">
        <v>44228</v>
      </c>
      <c r="K17" s="1840">
        <v>44256</v>
      </c>
      <c r="L17" s="1840">
        <v>44287</v>
      </c>
      <c r="M17" s="1840">
        <v>44317</v>
      </c>
      <c r="N17" s="1840">
        <v>44348</v>
      </c>
      <c r="O17" s="1840">
        <v>44378</v>
      </c>
    </row>
    <row r="18" spans="1:15" ht="20.100000000000001" customHeight="1" x14ac:dyDescent="0.25">
      <c r="A18" s="1863"/>
      <c r="B18" s="1864"/>
      <c r="C18" s="1865"/>
      <c r="D18" s="1866"/>
      <c r="E18" s="1866"/>
      <c r="F18" s="1866"/>
      <c r="G18" s="1866"/>
      <c r="H18" s="1866"/>
      <c r="I18" s="1866"/>
      <c r="J18" s="1866"/>
      <c r="K18" s="1866"/>
      <c r="L18" s="1866"/>
      <c r="M18" s="1866"/>
      <c r="N18" s="1866"/>
      <c r="O18" s="1866"/>
    </row>
    <row r="19" spans="1:15" ht="20.100000000000001" customHeight="1" x14ac:dyDescent="0.25">
      <c r="A19" s="1867">
        <v>1</v>
      </c>
      <c r="B19" s="1868" t="s">
        <v>3555</v>
      </c>
      <c r="C19" s="1869" t="s">
        <v>115</v>
      </c>
      <c r="D19" s="1870" t="s">
        <v>115</v>
      </c>
      <c r="E19" s="1870" t="s">
        <v>115</v>
      </c>
      <c r="F19" s="1870" t="s">
        <v>115</v>
      </c>
      <c r="G19" s="1870">
        <v>3200</v>
      </c>
      <c r="H19" s="1870">
        <v>3200</v>
      </c>
      <c r="I19" s="1870">
        <v>4000</v>
      </c>
      <c r="J19" s="1870">
        <v>3000</v>
      </c>
      <c r="K19" s="1870">
        <v>2400</v>
      </c>
      <c r="L19" s="1870">
        <v>3600</v>
      </c>
      <c r="M19" s="1870">
        <v>4000</v>
      </c>
      <c r="N19" s="1870">
        <v>6000</v>
      </c>
      <c r="O19" s="1870">
        <v>3500</v>
      </c>
    </row>
    <row r="20" spans="1:15" ht="20.100000000000001" customHeight="1" x14ac:dyDescent="0.25">
      <c r="A20" s="1871"/>
      <c r="B20" s="1868"/>
      <c r="C20" s="1851" t="s">
        <v>115</v>
      </c>
      <c r="D20" s="1872" t="s">
        <v>115</v>
      </c>
      <c r="E20" s="1872" t="s">
        <v>115</v>
      </c>
      <c r="F20" s="1872" t="s">
        <v>115</v>
      </c>
      <c r="G20" s="1872"/>
      <c r="H20" s="1872"/>
      <c r="I20" s="1872"/>
      <c r="J20" s="1872"/>
      <c r="K20" s="1872"/>
      <c r="L20" s="1872"/>
      <c r="M20" s="1872"/>
      <c r="N20" s="1872"/>
      <c r="O20" s="1872"/>
    </row>
    <row r="21" spans="1:15" ht="20.100000000000001" customHeight="1" x14ac:dyDescent="0.25">
      <c r="A21" s="1867">
        <v>2</v>
      </c>
      <c r="B21" s="1868" t="s">
        <v>3556</v>
      </c>
      <c r="C21" s="1869" t="s">
        <v>115</v>
      </c>
      <c r="D21" s="1870" t="s">
        <v>115</v>
      </c>
      <c r="E21" s="1870" t="s">
        <v>115</v>
      </c>
      <c r="F21" s="1870" t="s">
        <v>115</v>
      </c>
      <c r="G21" s="1870">
        <v>11800</v>
      </c>
      <c r="H21" s="1870">
        <v>10200</v>
      </c>
      <c r="I21" s="1870">
        <v>12500</v>
      </c>
      <c r="J21" s="1870">
        <v>10400</v>
      </c>
      <c r="K21" s="1870">
        <v>7200</v>
      </c>
      <c r="L21" s="1870">
        <v>10000</v>
      </c>
      <c r="M21" s="1870">
        <v>8700</v>
      </c>
      <c r="N21" s="1870">
        <v>22100</v>
      </c>
      <c r="O21" s="1870">
        <f>SUM(O22:O25)</f>
        <v>10900</v>
      </c>
    </row>
    <row r="22" spans="1:15" ht="20.100000000000001" customHeight="1" x14ac:dyDescent="0.25">
      <c r="A22" s="1871"/>
      <c r="B22" s="1873" t="s">
        <v>3557</v>
      </c>
      <c r="C22" s="1851" t="s">
        <v>115</v>
      </c>
      <c r="D22" s="1872" t="s">
        <v>115</v>
      </c>
      <c r="E22" s="1872" t="s">
        <v>115</v>
      </c>
      <c r="F22" s="1872" t="s">
        <v>115</v>
      </c>
      <c r="G22" s="1872">
        <v>3000</v>
      </c>
      <c r="H22" s="1872">
        <v>5200</v>
      </c>
      <c r="I22" s="1872">
        <v>3400</v>
      </c>
      <c r="J22" s="1872">
        <v>5500</v>
      </c>
      <c r="K22" s="1872">
        <v>0</v>
      </c>
      <c r="L22" s="1872">
        <v>2400</v>
      </c>
      <c r="M22" s="1872">
        <v>2300</v>
      </c>
      <c r="N22" s="1872">
        <v>4750</v>
      </c>
      <c r="O22" s="1872">
        <v>3400</v>
      </c>
    </row>
    <row r="23" spans="1:15" ht="20.100000000000001" hidden="1" customHeight="1" x14ac:dyDescent="0.25">
      <c r="A23" s="1871"/>
      <c r="B23" s="1873" t="s">
        <v>3558</v>
      </c>
      <c r="C23" s="1851" t="s">
        <v>115</v>
      </c>
      <c r="D23" s="1872" t="s">
        <v>115</v>
      </c>
      <c r="E23" s="1872" t="s">
        <v>115</v>
      </c>
      <c r="F23" s="1872" t="s">
        <v>115</v>
      </c>
      <c r="G23" s="1872">
        <v>0</v>
      </c>
      <c r="H23" s="1872">
        <v>0</v>
      </c>
      <c r="I23" s="1872">
        <v>0</v>
      </c>
      <c r="J23" s="1872">
        <v>0</v>
      </c>
      <c r="K23" s="1872">
        <v>0</v>
      </c>
      <c r="L23" s="1872">
        <v>0</v>
      </c>
      <c r="M23" s="1872">
        <v>0</v>
      </c>
      <c r="N23" s="1872"/>
      <c r="O23" s="1872">
        <v>0</v>
      </c>
    </row>
    <row r="24" spans="1:15" ht="20.100000000000001" customHeight="1" x14ac:dyDescent="0.25">
      <c r="A24" s="1871"/>
      <c r="B24" s="1868" t="s">
        <v>3559</v>
      </c>
      <c r="C24" s="1851" t="s">
        <v>115</v>
      </c>
      <c r="D24" s="1872" t="s">
        <v>115</v>
      </c>
      <c r="E24" s="1872" t="s">
        <v>115</v>
      </c>
      <c r="F24" s="1872" t="s">
        <v>115</v>
      </c>
      <c r="G24" s="1872">
        <v>3200</v>
      </c>
      <c r="H24" s="1872">
        <v>0</v>
      </c>
      <c r="I24" s="1872">
        <v>6100</v>
      </c>
      <c r="J24" s="1872">
        <v>2300</v>
      </c>
      <c r="K24" s="1872">
        <v>3600</v>
      </c>
      <c r="L24" s="1872">
        <v>1600</v>
      </c>
      <c r="M24" s="1872">
        <v>4500</v>
      </c>
      <c r="N24" s="1872">
        <v>7750</v>
      </c>
      <c r="O24" s="1872">
        <v>2900</v>
      </c>
    </row>
    <row r="25" spans="1:15" ht="20.100000000000001" customHeight="1" x14ac:dyDescent="0.25">
      <c r="A25" s="1871"/>
      <c r="B25" s="1868" t="s">
        <v>3560</v>
      </c>
      <c r="C25" s="1851" t="s">
        <v>115</v>
      </c>
      <c r="D25" s="1851" t="s">
        <v>115</v>
      </c>
      <c r="E25" s="1851" t="s">
        <v>115</v>
      </c>
      <c r="F25" s="1851" t="s">
        <v>115</v>
      </c>
      <c r="G25" s="1851">
        <v>5600</v>
      </c>
      <c r="H25" s="1872">
        <v>5000</v>
      </c>
      <c r="I25" s="1851">
        <v>3000</v>
      </c>
      <c r="J25" s="1851">
        <v>2600</v>
      </c>
      <c r="K25" s="1851">
        <v>3600</v>
      </c>
      <c r="L25" s="1851">
        <v>6000</v>
      </c>
      <c r="M25" s="1851">
        <v>1900</v>
      </c>
      <c r="N25" s="1851">
        <v>9600</v>
      </c>
      <c r="O25" s="1851">
        <v>4600</v>
      </c>
    </row>
    <row r="26" spans="1:15" ht="20.100000000000001" customHeight="1" x14ac:dyDescent="0.25">
      <c r="A26" s="1867">
        <v>3</v>
      </c>
      <c r="B26" s="1873" t="s">
        <v>3561</v>
      </c>
      <c r="C26" s="1869" t="s">
        <v>115</v>
      </c>
      <c r="D26" s="1869" t="s">
        <v>115</v>
      </c>
      <c r="E26" s="1869" t="s">
        <v>115</v>
      </c>
      <c r="F26" s="1869" t="s">
        <v>115</v>
      </c>
      <c r="G26" s="1869">
        <v>2700</v>
      </c>
      <c r="H26" s="1869">
        <v>3200</v>
      </c>
      <c r="I26" s="1869">
        <v>4000</v>
      </c>
      <c r="J26" s="1869">
        <v>3000</v>
      </c>
      <c r="K26" s="1869">
        <v>2400</v>
      </c>
      <c r="L26" s="1869">
        <v>3300</v>
      </c>
      <c r="M26" s="1869">
        <v>4350</v>
      </c>
      <c r="N26" s="1869">
        <v>9100</v>
      </c>
      <c r="O26" s="1869">
        <f>SUM(O27:O30)</f>
        <v>3500</v>
      </c>
    </row>
    <row r="27" spans="1:15" ht="20.100000000000001" customHeight="1" x14ac:dyDescent="0.25">
      <c r="A27" s="1867"/>
      <c r="B27" s="1873" t="s">
        <v>3557</v>
      </c>
      <c r="C27" s="1851" t="s">
        <v>115</v>
      </c>
      <c r="D27" s="1872" t="s">
        <v>115</v>
      </c>
      <c r="E27" s="1872" t="s">
        <v>115</v>
      </c>
      <c r="F27" s="1851" t="s">
        <v>115</v>
      </c>
      <c r="G27" s="1851">
        <v>800</v>
      </c>
      <c r="H27" s="1851">
        <v>1600</v>
      </c>
      <c r="I27" s="1851">
        <v>1000</v>
      </c>
      <c r="J27" s="1872">
        <v>1500</v>
      </c>
      <c r="K27" s="1872">
        <v>0</v>
      </c>
      <c r="L27" s="1872">
        <v>900</v>
      </c>
      <c r="M27" s="1851">
        <v>1000</v>
      </c>
      <c r="N27" s="1851">
        <v>2006.2</v>
      </c>
      <c r="O27" s="1851">
        <v>1000</v>
      </c>
    </row>
    <row r="28" spans="1:15" ht="20.100000000000001" customHeight="1" x14ac:dyDescent="0.25">
      <c r="A28" s="1871"/>
      <c r="B28" s="1873" t="s">
        <v>3558</v>
      </c>
      <c r="C28" s="1851" t="s">
        <v>115</v>
      </c>
      <c r="D28" s="1872" t="s">
        <v>115</v>
      </c>
      <c r="E28" s="1872" t="s">
        <v>115</v>
      </c>
      <c r="F28" s="1872" t="s">
        <v>115</v>
      </c>
      <c r="G28" s="1851">
        <v>0</v>
      </c>
      <c r="H28" s="1851">
        <v>0</v>
      </c>
      <c r="I28" s="1851">
        <v>0</v>
      </c>
      <c r="J28" s="1872">
        <v>0</v>
      </c>
      <c r="K28" s="1872">
        <v>0</v>
      </c>
      <c r="L28" s="1872">
        <v>0</v>
      </c>
      <c r="M28" s="1872">
        <v>0</v>
      </c>
      <c r="N28" s="1872"/>
      <c r="O28" s="1872">
        <v>0</v>
      </c>
    </row>
    <row r="29" spans="1:15" ht="20.100000000000001" customHeight="1" x14ac:dyDescent="0.25">
      <c r="A29" s="1871"/>
      <c r="B29" s="1868" t="s">
        <v>3559</v>
      </c>
      <c r="C29" s="1851" t="s">
        <v>115</v>
      </c>
      <c r="D29" s="1851" t="s">
        <v>115</v>
      </c>
      <c r="E29" s="1851" t="s">
        <v>115</v>
      </c>
      <c r="F29" s="1851" t="s">
        <v>115</v>
      </c>
      <c r="G29" s="1851">
        <v>800</v>
      </c>
      <c r="H29" s="1851">
        <v>0</v>
      </c>
      <c r="I29" s="1851">
        <v>2000</v>
      </c>
      <c r="J29" s="1851">
        <v>700</v>
      </c>
      <c r="K29" s="1851">
        <v>1200</v>
      </c>
      <c r="L29" s="1851">
        <v>200</v>
      </c>
      <c r="M29" s="1851">
        <v>2350</v>
      </c>
      <c r="N29" s="1851">
        <v>3020.6</v>
      </c>
      <c r="O29" s="1851">
        <v>1000</v>
      </c>
    </row>
    <row r="30" spans="1:15" ht="20.100000000000001" customHeight="1" x14ac:dyDescent="0.25">
      <c r="A30" s="1871"/>
      <c r="B30" s="1868" t="s">
        <v>3560</v>
      </c>
      <c r="C30" s="1851" t="s">
        <v>115</v>
      </c>
      <c r="D30" s="1851" t="s">
        <v>115</v>
      </c>
      <c r="E30" s="1851" t="s">
        <v>115</v>
      </c>
      <c r="F30" s="1851" t="s">
        <v>115</v>
      </c>
      <c r="G30" s="1851">
        <v>1100</v>
      </c>
      <c r="H30" s="1851">
        <v>1600</v>
      </c>
      <c r="I30" s="1851">
        <v>1000</v>
      </c>
      <c r="J30" s="1851">
        <v>800</v>
      </c>
      <c r="K30" s="1851">
        <v>1200</v>
      </c>
      <c r="L30" s="1851">
        <v>2200</v>
      </c>
      <c r="M30" s="1851">
        <v>1000</v>
      </c>
      <c r="N30" s="1851">
        <v>4073.2</v>
      </c>
      <c r="O30" s="1851">
        <v>1500</v>
      </c>
    </row>
    <row r="31" spans="1:15" ht="20.100000000000001" customHeight="1" thickBot="1" x14ac:dyDescent="0.3">
      <c r="A31" s="1836"/>
      <c r="B31" s="1837"/>
      <c r="C31" s="1874"/>
      <c r="D31" s="1875"/>
      <c r="E31" s="1874"/>
      <c r="F31" s="1874"/>
      <c r="G31" s="1874"/>
      <c r="H31" s="1874"/>
      <c r="I31" s="1874"/>
      <c r="J31" s="1874"/>
      <c r="K31" s="1874"/>
      <c r="L31" s="1874"/>
      <c r="M31" s="1874"/>
      <c r="N31" s="1874"/>
      <c r="O31" s="1874"/>
    </row>
    <row r="32" spans="1:15" s="1858" customFormat="1" ht="20.100000000000001" customHeight="1" x14ac:dyDescent="0.25">
      <c r="A32" s="1859" t="s">
        <v>172</v>
      </c>
      <c r="B32" s="1857"/>
      <c r="C32" s="1857"/>
      <c r="D32" s="1857"/>
      <c r="E32" s="1857"/>
      <c r="F32" s="1857"/>
      <c r="G32" s="1857"/>
      <c r="H32" s="1857"/>
      <c r="I32" s="1857"/>
      <c r="J32" s="1857"/>
      <c r="K32" s="1857"/>
      <c r="L32" s="1857"/>
      <c r="M32" s="1857"/>
      <c r="N32" s="1857"/>
      <c r="O32" s="1857"/>
    </row>
    <row r="33" spans="1:18" s="1858" customFormat="1" ht="20.100000000000001" customHeight="1" x14ac:dyDescent="0.25">
      <c r="A33" s="1859" t="s">
        <v>3553</v>
      </c>
      <c r="B33" s="1857"/>
      <c r="C33" s="1857"/>
      <c r="D33" s="1857"/>
      <c r="E33" s="1857"/>
      <c r="F33" s="1857"/>
      <c r="G33" s="1857"/>
      <c r="H33" s="1857"/>
      <c r="I33" s="1857"/>
      <c r="J33" s="1857"/>
      <c r="K33" s="1857"/>
      <c r="L33" s="1857"/>
      <c r="M33" s="1857"/>
      <c r="N33" s="1857"/>
      <c r="O33" s="1857"/>
    </row>
    <row r="34" spans="1:18" ht="20.100000000000001" customHeight="1" x14ac:dyDescent="0.25">
      <c r="A34" s="1832"/>
      <c r="B34" s="1827"/>
      <c r="C34" s="1827"/>
      <c r="D34" s="1827"/>
      <c r="E34" s="1827"/>
      <c r="F34" s="1827"/>
      <c r="G34" s="1827"/>
      <c r="H34" s="1827"/>
      <c r="I34" s="1827"/>
      <c r="J34" s="1827"/>
      <c r="K34" s="1827"/>
      <c r="L34" s="1828"/>
      <c r="M34" s="1828"/>
      <c r="N34" s="1828"/>
      <c r="O34" s="1828"/>
    </row>
    <row r="35" spans="1:18" ht="20.100000000000001" customHeight="1" x14ac:dyDescent="0.25">
      <c r="A35" s="1826" t="s">
        <v>3562</v>
      </c>
      <c r="B35" s="1828"/>
      <c r="C35" s="1828"/>
      <c r="D35" s="1828"/>
      <c r="E35" s="1828"/>
      <c r="F35" s="1831"/>
    </row>
    <row r="36" spans="1:18" ht="20.100000000000001" customHeight="1" thickBot="1" x14ac:dyDescent="0.3">
      <c r="A36" s="1826"/>
      <c r="B36" s="1828"/>
      <c r="C36" s="1828"/>
      <c r="D36" s="1828"/>
      <c r="E36" s="1828"/>
      <c r="F36" s="1861"/>
      <c r="G36" s="1861"/>
      <c r="H36" s="1861"/>
      <c r="I36" s="1861"/>
      <c r="J36" s="1861"/>
      <c r="K36" s="1861"/>
      <c r="L36" s="1861"/>
      <c r="M36" s="1861"/>
      <c r="N36" s="1876"/>
      <c r="O36" s="1862" t="s">
        <v>416</v>
      </c>
      <c r="P36" s="1831"/>
    </row>
    <row r="37" spans="1:18" s="1644" customFormat="1" ht="20.100000000000001" customHeight="1" thickBot="1" x14ac:dyDescent="0.3">
      <c r="A37" s="1877"/>
      <c r="B37" s="1878"/>
      <c r="C37" s="1840">
        <v>44013</v>
      </c>
      <c r="D37" s="1840">
        <v>44044</v>
      </c>
      <c r="E37" s="1840">
        <v>44075</v>
      </c>
      <c r="F37" s="1840">
        <v>44105</v>
      </c>
      <c r="G37" s="1840">
        <v>44136</v>
      </c>
      <c r="H37" s="1840">
        <v>44166</v>
      </c>
      <c r="I37" s="1840">
        <v>44197</v>
      </c>
      <c r="J37" s="1840">
        <v>44228</v>
      </c>
      <c r="K37" s="1840">
        <v>44256</v>
      </c>
      <c r="L37" s="1840">
        <v>44287</v>
      </c>
      <c r="M37" s="1840">
        <v>44317</v>
      </c>
      <c r="N37" s="1840">
        <v>44348</v>
      </c>
      <c r="O37" s="1840">
        <v>44378</v>
      </c>
    </row>
    <row r="38" spans="1:18" ht="20.100000000000001" customHeight="1" x14ac:dyDescent="0.25">
      <c r="A38" s="1867">
        <v>4</v>
      </c>
      <c r="B38" s="1879" t="s">
        <v>3563</v>
      </c>
      <c r="C38" s="1880"/>
      <c r="D38" s="1880"/>
      <c r="E38" s="1880"/>
      <c r="F38" s="1880"/>
      <c r="G38" s="1880"/>
      <c r="H38" s="1880"/>
      <c r="I38" s="1880"/>
      <c r="J38" s="1880"/>
      <c r="K38" s="1880"/>
      <c r="L38" s="1880"/>
      <c r="M38" s="1880"/>
      <c r="N38" s="1880"/>
      <c r="O38" s="1880"/>
    </row>
    <row r="39" spans="1:18" ht="20.100000000000001" customHeight="1" x14ac:dyDescent="0.25">
      <c r="A39" s="1871"/>
      <c r="B39" s="1881" t="s">
        <v>3557</v>
      </c>
      <c r="C39" s="1882" t="s">
        <v>115</v>
      </c>
      <c r="D39" s="1882" t="s">
        <v>115</v>
      </c>
      <c r="E39" s="1882" t="s">
        <v>115</v>
      </c>
      <c r="F39" s="1882" t="s">
        <v>115</v>
      </c>
      <c r="G39" s="1882">
        <v>0.38</v>
      </c>
      <c r="H39" s="1882">
        <v>0.25</v>
      </c>
      <c r="I39" s="1882">
        <v>0.22</v>
      </c>
      <c r="J39" s="1882">
        <v>0.14000000000000001</v>
      </c>
      <c r="K39" s="1882">
        <v>0.17</v>
      </c>
      <c r="L39" s="1882">
        <v>0.4</v>
      </c>
      <c r="M39" s="1882">
        <v>0.62</v>
      </c>
      <c r="N39" s="1882">
        <v>1.01</v>
      </c>
      <c r="O39" s="1882">
        <v>0.64</v>
      </c>
    </row>
    <row r="40" spans="1:18" ht="20.100000000000001" hidden="1" customHeight="1" x14ac:dyDescent="0.25">
      <c r="A40" s="1871"/>
      <c r="B40" s="1881" t="s">
        <v>3558</v>
      </c>
      <c r="C40" s="1882" t="s">
        <v>115</v>
      </c>
      <c r="D40" s="1882" t="s">
        <v>115</v>
      </c>
      <c r="E40" s="1882" t="s">
        <v>115</v>
      </c>
      <c r="F40" s="1882" t="s">
        <v>115</v>
      </c>
      <c r="G40" s="1882" t="s">
        <v>115</v>
      </c>
      <c r="H40" s="1882" t="s">
        <v>115</v>
      </c>
      <c r="I40" s="1882" t="s">
        <v>115</v>
      </c>
      <c r="J40" s="1882" t="s">
        <v>115</v>
      </c>
      <c r="K40" s="1882" t="s">
        <v>115</v>
      </c>
      <c r="L40" s="1882" t="s">
        <v>115</v>
      </c>
      <c r="M40" s="1882" t="s">
        <v>115</v>
      </c>
      <c r="N40" s="1882"/>
      <c r="O40" s="1882" t="s">
        <v>115</v>
      </c>
    </row>
    <row r="41" spans="1:18" ht="20.100000000000001" customHeight="1" x14ac:dyDescent="0.25">
      <c r="A41" s="1871"/>
      <c r="B41" s="1879" t="s">
        <v>3559</v>
      </c>
      <c r="C41" s="1882" t="s">
        <v>115</v>
      </c>
      <c r="D41" s="1882" t="s">
        <v>115</v>
      </c>
      <c r="E41" s="1882" t="s">
        <v>115</v>
      </c>
      <c r="F41" s="1882" t="s">
        <v>115</v>
      </c>
      <c r="G41" s="1882">
        <v>0.77</v>
      </c>
      <c r="H41" s="1882">
        <v>0.31</v>
      </c>
      <c r="I41" s="1882">
        <v>0.28000000000000003</v>
      </c>
      <c r="J41" s="1882">
        <v>0.24</v>
      </c>
      <c r="K41" s="1882">
        <v>0.27</v>
      </c>
      <c r="L41" s="1882">
        <v>0.47</v>
      </c>
      <c r="M41" s="1882">
        <v>0.82</v>
      </c>
      <c r="N41" s="1882">
        <v>1.22</v>
      </c>
      <c r="O41" s="1882">
        <v>0.78</v>
      </c>
    </row>
    <row r="42" spans="1:18" ht="20.100000000000001" customHeight="1" x14ac:dyDescent="0.25">
      <c r="A42" s="1871"/>
      <c r="B42" s="1879" t="s">
        <v>3560</v>
      </c>
      <c r="C42" s="1882" t="s">
        <v>115</v>
      </c>
      <c r="D42" s="1882">
        <v>1.3</v>
      </c>
      <c r="E42" s="1882">
        <v>1.38</v>
      </c>
      <c r="F42" s="1882" t="s">
        <v>115</v>
      </c>
      <c r="G42" s="1882">
        <v>0.73</v>
      </c>
      <c r="H42" s="1882">
        <v>0.4</v>
      </c>
      <c r="I42" s="1882">
        <v>0.39</v>
      </c>
      <c r="J42" s="1882">
        <v>0.34</v>
      </c>
      <c r="K42" s="1882">
        <v>0.4</v>
      </c>
      <c r="L42" s="1882">
        <v>0.67</v>
      </c>
      <c r="M42" s="1882">
        <v>0.97</v>
      </c>
      <c r="N42" s="1882">
        <v>1.48</v>
      </c>
      <c r="O42" s="1882">
        <v>0.92</v>
      </c>
    </row>
    <row r="43" spans="1:18" ht="20.100000000000001" customHeight="1" x14ac:dyDescent="0.25">
      <c r="A43" s="1867">
        <v>5</v>
      </c>
      <c r="B43" s="1879" t="s">
        <v>3564</v>
      </c>
      <c r="C43" s="1882" t="s">
        <v>115</v>
      </c>
      <c r="D43" s="1882">
        <v>1.3</v>
      </c>
      <c r="E43" s="1882">
        <v>1.38</v>
      </c>
      <c r="F43" s="1882" t="s">
        <v>115</v>
      </c>
      <c r="G43" s="1882">
        <v>0.64</v>
      </c>
      <c r="H43" s="1882">
        <v>0.31</v>
      </c>
      <c r="I43" s="1882">
        <v>0.28999999999999998</v>
      </c>
      <c r="J43" s="1882">
        <v>0.24</v>
      </c>
      <c r="K43" s="1882">
        <v>0.28000000000000003</v>
      </c>
      <c r="L43" s="1882">
        <v>0.49</v>
      </c>
      <c r="M43" s="1882">
        <v>0.8</v>
      </c>
      <c r="N43" s="1882">
        <v>1.29</v>
      </c>
      <c r="O43" s="1882">
        <v>0.75</v>
      </c>
      <c r="R43" s="1883"/>
    </row>
    <row r="44" spans="1:18" ht="20.100000000000001" customHeight="1" thickBot="1" x14ac:dyDescent="0.3">
      <c r="A44" s="1836"/>
      <c r="B44" s="1884"/>
      <c r="C44" s="1875"/>
      <c r="D44" s="1875"/>
      <c r="E44" s="1875"/>
      <c r="F44" s="1875"/>
      <c r="G44" s="1875"/>
      <c r="H44" s="1875"/>
      <c r="I44" s="1875"/>
      <c r="J44" s="1875"/>
      <c r="K44" s="1875"/>
      <c r="L44" s="1875"/>
      <c r="M44" s="1875"/>
      <c r="N44" s="1875"/>
      <c r="O44" s="1875"/>
    </row>
    <row r="45" spans="1:18" s="1858" customFormat="1" ht="20.100000000000001" customHeight="1" x14ac:dyDescent="0.25">
      <c r="A45" s="1859" t="s">
        <v>172</v>
      </c>
      <c r="B45" s="1857"/>
      <c r="C45" s="1857"/>
      <c r="D45" s="1857"/>
      <c r="E45" s="1857"/>
      <c r="F45" s="1857"/>
      <c r="G45" s="1857"/>
      <c r="H45" s="1857"/>
      <c r="I45" s="1857"/>
      <c r="J45" s="1857"/>
      <c r="K45" s="1857"/>
      <c r="L45" s="1857"/>
      <c r="M45" s="1857"/>
      <c r="N45" s="1857"/>
      <c r="O45" s="1857"/>
    </row>
    <row r="46" spans="1:18" s="1858" customFormat="1" ht="20.100000000000001" customHeight="1" x14ac:dyDescent="0.25">
      <c r="A46" s="1859" t="s">
        <v>3553</v>
      </c>
    </row>
  </sheetData>
  <mergeCells count="3">
    <mergeCell ref="A3:B3"/>
    <mergeCell ref="C3:G3"/>
    <mergeCell ref="A17:B17"/>
  </mergeCells>
  <pageMargins left="0.75" right="0.75" top="0.75" bottom="0.75" header="0.31496062992126" footer="0"/>
  <pageSetup paperSize="9" scale="54"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W33"/>
  <sheetViews>
    <sheetView zoomScale="90" zoomScaleNormal="90" zoomScaleSheetLayoutView="70" workbookViewId="0">
      <selection activeCell="A15" sqref="A15"/>
    </sheetView>
  </sheetViews>
  <sheetFormatPr defaultColWidth="9.140625" defaultRowHeight="20.100000000000001" customHeight="1" x14ac:dyDescent="0.25"/>
  <cols>
    <col min="1" max="1" width="5.140625" style="1885" customWidth="1"/>
    <col min="2" max="2" width="33.140625" style="1885" customWidth="1"/>
    <col min="3" max="3" width="14" style="1885" bestFit="1" customWidth="1"/>
    <col min="4" max="5" width="13" style="1885" customWidth="1"/>
    <col min="6" max="6" width="14" style="1885" bestFit="1" customWidth="1"/>
    <col min="7" max="7" width="12.42578125" style="1885" bestFit="1" customWidth="1"/>
    <col min="8" max="15" width="11.7109375" style="1885" customWidth="1"/>
    <col min="16" max="16384" width="9.140625" style="1885"/>
  </cols>
  <sheetData>
    <row r="1" spans="1:23" ht="20.100000000000001" customHeight="1" x14ac:dyDescent="0.25">
      <c r="A1" s="1826" t="s">
        <v>3565</v>
      </c>
      <c r="B1" s="1827"/>
      <c r="C1" s="1827"/>
      <c r="D1" s="1827"/>
      <c r="E1" s="1827"/>
      <c r="F1" s="1827"/>
      <c r="G1" s="1827"/>
      <c r="H1" s="1827"/>
      <c r="I1" s="1827"/>
      <c r="J1" s="1828"/>
    </row>
    <row r="2" spans="1:23" ht="20.100000000000001" customHeight="1" thickBot="1" x14ac:dyDescent="0.3">
      <c r="A2" s="1827"/>
      <c r="B2" s="1827"/>
      <c r="D2" s="1876"/>
      <c r="E2" s="1831"/>
      <c r="F2" s="1831"/>
      <c r="G2" s="1831"/>
      <c r="H2" s="1831"/>
      <c r="I2" s="1886" t="s">
        <v>3566</v>
      </c>
      <c r="J2" s="1831"/>
      <c r="K2" s="1831"/>
    </row>
    <row r="3" spans="1:23" ht="20.100000000000001" customHeight="1" thickBot="1" x14ac:dyDescent="0.3">
      <c r="A3" s="3778"/>
      <c r="B3" s="3779"/>
      <c r="C3" s="3780" t="s">
        <v>3547</v>
      </c>
      <c r="D3" s="3781"/>
      <c r="E3" s="3781"/>
      <c r="F3" s="3781"/>
      <c r="G3" s="3782"/>
      <c r="H3" s="3773" t="s">
        <v>114</v>
      </c>
      <c r="I3" s="3775"/>
    </row>
    <row r="4" spans="1:23" ht="20.100000000000001" customHeight="1" thickBot="1" x14ac:dyDescent="0.3">
      <c r="A4" s="1887"/>
      <c r="B4" s="1888"/>
      <c r="C4" s="1889">
        <v>44379</v>
      </c>
      <c r="D4" s="1889">
        <v>44386</v>
      </c>
      <c r="E4" s="1889">
        <v>44393</v>
      </c>
      <c r="F4" s="1889">
        <v>44400</v>
      </c>
      <c r="G4" s="1889">
        <v>44407</v>
      </c>
      <c r="H4" s="1890">
        <v>44348</v>
      </c>
      <c r="I4" s="1890">
        <v>44378</v>
      </c>
      <c r="J4" s="1828"/>
      <c r="K4" s="1828"/>
      <c r="L4" s="1891"/>
      <c r="N4" s="1828"/>
      <c r="O4" s="1828"/>
      <c r="P4" s="1828"/>
      <c r="Q4" s="1828"/>
      <c r="R4" s="1828"/>
    </row>
    <row r="5" spans="1:23" ht="20.100000000000001" customHeight="1" x14ac:dyDescent="0.25">
      <c r="A5" s="1892"/>
      <c r="B5" s="1893"/>
      <c r="C5" s="1894"/>
      <c r="D5" s="1894"/>
      <c r="E5" s="1894"/>
      <c r="F5" s="1894"/>
      <c r="G5" s="1894"/>
      <c r="H5" s="1894"/>
      <c r="I5" s="1894"/>
      <c r="J5" s="1828"/>
      <c r="K5" s="1828"/>
      <c r="L5" s="1895"/>
      <c r="N5" s="1828"/>
      <c r="O5" s="1828"/>
      <c r="P5" s="1828"/>
      <c r="Q5" s="1828"/>
      <c r="R5" s="1828"/>
      <c r="S5" s="1828"/>
      <c r="T5" s="1828"/>
      <c r="U5" s="1828"/>
      <c r="V5" s="1828"/>
      <c r="W5" s="1828"/>
    </row>
    <row r="6" spans="1:23" ht="20.100000000000001" customHeight="1" x14ac:dyDescent="0.25">
      <c r="A6" s="1867">
        <v>1</v>
      </c>
      <c r="B6" s="1896" t="s">
        <v>3548</v>
      </c>
      <c r="C6" s="1849">
        <v>0</v>
      </c>
      <c r="D6" s="1849">
        <v>1500</v>
      </c>
      <c r="E6" s="1849">
        <v>3000</v>
      </c>
      <c r="F6" s="1849">
        <v>3000</v>
      </c>
      <c r="G6" s="1849">
        <v>3000</v>
      </c>
      <c r="H6" s="1849">
        <v>0</v>
      </c>
      <c r="I6" s="1849">
        <f>SUM(C6:G6)</f>
        <v>10500</v>
      </c>
      <c r="L6" s="1897"/>
    </row>
    <row r="7" spans="1:23" ht="20.100000000000001" customHeight="1" x14ac:dyDescent="0.25">
      <c r="A7" s="1867">
        <v>2</v>
      </c>
      <c r="B7" s="1896" t="s">
        <v>3549</v>
      </c>
      <c r="C7" s="1849">
        <v>0</v>
      </c>
      <c r="D7" s="1849">
        <v>4600</v>
      </c>
      <c r="E7" s="1849">
        <v>8300</v>
      </c>
      <c r="F7" s="1849">
        <v>6700</v>
      </c>
      <c r="G7" s="1849">
        <v>6300</v>
      </c>
      <c r="H7" s="1849">
        <v>0</v>
      </c>
      <c r="I7" s="1849">
        <f>SUM(C7:G7)</f>
        <v>25900</v>
      </c>
      <c r="L7" s="1897"/>
    </row>
    <row r="8" spans="1:23" ht="20.100000000000001" customHeight="1" x14ac:dyDescent="0.25">
      <c r="A8" s="1867">
        <v>3</v>
      </c>
      <c r="B8" s="1898" t="s">
        <v>3550</v>
      </c>
      <c r="C8" s="1849">
        <v>0</v>
      </c>
      <c r="D8" s="1849">
        <v>1500</v>
      </c>
      <c r="E8" s="1849">
        <v>5154.2</v>
      </c>
      <c r="F8" s="1849">
        <v>3000</v>
      </c>
      <c r="G8" s="1849">
        <v>3000</v>
      </c>
      <c r="H8" s="1849">
        <v>0</v>
      </c>
      <c r="I8" s="1849">
        <f>SUM(C8:G8)</f>
        <v>12654.2</v>
      </c>
      <c r="L8" s="1897"/>
    </row>
    <row r="9" spans="1:23" ht="20.100000000000001" customHeight="1" x14ac:dyDescent="0.25">
      <c r="A9" s="1867">
        <v>4</v>
      </c>
      <c r="B9" s="1896" t="s">
        <v>3551</v>
      </c>
      <c r="C9" s="1849">
        <v>2400</v>
      </c>
      <c r="D9" s="1849">
        <v>1732.4</v>
      </c>
      <c r="E9" s="1849">
        <v>2483.6</v>
      </c>
      <c r="F9" s="1849">
        <v>527.79999999999995</v>
      </c>
      <c r="G9" s="1849">
        <v>1700</v>
      </c>
      <c r="H9" s="1849">
        <v>7213.5</v>
      </c>
      <c r="I9" s="1849">
        <f>SUM(C9:G9)</f>
        <v>8843.7999999999993</v>
      </c>
      <c r="L9" s="1897"/>
    </row>
    <row r="10" spans="1:23" ht="20.100000000000001" customHeight="1" x14ac:dyDescent="0.25">
      <c r="A10" s="1867">
        <v>5</v>
      </c>
      <c r="B10" s="1896" t="s">
        <v>3552</v>
      </c>
      <c r="C10" s="1849">
        <f>C8-C9</f>
        <v>-2400</v>
      </c>
      <c r="D10" s="1849">
        <f t="shared" ref="D10:F10" si="0">D8-D9</f>
        <v>-232.40000000000009</v>
      </c>
      <c r="E10" s="1849">
        <f t="shared" si="0"/>
        <v>2670.6</v>
      </c>
      <c r="F10" s="1849">
        <f t="shared" si="0"/>
        <v>2472.1999999999998</v>
      </c>
      <c r="G10" s="1849">
        <f>G8-G9</f>
        <v>1300</v>
      </c>
      <c r="H10" s="1849">
        <v>-7213.5</v>
      </c>
      <c r="I10" s="1849">
        <f>I8-I9</f>
        <v>3810.4000000000015</v>
      </c>
      <c r="L10" s="1897"/>
    </row>
    <row r="11" spans="1:23" ht="20.100000000000001" customHeight="1" thickBot="1" x14ac:dyDescent="0.3">
      <c r="A11" s="1899"/>
      <c r="B11" s="1900"/>
      <c r="C11" s="1855"/>
      <c r="D11" s="1855"/>
      <c r="E11" s="1855"/>
      <c r="F11" s="1855"/>
      <c r="G11" s="1855"/>
      <c r="H11" s="1855"/>
      <c r="I11" s="1855"/>
      <c r="L11" s="1895"/>
    </row>
    <row r="12" spans="1:23" ht="20.100000000000001" customHeight="1" x14ac:dyDescent="0.25">
      <c r="A12" s="1859" t="s">
        <v>172</v>
      </c>
    </row>
    <row r="13" spans="1:23" ht="20.100000000000001" customHeight="1" x14ac:dyDescent="0.25">
      <c r="A13" s="1859" t="s">
        <v>3553</v>
      </c>
    </row>
    <row r="15" spans="1:23" ht="20.100000000000001" customHeight="1" x14ac:dyDescent="0.25">
      <c r="A15" s="1826" t="s">
        <v>3567</v>
      </c>
      <c r="B15" s="1827"/>
    </row>
    <row r="16" spans="1:23" ht="20.100000000000001" customHeight="1" thickBot="1" x14ac:dyDescent="0.3">
      <c r="A16" s="1827"/>
      <c r="B16" s="1827"/>
      <c r="C16" s="1876"/>
      <c r="K16" s="1876"/>
      <c r="O16" s="1876" t="s">
        <v>8</v>
      </c>
      <c r="P16" s="1831"/>
    </row>
    <row r="17" spans="1:15" ht="20.100000000000001" customHeight="1" thickBot="1" x14ac:dyDescent="0.3">
      <c r="A17" s="3783"/>
      <c r="B17" s="3784"/>
      <c r="C17" s="1840">
        <v>44013</v>
      </c>
      <c r="D17" s="1840">
        <v>44044</v>
      </c>
      <c r="E17" s="1840">
        <v>44075</v>
      </c>
      <c r="F17" s="1840">
        <v>44105</v>
      </c>
      <c r="G17" s="1840">
        <v>44136</v>
      </c>
      <c r="H17" s="1840">
        <v>44166</v>
      </c>
      <c r="I17" s="1840">
        <v>44197</v>
      </c>
      <c r="J17" s="1840">
        <v>44228</v>
      </c>
      <c r="K17" s="1840">
        <v>44256</v>
      </c>
      <c r="L17" s="1840">
        <v>44287</v>
      </c>
      <c r="M17" s="1840">
        <v>44317</v>
      </c>
      <c r="N17" s="1840">
        <v>44348</v>
      </c>
      <c r="O17" s="1840">
        <v>44378</v>
      </c>
    </row>
    <row r="18" spans="1:15" ht="20.100000000000001" customHeight="1" x14ac:dyDescent="0.25">
      <c r="A18" s="1871"/>
      <c r="B18" s="1901"/>
      <c r="C18" s="1902"/>
      <c r="D18" s="1902"/>
      <c r="E18" s="1903"/>
      <c r="F18" s="1904"/>
      <c r="G18" s="1904"/>
      <c r="H18" s="1904"/>
      <c r="I18" s="1905"/>
      <c r="J18" s="1905"/>
      <c r="K18" s="1905"/>
      <c r="L18" s="1905"/>
      <c r="M18" s="1905"/>
      <c r="N18" s="1905"/>
      <c r="O18" s="1905"/>
    </row>
    <row r="19" spans="1:15" ht="20.100000000000001" customHeight="1" x14ac:dyDescent="0.25">
      <c r="A19" s="1867">
        <v>1</v>
      </c>
      <c r="B19" s="1906" t="s">
        <v>3555</v>
      </c>
      <c r="C19" s="1907" t="s">
        <v>115</v>
      </c>
      <c r="D19" s="1908">
        <v>3500</v>
      </c>
      <c r="E19" s="1909">
        <v>13500</v>
      </c>
      <c r="F19" s="1909" t="s">
        <v>115</v>
      </c>
      <c r="G19" s="1909" t="s">
        <v>115</v>
      </c>
      <c r="H19" s="1909">
        <v>5000</v>
      </c>
      <c r="I19" s="1909">
        <v>6000</v>
      </c>
      <c r="J19" s="1909">
        <v>1000</v>
      </c>
      <c r="K19" s="1909">
        <v>7000</v>
      </c>
      <c r="L19" s="1909">
        <v>12000</v>
      </c>
      <c r="M19" s="1909">
        <v>2000</v>
      </c>
      <c r="N19" s="1909" t="s">
        <v>115</v>
      </c>
      <c r="O19" s="1909">
        <v>10500</v>
      </c>
    </row>
    <row r="20" spans="1:15" ht="20.100000000000001" customHeight="1" x14ac:dyDescent="0.25">
      <c r="A20" s="1871"/>
      <c r="B20" s="1879"/>
      <c r="C20" s="1910"/>
      <c r="D20" s="1903"/>
      <c r="E20" s="1903"/>
      <c r="F20" s="1905"/>
      <c r="G20" s="1905"/>
      <c r="H20" s="1905"/>
      <c r="I20" s="1905"/>
      <c r="J20" s="1905"/>
      <c r="K20" s="1905"/>
      <c r="L20" s="1905"/>
      <c r="M20" s="1905"/>
      <c r="N20" s="1905"/>
      <c r="O20" s="1905"/>
    </row>
    <row r="21" spans="1:15" ht="20.100000000000001" customHeight="1" x14ac:dyDescent="0.25">
      <c r="A21" s="1867">
        <v>2</v>
      </c>
      <c r="B21" s="1868" t="s">
        <v>3556</v>
      </c>
      <c r="C21" s="1911" t="s">
        <v>115</v>
      </c>
      <c r="D21" s="1911">
        <v>11197.5</v>
      </c>
      <c r="E21" s="1909">
        <v>36400</v>
      </c>
      <c r="F21" s="1909" t="s">
        <v>115</v>
      </c>
      <c r="G21" s="1909" t="s">
        <v>115</v>
      </c>
      <c r="H21" s="1909">
        <v>19300</v>
      </c>
      <c r="I21" s="1909">
        <v>19700</v>
      </c>
      <c r="J21" s="1909">
        <v>3300</v>
      </c>
      <c r="K21" s="1909">
        <v>19400</v>
      </c>
      <c r="L21" s="1909">
        <v>29000</v>
      </c>
      <c r="M21" s="1909">
        <v>3600</v>
      </c>
      <c r="N21" s="1909" t="s">
        <v>115</v>
      </c>
      <c r="O21" s="1909">
        <f>SUM(O22:O24)</f>
        <v>25900</v>
      </c>
    </row>
    <row r="22" spans="1:15" ht="20.100000000000001" customHeight="1" x14ac:dyDescent="0.25">
      <c r="A22" s="1871"/>
      <c r="B22" s="1873" t="s">
        <v>3557</v>
      </c>
      <c r="C22" s="1905" t="s">
        <v>115</v>
      </c>
      <c r="D22" s="1905" t="s">
        <v>115</v>
      </c>
      <c r="E22" s="1905" t="s">
        <v>115</v>
      </c>
      <c r="F22" s="1905" t="s">
        <v>115</v>
      </c>
      <c r="G22" s="1905" t="s">
        <v>115</v>
      </c>
      <c r="H22" s="1905">
        <v>8000</v>
      </c>
      <c r="I22" s="1905">
        <v>8000</v>
      </c>
      <c r="J22" s="1905" t="s">
        <v>115</v>
      </c>
      <c r="K22" s="1905">
        <v>8200</v>
      </c>
      <c r="L22" s="1905">
        <v>12100</v>
      </c>
      <c r="M22" s="1909">
        <v>1800</v>
      </c>
      <c r="N22" s="1905" t="s">
        <v>115</v>
      </c>
      <c r="O22" s="1905">
        <v>12550</v>
      </c>
    </row>
    <row r="23" spans="1:15" ht="20.100000000000001" customHeight="1" x14ac:dyDescent="0.25">
      <c r="A23" s="1871"/>
      <c r="B23" s="1879" t="s">
        <v>3559</v>
      </c>
      <c r="C23" s="1912" t="s">
        <v>115</v>
      </c>
      <c r="D23" s="1905" t="s">
        <v>115</v>
      </c>
      <c r="E23" s="1905" t="s">
        <v>115</v>
      </c>
      <c r="F23" s="1905" t="s">
        <v>115</v>
      </c>
      <c r="G23" s="1905" t="s">
        <v>115</v>
      </c>
      <c r="H23" s="1905">
        <v>7800</v>
      </c>
      <c r="I23" s="1905">
        <v>5450</v>
      </c>
      <c r="J23" s="1905">
        <v>1700</v>
      </c>
      <c r="K23" s="1905">
        <v>6850</v>
      </c>
      <c r="L23" s="1905">
        <v>11200</v>
      </c>
      <c r="M23" s="1905" t="s">
        <v>115</v>
      </c>
      <c r="N23" s="1905" t="s">
        <v>115</v>
      </c>
      <c r="O23" s="1905">
        <v>5550</v>
      </c>
    </row>
    <row r="24" spans="1:15" ht="20.100000000000001" customHeight="1" x14ac:dyDescent="0.25">
      <c r="A24" s="1871"/>
      <c r="B24" s="1868" t="s">
        <v>3560</v>
      </c>
      <c r="C24" s="1905" t="s">
        <v>115</v>
      </c>
      <c r="D24" s="1905">
        <v>11197.5</v>
      </c>
      <c r="E24" s="1905">
        <v>36400</v>
      </c>
      <c r="F24" s="1905" t="s">
        <v>115</v>
      </c>
      <c r="G24" s="1905" t="s">
        <v>115</v>
      </c>
      <c r="H24" s="1905">
        <v>3500</v>
      </c>
      <c r="I24" s="1905">
        <v>6250</v>
      </c>
      <c r="J24" s="1905">
        <v>1600</v>
      </c>
      <c r="K24" s="1905">
        <v>4350</v>
      </c>
      <c r="L24" s="1905">
        <v>5700</v>
      </c>
      <c r="M24" s="1905">
        <v>1800</v>
      </c>
      <c r="N24" s="1905" t="s">
        <v>115</v>
      </c>
      <c r="O24" s="1905">
        <v>7800</v>
      </c>
    </row>
    <row r="25" spans="1:15" ht="20.100000000000001" customHeight="1" x14ac:dyDescent="0.25">
      <c r="A25" s="1867">
        <v>3</v>
      </c>
      <c r="B25" s="1881" t="s">
        <v>3561</v>
      </c>
      <c r="C25" s="1913" t="s">
        <v>115</v>
      </c>
      <c r="D25" s="1911">
        <v>7347.5</v>
      </c>
      <c r="E25" s="1909">
        <v>17552.5</v>
      </c>
      <c r="F25" s="1909" t="s">
        <v>115</v>
      </c>
      <c r="G25" s="1909" t="s">
        <v>115</v>
      </c>
      <c r="H25" s="1909">
        <v>12200</v>
      </c>
      <c r="I25" s="1909">
        <v>6800</v>
      </c>
      <c r="J25" s="1909">
        <v>1000</v>
      </c>
      <c r="K25" s="1909">
        <v>7000</v>
      </c>
      <c r="L25" s="1909">
        <v>15400.000000000002</v>
      </c>
      <c r="M25" s="1909">
        <v>2000</v>
      </c>
      <c r="N25" s="1909" t="s">
        <v>115</v>
      </c>
      <c r="O25" s="1909">
        <f>SUM(O26:O28)</f>
        <v>12654.199999999999</v>
      </c>
    </row>
    <row r="26" spans="1:15" ht="20.100000000000001" customHeight="1" x14ac:dyDescent="0.25">
      <c r="A26" s="1871"/>
      <c r="B26" s="1881" t="s">
        <v>3557</v>
      </c>
      <c r="C26" s="1912" t="s">
        <v>115</v>
      </c>
      <c r="D26" s="1905" t="s">
        <v>115</v>
      </c>
      <c r="E26" s="1905" t="s">
        <v>115</v>
      </c>
      <c r="F26" s="1905" t="s">
        <v>115</v>
      </c>
      <c r="G26" s="1905" t="s">
        <v>115</v>
      </c>
      <c r="H26" s="1905">
        <v>5100</v>
      </c>
      <c r="I26" s="1905">
        <v>2944.4</v>
      </c>
      <c r="J26" s="1905" t="s">
        <v>115</v>
      </c>
      <c r="K26" s="1905">
        <v>2613.5</v>
      </c>
      <c r="L26" s="1905">
        <v>7311.3</v>
      </c>
      <c r="M26" s="1909">
        <v>1000</v>
      </c>
      <c r="N26" s="1905" t="s">
        <v>115</v>
      </c>
      <c r="O26" s="1905">
        <v>7197.6</v>
      </c>
    </row>
    <row r="27" spans="1:15" ht="20.100000000000001" customHeight="1" x14ac:dyDescent="0.25">
      <c r="A27" s="1871"/>
      <c r="B27" s="1879" t="s">
        <v>3559</v>
      </c>
      <c r="C27" s="1912" t="s">
        <v>115</v>
      </c>
      <c r="D27" s="1905" t="s">
        <v>115</v>
      </c>
      <c r="E27" s="1905" t="s">
        <v>115</v>
      </c>
      <c r="F27" s="1905" t="s">
        <v>115</v>
      </c>
      <c r="G27" s="1905" t="s">
        <v>115</v>
      </c>
      <c r="H27" s="1905">
        <v>4600</v>
      </c>
      <c r="I27" s="1905">
        <v>1532.5</v>
      </c>
      <c r="J27" s="1905">
        <v>515.20000000000005</v>
      </c>
      <c r="K27" s="1905">
        <v>2856.2</v>
      </c>
      <c r="L27" s="1905">
        <v>5782.6</v>
      </c>
      <c r="M27" s="1905" t="s">
        <v>115</v>
      </c>
      <c r="N27" s="1905" t="s">
        <v>115</v>
      </c>
      <c r="O27" s="1905">
        <v>2235.6999999999998</v>
      </c>
    </row>
    <row r="28" spans="1:15" ht="20.100000000000001" customHeight="1" x14ac:dyDescent="0.25">
      <c r="A28" s="1871"/>
      <c r="B28" s="1879" t="s">
        <v>3560</v>
      </c>
      <c r="C28" s="1912" t="s">
        <v>115</v>
      </c>
      <c r="D28" s="1905">
        <v>7347.5</v>
      </c>
      <c r="E28" s="1905">
        <v>17552.5</v>
      </c>
      <c r="F28" s="1905" t="s">
        <v>115</v>
      </c>
      <c r="G28" s="1905" t="s">
        <v>115</v>
      </c>
      <c r="H28" s="1905">
        <v>2500</v>
      </c>
      <c r="I28" s="1905">
        <v>2323.1</v>
      </c>
      <c r="J28" s="1905">
        <v>484.8</v>
      </c>
      <c r="K28" s="1905">
        <v>1530.3</v>
      </c>
      <c r="L28" s="1905">
        <v>2306.1</v>
      </c>
      <c r="M28" s="1905">
        <v>1000</v>
      </c>
      <c r="N28" s="1905" t="s">
        <v>115</v>
      </c>
      <c r="O28" s="1905">
        <v>3220.9</v>
      </c>
    </row>
    <row r="29" spans="1:15" ht="20.100000000000001" customHeight="1" thickBot="1" x14ac:dyDescent="0.3">
      <c r="A29" s="1836"/>
      <c r="B29" s="1914"/>
      <c r="C29" s="1875"/>
      <c r="D29" s="1875"/>
      <c r="E29" s="1874"/>
      <c r="F29" s="1875"/>
      <c r="G29" s="1875"/>
      <c r="H29" s="1875"/>
      <c r="I29" s="1874"/>
      <c r="J29" s="1874"/>
      <c r="K29" s="1874"/>
      <c r="L29" s="1874"/>
      <c r="M29" s="1874"/>
      <c r="N29" s="1874"/>
      <c r="O29" s="1874"/>
    </row>
    <row r="30" spans="1:15" s="1915" customFormat="1" ht="20.100000000000001" customHeight="1" x14ac:dyDescent="0.25">
      <c r="A30" s="1859" t="s">
        <v>172</v>
      </c>
      <c r="B30" s="1832"/>
    </row>
    <row r="31" spans="1:15" s="1915" customFormat="1" ht="20.100000000000001" customHeight="1" x14ac:dyDescent="0.25">
      <c r="A31" s="1859" t="s">
        <v>3568</v>
      </c>
      <c r="B31" s="1832"/>
    </row>
    <row r="32" spans="1:15" s="1915" customFormat="1" ht="20.100000000000001" customHeight="1" x14ac:dyDescent="0.25">
      <c r="A32" s="1859" t="s">
        <v>3553</v>
      </c>
      <c r="B32" s="1832"/>
    </row>
    <row r="33" spans="9:9" ht="20.100000000000001" customHeight="1" x14ac:dyDescent="0.25">
      <c r="I33" s="1885" t="s">
        <v>3569</v>
      </c>
    </row>
  </sheetData>
  <mergeCells count="4">
    <mergeCell ref="A3:B3"/>
    <mergeCell ref="C3:G3"/>
    <mergeCell ref="H3:I3"/>
    <mergeCell ref="A17:B17"/>
  </mergeCells>
  <pageMargins left="0.75" right="0.75" top="0.75" bottom="0.75" header="0.31496062992125984" footer="0"/>
  <pageSetup paperSize="9" scale="6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
  <sheetViews>
    <sheetView showGridLines="0" zoomScaleNormal="100" zoomScaleSheetLayoutView="90" workbookViewId="0">
      <pane xSplit="2" ySplit="4" topLeftCell="C5" activePane="bottomRight" state="frozen"/>
      <selection activeCell="I35" sqref="I35"/>
      <selection pane="topRight" activeCell="I35" sqref="I35"/>
      <selection pane="bottomLeft" activeCell="I35" sqref="I35"/>
      <selection pane="bottomRight"/>
    </sheetView>
  </sheetViews>
  <sheetFormatPr defaultRowHeight="20.100000000000001" customHeight="1" x14ac:dyDescent="0.25"/>
  <cols>
    <col min="1" max="1" width="4" style="1918" customWidth="1"/>
    <col min="2" max="2" width="34.85546875" style="1918" customWidth="1"/>
    <col min="3" max="6" width="14.7109375" style="1918" customWidth="1"/>
    <col min="7" max="7" width="15.140625" style="1918" customWidth="1"/>
    <col min="8" max="8" width="9.28515625" style="1918" customWidth="1"/>
    <col min="9" max="9" width="2" style="1918" customWidth="1"/>
    <col min="10" max="10" width="9.28515625" style="1918" bestFit="1" customWidth="1"/>
    <col min="11" max="246" width="9.140625" style="1918"/>
    <col min="247" max="247" width="3.140625" style="1918" customWidth="1"/>
    <col min="248" max="248" width="47.7109375" style="1918" customWidth="1"/>
    <col min="249" max="249" width="12.28515625" style="1918" customWidth="1"/>
    <col min="250" max="250" width="13.140625" style="1918" customWidth="1"/>
    <col min="251" max="251" width="11.7109375" style="1918" customWidth="1"/>
    <col min="252" max="252" width="12.85546875" style="1918" customWidth="1"/>
    <col min="253" max="253" width="11.5703125" style="1918" customWidth="1"/>
    <col min="254" max="254" width="10.5703125" style="1918" customWidth="1"/>
    <col min="255" max="255" width="11.28515625" style="1918" customWidth="1"/>
    <col min="256" max="257" width="9.85546875" style="1918" customWidth="1"/>
    <col min="258" max="258" width="9.85546875" style="1918" bestFit="1" customWidth="1"/>
    <col min="259" max="259" width="9.140625" style="1918"/>
    <col min="260" max="260" width="9.42578125" style="1918" bestFit="1" customWidth="1"/>
    <col min="261" max="262" width="9.28515625" style="1918" bestFit="1" customWidth="1"/>
    <col min="263" max="265" width="9.28515625" style="1918" customWidth="1"/>
    <col min="266" max="266" width="9.28515625" style="1918" bestFit="1" customWidth="1"/>
    <col min="267" max="502" width="9.140625" style="1918"/>
    <col min="503" max="503" width="3.140625" style="1918" customWidth="1"/>
    <col min="504" max="504" width="47.7109375" style="1918" customWidth="1"/>
    <col min="505" max="505" width="12.28515625" style="1918" customWidth="1"/>
    <col min="506" max="506" width="13.140625" style="1918" customWidth="1"/>
    <col min="507" max="507" width="11.7109375" style="1918" customWidth="1"/>
    <col min="508" max="508" width="12.85546875" style="1918" customWidth="1"/>
    <col min="509" max="509" width="11.5703125" style="1918" customWidth="1"/>
    <col min="510" max="510" width="10.5703125" style="1918" customWidth="1"/>
    <col min="511" max="511" width="11.28515625" style="1918" customWidth="1"/>
    <col min="512" max="513" width="9.85546875" style="1918" customWidth="1"/>
    <col min="514" max="514" width="9.85546875" style="1918" bestFit="1" customWidth="1"/>
    <col min="515" max="515" width="9.140625" style="1918"/>
    <col min="516" max="516" width="9.42578125" style="1918" bestFit="1" customWidth="1"/>
    <col min="517" max="518" width="9.28515625" style="1918" bestFit="1" customWidth="1"/>
    <col min="519" max="521" width="9.28515625" style="1918" customWidth="1"/>
    <col min="522" max="522" width="9.28515625" style="1918" bestFit="1" customWidth="1"/>
    <col min="523" max="758" width="9.140625" style="1918"/>
    <col min="759" max="759" width="3.140625" style="1918" customWidth="1"/>
    <col min="760" max="760" width="47.7109375" style="1918" customWidth="1"/>
    <col min="761" max="761" width="12.28515625" style="1918" customWidth="1"/>
    <col min="762" max="762" width="13.140625" style="1918" customWidth="1"/>
    <col min="763" max="763" width="11.7109375" style="1918" customWidth="1"/>
    <col min="764" max="764" width="12.85546875" style="1918" customWidth="1"/>
    <col min="765" max="765" width="11.5703125" style="1918" customWidth="1"/>
    <col min="766" max="766" width="10.5703125" style="1918" customWidth="1"/>
    <col min="767" max="767" width="11.28515625" style="1918" customWidth="1"/>
    <col min="768" max="769" width="9.85546875" style="1918" customWidth="1"/>
    <col min="770" max="770" width="9.85546875" style="1918" bestFit="1" customWidth="1"/>
    <col min="771" max="771" width="9.140625" style="1918"/>
    <col min="772" max="772" width="9.42578125" style="1918" bestFit="1" customWidth="1"/>
    <col min="773" max="774" width="9.28515625" style="1918" bestFit="1" customWidth="1"/>
    <col min="775" max="777" width="9.28515625" style="1918" customWidth="1"/>
    <col min="778" max="778" width="9.28515625" style="1918" bestFit="1" customWidth="1"/>
    <col min="779" max="1014" width="9.140625" style="1918"/>
    <col min="1015" max="1015" width="3.140625" style="1918" customWidth="1"/>
    <col min="1016" max="1016" width="47.7109375" style="1918" customWidth="1"/>
    <col min="1017" max="1017" width="12.28515625" style="1918" customWidth="1"/>
    <col min="1018" max="1018" width="13.140625" style="1918" customWidth="1"/>
    <col min="1019" max="1019" width="11.7109375" style="1918" customWidth="1"/>
    <col min="1020" max="1020" width="12.85546875" style="1918" customWidth="1"/>
    <col min="1021" max="1021" width="11.5703125" style="1918" customWidth="1"/>
    <col min="1022" max="1022" width="10.5703125" style="1918" customWidth="1"/>
    <col min="1023" max="1023" width="11.28515625" style="1918" customWidth="1"/>
    <col min="1024" max="1025" width="9.85546875" style="1918" customWidth="1"/>
    <col min="1026" max="1026" width="9.85546875" style="1918" bestFit="1" customWidth="1"/>
    <col min="1027" max="1027" width="9.140625" style="1918"/>
    <col min="1028" max="1028" width="9.42578125" style="1918" bestFit="1" customWidth="1"/>
    <col min="1029" max="1030" width="9.28515625" style="1918" bestFit="1" customWidth="1"/>
    <col min="1031" max="1033" width="9.28515625" style="1918" customWidth="1"/>
    <col min="1034" max="1034" width="9.28515625" style="1918" bestFit="1" customWidth="1"/>
    <col min="1035" max="1270" width="9.140625" style="1918"/>
    <col min="1271" max="1271" width="3.140625" style="1918" customWidth="1"/>
    <col min="1272" max="1272" width="47.7109375" style="1918" customWidth="1"/>
    <col min="1273" max="1273" width="12.28515625" style="1918" customWidth="1"/>
    <col min="1274" max="1274" width="13.140625" style="1918" customWidth="1"/>
    <col min="1275" max="1275" width="11.7109375" style="1918" customWidth="1"/>
    <col min="1276" max="1276" width="12.85546875" style="1918" customWidth="1"/>
    <col min="1277" max="1277" width="11.5703125" style="1918" customWidth="1"/>
    <col min="1278" max="1278" width="10.5703125" style="1918" customWidth="1"/>
    <col min="1279" max="1279" width="11.28515625" style="1918" customWidth="1"/>
    <col min="1280" max="1281" width="9.85546875" style="1918" customWidth="1"/>
    <col min="1282" max="1282" width="9.85546875" style="1918" bestFit="1" customWidth="1"/>
    <col min="1283" max="1283" width="9.140625" style="1918"/>
    <col min="1284" max="1284" width="9.42578125" style="1918" bestFit="1" customWidth="1"/>
    <col min="1285" max="1286" width="9.28515625" style="1918" bestFit="1" customWidth="1"/>
    <col min="1287" max="1289" width="9.28515625" style="1918" customWidth="1"/>
    <col min="1290" max="1290" width="9.28515625" style="1918" bestFit="1" customWidth="1"/>
    <col min="1291" max="1526" width="9.140625" style="1918"/>
    <col min="1527" max="1527" width="3.140625" style="1918" customWidth="1"/>
    <col min="1528" max="1528" width="47.7109375" style="1918" customWidth="1"/>
    <col min="1529" max="1529" width="12.28515625" style="1918" customWidth="1"/>
    <col min="1530" max="1530" width="13.140625" style="1918" customWidth="1"/>
    <col min="1531" max="1531" width="11.7109375" style="1918" customWidth="1"/>
    <col min="1532" max="1532" width="12.85546875" style="1918" customWidth="1"/>
    <col min="1533" max="1533" width="11.5703125" style="1918" customWidth="1"/>
    <col min="1534" max="1534" width="10.5703125" style="1918" customWidth="1"/>
    <col min="1535" max="1535" width="11.28515625" style="1918" customWidth="1"/>
    <col min="1536" max="1537" width="9.85546875" style="1918" customWidth="1"/>
    <col min="1538" max="1538" width="9.85546875" style="1918" bestFit="1" customWidth="1"/>
    <col min="1539" max="1539" width="9.140625" style="1918"/>
    <col min="1540" max="1540" width="9.42578125" style="1918" bestFit="1" customWidth="1"/>
    <col min="1541" max="1542" width="9.28515625" style="1918" bestFit="1" customWidth="1"/>
    <col min="1543" max="1545" width="9.28515625" style="1918" customWidth="1"/>
    <col min="1546" max="1546" width="9.28515625" style="1918" bestFit="1" customWidth="1"/>
    <col min="1547" max="1782" width="9.140625" style="1918"/>
    <col min="1783" max="1783" width="3.140625" style="1918" customWidth="1"/>
    <col min="1784" max="1784" width="47.7109375" style="1918" customWidth="1"/>
    <col min="1785" max="1785" width="12.28515625" style="1918" customWidth="1"/>
    <col min="1786" max="1786" width="13.140625" style="1918" customWidth="1"/>
    <col min="1787" max="1787" width="11.7109375" style="1918" customWidth="1"/>
    <col min="1788" max="1788" width="12.85546875" style="1918" customWidth="1"/>
    <col min="1789" max="1789" width="11.5703125" style="1918" customWidth="1"/>
    <col min="1790" max="1790" width="10.5703125" style="1918" customWidth="1"/>
    <col min="1791" max="1791" width="11.28515625" style="1918" customWidth="1"/>
    <col min="1792" max="1793" width="9.85546875" style="1918" customWidth="1"/>
    <col min="1794" max="1794" width="9.85546875" style="1918" bestFit="1" customWidth="1"/>
    <col min="1795" max="1795" width="9.140625" style="1918"/>
    <col min="1796" max="1796" width="9.42578125" style="1918" bestFit="1" customWidth="1"/>
    <col min="1797" max="1798" width="9.28515625" style="1918" bestFit="1" customWidth="1"/>
    <col min="1799" max="1801" width="9.28515625" style="1918" customWidth="1"/>
    <col min="1802" max="1802" width="9.28515625" style="1918" bestFit="1" customWidth="1"/>
    <col min="1803" max="2038" width="9.140625" style="1918"/>
    <col min="2039" max="2039" width="3.140625" style="1918" customWidth="1"/>
    <col min="2040" max="2040" width="47.7109375" style="1918" customWidth="1"/>
    <col min="2041" max="2041" width="12.28515625" style="1918" customWidth="1"/>
    <col min="2042" max="2042" width="13.140625" style="1918" customWidth="1"/>
    <col min="2043" max="2043" width="11.7109375" style="1918" customWidth="1"/>
    <col min="2044" max="2044" width="12.85546875" style="1918" customWidth="1"/>
    <col min="2045" max="2045" width="11.5703125" style="1918" customWidth="1"/>
    <col min="2046" max="2046" width="10.5703125" style="1918" customWidth="1"/>
    <col min="2047" max="2047" width="11.28515625" style="1918" customWidth="1"/>
    <col min="2048" max="2049" width="9.85546875" style="1918" customWidth="1"/>
    <col min="2050" max="2050" width="9.85546875" style="1918" bestFit="1" customWidth="1"/>
    <col min="2051" max="2051" width="9.140625" style="1918"/>
    <col min="2052" max="2052" width="9.42578125" style="1918" bestFit="1" customWidth="1"/>
    <col min="2053" max="2054" width="9.28515625" style="1918" bestFit="1" customWidth="1"/>
    <col min="2055" max="2057" width="9.28515625" style="1918" customWidth="1"/>
    <col min="2058" max="2058" width="9.28515625" style="1918" bestFit="1" customWidth="1"/>
    <col min="2059" max="2294" width="9.140625" style="1918"/>
    <col min="2295" max="2295" width="3.140625" style="1918" customWidth="1"/>
    <col min="2296" max="2296" width="47.7109375" style="1918" customWidth="1"/>
    <col min="2297" max="2297" width="12.28515625" style="1918" customWidth="1"/>
    <col min="2298" max="2298" width="13.140625" style="1918" customWidth="1"/>
    <col min="2299" max="2299" width="11.7109375" style="1918" customWidth="1"/>
    <col min="2300" max="2300" width="12.85546875" style="1918" customWidth="1"/>
    <col min="2301" max="2301" width="11.5703125" style="1918" customWidth="1"/>
    <col min="2302" max="2302" width="10.5703125" style="1918" customWidth="1"/>
    <col min="2303" max="2303" width="11.28515625" style="1918" customWidth="1"/>
    <col min="2304" max="2305" width="9.85546875" style="1918" customWidth="1"/>
    <col min="2306" max="2306" width="9.85546875" style="1918" bestFit="1" customWidth="1"/>
    <col min="2307" max="2307" width="9.140625" style="1918"/>
    <col min="2308" max="2308" width="9.42578125" style="1918" bestFit="1" customWidth="1"/>
    <col min="2309" max="2310" width="9.28515625" style="1918" bestFit="1" customWidth="1"/>
    <col min="2311" max="2313" width="9.28515625" style="1918" customWidth="1"/>
    <col min="2314" max="2314" width="9.28515625" style="1918" bestFit="1" customWidth="1"/>
    <col min="2315" max="2550" width="9.140625" style="1918"/>
    <col min="2551" max="2551" width="3.140625" style="1918" customWidth="1"/>
    <col min="2552" max="2552" width="47.7109375" style="1918" customWidth="1"/>
    <col min="2553" max="2553" width="12.28515625" style="1918" customWidth="1"/>
    <col min="2554" max="2554" width="13.140625" style="1918" customWidth="1"/>
    <col min="2555" max="2555" width="11.7109375" style="1918" customWidth="1"/>
    <col min="2556" max="2556" width="12.85546875" style="1918" customWidth="1"/>
    <col min="2557" max="2557" width="11.5703125" style="1918" customWidth="1"/>
    <col min="2558" max="2558" width="10.5703125" style="1918" customWidth="1"/>
    <col min="2559" max="2559" width="11.28515625" style="1918" customWidth="1"/>
    <col min="2560" max="2561" width="9.85546875" style="1918" customWidth="1"/>
    <col min="2562" max="2562" width="9.85546875" style="1918" bestFit="1" customWidth="1"/>
    <col min="2563" max="2563" width="9.140625" style="1918"/>
    <col min="2564" max="2564" width="9.42578125" style="1918" bestFit="1" customWidth="1"/>
    <col min="2565" max="2566" width="9.28515625" style="1918" bestFit="1" customWidth="1"/>
    <col min="2567" max="2569" width="9.28515625" style="1918" customWidth="1"/>
    <col min="2570" max="2570" width="9.28515625" style="1918" bestFit="1" customWidth="1"/>
    <col min="2571" max="2806" width="9.140625" style="1918"/>
    <col min="2807" max="2807" width="3.140625" style="1918" customWidth="1"/>
    <col min="2808" max="2808" width="47.7109375" style="1918" customWidth="1"/>
    <col min="2809" max="2809" width="12.28515625" style="1918" customWidth="1"/>
    <col min="2810" max="2810" width="13.140625" style="1918" customWidth="1"/>
    <col min="2811" max="2811" width="11.7109375" style="1918" customWidth="1"/>
    <col min="2812" max="2812" width="12.85546875" style="1918" customWidth="1"/>
    <col min="2813" max="2813" width="11.5703125" style="1918" customWidth="1"/>
    <col min="2814" max="2814" width="10.5703125" style="1918" customWidth="1"/>
    <col min="2815" max="2815" width="11.28515625" style="1918" customWidth="1"/>
    <col min="2816" max="2817" width="9.85546875" style="1918" customWidth="1"/>
    <col min="2818" max="2818" width="9.85546875" style="1918" bestFit="1" customWidth="1"/>
    <col min="2819" max="2819" width="9.140625" style="1918"/>
    <col min="2820" max="2820" width="9.42578125" style="1918" bestFit="1" customWidth="1"/>
    <col min="2821" max="2822" width="9.28515625" style="1918" bestFit="1" customWidth="1"/>
    <col min="2823" max="2825" width="9.28515625" style="1918" customWidth="1"/>
    <col min="2826" max="2826" width="9.28515625" style="1918" bestFit="1" customWidth="1"/>
    <col min="2827" max="3062" width="9.140625" style="1918"/>
    <col min="3063" max="3063" width="3.140625" style="1918" customWidth="1"/>
    <col min="3064" max="3064" width="47.7109375" style="1918" customWidth="1"/>
    <col min="3065" max="3065" width="12.28515625" style="1918" customWidth="1"/>
    <col min="3066" max="3066" width="13.140625" style="1918" customWidth="1"/>
    <col min="3067" max="3067" width="11.7109375" style="1918" customWidth="1"/>
    <col min="3068" max="3068" width="12.85546875" style="1918" customWidth="1"/>
    <col min="3069" max="3069" width="11.5703125" style="1918" customWidth="1"/>
    <col min="3070" max="3070" width="10.5703125" style="1918" customWidth="1"/>
    <col min="3071" max="3071" width="11.28515625" style="1918" customWidth="1"/>
    <col min="3072" max="3073" width="9.85546875" style="1918" customWidth="1"/>
    <col min="3074" max="3074" width="9.85546875" style="1918" bestFit="1" customWidth="1"/>
    <col min="3075" max="3075" width="9.140625" style="1918"/>
    <col min="3076" max="3076" width="9.42578125" style="1918" bestFit="1" customWidth="1"/>
    <col min="3077" max="3078" width="9.28515625" style="1918" bestFit="1" customWidth="1"/>
    <col min="3079" max="3081" width="9.28515625" style="1918" customWidth="1"/>
    <col min="3082" max="3082" width="9.28515625" style="1918" bestFit="1" customWidth="1"/>
    <col min="3083" max="3318" width="9.140625" style="1918"/>
    <col min="3319" max="3319" width="3.140625" style="1918" customWidth="1"/>
    <col min="3320" max="3320" width="47.7109375" style="1918" customWidth="1"/>
    <col min="3321" max="3321" width="12.28515625" style="1918" customWidth="1"/>
    <col min="3322" max="3322" width="13.140625" style="1918" customWidth="1"/>
    <col min="3323" max="3323" width="11.7109375" style="1918" customWidth="1"/>
    <col min="3324" max="3324" width="12.85546875" style="1918" customWidth="1"/>
    <col min="3325" max="3325" width="11.5703125" style="1918" customWidth="1"/>
    <col min="3326" max="3326" width="10.5703125" style="1918" customWidth="1"/>
    <col min="3327" max="3327" width="11.28515625" style="1918" customWidth="1"/>
    <col min="3328" max="3329" width="9.85546875" style="1918" customWidth="1"/>
    <col min="3330" max="3330" width="9.85546875" style="1918" bestFit="1" customWidth="1"/>
    <col min="3331" max="3331" width="9.140625" style="1918"/>
    <col min="3332" max="3332" width="9.42578125" style="1918" bestFit="1" customWidth="1"/>
    <col min="3333" max="3334" width="9.28515625" style="1918" bestFit="1" customWidth="1"/>
    <col min="3335" max="3337" width="9.28515625" style="1918" customWidth="1"/>
    <col min="3338" max="3338" width="9.28515625" style="1918" bestFit="1" customWidth="1"/>
    <col min="3339" max="3574" width="9.140625" style="1918"/>
    <col min="3575" max="3575" width="3.140625" style="1918" customWidth="1"/>
    <col min="3576" max="3576" width="47.7109375" style="1918" customWidth="1"/>
    <col min="3577" max="3577" width="12.28515625" style="1918" customWidth="1"/>
    <col min="3578" max="3578" width="13.140625" style="1918" customWidth="1"/>
    <col min="3579" max="3579" width="11.7109375" style="1918" customWidth="1"/>
    <col min="3580" max="3580" width="12.85546875" style="1918" customWidth="1"/>
    <col min="3581" max="3581" width="11.5703125" style="1918" customWidth="1"/>
    <col min="3582" max="3582" width="10.5703125" style="1918" customWidth="1"/>
    <col min="3583" max="3583" width="11.28515625" style="1918" customWidth="1"/>
    <col min="3584" max="3585" width="9.85546875" style="1918" customWidth="1"/>
    <col min="3586" max="3586" width="9.85546875" style="1918" bestFit="1" customWidth="1"/>
    <col min="3587" max="3587" width="9.140625" style="1918"/>
    <col min="3588" max="3588" width="9.42578125" style="1918" bestFit="1" customWidth="1"/>
    <col min="3589" max="3590" width="9.28515625" style="1918" bestFit="1" customWidth="1"/>
    <col min="3591" max="3593" width="9.28515625" style="1918" customWidth="1"/>
    <col min="3594" max="3594" width="9.28515625" style="1918" bestFit="1" customWidth="1"/>
    <col min="3595" max="3830" width="9.140625" style="1918"/>
    <col min="3831" max="3831" width="3.140625" style="1918" customWidth="1"/>
    <col min="3832" max="3832" width="47.7109375" style="1918" customWidth="1"/>
    <col min="3833" max="3833" width="12.28515625" style="1918" customWidth="1"/>
    <col min="3834" max="3834" width="13.140625" style="1918" customWidth="1"/>
    <col min="3835" max="3835" width="11.7109375" style="1918" customWidth="1"/>
    <col min="3836" max="3836" width="12.85546875" style="1918" customWidth="1"/>
    <col min="3837" max="3837" width="11.5703125" style="1918" customWidth="1"/>
    <col min="3838" max="3838" width="10.5703125" style="1918" customWidth="1"/>
    <col min="3839" max="3839" width="11.28515625" style="1918" customWidth="1"/>
    <col min="3840" max="3841" width="9.85546875" style="1918" customWidth="1"/>
    <col min="3842" max="3842" width="9.85546875" style="1918" bestFit="1" customWidth="1"/>
    <col min="3843" max="3843" width="9.140625" style="1918"/>
    <col min="3844" max="3844" width="9.42578125" style="1918" bestFit="1" customWidth="1"/>
    <col min="3845" max="3846" width="9.28515625" style="1918" bestFit="1" customWidth="1"/>
    <col min="3847" max="3849" width="9.28515625" style="1918" customWidth="1"/>
    <col min="3850" max="3850" width="9.28515625" style="1918" bestFit="1" customWidth="1"/>
    <col min="3851" max="4086" width="9.140625" style="1918"/>
    <col min="4087" max="4087" width="3.140625" style="1918" customWidth="1"/>
    <col min="4088" max="4088" width="47.7109375" style="1918" customWidth="1"/>
    <col min="4089" max="4089" width="12.28515625" style="1918" customWidth="1"/>
    <col min="4090" max="4090" width="13.140625" style="1918" customWidth="1"/>
    <col min="4091" max="4091" width="11.7109375" style="1918" customWidth="1"/>
    <col min="4092" max="4092" width="12.85546875" style="1918" customWidth="1"/>
    <col min="4093" max="4093" width="11.5703125" style="1918" customWidth="1"/>
    <col min="4094" max="4094" width="10.5703125" style="1918" customWidth="1"/>
    <col min="4095" max="4095" width="11.28515625" style="1918" customWidth="1"/>
    <col min="4096" max="4097" width="9.85546875" style="1918" customWidth="1"/>
    <col min="4098" max="4098" width="9.85546875" style="1918" bestFit="1" customWidth="1"/>
    <col min="4099" max="4099" width="9.140625" style="1918"/>
    <col min="4100" max="4100" width="9.42578125" style="1918" bestFit="1" customWidth="1"/>
    <col min="4101" max="4102" width="9.28515625" style="1918" bestFit="1" customWidth="1"/>
    <col min="4103" max="4105" width="9.28515625" style="1918" customWidth="1"/>
    <col min="4106" max="4106" width="9.28515625" style="1918" bestFit="1" customWidth="1"/>
    <col min="4107" max="4342" width="9.140625" style="1918"/>
    <col min="4343" max="4343" width="3.140625" style="1918" customWidth="1"/>
    <col min="4344" max="4344" width="47.7109375" style="1918" customWidth="1"/>
    <col min="4345" max="4345" width="12.28515625" style="1918" customWidth="1"/>
    <col min="4346" max="4346" width="13.140625" style="1918" customWidth="1"/>
    <col min="4347" max="4347" width="11.7109375" style="1918" customWidth="1"/>
    <col min="4348" max="4348" width="12.85546875" style="1918" customWidth="1"/>
    <col min="4349" max="4349" width="11.5703125" style="1918" customWidth="1"/>
    <col min="4350" max="4350" width="10.5703125" style="1918" customWidth="1"/>
    <col min="4351" max="4351" width="11.28515625" style="1918" customWidth="1"/>
    <col min="4352" max="4353" width="9.85546875" style="1918" customWidth="1"/>
    <col min="4354" max="4354" width="9.85546875" style="1918" bestFit="1" customWidth="1"/>
    <col min="4355" max="4355" width="9.140625" style="1918"/>
    <col min="4356" max="4356" width="9.42578125" style="1918" bestFit="1" customWidth="1"/>
    <col min="4357" max="4358" width="9.28515625" style="1918" bestFit="1" customWidth="1"/>
    <col min="4359" max="4361" width="9.28515625" style="1918" customWidth="1"/>
    <col min="4362" max="4362" width="9.28515625" style="1918" bestFit="1" customWidth="1"/>
    <col min="4363" max="4598" width="9.140625" style="1918"/>
    <col min="4599" max="4599" width="3.140625" style="1918" customWidth="1"/>
    <col min="4600" max="4600" width="47.7109375" style="1918" customWidth="1"/>
    <col min="4601" max="4601" width="12.28515625" style="1918" customWidth="1"/>
    <col min="4602" max="4602" width="13.140625" style="1918" customWidth="1"/>
    <col min="4603" max="4603" width="11.7109375" style="1918" customWidth="1"/>
    <col min="4604" max="4604" width="12.85546875" style="1918" customWidth="1"/>
    <col min="4605" max="4605" width="11.5703125" style="1918" customWidth="1"/>
    <col min="4606" max="4606" width="10.5703125" style="1918" customWidth="1"/>
    <col min="4607" max="4607" width="11.28515625" style="1918" customWidth="1"/>
    <col min="4608" max="4609" width="9.85546875" style="1918" customWidth="1"/>
    <col min="4610" max="4610" width="9.85546875" style="1918" bestFit="1" customWidth="1"/>
    <col min="4611" max="4611" width="9.140625" style="1918"/>
    <col min="4612" max="4612" width="9.42578125" style="1918" bestFit="1" customWidth="1"/>
    <col min="4613" max="4614" width="9.28515625" style="1918" bestFit="1" customWidth="1"/>
    <col min="4615" max="4617" width="9.28515625" style="1918" customWidth="1"/>
    <col min="4618" max="4618" width="9.28515625" style="1918" bestFit="1" customWidth="1"/>
    <col min="4619" max="4854" width="9.140625" style="1918"/>
    <col min="4855" max="4855" width="3.140625" style="1918" customWidth="1"/>
    <col min="4856" max="4856" width="47.7109375" style="1918" customWidth="1"/>
    <col min="4857" max="4857" width="12.28515625" style="1918" customWidth="1"/>
    <col min="4858" max="4858" width="13.140625" style="1918" customWidth="1"/>
    <col min="4859" max="4859" width="11.7109375" style="1918" customWidth="1"/>
    <col min="4860" max="4860" width="12.85546875" style="1918" customWidth="1"/>
    <col min="4861" max="4861" width="11.5703125" style="1918" customWidth="1"/>
    <col min="4862" max="4862" width="10.5703125" style="1918" customWidth="1"/>
    <col min="4863" max="4863" width="11.28515625" style="1918" customWidth="1"/>
    <col min="4864" max="4865" width="9.85546875" style="1918" customWidth="1"/>
    <col min="4866" max="4866" width="9.85546875" style="1918" bestFit="1" customWidth="1"/>
    <col min="4867" max="4867" width="9.140625" style="1918"/>
    <col min="4868" max="4868" width="9.42578125" style="1918" bestFit="1" customWidth="1"/>
    <col min="4869" max="4870" width="9.28515625" style="1918" bestFit="1" customWidth="1"/>
    <col min="4871" max="4873" width="9.28515625" style="1918" customWidth="1"/>
    <col min="4874" max="4874" width="9.28515625" style="1918" bestFit="1" customWidth="1"/>
    <col min="4875" max="5110" width="9.140625" style="1918"/>
    <col min="5111" max="5111" width="3.140625" style="1918" customWidth="1"/>
    <col min="5112" max="5112" width="47.7109375" style="1918" customWidth="1"/>
    <col min="5113" max="5113" width="12.28515625" style="1918" customWidth="1"/>
    <col min="5114" max="5114" width="13.140625" style="1918" customWidth="1"/>
    <col min="5115" max="5115" width="11.7109375" style="1918" customWidth="1"/>
    <col min="5116" max="5116" width="12.85546875" style="1918" customWidth="1"/>
    <col min="5117" max="5117" width="11.5703125" style="1918" customWidth="1"/>
    <col min="5118" max="5118" width="10.5703125" style="1918" customWidth="1"/>
    <col min="5119" max="5119" width="11.28515625" style="1918" customWidth="1"/>
    <col min="5120" max="5121" width="9.85546875" style="1918" customWidth="1"/>
    <col min="5122" max="5122" width="9.85546875" style="1918" bestFit="1" customWidth="1"/>
    <col min="5123" max="5123" width="9.140625" style="1918"/>
    <col min="5124" max="5124" width="9.42578125" style="1918" bestFit="1" customWidth="1"/>
    <col min="5125" max="5126" width="9.28515625" style="1918" bestFit="1" customWidth="1"/>
    <col min="5127" max="5129" width="9.28515625" style="1918" customWidth="1"/>
    <col min="5130" max="5130" width="9.28515625" style="1918" bestFit="1" customWidth="1"/>
    <col min="5131" max="5366" width="9.140625" style="1918"/>
    <col min="5367" max="5367" width="3.140625" style="1918" customWidth="1"/>
    <col min="5368" max="5368" width="47.7109375" style="1918" customWidth="1"/>
    <col min="5369" max="5369" width="12.28515625" style="1918" customWidth="1"/>
    <col min="5370" max="5370" width="13.140625" style="1918" customWidth="1"/>
    <col min="5371" max="5371" width="11.7109375" style="1918" customWidth="1"/>
    <col min="5372" max="5372" width="12.85546875" style="1918" customWidth="1"/>
    <col min="5373" max="5373" width="11.5703125" style="1918" customWidth="1"/>
    <col min="5374" max="5374" width="10.5703125" style="1918" customWidth="1"/>
    <col min="5375" max="5375" width="11.28515625" style="1918" customWidth="1"/>
    <col min="5376" max="5377" width="9.85546875" style="1918" customWidth="1"/>
    <col min="5378" max="5378" width="9.85546875" style="1918" bestFit="1" customWidth="1"/>
    <col min="5379" max="5379" width="9.140625" style="1918"/>
    <col min="5380" max="5380" width="9.42578125" style="1918" bestFit="1" customWidth="1"/>
    <col min="5381" max="5382" width="9.28515625" style="1918" bestFit="1" customWidth="1"/>
    <col min="5383" max="5385" width="9.28515625" style="1918" customWidth="1"/>
    <col min="5386" max="5386" width="9.28515625" style="1918" bestFit="1" customWidth="1"/>
    <col min="5387" max="5622" width="9.140625" style="1918"/>
    <col min="5623" max="5623" width="3.140625" style="1918" customWidth="1"/>
    <col min="5624" max="5624" width="47.7109375" style="1918" customWidth="1"/>
    <col min="5625" max="5625" width="12.28515625" style="1918" customWidth="1"/>
    <col min="5626" max="5626" width="13.140625" style="1918" customWidth="1"/>
    <col min="5627" max="5627" width="11.7109375" style="1918" customWidth="1"/>
    <col min="5628" max="5628" width="12.85546875" style="1918" customWidth="1"/>
    <col min="5629" max="5629" width="11.5703125" style="1918" customWidth="1"/>
    <col min="5630" max="5630" width="10.5703125" style="1918" customWidth="1"/>
    <col min="5631" max="5631" width="11.28515625" style="1918" customWidth="1"/>
    <col min="5632" max="5633" width="9.85546875" style="1918" customWidth="1"/>
    <col min="5634" max="5634" width="9.85546875" style="1918" bestFit="1" customWidth="1"/>
    <col min="5635" max="5635" width="9.140625" style="1918"/>
    <col min="5636" max="5636" width="9.42578125" style="1918" bestFit="1" customWidth="1"/>
    <col min="5637" max="5638" width="9.28515625" style="1918" bestFit="1" customWidth="1"/>
    <col min="5639" max="5641" width="9.28515625" style="1918" customWidth="1"/>
    <col min="5642" max="5642" width="9.28515625" style="1918" bestFit="1" customWidth="1"/>
    <col min="5643" max="5878" width="9.140625" style="1918"/>
    <col min="5879" max="5879" width="3.140625" style="1918" customWidth="1"/>
    <col min="5880" max="5880" width="47.7109375" style="1918" customWidth="1"/>
    <col min="5881" max="5881" width="12.28515625" style="1918" customWidth="1"/>
    <col min="5882" max="5882" width="13.140625" style="1918" customWidth="1"/>
    <col min="5883" max="5883" width="11.7109375" style="1918" customWidth="1"/>
    <col min="5884" max="5884" width="12.85546875" style="1918" customWidth="1"/>
    <col min="5885" max="5885" width="11.5703125" style="1918" customWidth="1"/>
    <col min="5886" max="5886" width="10.5703125" style="1918" customWidth="1"/>
    <col min="5887" max="5887" width="11.28515625" style="1918" customWidth="1"/>
    <col min="5888" max="5889" width="9.85546875" style="1918" customWidth="1"/>
    <col min="5890" max="5890" width="9.85546875" style="1918" bestFit="1" customWidth="1"/>
    <col min="5891" max="5891" width="9.140625" style="1918"/>
    <col min="5892" max="5892" width="9.42578125" style="1918" bestFit="1" customWidth="1"/>
    <col min="5893" max="5894" width="9.28515625" style="1918" bestFit="1" customWidth="1"/>
    <col min="5895" max="5897" width="9.28515625" style="1918" customWidth="1"/>
    <col min="5898" max="5898" width="9.28515625" style="1918" bestFit="1" customWidth="1"/>
    <col min="5899" max="6134" width="9.140625" style="1918"/>
    <col min="6135" max="6135" width="3.140625" style="1918" customWidth="1"/>
    <col min="6136" max="6136" width="47.7109375" style="1918" customWidth="1"/>
    <col min="6137" max="6137" width="12.28515625" style="1918" customWidth="1"/>
    <col min="6138" max="6138" width="13.140625" style="1918" customWidth="1"/>
    <col min="6139" max="6139" width="11.7109375" style="1918" customWidth="1"/>
    <col min="6140" max="6140" width="12.85546875" style="1918" customWidth="1"/>
    <col min="6141" max="6141" width="11.5703125" style="1918" customWidth="1"/>
    <col min="6142" max="6142" width="10.5703125" style="1918" customWidth="1"/>
    <col min="6143" max="6143" width="11.28515625" style="1918" customWidth="1"/>
    <col min="6144" max="6145" width="9.85546875" style="1918" customWidth="1"/>
    <col min="6146" max="6146" width="9.85546875" style="1918" bestFit="1" customWidth="1"/>
    <col min="6147" max="6147" width="9.140625" style="1918"/>
    <col min="6148" max="6148" width="9.42578125" style="1918" bestFit="1" customWidth="1"/>
    <col min="6149" max="6150" width="9.28515625" style="1918" bestFit="1" customWidth="1"/>
    <col min="6151" max="6153" width="9.28515625" style="1918" customWidth="1"/>
    <col min="6154" max="6154" width="9.28515625" style="1918" bestFit="1" customWidth="1"/>
    <col min="6155" max="6390" width="9.140625" style="1918"/>
    <col min="6391" max="6391" width="3.140625" style="1918" customWidth="1"/>
    <col min="6392" max="6392" width="47.7109375" style="1918" customWidth="1"/>
    <col min="6393" max="6393" width="12.28515625" style="1918" customWidth="1"/>
    <col min="6394" max="6394" width="13.140625" style="1918" customWidth="1"/>
    <col min="6395" max="6395" width="11.7109375" style="1918" customWidth="1"/>
    <col min="6396" max="6396" width="12.85546875" style="1918" customWidth="1"/>
    <col min="6397" max="6397" width="11.5703125" style="1918" customWidth="1"/>
    <col min="6398" max="6398" width="10.5703125" style="1918" customWidth="1"/>
    <col min="6399" max="6399" width="11.28515625" style="1918" customWidth="1"/>
    <col min="6400" max="6401" width="9.85546875" style="1918" customWidth="1"/>
    <col min="6402" max="6402" width="9.85546875" style="1918" bestFit="1" customWidth="1"/>
    <col min="6403" max="6403" width="9.140625" style="1918"/>
    <col min="6404" max="6404" width="9.42578125" style="1918" bestFit="1" customWidth="1"/>
    <col min="6405" max="6406" width="9.28515625" style="1918" bestFit="1" customWidth="1"/>
    <col min="6407" max="6409" width="9.28515625" style="1918" customWidth="1"/>
    <col min="6410" max="6410" width="9.28515625" style="1918" bestFit="1" customWidth="1"/>
    <col min="6411" max="6646" width="9.140625" style="1918"/>
    <col min="6647" max="6647" width="3.140625" style="1918" customWidth="1"/>
    <col min="6648" max="6648" width="47.7109375" style="1918" customWidth="1"/>
    <col min="6649" max="6649" width="12.28515625" style="1918" customWidth="1"/>
    <col min="6650" max="6650" width="13.140625" style="1918" customWidth="1"/>
    <col min="6651" max="6651" width="11.7109375" style="1918" customWidth="1"/>
    <col min="6652" max="6652" width="12.85546875" style="1918" customWidth="1"/>
    <col min="6653" max="6653" width="11.5703125" style="1918" customWidth="1"/>
    <col min="6654" max="6654" width="10.5703125" style="1918" customWidth="1"/>
    <col min="6655" max="6655" width="11.28515625" style="1918" customWidth="1"/>
    <col min="6656" max="6657" width="9.85546875" style="1918" customWidth="1"/>
    <col min="6658" max="6658" width="9.85546875" style="1918" bestFit="1" customWidth="1"/>
    <col min="6659" max="6659" width="9.140625" style="1918"/>
    <col min="6660" max="6660" width="9.42578125" style="1918" bestFit="1" customWidth="1"/>
    <col min="6661" max="6662" width="9.28515625" style="1918" bestFit="1" customWidth="1"/>
    <col min="6663" max="6665" width="9.28515625" style="1918" customWidth="1"/>
    <col min="6666" max="6666" width="9.28515625" style="1918" bestFit="1" customWidth="1"/>
    <col min="6667" max="6902" width="9.140625" style="1918"/>
    <col min="6903" max="6903" width="3.140625" style="1918" customWidth="1"/>
    <col min="6904" max="6904" width="47.7109375" style="1918" customWidth="1"/>
    <col min="6905" max="6905" width="12.28515625" style="1918" customWidth="1"/>
    <col min="6906" max="6906" width="13.140625" style="1918" customWidth="1"/>
    <col min="6907" max="6907" width="11.7109375" style="1918" customWidth="1"/>
    <col min="6908" max="6908" width="12.85546875" style="1918" customWidth="1"/>
    <col min="6909" max="6909" width="11.5703125" style="1918" customWidth="1"/>
    <col min="6910" max="6910" width="10.5703125" style="1918" customWidth="1"/>
    <col min="6911" max="6911" width="11.28515625" style="1918" customWidth="1"/>
    <col min="6912" max="6913" width="9.85546875" style="1918" customWidth="1"/>
    <col min="6914" max="6914" width="9.85546875" style="1918" bestFit="1" customWidth="1"/>
    <col min="6915" max="6915" width="9.140625" style="1918"/>
    <col min="6916" max="6916" width="9.42578125" style="1918" bestFit="1" customWidth="1"/>
    <col min="6917" max="6918" width="9.28515625" style="1918" bestFit="1" customWidth="1"/>
    <col min="6919" max="6921" width="9.28515625" style="1918" customWidth="1"/>
    <col min="6922" max="6922" width="9.28515625" style="1918" bestFit="1" customWidth="1"/>
    <col min="6923" max="7158" width="9.140625" style="1918"/>
    <col min="7159" max="7159" width="3.140625" style="1918" customWidth="1"/>
    <col min="7160" max="7160" width="47.7109375" style="1918" customWidth="1"/>
    <col min="7161" max="7161" width="12.28515625" style="1918" customWidth="1"/>
    <col min="7162" max="7162" width="13.140625" style="1918" customWidth="1"/>
    <col min="7163" max="7163" width="11.7109375" style="1918" customWidth="1"/>
    <col min="7164" max="7164" width="12.85546875" style="1918" customWidth="1"/>
    <col min="7165" max="7165" width="11.5703125" style="1918" customWidth="1"/>
    <col min="7166" max="7166" width="10.5703125" style="1918" customWidth="1"/>
    <col min="7167" max="7167" width="11.28515625" style="1918" customWidth="1"/>
    <col min="7168" max="7169" width="9.85546875" style="1918" customWidth="1"/>
    <col min="7170" max="7170" width="9.85546875" style="1918" bestFit="1" customWidth="1"/>
    <col min="7171" max="7171" width="9.140625" style="1918"/>
    <col min="7172" max="7172" width="9.42578125" style="1918" bestFit="1" customWidth="1"/>
    <col min="7173" max="7174" width="9.28515625" style="1918" bestFit="1" customWidth="1"/>
    <col min="7175" max="7177" width="9.28515625" style="1918" customWidth="1"/>
    <col min="7178" max="7178" width="9.28515625" style="1918" bestFit="1" customWidth="1"/>
    <col min="7179" max="7414" width="9.140625" style="1918"/>
    <col min="7415" max="7415" width="3.140625" style="1918" customWidth="1"/>
    <col min="7416" max="7416" width="47.7109375" style="1918" customWidth="1"/>
    <col min="7417" max="7417" width="12.28515625" style="1918" customWidth="1"/>
    <col min="7418" max="7418" width="13.140625" style="1918" customWidth="1"/>
    <col min="7419" max="7419" width="11.7109375" style="1918" customWidth="1"/>
    <col min="7420" max="7420" width="12.85546875" style="1918" customWidth="1"/>
    <col min="7421" max="7421" width="11.5703125" style="1918" customWidth="1"/>
    <col min="7422" max="7422" width="10.5703125" style="1918" customWidth="1"/>
    <col min="7423" max="7423" width="11.28515625" style="1918" customWidth="1"/>
    <col min="7424" max="7425" width="9.85546875" style="1918" customWidth="1"/>
    <col min="7426" max="7426" width="9.85546875" style="1918" bestFit="1" customWidth="1"/>
    <col min="7427" max="7427" width="9.140625" style="1918"/>
    <col min="7428" max="7428" width="9.42578125" style="1918" bestFit="1" customWidth="1"/>
    <col min="7429" max="7430" width="9.28515625" style="1918" bestFit="1" customWidth="1"/>
    <col min="7431" max="7433" width="9.28515625" style="1918" customWidth="1"/>
    <col min="7434" max="7434" width="9.28515625" style="1918" bestFit="1" customWidth="1"/>
    <col min="7435" max="7670" width="9.140625" style="1918"/>
    <col min="7671" max="7671" width="3.140625" style="1918" customWidth="1"/>
    <col min="7672" max="7672" width="47.7109375" style="1918" customWidth="1"/>
    <col min="7673" max="7673" width="12.28515625" style="1918" customWidth="1"/>
    <col min="7674" max="7674" width="13.140625" style="1918" customWidth="1"/>
    <col min="7675" max="7675" width="11.7109375" style="1918" customWidth="1"/>
    <col min="7676" max="7676" width="12.85546875" style="1918" customWidth="1"/>
    <col min="7677" max="7677" width="11.5703125" style="1918" customWidth="1"/>
    <col min="7678" max="7678" width="10.5703125" style="1918" customWidth="1"/>
    <col min="7679" max="7679" width="11.28515625" style="1918" customWidth="1"/>
    <col min="7680" max="7681" width="9.85546875" style="1918" customWidth="1"/>
    <col min="7682" max="7682" width="9.85546875" style="1918" bestFit="1" customWidth="1"/>
    <col min="7683" max="7683" width="9.140625" style="1918"/>
    <col min="7684" max="7684" width="9.42578125" style="1918" bestFit="1" customWidth="1"/>
    <col min="7685" max="7686" width="9.28515625" style="1918" bestFit="1" customWidth="1"/>
    <col min="7687" max="7689" width="9.28515625" style="1918" customWidth="1"/>
    <col min="7690" max="7690" width="9.28515625" style="1918" bestFit="1" customWidth="1"/>
    <col min="7691" max="7926" width="9.140625" style="1918"/>
    <col min="7927" max="7927" width="3.140625" style="1918" customWidth="1"/>
    <col min="7928" max="7928" width="47.7109375" style="1918" customWidth="1"/>
    <col min="7929" max="7929" width="12.28515625" style="1918" customWidth="1"/>
    <col min="7930" max="7930" width="13.140625" style="1918" customWidth="1"/>
    <col min="7931" max="7931" width="11.7109375" style="1918" customWidth="1"/>
    <col min="7932" max="7932" width="12.85546875" style="1918" customWidth="1"/>
    <col min="7933" max="7933" width="11.5703125" style="1918" customWidth="1"/>
    <col min="7934" max="7934" width="10.5703125" style="1918" customWidth="1"/>
    <col min="7935" max="7935" width="11.28515625" style="1918" customWidth="1"/>
    <col min="7936" max="7937" width="9.85546875" style="1918" customWidth="1"/>
    <col min="7938" max="7938" width="9.85546875" style="1918" bestFit="1" customWidth="1"/>
    <col min="7939" max="7939" width="9.140625" style="1918"/>
    <col min="7940" max="7940" width="9.42578125" style="1918" bestFit="1" customWidth="1"/>
    <col min="7941" max="7942" width="9.28515625" style="1918" bestFit="1" customWidth="1"/>
    <col min="7943" max="7945" width="9.28515625" style="1918" customWidth="1"/>
    <col min="7946" max="7946" width="9.28515625" style="1918" bestFit="1" customWidth="1"/>
    <col min="7947" max="8182" width="9.140625" style="1918"/>
    <col min="8183" max="8183" width="3.140625" style="1918" customWidth="1"/>
    <col min="8184" max="8184" width="47.7109375" style="1918" customWidth="1"/>
    <col min="8185" max="8185" width="12.28515625" style="1918" customWidth="1"/>
    <col min="8186" max="8186" width="13.140625" style="1918" customWidth="1"/>
    <col min="8187" max="8187" width="11.7109375" style="1918" customWidth="1"/>
    <col min="8188" max="8188" width="12.85546875" style="1918" customWidth="1"/>
    <col min="8189" max="8189" width="11.5703125" style="1918" customWidth="1"/>
    <col min="8190" max="8190" width="10.5703125" style="1918" customWidth="1"/>
    <col min="8191" max="8191" width="11.28515625" style="1918" customWidth="1"/>
    <col min="8192" max="8193" width="9.85546875" style="1918" customWidth="1"/>
    <col min="8194" max="8194" width="9.85546875" style="1918" bestFit="1" customWidth="1"/>
    <col min="8195" max="8195" width="9.140625" style="1918"/>
    <col min="8196" max="8196" width="9.42578125" style="1918" bestFit="1" customWidth="1"/>
    <col min="8197" max="8198" width="9.28515625" style="1918" bestFit="1" customWidth="1"/>
    <col min="8199" max="8201" width="9.28515625" style="1918" customWidth="1"/>
    <col min="8202" max="8202" width="9.28515625" style="1918" bestFit="1" customWidth="1"/>
    <col min="8203" max="8438" width="9.140625" style="1918"/>
    <col min="8439" max="8439" width="3.140625" style="1918" customWidth="1"/>
    <col min="8440" max="8440" width="47.7109375" style="1918" customWidth="1"/>
    <col min="8441" max="8441" width="12.28515625" style="1918" customWidth="1"/>
    <col min="8442" max="8442" width="13.140625" style="1918" customWidth="1"/>
    <col min="8443" max="8443" width="11.7109375" style="1918" customWidth="1"/>
    <col min="8444" max="8444" width="12.85546875" style="1918" customWidth="1"/>
    <col min="8445" max="8445" width="11.5703125" style="1918" customWidth="1"/>
    <col min="8446" max="8446" width="10.5703125" style="1918" customWidth="1"/>
    <col min="8447" max="8447" width="11.28515625" style="1918" customWidth="1"/>
    <col min="8448" max="8449" width="9.85546875" style="1918" customWidth="1"/>
    <col min="8450" max="8450" width="9.85546875" style="1918" bestFit="1" customWidth="1"/>
    <col min="8451" max="8451" width="9.140625" style="1918"/>
    <col min="8452" max="8452" width="9.42578125" style="1918" bestFit="1" customWidth="1"/>
    <col min="8453" max="8454" width="9.28515625" style="1918" bestFit="1" customWidth="1"/>
    <col min="8455" max="8457" width="9.28515625" style="1918" customWidth="1"/>
    <col min="8458" max="8458" width="9.28515625" style="1918" bestFit="1" customWidth="1"/>
    <col min="8459" max="8694" width="9.140625" style="1918"/>
    <col min="8695" max="8695" width="3.140625" style="1918" customWidth="1"/>
    <col min="8696" max="8696" width="47.7109375" style="1918" customWidth="1"/>
    <col min="8697" max="8697" width="12.28515625" style="1918" customWidth="1"/>
    <col min="8698" max="8698" width="13.140625" style="1918" customWidth="1"/>
    <col min="8699" max="8699" width="11.7109375" style="1918" customWidth="1"/>
    <col min="8700" max="8700" width="12.85546875" style="1918" customWidth="1"/>
    <col min="8701" max="8701" width="11.5703125" style="1918" customWidth="1"/>
    <col min="8702" max="8702" width="10.5703125" style="1918" customWidth="1"/>
    <col min="8703" max="8703" width="11.28515625" style="1918" customWidth="1"/>
    <col min="8704" max="8705" width="9.85546875" style="1918" customWidth="1"/>
    <col min="8706" max="8706" width="9.85546875" style="1918" bestFit="1" customWidth="1"/>
    <col min="8707" max="8707" width="9.140625" style="1918"/>
    <col min="8708" max="8708" width="9.42578125" style="1918" bestFit="1" customWidth="1"/>
    <col min="8709" max="8710" width="9.28515625" style="1918" bestFit="1" customWidth="1"/>
    <col min="8711" max="8713" width="9.28515625" style="1918" customWidth="1"/>
    <col min="8714" max="8714" width="9.28515625" style="1918" bestFit="1" customWidth="1"/>
    <col min="8715" max="8950" width="9.140625" style="1918"/>
    <col min="8951" max="8951" width="3.140625" style="1918" customWidth="1"/>
    <col min="8952" max="8952" width="47.7109375" style="1918" customWidth="1"/>
    <col min="8953" max="8953" width="12.28515625" style="1918" customWidth="1"/>
    <col min="8954" max="8954" width="13.140625" style="1918" customWidth="1"/>
    <col min="8955" max="8955" width="11.7109375" style="1918" customWidth="1"/>
    <col min="8956" max="8956" width="12.85546875" style="1918" customWidth="1"/>
    <col min="8957" max="8957" width="11.5703125" style="1918" customWidth="1"/>
    <col min="8958" max="8958" width="10.5703125" style="1918" customWidth="1"/>
    <col min="8959" max="8959" width="11.28515625" style="1918" customWidth="1"/>
    <col min="8960" max="8961" width="9.85546875" style="1918" customWidth="1"/>
    <col min="8962" max="8962" width="9.85546875" style="1918" bestFit="1" customWidth="1"/>
    <col min="8963" max="8963" width="9.140625" style="1918"/>
    <col min="8964" max="8964" width="9.42578125" style="1918" bestFit="1" customWidth="1"/>
    <col min="8965" max="8966" width="9.28515625" style="1918" bestFit="1" customWidth="1"/>
    <col min="8967" max="8969" width="9.28515625" style="1918" customWidth="1"/>
    <col min="8970" max="8970" width="9.28515625" style="1918" bestFit="1" customWidth="1"/>
    <col min="8971" max="9206" width="9.140625" style="1918"/>
    <col min="9207" max="9207" width="3.140625" style="1918" customWidth="1"/>
    <col min="9208" max="9208" width="47.7109375" style="1918" customWidth="1"/>
    <col min="9209" max="9209" width="12.28515625" style="1918" customWidth="1"/>
    <col min="9210" max="9210" width="13.140625" style="1918" customWidth="1"/>
    <col min="9211" max="9211" width="11.7109375" style="1918" customWidth="1"/>
    <col min="9212" max="9212" width="12.85546875" style="1918" customWidth="1"/>
    <col min="9213" max="9213" width="11.5703125" style="1918" customWidth="1"/>
    <col min="9214" max="9214" width="10.5703125" style="1918" customWidth="1"/>
    <col min="9215" max="9215" width="11.28515625" style="1918" customWidth="1"/>
    <col min="9216" max="9217" width="9.85546875" style="1918" customWidth="1"/>
    <col min="9218" max="9218" width="9.85546875" style="1918" bestFit="1" customWidth="1"/>
    <col min="9219" max="9219" width="9.140625" style="1918"/>
    <col min="9220" max="9220" width="9.42578125" style="1918" bestFit="1" customWidth="1"/>
    <col min="9221" max="9222" width="9.28515625" style="1918" bestFit="1" customWidth="1"/>
    <col min="9223" max="9225" width="9.28515625" style="1918" customWidth="1"/>
    <col min="9226" max="9226" width="9.28515625" style="1918" bestFit="1" customWidth="1"/>
    <col min="9227" max="9462" width="9.140625" style="1918"/>
    <col min="9463" max="9463" width="3.140625" style="1918" customWidth="1"/>
    <col min="9464" max="9464" width="47.7109375" style="1918" customWidth="1"/>
    <col min="9465" max="9465" width="12.28515625" style="1918" customWidth="1"/>
    <col min="9466" max="9466" width="13.140625" style="1918" customWidth="1"/>
    <col min="9467" max="9467" width="11.7109375" style="1918" customWidth="1"/>
    <col min="9468" max="9468" width="12.85546875" style="1918" customWidth="1"/>
    <col min="9469" max="9469" width="11.5703125" style="1918" customWidth="1"/>
    <col min="9470" max="9470" width="10.5703125" style="1918" customWidth="1"/>
    <col min="9471" max="9471" width="11.28515625" style="1918" customWidth="1"/>
    <col min="9472" max="9473" width="9.85546875" style="1918" customWidth="1"/>
    <col min="9474" max="9474" width="9.85546875" style="1918" bestFit="1" customWidth="1"/>
    <col min="9475" max="9475" width="9.140625" style="1918"/>
    <col min="9476" max="9476" width="9.42578125" style="1918" bestFit="1" customWidth="1"/>
    <col min="9477" max="9478" width="9.28515625" style="1918" bestFit="1" customWidth="1"/>
    <col min="9479" max="9481" width="9.28515625" style="1918" customWidth="1"/>
    <col min="9482" max="9482" width="9.28515625" style="1918" bestFit="1" customWidth="1"/>
    <col min="9483" max="9718" width="9.140625" style="1918"/>
    <col min="9719" max="9719" width="3.140625" style="1918" customWidth="1"/>
    <col min="9720" max="9720" width="47.7109375" style="1918" customWidth="1"/>
    <col min="9721" max="9721" width="12.28515625" style="1918" customWidth="1"/>
    <col min="9722" max="9722" width="13.140625" style="1918" customWidth="1"/>
    <col min="9723" max="9723" width="11.7109375" style="1918" customWidth="1"/>
    <col min="9724" max="9724" width="12.85546875" style="1918" customWidth="1"/>
    <col min="9725" max="9725" width="11.5703125" style="1918" customWidth="1"/>
    <col min="9726" max="9726" width="10.5703125" style="1918" customWidth="1"/>
    <col min="9727" max="9727" width="11.28515625" style="1918" customWidth="1"/>
    <col min="9728" max="9729" width="9.85546875" style="1918" customWidth="1"/>
    <col min="9730" max="9730" width="9.85546875" style="1918" bestFit="1" customWidth="1"/>
    <col min="9731" max="9731" width="9.140625" style="1918"/>
    <col min="9732" max="9732" width="9.42578125" style="1918" bestFit="1" customWidth="1"/>
    <col min="9733" max="9734" width="9.28515625" style="1918" bestFit="1" customWidth="1"/>
    <col min="9735" max="9737" width="9.28515625" style="1918" customWidth="1"/>
    <col min="9738" max="9738" width="9.28515625" style="1918" bestFit="1" customWidth="1"/>
    <col min="9739" max="9974" width="9.140625" style="1918"/>
    <col min="9975" max="9975" width="3.140625" style="1918" customWidth="1"/>
    <col min="9976" max="9976" width="47.7109375" style="1918" customWidth="1"/>
    <col min="9977" max="9977" width="12.28515625" style="1918" customWidth="1"/>
    <col min="9978" max="9978" width="13.140625" style="1918" customWidth="1"/>
    <col min="9979" max="9979" width="11.7109375" style="1918" customWidth="1"/>
    <col min="9980" max="9980" width="12.85546875" style="1918" customWidth="1"/>
    <col min="9981" max="9981" width="11.5703125" style="1918" customWidth="1"/>
    <col min="9982" max="9982" width="10.5703125" style="1918" customWidth="1"/>
    <col min="9983" max="9983" width="11.28515625" style="1918" customWidth="1"/>
    <col min="9984" max="9985" width="9.85546875" style="1918" customWidth="1"/>
    <col min="9986" max="9986" width="9.85546875" style="1918" bestFit="1" customWidth="1"/>
    <col min="9987" max="9987" width="9.140625" style="1918"/>
    <col min="9988" max="9988" width="9.42578125" style="1918" bestFit="1" customWidth="1"/>
    <col min="9989" max="9990" width="9.28515625" style="1918" bestFit="1" customWidth="1"/>
    <col min="9991" max="9993" width="9.28515625" style="1918" customWidth="1"/>
    <col min="9994" max="9994" width="9.28515625" style="1918" bestFit="1" customWidth="1"/>
    <col min="9995" max="10230" width="9.140625" style="1918"/>
    <col min="10231" max="10231" width="3.140625" style="1918" customWidth="1"/>
    <col min="10232" max="10232" width="47.7109375" style="1918" customWidth="1"/>
    <col min="10233" max="10233" width="12.28515625" style="1918" customWidth="1"/>
    <col min="10234" max="10234" width="13.140625" style="1918" customWidth="1"/>
    <col min="10235" max="10235" width="11.7109375" style="1918" customWidth="1"/>
    <col min="10236" max="10236" width="12.85546875" style="1918" customWidth="1"/>
    <col min="10237" max="10237" width="11.5703125" style="1918" customWidth="1"/>
    <col min="10238" max="10238" width="10.5703125" style="1918" customWidth="1"/>
    <col min="10239" max="10239" width="11.28515625" style="1918" customWidth="1"/>
    <col min="10240" max="10241" width="9.85546875" style="1918" customWidth="1"/>
    <col min="10242" max="10242" width="9.85546875" style="1918" bestFit="1" customWidth="1"/>
    <col min="10243" max="10243" width="9.140625" style="1918"/>
    <col min="10244" max="10244" width="9.42578125" style="1918" bestFit="1" customWidth="1"/>
    <col min="10245" max="10246" width="9.28515625" style="1918" bestFit="1" customWidth="1"/>
    <col min="10247" max="10249" width="9.28515625" style="1918" customWidth="1"/>
    <col min="10250" max="10250" width="9.28515625" style="1918" bestFit="1" customWidth="1"/>
    <col min="10251" max="10486" width="9.140625" style="1918"/>
    <col min="10487" max="10487" width="3.140625" style="1918" customWidth="1"/>
    <col min="10488" max="10488" width="47.7109375" style="1918" customWidth="1"/>
    <col min="10489" max="10489" width="12.28515625" style="1918" customWidth="1"/>
    <col min="10490" max="10490" width="13.140625" style="1918" customWidth="1"/>
    <col min="10491" max="10491" width="11.7109375" style="1918" customWidth="1"/>
    <col min="10492" max="10492" width="12.85546875" style="1918" customWidth="1"/>
    <col min="10493" max="10493" width="11.5703125" style="1918" customWidth="1"/>
    <col min="10494" max="10494" width="10.5703125" style="1918" customWidth="1"/>
    <col min="10495" max="10495" width="11.28515625" style="1918" customWidth="1"/>
    <col min="10496" max="10497" width="9.85546875" style="1918" customWidth="1"/>
    <col min="10498" max="10498" width="9.85546875" style="1918" bestFit="1" customWidth="1"/>
    <col min="10499" max="10499" width="9.140625" style="1918"/>
    <col min="10500" max="10500" width="9.42578125" style="1918" bestFit="1" customWidth="1"/>
    <col min="10501" max="10502" width="9.28515625" style="1918" bestFit="1" customWidth="1"/>
    <col min="10503" max="10505" width="9.28515625" style="1918" customWidth="1"/>
    <col min="10506" max="10506" width="9.28515625" style="1918" bestFit="1" customWidth="1"/>
    <col min="10507" max="10742" width="9.140625" style="1918"/>
    <col min="10743" max="10743" width="3.140625" style="1918" customWidth="1"/>
    <col min="10744" max="10744" width="47.7109375" style="1918" customWidth="1"/>
    <col min="10745" max="10745" width="12.28515625" style="1918" customWidth="1"/>
    <col min="10746" max="10746" width="13.140625" style="1918" customWidth="1"/>
    <col min="10747" max="10747" width="11.7109375" style="1918" customWidth="1"/>
    <col min="10748" max="10748" width="12.85546875" style="1918" customWidth="1"/>
    <col min="10749" max="10749" width="11.5703125" style="1918" customWidth="1"/>
    <col min="10750" max="10750" width="10.5703125" style="1918" customWidth="1"/>
    <col min="10751" max="10751" width="11.28515625" style="1918" customWidth="1"/>
    <col min="10752" max="10753" width="9.85546875" style="1918" customWidth="1"/>
    <col min="10754" max="10754" width="9.85546875" style="1918" bestFit="1" customWidth="1"/>
    <col min="10755" max="10755" width="9.140625" style="1918"/>
    <col min="10756" max="10756" width="9.42578125" style="1918" bestFit="1" customWidth="1"/>
    <col min="10757" max="10758" width="9.28515625" style="1918" bestFit="1" customWidth="1"/>
    <col min="10759" max="10761" width="9.28515625" style="1918" customWidth="1"/>
    <col min="10762" max="10762" width="9.28515625" style="1918" bestFit="1" customWidth="1"/>
    <col min="10763" max="10998" width="9.140625" style="1918"/>
    <col min="10999" max="10999" width="3.140625" style="1918" customWidth="1"/>
    <col min="11000" max="11000" width="47.7109375" style="1918" customWidth="1"/>
    <col min="11001" max="11001" width="12.28515625" style="1918" customWidth="1"/>
    <col min="11002" max="11002" width="13.140625" style="1918" customWidth="1"/>
    <col min="11003" max="11003" width="11.7109375" style="1918" customWidth="1"/>
    <col min="11004" max="11004" width="12.85546875" style="1918" customWidth="1"/>
    <col min="11005" max="11005" width="11.5703125" style="1918" customWidth="1"/>
    <col min="11006" max="11006" width="10.5703125" style="1918" customWidth="1"/>
    <col min="11007" max="11007" width="11.28515625" style="1918" customWidth="1"/>
    <col min="11008" max="11009" width="9.85546875" style="1918" customWidth="1"/>
    <col min="11010" max="11010" width="9.85546875" style="1918" bestFit="1" customWidth="1"/>
    <col min="11011" max="11011" width="9.140625" style="1918"/>
    <col min="11012" max="11012" width="9.42578125" style="1918" bestFit="1" customWidth="1"/>
    <col min="11013" max="11014" width="9.28515625" style="1918" bestFit="1" customWidth="1"/>
    <col min="11015" max="11017" width="9.28515625" style="1918" customWidth="1"/>
    <col min="11018" max="11018" width="9.28515625" style="1918" bestFit="1" customWidth="1"/>
    <col min="11019" max="11254" width="9.140625" style="1918"/>
    <col min="11255" max="11255" width="3.140625" style="1918" customWidth="1"/>
    <col min="11256" max="11256" width="47.7109375" style="1918" customWidth="1"/>
    <col min="11257" max="11257" width="12.28515625" style="1918" customWidth="1"/>
    <col min="11258" max="11258" width="13.140625" style="1918" customWidth="1"/>
    <col min="11259" max="11259" width="11.7109375" style="1918" customWidth="1"/>
    <col min="11260" max="11260" width="12.85546875" style="1918" customWidth="1"/>
    <col min="11261" max="11261" width="11.5703125" style="1918" customWidth="1"/>
    <col min="11262" max="11262" width="10.5703125" style="1918" customWidth="1"/>
    <col min="11263" max="11263" width="11.28515625" style="1918" customWidth="1"/>
    <col min="11264" max="11265" width="9.85546875" style="1918" customWidth="1"/>
    <col min="11266" max="11266" width="9.85546875" style="1918" bestFit="1" customWidth="1"/>
    <col min="11267" max="11267" width="9.140625" style="1918"/>
    <col min="11268" max="11268" width="9.42578125" style="1918" bestFit="1" customWidth="1"/>
    <col min="11269" max="11270" width="9.28515625" style="1918" bestFit="1" customWidth="1"/>
    <col min="11271" max="11273" width="9.28515625" style="1918" customWidth="1"/>
    <col min="11274" max="11274" width="9.28515625" style="1918" bestFit="1" customWidth="1"/>
    <col min="11275" max="11510" width="9.140625" style="1918"/>
    <col min="11511" max="11511" width="3.140625" style="1918" customWidth="1"/>
    <col min="11512" max="11512" width="47.7109375" style="1918" customWidth="1"/>
    <col min="11513" max="11513" width="12.28515625" style="1918" customWidth="1"/>
    <col min="11514" max="11514" width="13.140625" style="1918" customWidth="1"/>
    <col min="11515" max="11515" width="11.7109375" style="1918" customWidth="1"/>
    <col min="11516" max="11516" width="12.85546875" style="1918" customWidth="1"/>
    <col min="11517" max="11517" width="11.5703125" style="1918" customWidth="1"/>
    <col min="11518" max="11518" width="10.5703125" style="1918" customWidth="1"/>
    <col min="11519" max="11519" width="11.28515625" style="1918" customWidth="1"/>
    <col min="11520" max="11521" width="9.85546875" style="1918" customWidth="1"/>
    <col min="11522" max="11522" width="9.85546875" style="1918" bestFit="1" customWidth="1"/>
    <col min="11523" max="11523" width="9.140625" style="1918"/>
    <col min="11524" max="11524" width="9.42578125" style="1918" bestFit="1" customWidth="1"/>
    <col min="11525" max="11526" width="9.28515625" style="1918" bestFit="1" customWidth="1"/>
    <col min="11527" max="11529" width="9.28515625" style="1918" customWidth="1"/>
    <col min="11530" max="11530" width="9.28515625" style="1918" bestFit="1" customWidth="1"/>
    <col min="11531" max="11766" width="9.140625" style="1918"/>
    <col min="11767" max="11767" width="3.140625" style="1918" customWidth="1"/>
    <col min="11768" max="11768" width="47.7109375" style="1918" customWidth="1"/>
    <col min="11769" max="11769" width="12.28515625" style="1918" customWidth="1"/>
    <col min="11770" max="11770" width="13.140625" style="1918" customWidth="1"/>
    <col min="11771" max="11771" width="11.7109375" style="1918" customWidth="1"/>
    <col min="11772" max="11772" width="12.85546875" style="1918" customWidth="1"/>
    <col min="11773" max="11773" width="11.5703125" style="1918" customWidth="1"/>
    <col min="11774" max="11774" width="10.5703125" style="1918" customWidth="1"/>
    <col min="11775" max="11775" width="11.28515625" style="1918" customWidth="1"/>
    <col min="11776" max="11777" width="9.85546875" style="1918" customWidth="1"/>
    <col min="11778" max="11778" width="9.85546875" style="1918" bestFit="1" customWidth="1"/>
    <col min="11779" max="11779" width="9.140625" style="1918"/>
    <col min="11780" max="11780" width="9.42578125" style="1918" bestFit="1" customWidth="1"/>
    <col min="11781" max="11782" width="9.28515625" style="1918" bestFit="1" customWidth="1"/>
    <col min="11783" max="11785" width="9.28515625" style="1918" customWidth="1"/>
    <col min="11786" max="11786" width="9.28515625" style="1918" bestFit="1" customWidth="1"/>
    <col min="11787" max="12022" width="9.140625" style="1918"/>
    <col min="12023" max="12023" width="3.140625" style="1918" customWidth="1"/>
    <col min="12024" max="12024" width="47.7109375" style="1918" customWidth="1"/>
    <col min="12025" max="12025" width="12.28515625" style="1918" customWidth="1"/>
    <col min="12026" max="12026" width="13.140625" style="1918" customWidth="1"/>
    <col min="12027" max="12027" width="11.7109375" style="1918" customWidth="1"/>
    <col min="12028" max="12028" width="12.85546875" style="1918" customWidth="1"/>
    <col min="12029" max="12029" width="11.5703125" style="1918" customWidth="1"/>
    <col min="12030" max="12030" width="10.5703125" style="1918" customWidth="1"/>
    <col min="12031" max="12031" width="11.28515625" style="1918" customWidth="1"/>
    <col min="12032" max="12033" width="9.85546875" style="1918" customWidth="1"/>
    <col min="12034" max="12034" width="9.85546875" style="1918" bestFit="1" customWidth="1"/>
    <col min="12035" max="12035" width="9.140625" style="1918"/>
    <col min="12036" max="12036" width="9.42578125" style="1918" bestFit="1" customWidth="1"/>
    <col min="12037" max="12038" width="9.28515625" style="1918" bestFit="1" customWidth="1"/>
    <col min="12039" max="12041" width="9.28515625" style="1918" customWidth="1"/>
    <col min="12042" max="12042" width="9.28515625" style="1918" bestFit="1" customWidth="1"/>
    <col min="12043" max="12278" width="9.140625" style="1918"/>
    <col min="12279" max="12279" width="3.140625" style="1918" customWidth="1"/>
    <col min="12280" max="12280" width="47.7109375" style="1918" customWidth="1"/>
    <col min="12281" max="12281" width="12.28515625" style="1918" customWidth="1"/>
    <col min="12282" max="12282" width="13.140625" style="1918" customWidth="1"/>
    <col min="12283" max="12283" width="11.7109375" style="1918" customWidth="1"/>
    <col min="12284" max="12284" width="12.85546875" style="1918" customWidth="1"/>
    <col min="12285" max="12285" width="11.5703125" style="1918" customWidth="1"/>
    <col min="12286" max="12286" width="10.5703125" style="1918" customWidth="1"/>
    <col min="12287" max="12287" width="11.28515625" style="1918" customWidth="1"/>
    <col min="12288" max="12289" width="9.85546875" style="1918" customWidth="1"/>
    <col min="12290" max="12290" width="9.85546875" style="1918" bestFit="1" customWidth="1"/>
    <col min="12291" max="12291" width="9.140625" style="1918"/>
    <col min="12292" max="12292" width="9.42578125" style="1918" bestFit="1" customWidth="1"/>
    <col min="12293" max="12294" width="9.28515625" style="1918" bestFit="1" customWidth="1"/>
    <col min="12295" max="12297" width="9.28515625" style="1918" customWidth="1"/>
    <col min="12298" max="12298" width="9.28515625" style="1918" bestFit="1" customWidth="1"/>
    <col min="12299" max="12534" width="9.140625" style="1918"/>
    <col min="12535" max="12535" width="3.140625" style="1918" customWidth="1"/>
    <col min="12536" max="12536" width="47.7109375" style="1918" customWidth="1"/>
    <col min="12537" max="12537" width="12.28515625" style="1918" customWidth="1"/>
    <col min="12538" max="12538" width="13.140625" style="1918" customWidth="1"/>
    <col min="12539" max="12539" width="11.7109375" style="1918" customWidth="1"/>
    <col min="12540" max="12540" width="12.85546875" style="1918" customWidth="1"/>
    <col min="12541" max="12541" width="11.5703125" style="1918" customWidth="1"/>
    <col min="12542" max="12542" width="10.5703125" style="1918" customWidth="1"/>
    <col min="12543" max="12543" width="11.28515625" style="1918" customWidth="1"/>
    <col min="12544" max="12545" width="9.85546875" style="1918" customWidth="1"/>
    <col min="12546" max="12546" width="9.85546875" style="1918" bestFit="1" customWidth="1"/>
    <col min="12547" max="12547" width="9.140625" style="1918"/>
    <col min="12548" max="12548" width="9.42578125" style="1918" bestFit="1" customWidth="1"/>
    <col min="12549" max="12550" width="9.28515625" style="1918" bestFit="1" customWidth="1"/>
    <col min="12551" max="12553" width="9.28515625" style="1918" customWidth="1"/>
    <col min="12554" max="12554" width="9.28515625" style="1918" bestFit="1" customWidth="1"/>
    <col min="12555" max="12790" width="9.140625" style="1918"/>
    <col min="12791" max="12791" width="3.140625" style="1918" customWidth="1"/>
    <col min="12792" max="12792" width="47.7109375" style="1918" customWidth="1"/>
    <col min="12793" max="12793" width="12.28515625" style="1918" customWidth="1"/>
    <col min="12794" max="12794" width="13.140625" style="1918" customWidth="1"/>
    <col min="12795" max="12795" width="11.7109375" style="1918" customWidth="1"/>
    <col min="12796" max="12796" width="12.85546875" style="1918" customWidth="1"/>
    <col min="12797" max="12797" width="11.5703125" style="1918" customWidth="1"/>
    <col min="12798" max="12798" width="10.5703125" style="1918" customWidth="1"/>
    <col min="12799" max="12799" width="11.28515625" style="1918" customWidth="1"/>
    <col min="12800" max="12801" width="9.85546875" style="1918" customWidth="1"/>
    <col min="12802" max="12802" width="9.85546875" style="1918" bestFit="1" customWidth="1"/>
    <col min="12803" max="12803" width="9.140625" style="1918"/>
    <col min="12804" max="12804" width="9.42578125" style="1918" bestFit="1" customWidth="1"/>
    <col min="12805" max="12806" width="9.28515625" style="1918" bestFit="1" customWidth="1"/>
    <col min="12807" max="12809" width="9.28515625" style="1918" customWidth="1"/>
    <col min="12810" max="12810" width="9.28515625" style="1918" bestFit="1" customWidth="1"/>
    <col min="12811" max="13046" width="9.140625" style="1918"/>
    <col min="13047" max="13047" width="3.140625" style="1918" customWidth="1"/>
    <col min="13048" max="13048" width="47.7109375" style="1918" customWidth="1"/>
    <col min="13049" max="13049" width="12.28515625" style="1918" customWidth="1"/>
    <col min="13050" max="13050" width="13.140625" style="1918" customWidth="1"/>
    <col min="13051" max="13051" width="11.7109375" style="1918" customWidth="1"/>
    <col min="13052" max="13052" width="12.85546875" style="1918" customWidth="1"/>
    <col min="13053" max="13053" width="11.5703125" style="1918" customWidth="1"/>
    <col min="13054" max="13054" width="10.5703125" style="1918" customWidth="1"/>
    <col min="13055" max="13055" width="11.28515625" style="1918" customWidth="1"/>
    <col min="13056" max="13057" width="9.85546875" style="1918" customWidth="1"/>
    <col min="13058" max="13058" width="9.85546875" style="1918" bestFit="1" customWidth="1"/>
    <col min="13059" max="13059" width="9.140625" style="1918"/>
    <col min="13060" max="13060" width="9.42578125" style="1918" bestFit="1" customWidth="1"/>
    <col min="13061" max="13062" width="9.28515625" style="1918" bestFit="1" customWidth="1"/>
    <col min="13063" max="13065" width="9.28515625" style="1918" customWidth="1"/>
    <col min="13066" max="13066" width="9.28515625" style="1918" bestFit="1" customWidth="1"/>
    <col min="13067" max="13302" width="9.140625" style="1918"/>
    <col min="13303" max="13303" width="3.140625" style="1918" customWidth="1"/>
    <col min="13304" max="13304" width="47.7109375" style="1918" customWidth="1"/>
    <col min="13305" max="13305" width="12.28515625" style="1918" customWidth="1"/>
    <col min="13306" max="13306" width="13.140625" style="1918" customWidth="1"/>
    <col min="13307" max="13307" width="11.7109375" style="1918" customWidth="1"/>
    <col min="13308" max="13308" width="12.85546875" style="1918" customWidth="1"/>
    <col min="13309" max="13309" width="11.5703125" style="1918" customWidth="1"/>
    <col min="13310" max="13310" width="10.5703125" style="1918" customWidth="1"/>
    <col min="13311" max="13311" width="11.28515625" style="1918" customWidth="1"/>
    <col min="13312" max="13313" width="9.85546875" style="1918" customWidth="1"/>
    <col min="13314" max="13314" width="9.85546875" style="1918" bestFit="1" customWidth="1"/>
    <col min="13315" max="13315" width="9.140625" style="1918"/>
    <col min="13316" max="13316" width="9.42578125" style="1918" bestFit="1" customWidth="1"/>
    <col min="13317" max="13318" width="9.28515625" style="1918" bestFit="1" customWidth="1"/>
    <col min="13319" max="13321" width="9.28515625" style="1918" customWidth="1"/>
    <col min="13322" max="13322" width="9.28515625" style="1918" bestFit="1" customWidth="1"/>
    <col min="13323" max="13558" width="9.140625" style="1918"/>
    <col min="13559" max="13559" width="3.140625" style="1918" customWidth="1"/>
    <col min="13560" max="13560" width="47.7109375" style="1918" customWidth="1"/>
    <col min="13561" max="13561" width="12.28515625" style="1918" customWidth="1"/>
    <col min="13562" max="13562" width="13.140625" style="1918" customWidth="1"/>
    <col min="13563" max="13563" width="11.7109375" style="1918" customWidth="1"/>
    <col min="13564" max="13564" width="12.85546875" style="1918" customWidth="1"/>
    <col min="13565" max="13565" width="11.5703125" style="1918" customWidth="1"/>
    <col min="13566" max="13566" width="10.5703125" style="1918" customWidth="1"/>
    <col min="13567" max="13567" width="11.28515625" style="1918" customWidth="1"/>
    <col min="13568" max="13569" width="9.85546875" style="1918" customWidth="1"/>
    <col min="13570" max="13570" width="9.85546875" style="1918" bestFit="1" customWidth="1"/>
    <col min="13571" max="13571" width="9.140625" style="1918"/>
    <col min="13572" max="13572" width="9.42578125" style="1918" bestFit="1" customWidth="1"/>
    <col min="13573" max="13574" width="9.28515625" style="1918" bestFit="1" customWidth="1"/>
    <col min="13575" max="13577" width="9.28515625" style="1918" customWidth="1"/>
    <col min="13578" max="13578" width="9.28515625" style="1918" bestFit="1" customWidth="1"/>
    <col min="13579" max="13814" width="9.140625" style="1918"/>
    <col min="13815" max="13815" width="3.140625" style="1918" customWidth="1"/>
    <col min="13816" max="13816" width="47.7109375" style="1918" customWidth="1"/>
    <col min="13817" max="13817" width="12.28515625" style="1918" customWidth="1"/>
    <col min="13818" max="13818" width="13.140625" style="1918" customWidth="1"/>
    <col min="13819" max="13819" width="11.7109375" style="1918" customWidth="1"/>
    <col min="13820" max="13820" width="12.85546875" style="1918" customWidth="1"/>
    <col min="13821" max="13821" width="11.5703125" style="1918" customWidth="1"/>
    <col min="13822" max="13822" width="10.5703125" style="1918" customWidth="1"/>
    <col min="13823" max="13823" width="11.28515625" style="1918" customWidth="1"/>
    <col min="13824" max="13825" width="9.85546875" style="1918" customWidth="1"/>
    <col min="13826" max="13826" width="9.85546875" style="1918" bestFit="1" customWidth="1"/>
    <col min="13827" max="13827" width="9.140625" style="1918"/>
    <col min="13828" max="13828" width="9.42578125" style="1918" bestFit="1" customWidth="1"/>
    <col min="13829" max="13830" width="9.28515625" style="1918" bestFit="1" customWidth="1"/>
    <col min="13831" max="13833" width="9.28515625" style="1918" customWidth="1"/>
    <col min="13834" max="13834" width="9.28515625" style="1918" bestFit="1" customWidth="1"/>
    <col min="13835" max="14070" width="9.140625" style="1918"/>
    <col min="14071" max="14071" width="3.140625" style="1918" customWidth="1"/>
    <col min="14072" max="14072" width="47.7109375" style="1918" customWidth="1"/>
    <col min="14073" max="14073" width="12.28515625" style="1918" customWidth="1"/>
    <col min="14074" max="14074" width="13.140625" style="1918" customWidth="1"/>
    <col min="14075" max="14075" width="11.7109375" style="1918" customWidth="1"/>
    <col min="14076" max="14076" width="12.85546875" style="1918" customWidth="1"/>
    <col min="14077" max="14077" width="11.5703125" style="1918" customWidth="1"/>
    <col min="14078" max="14078" width="10.5703125" style="1918" customWidth="1"/>
    <col min="14079" max="14079" width="11.28515625" style="1918" customWidth="1"/>
    <col min="14080" max="14081" width="9.85546875" style="1918" customWidth="1"/>
    <col min="14082" max="14082" width="9.85546875" style="1918" bestFit="1" customWidth="1"/>
    <col min="14083" max="14083" width="9.140625" style="1918"/>
    <col min="14084" max="14084" width="9.42578125" style="1918" bestFit="1" customWidth="1"/>
    <col min="14085" max="14086" width="9.28515625" style="1918" bestFit="1" customWidth="1"/>
    <col min="14087" max="14089" width="9.28515625" style="1918" customWidth="1"/>
    <col min="14090" max="14090" width="9.28515625" style="1918" bestFit="1" customWidth="1"/>
    <col min="14091" max="14326" width="9.140625" style="1918"/>
    <col min="14327" max="14327" width="3.140625" style="1918" customWidth="1"/>
    <col min="14328" max="14328" width="47.7109375" style="1918" customWidth="1"/>
    <col min="14329" max="14329" width="12.28515625" style="1918" customWidth="1"/>
    <col min="14330" max="14330" width="13.140625" style="1918" customWidth="1"/>
    <col min="14331" max="14331" width="11.7109375" style="1918" customWidth="1"/>
    <col min="14332" max="14332" width="12.85546875" style="1918" customWidth="1"/>
    <col min="14333" max="14333" width="11.5703125" style="1918" customWidth="1"/>
    <col min="14334" max="14334" width="10.5703125" style="1918" customWidth="1"/>
    <col min="14335" max="14335" width="11.28515625" style="1918" customWidth="1"/>
    <col min="14336" max="14337" width="9.85546875" style="1918" customWidth="1"/>
    <col min="14338" max="14338" width="9.85546875" style="1918" bestFit="1" customWidth="1"/>
    <col min="14339" max="14339" width="9.140625" style="1918"/>
    <col min="14340" max="14340" width="9.42578125" style="1918" bestFit="1" customWidth="1"/>
    <col min="14341" max="14342" width="9.28515625" style="1918" bestFit="1" customWidth="1"/>
    <col min="14343" max="14345" width="9.28515625" style="1918" customWidth="1"/>
    <col min="14346" max="14346" width="9.28515625" style="1918" bestFit="1" customWidth="1"/>
    <col min="14347" max="14582" width="9.140625" style="1918"/>
    <col min="14583" max="14583" width="3.140625" style="1918" customWidth="1"/>
    <col min="14584" max="14584" width="47.7109375" style="1918" customWidth="1"/>
    <col min="14585" max="14585" width="12.28515625" style="1918" customWidth="1"/>
    <col min="14586" max="14586" width="13.140625" style="1918" customWidth="1"/>
    <col min="14587" max="14587" width="11.7109375" style="1918" customWidth="1"/>
    <col min="14588" max="14588" width="12.85546875" style="1918" customWidth="1"/>
    <col min="14589" max="14589" width="11.5703125" style="1918" customWidth="1"/>
    <col min="14590" max="14590" width="10.5703125" style="1918" customWidth="1"/>
    <col min="14591" max="14591" width="11.28515625" style="1918" customWidth="1"/>
    <col min="14592" max="14593" width="9.85546875" style="1918" customWidth="1"/>
    <col min="14594" max="14594" width="9.85546875" style="1918" bestFit="1" customWidth="1"/>
    <col min="14595" max="14595" width="9.140625" style="1918"/>
    <col min="14596" max="14596" width="9.42578125" style="1918" bestFit="1" customWidth="1"/>
    <col min="14597" max="14598" width="9.28515625" style="1918" bestFit="1" customWidth="1"/>
    <col min="14599" max="14601" width="9.28515625" style="1918" customWidth="1"/>
    <col min="14602" max="14602" width="9.28515625" style="1918" bestFit="1" customWidth="1"/>
    <col min="14603" max="14838" width="9.140625" style="1918"/>
    <col min="14839" max="14839" width="3.140625" style="1918" customWidth="1"/>
    <col min="14840" max="14840" width="47.7109375" style="1918" customWidth="1"/>
    <col min="14841" max="14841" width="12.28515625" style="1918" customWidth="1"/>
    <col min="14842" max="14842" width="13.140625" style="1918" customWidth="1"/>
    <col min="14843" max="14843" width="11.7109375" style="1918" customWidth="1"/>
    <col min="14844" max="14844" width="12.85546875" style="1918" customWidth="1"/>
    <col min="14845" max="14845" width="11.5703125" style="1918" customWidth="1"/>
    <col min="14846" max="14846" width="10.5703125" style="1918" customWidth="1"/>
    <col min="14847" max="14847" width="11.28515625" style="1918" customWidth="1"/>
    <col min="14848" max="14849" width="9.85546875" style="1918" customWidth="1"/>
    <col min="14850" max="14850" width="9.85546875" style="1918" bestFit="1" customWidth="1"/>
    <col min="14851" max="14851" width="9.140625" style="1918"/>
    <col min="14852" max="14852" width="9.42578125" style="1918" bestFit="1" customWidth="1"/>
    <col min="14853" max="14854" width="9.28515625" style="1918" bestFit="1" customWidth="1"/>
    <col min="14855" max="14857" width="9.28515625" style="1918" customWidth="1"/>
    <col min="14858" max="14858" width="9.28515625" style="1918" bestFit="1" customWidth="1"/>
    <col min="14859" max="15094" width="9.140625" style="1918"/>
    <col min="15095" max="15095" width="3.140625" style="1918" customWidth="1"/>
    <col min="15096" max="15096" width="47.7109375" style="1918" customWidth="1"/>
    <col min="15097" max="15097" width="12.28515625" style="1918" customWidth="1"/>
    <col min="15098" max="15098" width="13.140625" style="1918" customWidth="1"/>
    <col min="15099" max="15099" width="11.7109375" style="1918" customWidth="1"/>
    <col min="15100" max="15100" width="12.85546875" style="1918" customWidth="1"/>
    <col min="15101" max="15101" width="11.5703125" style="1918" customWidth="1"/>
    <col min="15102" max="15102" width="10.5703125" style="1918" customWidth="1"/>
    <col min="15103" max="15103" width="11.28515625" style="1918" customWidth="1"/>
    <col min="15104" max="15105" width="9.85546875" style="1918" customWidth="1"/>
    <col min="15106" max="15106" width="9.85546875" style="1918" bestFit="1" customWidth="1"/>
    <col min="15107" max="15107" width="9.140625" style="1918"/>
    <col min="15108" max="15108" width="9.42578125" style="1918" bestFit="1" customWidth="1"/>
    <col min="15109" max="15110" width="9.28515625" style="1918" bestFit="1" customWidth="1"/>
    <col min="15111" max="15113" width="9.28515625" style="1918" customWidth="1"/>
    <col min="15114" max="15114" width="9.28515625" style="1918" bestFit="1" customWidth="1"/>
    <col min="15115" max="15350" width="9.140625" style="1918"/>
    <col min="15351" max="15351" width="3.140625" style="1918" customWidth="1"/>
    <col min="15352" max="15352" width="47.7109375" style="1918" customWidth="1"/>
    <col min="15353" max="15353" width="12.28515625" style="1918" customWidth="1"/>
    <col min="15354" max="15354" width="13.140625" style="1918" customWidth="1"/>
    <col min="15355" max="15355" width="11.7109375" style="1918" customWidth="1"/>
    <col min="15356" max="15356" width="12.85546875" style="1918" customWidth="1"/>
    <col min="15357" max="15357" width="11.5703125" style="1918" customWidth="1"/>
    <col min="15358" max="15358" width="10.5703125" style="1918" customWidth="1"/>
    <col min="15359" max="15359" width="11.28515625" style="1918" customWidth="1"/>
    <col min="15360" max="15361" width="9.85546875" style="1918" customWidth="1"/>
    <col min="15362" max="15362" width="9.85546875" style="1918" bestFit="1" customWidth="1"/>
    <col min="15363" max="15363" width="9.140625" style="1918"/>
    <col min="15364" max="15364" width="9.42578125" style="1918" bestFit="1" customWidth="1"/>
    <col min="15365" max="15366" width="9.28515625" style="1918" bestFit="1" customWidth="1"/>
    <col min="15367" max="15369" width="9.28515625" style="1918" customWidth="1"/>
    <col min="15370" max="15370" width="9.28515625" style="1918" bestFit="1" customWidth="1"/>
    <col min="15371" max="15606" width="9.140625" style="1918"/>
    <col min="15607" max="15607" width="3.140625" style="1918" customWidth="1"/>
    <col min="15608" max="15608" width="47.7109375" style="1918" customWidth="1"/>
    <col min="15609" max="15609" width="12.28515625" style="1918" customWidth="1"/>
    <col min="15610" max="15610" width="13.140625" style="1918" customWidth="1"/>
    <col min="15611" max="15611" width="11.7109375" style="1918" customWidth="1"/>
    <col min="15612" max="15612" width="12.85546875" style="1918" customWidth="1"/>
    <col min="15613" max="15613" width="11.5703125" style="1918" customWidth="1"/>
    <col min="15614" max="15614" width="10.5703125" style="1918" customWidth="1"/>
    <col min="15615" max="15615" width="11.28515625" style="1918" customWidth="1"/>
    <col min="15616" max="15617" width="9.85546875" style="1918" customWidth="1"/>
    <col min="15618" max="15618" width="9.85546875" style="1918" bestFit="1" customWidth="1"/>
    <col min="15619" max="15619" width="9.140625" style="1918"/>
    <col min="15620" max="15620" width="9.42578125" style="1918" bestFit="1" customWidth="1"/>
    <col min="15621" max="15622" width="9.28515625" style="1918" bestFit="1" customWidth="1"/>
    <col min="15623" max="15625" width="9.28515625" style="1918" customWidth="1"/>
    <col min="15626" max="15626" width="9.28515625" style="1918" bestFit="1" customWidth="1"/>
    <col min="15627" max="15862" width="9.140625" style="1918"/>
    <col min="15863" max="15863" width="3.140625" style="1918" customWidth="1"/>
    <col min="15864" max="15864" width="47.7109375" style="1918" customWidth="1"/>
    <col min="15865" max="15865" width="12.28515625" style="1918" customWidth="1"/>
    <col min="15866" max="15866" width="13.140625" style="1918" customWidth="1"/>
    <col min="15867" max="15867" width="11.7109375" style="1918" customWidth="1"/>
    <col min="15868" max="15868" width="12.85546875" style="1918" customWidth="1"/>
    <col min="15869" max="15869" width="11.5703125" style="1918" customWidth="1"/>
    <col min="15870" max="15870" width="10.5703125" style="1918" customWidth="1"/>
    <col min="15871" max="15871" width="11.28515625" style="1918" customWidth="1"/>
    <col min="15872" max="15873" width="9.85546875" style="1918" customWidth="1"/>
    <col min="15874" max="15874" width="9.85546875" style="1918" bestFit="1" customWidth="1"/>
    <col min="15875" max="15875" width="9.140625" style="1918"/>
    <col min="15876" max="15876" width="9.42578125" style="1918" bestFit="1" customWidth="1"/>
    <col min="15877" max="15878" width="9.28515625" style="1918" bestFit="1" customWidth="1"/>
    <col min="15879" max="15881" width="9.28515625" style="1918" customWidth="1"/>
    <col min="15882" max="15882" width="9.28515625" style="1918" bestFit="1" customWidth="1"/>
    <col min="15883" max="16118" width="9.140625" style="1918"/>
    <col min="16119" max="16119" width="3.140625" style="1918" customWidth="1"/>
    <col min="16120" max="16120" width="47.7109375" style="1918" customWidth="1"/>
    <col min="16121" max="16121" width="12.28515625" style="1918" customWidth="1"/>
    <col min="16122" max="16122" width="13.140625" style="1918" customWidth="1"/>
    <col min="16123" max="16123" width="11.7109375" style="1918" customWidth="1"/>
    <col min="16124" max="16124" width="12.85546875" style="1918" customWidth="1"/>
    <col min="16125" max="16125" width="11.5703125" style="1918" customWidth="1"/>
    <col min="16126" max="16126" width="10.5703125" style="1918" customWidth="1"/>
    <col min="16127" max="16127" width="11.28515625" style="1918" customWidth="1"/>
    <col min="16128" max="16129" width="9.85546875" style="1918" customWidth="1"/>
    <col min="16130" max="16130" width="9.85546875" style="1918" bestFit="1" customWidth="1"/>
    <col min="16131" max="16131" width="9.140625" style="1918"/>
    <col min="16132" max="16132" width="9.42578125" style="1918" bestFit="1" customWidth="1"/>
    <col min="16133" max="16134" width="9.28515625" style="1918" bestFit="1" customWidth="1"/>
    <col min="16135" max="16137" width="9.28515625" style="1918" customWidth="1"/>
    <col min="16138" max="16138" width="9.28515625" style="1918" bestFit="1" customWidth="1"/>
    <col min="16139" max="16384" width="9.140625" style="1918"/>
  </cols>
  <sheetData>
    <row r="1" spans="1:8" ht="20.100000000000001" customHeight="1" x14ac:dyDescent="0.25">
      <c r="A1" s="1916" t="s">
        <v>3570</v>
      </c>
      <c r="B1" s="1917"/>
      <c r="C1" s="1917"/>
      <c r="D1" s="1917"/>
    </row>
    <row r="2" spans="1:8" ht="20.100000000000001" customHeight="1" thickBot="1" x14ac:dyDescent="0.3">
      <c r="A2" s="1919"/>
      <c r="B2" s="1920"/>
      <c r="C2" s="1921"/>
      <c r="D2" s="1921"/>
      <c r="F2" s="1828"/>
    </row>
    <row r="3" spans="1:8" ht="20.100000000000001" customHeight="1" thickBot="1" x14ac:dyDescent="0.3">
      <c r="A3" s="1922"/>
      <c r="B3" s="1923"/>
      <c r="C3" s="3785" t="s">
        <v>3547</v>
      </c>
      <c r="D3" s="3786"/>
      <c r="E3" s="3786"/>
      <c r="F3" s="3786"/>
      <c r="G3" s="3787"/>
      <c r="H3" s="1924"/>
    </row>
    <row r="4" spans="1:8" ht="20.100000000000001" customHeight="1" thickBot="1" x14ac:dyDescent="0.3">
      <c r="A4" s="1925"/>
      <c r="B4" s="1926"/>
      <c r="C4" s="1927">
        <v>44379</v>
      </c>
      <c r="D4" s="1927">
        <v>44386</v>
      </c>
      <c r="E4" s="1928">
        <v>44393</v>
      </c>
      <c r="F4" s="1928">
        <v>44400</v>
      </c>
      <c r="G4" s="1928">
        <v>44407</v>
      </c>
    </row>
    <row r="5" spans="1:8" ht="20.100000000000001" customHeight="1" x14ac:dyDescent="0.25">
      <c r="A5" s="1929"/>
      <c r="B5" s="1930" t="s">
        <v>3571</v>
      </c>
      <c r="C5" s="1931"/>
      <c r="D5" s="1932"/>
      <c r="E5" s="1932"/>
      <c r="F5" s="1932"/>
      <c r="G5" s="1932"/>
    </row>
    <row r="6" spans="1:8" ht="20.100000000000001" customHeight="1" x14ac:dyDescent="0.25">
      <c r="A6" s="1933">
        <v>1</v>
      </c>
      <c r="B6" s="1934" t="s">
        <v>3572</v>
      </c>
      <c r="C6" s="1935">
        <v>0.84</v>
      </c>
      <c r="D6" s="1936">
        <v>0.65</v>
      </c>
      <c r="E6" s="1936">
        <v>0.61</v>
      </c>
      <c r="F6" s="1936">
        <v>0.6</v>
      </c>
      <c r="G6" s="1936">
        <v>0.63</v>
      </c>
    </row>
    <row r="7" spans="1:8" ht="20.100000000000001" customHeight="1" x14ac:dyDescent="0.25">
      <c r="A7" s="1933">
        <v>2</v>
      </c>
      <c r="B7" s="1937" t="s">
        <v>3573</v>
      </c>
      <c r="C7" s="1935" t="s">
        <v>115</v>
      </c>
      <c r="D7" s="1935">
        <v>0.87</v>
      </c>
      <c r="E7" s="1935">
        <v>0.77</v>
      </c>
      <c r="F7" s="1936">
        <v>0.74</v>
      </c>
      <c r="G7" s="1936">
        <v>0.77</v>
      </c>
    </row>
    <row r="8" spans="1:8" ht="20.100000000000001" customHeight="1" x14ac:dyDescent="0.25">
      <c r="A8" s="1933">
        <v>3</v>
      </c>
      <c r="B8" s="1937" t="s">
        <v>3574</v>
      </c>
      <c r="C8" s="1935" t="s">
        <v>115</v>
      </c>
      <c r="D8" s="1936">
        <v>1.02</v>
      </c>
      <c r="E8" s="1936">
        <v>0.9</v>
      </c>
      <c r="F8" s="1936">
        <v>0.85</v>
      </c>
      <c r="G8" s="1936">
        <v>0.9</v>
      </c>
    </row>
    <row r="9" spans="1:8" ht="20.100000000000001" customHeight="1" thickBot="1" x14ac:dyDescent="0.3">
      <c r="A9" s="1925"/>
      <c r="B9" s="1938"/>
      <c r="C9" s="1939"/>
      <c r="D9" s="1940"/>
      <c r="E9" s="1940"/>
      <c r="F9" s="1940"/>
      <c r="G9" s="1940"/>
    </row>
    <row r="10" spans="1:8" ht="20.100000000000001" customHeight="1" x14ac:dyDescent="0.25">
      <c r="A10" s="1859" t="s">
        <v>3568</v>
      </c>
      <c r="B10" s="1828"/>
      <c r="C10" s="1828"/>
      <c r="D10" s="1828"/>
    </row>
    <row r="11" spans="1:8" ht="20.100000000000001" customHeight="1" x14ac:dyDescent="0.25">
      <c r="A11" s="1941" t="s">
        <v>3553</v>
      </c>
      <c r="B11" s="1921"/>
      <c r="C11" s="1921"/>
      <c r="D11" s="1921"/>
    </row>
  </sheetData>
  <mergeCells count="1">
    <mergeCell ref="C3:G3"/>
  </mergeCells>
  <pageMargins left="0.75" right="0.75" top="0.75" bottom="0.75" header="0.31496062992125984" footer="0"/>
  <pageSetup paperSize="9" scale="97"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N34"/>
  <sheetViews>
    <sheetView showGridLines="0" zoomScaleNormal="100" zoomScaleSheetLayoutView="87" workbookViewId="0">
      <pane xSplit="2" ySplit="4" topLeftCell="C5" activePane="bottomRight" state="frozen"/>
      <selection activeCell="I35" sqref="I35"/>
      <selection pane="topRight" activeCell="I35" sqref="I35"/>
      <selection pane="bottomLeft" activeCell="I35" sqref="I35"/>
      <selection pane="bottomRight" activeCell="C9" sqref="C9"/>
    </sheetView>
  </sheetViews>
  <sheetFormatPr defaultRowHeight="20.100000000000001" customHeight="1" x14ac:dyDescent="0.25"/>
  <cols>
    <col min="1" max="1" width="4.7109375" style="1948" customWidth="1"/>
    <col min="2" max="2" width="47.140625" style="1948" bestFit="1" customWidth="1"/>
    <col min="3" max="13" width="15.7109375" style="1968" customWidth="1"/>
    <col min="14" max="14" width="15.7109375" style="1948" customWidth="1"/>
    <col min="15" max="15" width="14.28515625" style="1948" customWidth="1"/>
    <col min="16" max="16384" width="9.140625" style="1948"/>
  </cols>
  <sheetData>
    <row r="1" spans="1:14" s="1945" customFormat="1" ht="20.100000000000001" customHeight="1" x14ac:dyDescent="0.25">
      <c r="A1" s="1942" t="s">
        <v>3575</v>
      </c>
      <c r="B1" s="1943"/>
      <c r="C1" s="1944"/>
      <c r="D1" s="1944"/>
      <c r="E1" s="1944"/>
      <c r="F1" s="1944"/>
      <c r="G1" s="1944"/>
      <c r="H1" s="1944"/>
      <c r="I1" s="1944"/>
      <c r="J1" s="1944"/>
      <c r="K1" s="1944"/>
      <c r="L1" s="1944"/>
      <c r="M1" s="1944"/>
    </row>
    <row r="2" spans="1:14" ht="20.100000000000001" customHeight="1" thickBot="1" x14ac:dyDescent="0.3">
      <c r="A2" s="1917"/>
      <c r="B2" s="1917"/>
      <c r="C2" s="1946"/>
      <c r="D2" s="1947"/>
      <c r="E2" s="1947"/>
      <c r="F2" s="1947"/>
      <c r="G2" s="1947"/>
      <c r="H2" s="1946"/>
      <c r="I2" s="1947"/>
      <c r="J2" s="1946"/>
      <c r="K2" s="1947"/>
      <c r="L2" s="1946"/>
      <c r="M2" s="1947"/>
    </row>
    <row r="3" spans="1:14" ht="35.1" customHeight="1" thickBot="1" x14ac:dyDescent="0.3">
      <c r="A3" s="1949"/>
      <c r="B3" s="1950"/>
      <c r="C3" s="3788" t="s">
        <v>3576</v>
      </c>
      <c r="D3" s="3789"/>
      <c r="E3" s="3788" t="s">
        <v>3577</v>
      </c>
      <c r="F3" s="3791"/>
      <c r="G3" s="3788" t="s">
        <v>3578</v>
      </c>
      <c r="H3" s="3791"/>
      <c r="I3" s="3788" t="s">
        <v>3579</v>
      </c>
      <c r="J3" s="3789"/>
      <c r="K3" s="3788" t="s">
        <v>3580</v>
      </c>
      <c r="L3" s="3789"/>
      <c r="M3" s="3788" t="s">
        <v>3581</v>
      </c>
      <c r="N3" s="3789"/>
    </row>
    <row r="4" spans="1:14" ht="20.100000000000001" customHeight="1" thickBot="1" x14ac:dyDescent="0.3">
      <c r="A4" s="1925"/>
      <c r="B4" s="1926"/>
      <c r="C4" s="1839" t="s">
        <v>3582</v>
      </c>
      <c r="D4" s="1839" t="s">
        <v>3583</v>
      </c>
      <c r="E4" s="1839" t="s">
        <v>3584</v>
      </c>
      <c r="F4" s="1839" t="s">
        <v>3585</v>
      </c>
      <c r="G4" s="1839" t="s">
        <v>3586</v>
      </c>
      <c r="H4" s="1839" t="s">
        <v>3587</v>
      </c>
      <c r="I4" s="1951">
        <v>44260</v>
      </c>
      <c r="J4" s="1951">
        <v>44372</v>
      </c>
      <c r="K4" s="1951">
        <v>44365</v>
      </c>
      <c r="L4" s="1952" t="s">
        <v>3588</v>
      </c>
      <c r="M4" s="1953">
        <v>44344</v>
      </c>
      <c r="N4" s="1954" t="s">
        <v>3589</v>
      </c>
    </row>
    <row r="5" spans="1:14" ht="20.100000000000001" customHeight="1" x14ac:dyDescent="0.25">
      <c r="A5" s="1933">
        <v>1</v>
      </c>
      <c r="B5" s="1955" t="s">
        <v>3590</v>
      </c>
      <c r="C5" s="1956">
        <v>3500</v>
      </c>
      <c r="D5" s="1956">
        <v>3000</v>
      </c>
      <c r="E5" s="1956">
        <v>2500</v>
      </c>
      <c r="F5" s="1956">
        <v>2500</v>
      </c>
      <c r="G5" s="1956">
        <v>2500</v>
      </c>
      <c r="H5" s="1956" t="s">
        <v>115</v>
      </c>
      <c r="I5" s="1956">
        <v>2000</v>
      </c>
      <c r="J5" s="1956">
        <v>2500</v>
      </c>
      <c r="K5" s="1956">
        <v>2500</v>
      </c>
      <c r="L5" s="1956" t="s">
        <v>115</v>
      </c>
      <c r="M5" s="1957">
        <v>2500</v>
      </c>
      <c r="N5" s="1957" t="s">
        <v>115</v>
      </c>
    </row>
    <row r="6" spans="1:14" ht="20.100000000000001" customHeight="1" x14ac:dyDescent="0.25">
      <c r="A6" s="1933">
        <v>2</v>
      </c>
      <c r="B6" s="1937" t="s">
        <v>3591</v>
      </c>
      <c r="C6" s="1956">
        <v>8750</v>
      </c>
      <c r="D6" s="1956">
        <v>6100</v>
      </c>
      <c r="E6" s="1956">
        <v>7050</v>
      </c>
      <c r="F6" s="1956">
        <v>7050</v>
      </c>
      <c r="G6" s="1956">
        <v>4800</v>
      </c>
      <c r="H6" s="1956">
        <v>750</v>
      </c>
      <c r="I6" s="1956">
        <v>5500</v>
      </c>
      <c r="J6" s="1956">
        <v>6000</v>
      </c>
      <c r="K6" s="1956">
        <v>4900</v>
      </c>
      <c r="L6" s="1956">
        <v>300</v>
      </c>
      <c r="M6" s="1957">
        <v>6350</v>
      </c>
      <c r="N6" s="1957">
        <v>300</v>
      </c>
    </row>
    <row r="7" spans="1:14" ht="20.100000000000001" customHeight="1" x14ac:dyDescent="0.25">
      <c r="A7" s="1933">
        <v>3</v>
      </c>
      <c r="B7" s="1937" t="s">
        <v>3592</v>
      </c>
      <c r="C7" s="1956">
        <v>3500</v>
      </c>
      <c r="D7" s="1956">
        <v>3700</v>
      </c>
      <c r="E7" s="1956">
        <v>2500</v>
      </c>
      <c r="F7" s="1956">
        <v>2500</v>
      </c>
      <c r="G7" s="1956">
        <v>2500</v>
      </c>
      <c r="H7" s="1956">
        <v>750</v>
      </c>
      <c r="I7" s="1956">
        <v>2000</v>
      </c>
      <c r="J7" s="1956">
        <v>2500</v>
      </c>
      <c r="K7" s="1956">
        <v>1850</v>
      </c>
      <c r="L7" s="1956">
        <v>300</v>
      </c>
      <c r="M7" s="1957">
        <v>2500</v>
      </c>
      <c r="N7" s="1957">
        <v>300</v>
      </c>
    </row>
    <row r="8" spans="1:14" ht="20.100000000000001" customHeight="1" x14ac:dyDescent="0.25">
      <c r="A8" s="1933">
        <v>4</v>
      </c>
      <c r="B8" s="1937" t="s">
        <v>3593</v>
      </c>
      <c r="C8" s="1958">
        <v>0.72</v>
      </c>
      <c r="D8" s="1958">
        <v>0.72</v>
      </c>
      <c r="E8" s="1958">
        <v>1.85</v>
      </c>
      <c r="F8" s="1958">
        <v>2.02</v>
      </c>
      <c r="G8" s="1958">
        <v>3.1</v>
      </c>
      <c r="H8" s="1958">
        <v>3.1</v>
      </c>
      <c r="I8" s="1958">
        <v>2.23</v>
      </c>
      <c r="J8" s="1958">
        <v>4.45</v>
      </c>
      <c r="K8" s="1958">
        <v>4.17</v>
      </c>
      <c r="L8" s="1958">
        <v>4.17</v>
      </c>
      <c r="M8" s="1959">
        <v>4.17</v>
      </c>
      <c r="N8" s="1959">
        <v>4.17</v>
      </c>
    </row>
    <row r="9" spans="1:14" ht="20.100000000000001" customHeight="1" x14ac:dyDescent="0.25">
      <c r="A9" s="1933">
        <v>5</v>
      </c>
      <c r="B9" s="1937" t="s">
        <v>3594</v>
      </c>
      <c r="C9" s="1958">
        <v>0.72</v>
      </c>
      <c r="D9" s="1958">
        <v>1.6</v>
      </c>
      <c r="E9" s="1958">
        <v>2.58</v>
      </c>
      <c r="F9" s="1958">
        <v>2.02</v>
      </c>
      <c r="G9" s="1958">
        <v>3.44</v>
      </c>
      <c r="H9" s="1958" t="s">
        <v>115</v>
      </c>
      <c r="I9" s="1958">
        <v>2.5299999999999998</v>
      </c>
      <c r="J9" s="1958">
        <v>4.6399999999999997</v>
      </c>
      <c r="K9" s="1958">
        <v>5.3</v>
      </c>
      <c r="L9" s="1958" t="s">
        <v>115</v>
      </c>
      <c r="M9" s="1959">
        <v>4.38</v>
      </c>
      <c r="N9" s="1959" t="s">
        <v>115</v>
      </c>
    </row>
    <row r="10" spans="1:14" ht="20.100000000000001" customHeight="1" x14ac:dyDescent="0.25">
      <c r="A10" s="1933">
        <v>6</v>
      </c>
      <c r="B10" s="1937" t="s">
        <v>3595</v>
      </c>
      <c r="C10" s="1958">
        <v>0.72</v>
      </c>
      <c r="D10" s="1958">
        <v>1.54</v>
      </c>
      <c r="E10" s="1958">
        <v>2.5099999999999998</v>
      </c>
      <c r="F10" s="1958">
        <v>2.02</v>
      </c>
      <c r="G10" s="1958">
        <v>3.2</v>
      </c>
      <c r="H10" s="1958">
        <v>3.2</v>
      </c>
      <c r="I10" s="1958">
        <v>2.41</v>
      </c>
      <c r="J10" s="1958">
        <v>4.5599999999999996</v>
      </c>
      <c r="K10" s="1958">
        <v>4.6500000000000004</v>
      </c>
      <c r="L10" s="1958">
        <v>4.6500000000000004</v>
      </c>
      <c r="M10" s="1959">
        <v>4.3099999999999996</v>
      </c>
      <c r="N10" s="1959">
        <v>4.3099999999999996</v>
      </c>
    </row>
    <row r="11" spans="1:14" ht="20.100000000000001" customHeight="1" x14ac:dyDescent="0.25">
      <c r="A11" s="1933">
        <v>7</v>
      </c>
      <c r="B11" s="1937" t="s">
        <v>3596</v>
      </c>
      <c r="C11" s="1960">
        <v>100</v>
      </c>
      <c r="D11" s="1960">
        <v>98.421000000000006</v>
      </c>
      <c r="E11" s="1960">
        <v>98.147000000000006</v>
      </c>
      <c r="F11" s="1960">
        <v>100</v>
      </c>
      <c r="G11" s="1960">
        <v>99.540999999999997</v>
      </c>
      <c r="H11" s="1960">
        <v>99.540999999999997</v>
      </c>
      <c r="I11" s="1960">
        <v>98.409000000000006</v>
      </c>
      <c r="J11" s="1960">
        <v>99.125</v>
      </c>
      <c r="K11" s="1960">
        <v>94.856999999999999</v>
      </c>
      <c r="L11" s="1960">
        <v>94.856999999999999</v>
      </c>
      <c r="M11" s="1961">
        <v>98.135999999999996</v>
      </c>
      <c r="N11" s="1961">
        <v>98.135999999999996</v>
      </c>
    </row>
    <row r="12" spans="1:14" ht="20.100000000000001" customHeight="1" thickBot="1" x14ac:dyDescent="0.3">
      <c r="A12" s="1962"/>
      <c r="B12" s="1926"/>
      <c r="C12" s="1963"/>
      <c r="D12" s="1963"/>
      <c r="E12" s="1963"/>
      <c r="F12" s="1963"/>
      <c r="G12" s="1963"/>
      <c r="H12" s="1963"/>
      <c r="I12" s="1963"/>
      <c r="J12" s="1963"/>
      <c r="K12" s="1963"/>
      <c r="L12" s="1963"/>
      <c r="M12" s="1963"/>
      <c r="N12" s="1964"/>
    </row>
    <row r="13" spans="1:14" ht="20.100000000000001" customHeight="1" x14ac:dyDescent="0.25">
      <c r="A13" s="1965" t="s">
        <v>3597</v>
      </c>
      <c r="B13" s="1966"/>
      <c r="C13" s="1966"/>
      <c r="D13" s="1966"/>
      <c r="E13" s="1966"/>
      <c r="F13" s="1966"/>
      <c r="G13" s="1966"/>
      <c r="H13" s="1966"/>
      <c r="I13" s="1966"/>
      <c r="J13" s="1966"/>
      <c r="K13" s="1966"/>
      <c r="L13" s="1966"/>
      <c r="M13" s="1966"/>
    </row>
    <row r="14" spans="1:14" ht="20.100000000000001" customHeight="1" x14ac:dyDescent="0.25">
      <c r="A14" s="1965" t="s">
        <v>3598</v>
      </c>
      <c r="B14" s="1966"/>
      <c r="C14" s="1966"/>
      <c r="D14" s="1966"/>
      <c r="E14" s="1966"/>
      <c r="F14" s="1966"/>
      <c r="G14" s="1966"/>
      <c r="H14" s="1966"/>
      <c r="I14" s="1966"/>
      <c r="J14" s="1966"/>
      <c r="K14" s="1966"/>
      <c r="L14" s="1966"/>
      <c r="M14" s="1966"/>
    </row>
    <row r="15" spans="1:14" ht="20.100000000000001" customHeight="1" x14ac:dyDescent="0.25">
      <c r="A15" s="1965" t="s">
        <v>3599</v>
      </c>
      <c r="B15" s="1966"/>
      <c r="C15" s="1966"/>
      <c r="D15" s="1966"/>
      <c r="E15" s="1966"/>
      <c r="F15" s="1966"/>
      <c r="G15" s="1966"/>
      <c r="H15" s="1966"/>
      <c r="I15" s="1966"/>
      <c r="J15" s="1966"/>
      <c r="K15" s="1966"/>
      <c r="L15" s="1966"/>
      <c r="M15" s="1966"/>
    </row>
    <row r="16" spans="1:14" ht="20.100000000000001" customHeight="1" x14ac:dyDescent="0.25">
      <c r="A16" s="1965" t="s">
        <v>3600</v>
      </c>
      <c r="B16" s="1966"/>
      <c r="C16" s="1966"/>
      <c r="D16" s="1966"/>
      <c r="E16" s="1966"/>
      <c r="F16" s="1966"/>
      <c r="G16" s="1966"/>
      <c r="H16" s="1966"/>
      <c r="I16" s="1966"/>
      <c r="J16" s="1966"/>
      <c r="K16" s="1966"/>
      <c r="L16" s="1966"/>
      <c r="M16" s="1966"/>
    </row>
    <row r="17" spans="1:13" ht="20.100000000000001" customHeight="1" x14ac:dyDescent="0.25">
      <c r="A17" s="1965" t="s">
        <v>3601</v>
      </c>
      <c r="B17" s="1966"/>
      <c r="C17" s="1966"/>
      <c r="D17" s="1966"/>
      <c r="E17" s="1966"/>
      <c r="F17" s="1966"/>
      <c r="G17" s="1966"/>
      <c r="H17" s="1966"/>
      <c r="I17" s="1966"/>
      <c r="J17" s="1966"/>
      <c r="K17" s="1966"/>
      <c r="L17" s="1966"/>
      <c r="M17" s="1966"/>
    </row>
    <row r="18" spans="1:13" ht="20.100000000000001" customHeight="1" x14ac:dyDescent="0.25">
      <c r="A18" s="1965" t="s">
        <v>3602</v>
      </c>
      <c r="B18" s="1966"/>
      <c r="C18" s="1966"/>
      <c r="D18" s="1966"/>
      <c r="E18" s="1966"/>
      <c r="F18" s="1966"/>
      <c r="G18" s="1966"/>
      <c r="H18" s="1966"/>
      <c r="I18" s="1966"/>
      <c r="J18" s="1966"/>
      <c r="K18" s="1966"/>
      <c r="L18" s="1966"/>
      <c r="M18" s="1966"/>
    </row>
    <row r="19" spans="1:13" ht="20.100000000000001" customHeight="1" x14ac:dyDescent="0.25">
      <c r="A19" s="1965" t="s">
        <v>3603</v>
      </c>
      <c r="B19" s="1966"/>
      <c r="C19" s="1966"/>
      <c r="D19" s="1966"/>
      <c r="E19" s="1966"/>
      <c r="F19" s="1966"/>
      <c r="G19" s="1966"/>
      <c r="H19" s="1966"/>
      <c r="I19" s="1966"/>
      <c r="J19" s="1966"/>
      <c r="K19" s="1966"/>
      <c r="L19" s="1966"/>
      <c r="M19" s="1966"/>
    </row>
    <row r="20" spans="1:13" ht="20.100000000000001" customHeight="1" x14ac:dyDescent="0.25">
      <c r="A20" s="1965" t="s">
        <v>3604</v>
      </c>
      <c r="B20" s="1966"/>
      <c r="C20" s="1966"/>
      <c r="D20" s="1966"/>
      <c r="E20" s="1966"/>
      <c r="F20" s="1966"/>
      <c r="G20" s="1966"/>
      <c r="H20" s="1966"/>
      <c r="I20" s="1966"/>
      <c r="J20" s="1966"/>
      <c r="K20" s="1966"/>
      <c r="L20" s="1966"/>
      <c r="M20" s="1966"/>
    </row>
    <row r="21" spans="1:13" ht="20.100000000000001" customHeight="1" x14ac:dyDescent="0.25">
      <c r="A21" s="1967" t="s">
        <v>3553</v>
      </c>
    </row>
    <row r="23" spans="1:13" ht="20.100000000000001" customHeight="1" x14ac:dyDescent="0.25">
      <c r="A23" s="3790" t="s">
        <v>3605</v>
      </c>
      <c r="B23" s="3790"/>
      <c r="C23" s="3790"/>
      <c r="D23" s="3790"/>
      <c r="E23" s="3790"/>
      <c r="F23" s="3790"/>
      <c r="G23" s="3790"/>
      <c r="H23" s="3790"/>
      <c r="I23" s="3790"/>
      <c r="J23" s="3790"/>
    </row>
    <row r="24" spans="1:13" ht="20.100000000000001" customHeight="1" thickBot="1" x14ac:dyDescent="0.3">
      <c r="A24" s="1969"/>
      <c r="B24" s="1969"/>
      <c r="C24" s="1969"/>
      <c r="D24" s="1969"/>
      <c r="E24" s="1969"/>
      <c r="F24" s="1969"/>
    </row>
    <row r="25" spans="1:13" ht="20.100000000000001" customHeight="1" thickTop="1" thickBot="1" x14ac:dyDescent="0.3">
      <c r="A25" s="1970"/>
      <c r="B25" s="1971"/>
      <c r="C25" s="1972">
        <v>43560</v>
      </c>
      <c r="D25" s="1973">
        <v>43896</v>
      </c>
      <c r="E25" s="1974"/>
      <c r="F25" s="1974"/>
    </row>
    <row r="26" spans="1:13" ht="20.100000000000001" customHeight="1" x14ac:dyDescent="0.25">
      <c r="A26" s="1975">
        <v>1</v>
      </c>
      <c r="B26" s="1976" t="s">
        <v>3606</v>
      </c>
      <c r="C26" s="1977">
        <v>1400</v>
      </c>
      <c r="D26" s="1978">
        <v>1500</v>
      </c>
      <c r="E26" s="1974"/>
      <c r="F26" s="1974"/>
    </row>
    <row r="27" spans="1:13" ht="20.100000000000001" customHeight="1" x14ac:dyDescent="0.25">
      <c r="A27" s="1975">
        <v>2</v>
      </c>
      <c r="B27" s="1979" t="s">
        <v>3607</v>
      </c>
      <c r="C27" s="1980">
        <v>4620</v>
      </c>
      <c r="D27" s="1981">
        <v>3850</v>
      </c>
      <c r="E27" s="1974"/>
      <c r="F27" s="1974"/>
    </row>
    <row r="28" spans="1:13" ht="20.100000000000001" customHeight="1" x14ac:dyDescent="0.25">
      <c r="A28" s="1975">
        <v>3</v>
      </c>
      <c r="B28" s="1979" t="s">
        <v>3608</v>
      </c>
      <c r="C28" s="1980">
        <v>600</v>
      </c>
      <c r="D28" s="1981" t="s">
        <v>115</v>
      </c>
      <c r="E28" s="1974"/>
      <c r="F28" s="1974"/>
    </row>
    <row r="29" spans="1:13" ht="20.100000000000001" customHeight="1" x14ac:dyDescent="0.25">
      <c r="A29" s="1975">
        <v>4</v>
      </c>
      <c r="B29" s="1979" t="s">
        <v>3609</v>
      </c>
      <c r="C29" s="1982" t="s">
        <v>3610</v>
      </c>
      <c r="D29" s="1983" t="s">
        <v>3611</v>
      </c>
      <c r="E29" s="1984"/>
      <c r="F29" s="1984"/>
    </row>
    <row r="30" spans="1:13" ht="20.100000000000001" customHeight="1" x14ac:dyDescent="0.25">
      <c r="A30" s="1975">
        <v>5</v>
      </c>
      <c r="B30" s="1979" t="s">
        <v>3612</v>
      </c>
      <c r="C30" s="1982" t="s">
        <v>3613</v>
      </c>
      <c r="D30" s="1983" t="s">
        <v>3614</v>
      </c>
      <c r="E30" s="1984"/>
      <c r="F30" s="1984"/>
    </row>
    <row r="31" spans="1:13" ht="20.100000000000001" customHeight="1" x14ac:dyDescent="0.25">
      <c r="A31" s="1975">
        <v>6</v>
      </c>
      <c r="B31" s="1979" t="s">
        <v>3615</v>
      </c>
      <c r="C31" s="1982" t="s">
        <v>3616</v>
      </c>
      <c r="D31" s="1983" t="s">
        <v>115</v>
      </c>
      <c r="E31" s="1984"/>
      <c r="F31" s="1984"/>
    </row>
    <row r="32" spans="1:13" ht="20.100000000000001" customHeight="1" thickBot="1" x14ac:dyDescent="0.3">
      <c r="A32" s="1985"/>
      <c r="B32" s="1986"/>
      <c r="C32" s="1987"/>
      <c r="D32" s="1988"/>
      <c r="E32" s="1989"/>
      <c r="F32" s="1989"/>
    </row>
    <row r="33" spans="1:1" ht="20.100000000000001" customHeight="1" thickTop="1" x14ac:dyDescent="0.25">
      <c r="A33" s="1990" t="s">
        <v>3617</v>
      </c>
    </row>
    <row r="34" spans="1:1" ht="20.100000000000001" customHeight="1" x14ac:dyDescent="0.25">
      <c r="A34" s="1967" t="s">
        <v>3553</v>
      </c>
    </row>
  </sheetData>
  <mergeCells count="7">
    <mergeCell ref="K3:L3"/>
    <mergeCell ref="M3:N3"/>
    <mergeCell ref="A23:J23"/>
    <mergeCell ref="C3:D3"/>
    <mergeCell ref="E3:F3"/>
    <mergeCell ref="G3:H3"/>
    <mergeCell ref="I3:J3"/>
  </mergeCells>
  <pageMargins left="0.75" right="0.75" top="0.75" bottom="0.75" header="0.31496062992126" footer="0"/>
  <pageSetup paperSize="9" scale="5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O96"/>
  <sheetViews>
    <sheetView showGridLines="0" zoomScaleNormal="100" zoomScaleSheetLayoutView="80" workbookViewId="0">
      <pane xSplit="1" ySplit="4" topLeftCell="B5" activePane="bottomRight" state="frozen"/>
      <selection activeCell="K39" sqref="K39"/>
      <selection pane="topRight" activeCell="K39" sqref="K39"/>
      <selection pane="bottomLeft" activeCell="K39" sqref="K39"/>
      <selection pane="bottomRight" activeCell="B98" sqref="B98"/>
    </sheetView>
  </sheetViews>
  <sheetFormatPr defaultColWidth="17.140625" defaultRowHeight="17.25" x14ac:dyDescent="0.3"/>
  <cols>
    <col min="1" max="1" width="24" style="558" customWidth="1"/>
    <col min="2" max="7" width="16" style="516" customWidth="1"/>
    <col min="8" max="9" width="16.28515625" style="516" customWidth="1"/>
    <col min="10" max="10" width="11.42578125" style="516" customWidth="1"/>
    <col min="11" max="16384" width="17.140625" style="516"/>
  </cols>
  <sheetData>
    <row r="1" spans="1:15" ht="21" customHeight="1" x14ac:dyDescent="0.3">
      <c r="A1" s="514" t="s">
        <v>1063</v>
      </c>
      <c r="B1" s="515"/>
    </row>
    <row r="2" spans="1:15" ht="18" thickBot="1" x14ac:dyDescent="0.35">
      <c r="A2" s="514"/>
      <c r="B2" s="515"/>
    </row>
    <row r="3" spans="1:15" s="517" customFormat="1" ht="19.5" customHeight="1" thickTop="1" thickBot="1" x14ac:dyDescent="0.35">
      <c r="A3" s="3597" t="s">
        <v>1</v>
      </c>
      <c r="B3" s="3599" t="s">
        <v>1064</v>
      </c>
      <c r="C3" s="3599"/>
      <c r="D3" s="3599"/>
      <c r="E3" s="3599"/>
      <c r="F3" s="3599"/>
      <c r="G3" s="3600"/>
      <c r="H3" s="3601" t="s">
        <v>1065</v>
      </c>
      <c r="I3" s="3602"/>
    </row>
    <row r="4" spans="1:15" s="517" customFormat="1" thickBot="1" x14ac:dyDescent="0.35">
      <c r="A4" s="3598"/>
      <c r="B4" s="518" t="s">
        <v>1066</v>
      </c>
      <c r="C4" s="519" t="s">
        <v>1067</v>
      </c>
      <c r="D4" s="519" t="s">
        <v>1068</v>
      </c>
      <c r="E4" s="519" t="s">
        <v>1069</v>
      </c>
      <c r="F4" s="519" t="s">
        <v>1070</v>
      </c>
      <c r="G4" s="518" t="s">
        <v>1071</v>
      </c>
      <c r="H4" s="520" t="s">
        <v>1072</v>
      </c>
      <c r="I4" s="521" t="s">
        <v>1073</v>
      </c>
    </row>
    <row r="5" spans="1:15" ht="16.5" x14ac:dyDescent="0.3">
      <c r="A5" s="522" t="s">
        <v>1074</v>
      </c>
      <c r="B5" s="523"/>
      <c r="C5" s="524"/>
      <c r="D5" s="525"/>
      <c r="E5" s="525"/>
      <c r="F5" s="525"/>
      <c r="G5" s="523"/>
      <c r="H5" s="526"/>
      <c r="I5" s="527"/>
    </row>
    <row r="6" spans="1:15" s="515" customFormat="1" ht="16.5" x14ac:dyDescent="0.3">
      <c r="A6" s="528">
        <v>2016</v>
      </c>
      <c r="B6" s="529">
        <v>91.924634743155295</v>
      </c>
      <c r="C6" s="530">
        <v>91.021152907410695</v>
      </c>
      <c r="D6" s="526">
        <v>82.648326761190432</v>
      </c>
      <c r="E6" s="526">
        <v>88.308289056068972</v>
      </c>
      <c r="F6" s="526">
        <v>99.443922135938536</v>
      </c>
      <c r="G6" s="531">
        <v>111.62342556374044</v>
      </c>
      <c r="H6" s="526">
        <v>45</v>
      </c>
      <c r="I6" s="527">
        <v>43.3</v>
      </c>
    </row>
    <row r="7" spans="1:15" s="515" customFormat="1" ht="16.5" x14ac:dyDescent="0.3">
      <c r="A7" s="528">
        <v>2017</v>
      </c>
      <c r="B7" s="529">
        <v>98.022129660591474</v>
      </c>
      <c r="C7" s="530">
        <v>97.742061995714607</v>
      </c>
      <c r="D7" s="526">
        <v>108.01127219003992</v>
      </c>
      <c r="E7" s="526">
        <v>90.984263293550825</v>
      </c>
      <c r="F7" s="526">
        <v>101.90509865555295</v>
      </c>
      <c r="G7" s="531">
        <v>99.112204174291264</v>
      </c>
      <c r="H7" s="526">
        <v>54.837326730033247</v>
      </c>
      <c r="I7" s="527">
        <v>50.958604609762226</v>
      </c>
    </row>
    <row r="8" spans="1:15" s="515" customFormat="1" ht="16.5" x14ac:dyDescent="0.3">
      <c r="A8" s="528">
        <v>2018</v>
      </c>
      <c r="B8" s="529">
        <v>95.851882693906077</v>
      </c>
      <c r="C8" s="530">
        <v>94.893421254239357</v>
      </c>
      <c r="D8" s="526">
        <v>107.27168753321349</v>
      </c>
      <c r="E8" s="526">
        <v>100.58183590858594</v>
      </c>
      <c r="F8" s="526">
        <v>87.789132919453266</v>
      </c>
      <c r="G8" s="531">
        <v>77.40205315573543</v>
      </c>
      <c r="H8" s="526">
        <v>71.551005804200898</v>
      </c>
      <c r="I8" s="527">
        <v>64.785435232514757</v>
      </c>
    </row>
    <row r="9" spans="1:15" s="515" customFormat="1" ht="16.5" x14ac:dyDescent="0.3">
      <c r="A9" s="528">
        <v>2019</v>
      </c>
      <c r="B9" s="529">
        <v>95.038591041919474</v>
      </c>
      <c r="C9" s="530">
        <v>99.993573465518054</v>
      </c>
      <c r="D9" s="526">
        <v>102.81578202753262</v>
      </c>
      <c r="E9" s="526">
        <v>96.355451909476983</v>
      </c>
      <c r="F9" s="526">
        <v>83.277697612186728</v>
      </c>
      <c r="G9" s="531">
        <v>78.615014982944373</v>
      </c>
      <c r="H9" s="526">
        <v>64.177169733044749</v>
      </c>
      <c r="I9" s="527">
        <v>57.042468102073364</v>
      </c>
    </row>
    <row r="10" spans="1:15" s="515" customFormat="1" ht="16.5" x14ac:dyDescent="0.3">
      <c r="A10" s="532">
        <v>2020</v>
      </c>
      <c r="B10" s="533">
        <v>98.022410933249603</v>
      </c>
      <c r="C10" s="534">
        <v>95.540671065791187</v>
      </c>
      <c r="D10" s="535">
        <v>101.83218449934861</v>
      </c>
      <c r="E10" s="535">
        <v>102.74431678922996</v>
      </c>
      <c r="F10" s="535">
        <v>99.444811290835332</v>
      </c>
      <c r="G10" s="536">
        <v>79.528717638053081</v>
      </c>
      <c r="H10" s="535">
        <v>43.2</v>
      </c>
      <c r="I10" s="537">
        <v>39.4</v>
      </c>
    </row>
    <row r="11" spans="1:15" ht="16.5" x14ac:dyDescent="0.3">
      <c r="A11" s="538" t="s">
        <v>1075</v>
      </c>
      <c r="B11" s="539"/>
      <c r="C11" s="540"/>
      <c r="D11" s="541"/>
      <c r="E11" s="541"/>
      <c r="F11" s="541"/>
      <c r="G11" s="542"/>
      <c r="H11" s="526"/>
      <c r="I11" s="527"/>
    </row>
    <row r="12" spans="1:15" ht="16.5" hidden="1" x14ac:dyDescent="0.3">
      <c r="A12" s="543" t="s">
        <v>1076</v>
      </c>
      <c r="B12" s="529">
        <v>100.71380577938766</v>
      </c>
      <c r="C12" s="530">
        <v>103.80790037373754</v>
      </c>
      <c r="D12" s="526">
        <v>92.391053123618349</v>
      </c>
      <c r="E12" s="526">
        <v>105.88943055242675</v>
      </c>
      <c r="F12" s="526">
        <v>95.011745114898559</v>
      </c>
      <c r="G12" s="531">
        <v>94.957567846497184</v>
      </c>
      <c r="H12" s="526">
        <v>49.707142857142856</v>
      </c>
      <c r="I12" s="527">
        <v>47.245714285714286</v>
      </c>
    </row>
    <row r="13" spans="1:15" ht="16.5" hidden="1" x14ac:dyDescent="0.3">
      <c r="A13" s="544" t="s">
        <v>104</v>
      </c>
      <c r="B13" s="529">
        <v>98.452189823325625</v>
      </c>
      <c r="C13" s="530">
        <v>100.47244594768249</v>
      </c>
      <c r="D13" s="526">
        <v>95.170966244909636</v>
      </c>
      <c r="E13" s="526">
        <v>101.59219638311433</v>
      </c>
      <c r="F13" s="526">
        <v>95.190740703669036</v>
      </c>
      <c r="G13" s="531">
        <v>90.314178737709014</v>
      </c>
      <c r="H13" s="526">
        <v>59.145999999999994</v>
      </c>
      <c r="I13" s="527">
        <v>50.856999999999992</v>
      </c>
      <c r="O13" s="516">
        <v>2.5</v>
      </c>
    </row>
    <row r="14" spans="1:15" ht="16.5" hidden="1" x14ac:dyDescent="0.3">
      <c r="A14" s="544" t="s">
        <v>1077</v>
      </c>
      <c r="B14" s="529">
        <v>95.608428198314499</v>
      </c>
      <c r="C14" s="530">
        <v>96.811188488391991</v>
      </c>
      <c r="D14" s="526">
        <v>95.138715935865036</v>
      </c>
      <c r="E14" s="526">
        <v>99.510545543850498</v>
      </c>
      <c r="F14" s="526">
        <v>92.632147370587219</v>
      </c>
      <c r="G14" s="531">
        <v>81.961550349257607</v>
      </c>
      <c r="H14" s="526">
        <v>56.698636363636346</v>
      </c>
      <c r="I14" s="527">
        <v>47.855454545454556</v>
      </c>
    </row>
    <row r="15" spans="1:15" ht="16.5" hidden="1" x14ac:dyDescent="0.3">
      <c r="A15" s="544" t="s">
        <v>105</v>
      </c>
      <c r="B15" s="529">
        <v>94.699941519832521</v>
      </c>
      <c r="C15" s="530">
        <v>97.731763784372149</v>
      </c>
      <c r="D15" s="526">
        <v>90.589311011107895</v>
      </c>
      <c r="E15" s="526">
        <v>98.200338976423808</v>
      </c>
      <c r="F15" s="526">
        <v>91.886062126449232</v>
      </c>
      <c r="G15" s="531">
        <v>80.920100783832538</v>
      </c>
      <c r="H15" s="526">
        <v>61.416363636363648</v>
      </c>
      <c r="I15" s="527">
        <v>54.90636363636365</v>
      </c>
    </row>
    <row r="16" spans="1:15" ht="16.5" hidden="1" x14ac:dyDescent="0.3">
      <c r="A16" s="544" t="s">
        <v>106</v>
      </c>
      <c r="B16" s="529">
        <v>95.032528820239605</v>
      </c>
      <c r="C16" s="530">
        <v>99.528738267089167</v>
      </c>
      <c r="D16" s="526">
        <v>89.879951094168973</v>
      </c>
      <c r="E16" s="526">
        <v>95.713241913393233</v>
      </c>
      <c r="F16" s="526">
        <v>94.502339191678857</v>
      </c>
      <c r="G16" s="531">
        <v>82.555654006274267</v>
      </c>
      <c r="H16" s="526">
        <v>65.53857142857143</v>
      </c>
      <c r="I16" s="527">
        <v>59.473333333333343</v>
      </c>
    </row>
    <row r="17" spans="1:12" ht="16.5" hidden="1" x14ac:dyDescent="0.3">
      <c r="A17" s="544" t="s">
        <v>1078</v>
      </c>
      <c r="B17" s="529">
        <v>94.544715966541247</v>
      </c>
      <c r="C17" s="530">
        <v>98.598568919135616</v>
      </c>
      <c r="D17" s="526">
        <v>87.686881582278147</v>
      </c>
      <c r="E17" s="526">
        <v>96.691273769041416</v>
      </c>
      <c r="F17" s="526">
        <v>95.899582052778413</v>
      </c>
      <c r="G17" s="531">
        <v>77.109703816954834</v>
      </c>
      <c r="H17" s="526">
        <v>63.683181818181815</v>
      </c>
      <c r="I17" s="527">
        <v>59.713181818181823</v>
      </c>
    </row>
    <row r="18" spans="1:12" ht="16.5" hidden="1" x14ac:dyDescent="0.3">
      <c r="A18" s="544" t="s">
        <v>1079</v>
      </c>
      <c r="B18" s="529">
        <v>93.806816292794011</v>
      </c>
      <c r="C18" s="530">
        <v>99.068860244383501</v>
      </c>
      <c r="D18" s="526">
        <v>82.202326248459144</v>
      </c>
      <c r="E18" s="526">
        <v>98.932173463811637</v>
      </c>
      <c r="F18" s="526">
        <v>90.450647793462252</v>
      </c>
      <c r="G18" s="531">
        <v>79.033789524338331</v>
      </c>
      <c r="H18" s="526">
        <v>56.195652173913047</v>
      </c>
      <c r="I18" s="527">
        <v>50.699565217391303</v>
      </c>
    </row>
    <row r="19" spans="1:12" ht="16.5" hidden="1" x14ac:dyDescent="0.3">
      <c r="A19" s="544" t="s">
        <v>107</v>
      </c>
      <c r="B19" s="529">
        <v>89.570938214046663</v>
      </c>
      <c r="C19" s="530">
        <v>99.166067371696641</v>
      </c>
      <c r="D19" s="526">
        <v>79.949611644035997</v>
      </c>
      <c r="E19" s="526">
        <v>91.866668633807237</v>
      </c>
      <c r="F19" s="526">
        <v>82.335089530103943</v>
      </c>
      <c r="G19" s="531">
        <v>71.153932533072478</v>
      </c>
      <c r="H19" s="526">
        <v>48.195714285714288</v>
      </c>
      <c r="I19" s="527">
        <v>42.909047619047634</v>
      </c>
    </row>
    <row r="20" spans="1:12" ht="16.5" hidden="1" x14ac:dyDescent="0.3">
      <c r="A20" s="544" t="s">
        <v>108</v>
      </c>
      <c r="B20" s="529">
        <v>89.026812011670515</v>
      </c>
      <c r="C20" s="530">
        <v>97.056796593982099</v>
      </c>
      <c r="D20" s="526">
        <v>83.200134518210021</v>
      </c>
      <c r="E20" s="526">
        <v>90.473025433902535</v>
      </c>
      <c r="F20" s="526">
        <v>82.001911123762767</v>
      </c>
      <c r="G20" s="531">
        <v>73.423078445288908</v>
      </c>
      <c r="H20" s="526">
        <v>48.454999999999998</v>
      </c>
      <c r="I20" s="527">
        <v>45.485454545454544</v>
      </c>
    </row>
    <row r="21" spans="1:12" ht="16.5" hidden="1" x14ac:dyDescent="0.3">
      <c r="A21" s="544" t="s">
        <v>109</v>
      </c>
      <c r="B21" s="529">
        <v>90.374157040145121</v>
      </c>
      <c r="C21" s="530">
        <v>92.422034374886067</v>
      </c>
      <c r="D21" s="526">
        <v>88.020108299878004</v>
      </c>
      <c r="E21" s="526">
        <v>91.70440580229328</v>
      </c>
      <c r="F21" s="526">
        <v>87.784432611945789</v>
      </c>
      <c r="G21" s="531">
        <v>86.071892506609643</v>
      </c>
      <c r="H21" s="526">
        <v>49.389090909090903</v>
      </c>
      <c r="I21" s="527">
        <v>46.387272727272723</v>
      </c>
    </row>
    <row r="22" spans="1:12" ht="16.5" hidden="1" x14ac:dyDescent="0.3">
      <c r="A22" s="544" t="s">
        <v>110</v>
      </c>
      <c r="B22" s="529">
        <v>87.712394253156546</v>
      </c>
      <c r="C22" s="530">
        <v>89.13583696007737</v>
      </c>
      <c r="D22" s="526">
        <v>80.522904708255211</v>
      </c>
      <c r="E22" s="526">
        <v>90.463244378738125</v>
      </c>
      <c r="F22" s="526">
        <v>85.163433976516174</v>
      </c>
      <c r="G22" s="531">
        <v>90.043835516588516</v>
      </c>
      <c r="H22" s="526">
        <v>45.766190476190474</v>
      </c>
      <c r="I22" s="527">
        <v>42.796190476190475</v>
      </c>
    </row>
    <row r="23" spans="1:12" ht="16.5" hidden="1" x14ac:dyDescent="0.3">
      <c r="A23" s="544" t="s">
        <v>111</v>
      </c>
      <c r="B23" s="529">
        <v>87.065993408725262</v>
      </c>
      <c r="C23" s="530">
        <v>86.984767030738809</v>
      </c>
      <c r="D23" s="526">
        <v>80.989821014788873</v>
      </c>
      <c r="E23" s="526">
        <v>89.44325296582619</v>
      </c>
      <c r="F23" s="526">
        <v>86.711699072200915</v>
      </c>
      <c r="G23" s="531">
        <v>90.628937603044349</v>
      </c>
      <c r="H23" s="526">
        <v>38.620000000000005</v>
      </c>
      <c r="I23" s="527">
        <v>37.170454545454547</v>
      </c>
    </row>
    <row r="24" spans="1:12" ht="16.5" hidden="1" x14ac:dyDescent="0.3">
      <c r="A24" s="543" t="s">
        <v>1080</v>
      </c>
      <c r="B24" s="529">
        <v>84.866795637054736</v>
      </c>
      <c r="C24" s="530">
        <v>84.180470472888416</v>
      </c>
      <c r="D24" s="526">
        <v>79.374974504724236</v>
      </c>
      <c r="E24" s="526">
        <v>87.552279668955038</v>
      </c>
      <c r="F24" s="526">
        <v>85.324329182967134</v>
      </c>
      <c r="G24" s="531">
        <v>86.949545636293365</v>
      </c>
      <c r="H24" s="526">
        <v>31.925500000000007</v>
      </c>
      <c r="I24" s="527">
        <v>31.77578947368421</v>
      </c>
      <c r="K24" s="545"/>
    </row>
    <row r="25" spans="1:12" ht="16.5" hidden="1" x14ac:dyDescent="0.3">
      <c r="A25" s="544" t="s">
        <v>104</v>
      </c>
      <c r="B25" s="529">
        <v>86.049583518476126</v>
      </c>
      <c r="C25" s="530">
        <v>85.909110316022392</v>
      </c>
      <c r="D25" s="526">
        <v>78.837762986629627</v>
      </c>
      <c r="E25" s="526">
        <v>87.276844950811423</v>
      </c>
      <c r="F25" s="526">
        <v>92.168983061192137</v>
      </c>
      <c r="G25" s="531">
        <v>81.591538422519136</v>
      </c>
      <c r="H25" s="526">
        <v>33.527142857142856</v>
      </c>
      <c r="I25" s="527">
        <v>30.616500000000002</v>
      </c>
      <c r="K25" s="545"/>
    </row>
    <row r="26" spans="1:12" ht="16.5" hidden="1" x14ac:dyDescent="0.3">
      <c r="A26" s="544" t="s">
        <v>1077</v>
      </c>
      <c r="B26" s="529">
        <v>87.423671170153355</v>
      </c>
      <c r="C26" s="530">
        <v>86.103638666594165</v>
      </c>
      <c r="D26" s="526">
        <v>76.669053290053725</v>
      </c>
      <c r="E26" s="526">
        <v>86.456393189997684</v>
      </c>
      <c r="F26" s="526">
        <v>97.348680991281057</v>
      </c>
      <c r="G26" s="531">
        <v>95.537606549512546</v>
      </c>
      <c r="H26" s="526">
        <v>39.790000000000006</v>
      </c>
      <c r="I26" s="527">
        <v>37.960909090909098</v>
      </c>
      <c r="K26" s="545"/>
    </row>
    <row r="27" spans="1:12" ht="16.5" hidden="1" x14ac:dyDescent="0.3">
      <c r="A27" s="544" t="s">
        <v>105</v>
      </c>
      <c r="B27" s="529">
        <v>89.176861234272494</v>
      </c>
      <c r="C27" s="530">
        <v>87.914618070061479</v>
      </c>
      <c r="D27" s="526">
        <v>77.144105215297273</v>
      </c>
      <c r="E27" s="526">
        <v>88.40663722323788</v>
      </c>
      <c r="F27" s="526">
        <v>101.16647019981266</v>
      </c>
      <c r="G27" s="531">
        <v>93.886943547915067</v>
      </c>
      <c r="H27" s="526">
        <v>43.339523809523804</v>
      </c>
      <c r="I27" s="527">
        <v>41.124761904761897</v>
      </c>
      <c r="K27" s="545"/>
    </row>
    <row r="28" spans="1:12" ht="16.5" hidden="1" x14ac:dyDescent="0.3">
      <c r="A28" s="544" t="s">
        <v>106</v>
      </c>
      <c r="B28" s="529">
        <v>90.58437518949809</v>
      </c>
      <c r="C28" s="530">
        <v>90.155290564983176</v>
      </c>
      <c r="D28" s="526">
        <v>72.703205370766142</v>
      </c>
      <c r="E28" s="526">
        <v>91.095747681976349</v>
      </c>
      <c r="F28" s="526">
        <v>99.556804909769497</v>
      </c>
      <c r="G28" s="531">
        <v>104.84431258612649</v>
      </c>
      <c r="H28" s="526">
        <v>47.646818181818183</v>
      </c>
      <c r="I28" s="527">
        <v>46.796666666666681</v>
      </c>
      <c r="K28" s="545"/>
    </row>
    <row r="29" spans="1:12" ht="16.5" hidden="1" x14ac:dyDescent="0.3">
      <c r="A29" s="544" t="s">
        <v>112</v>
      </c>
      <c r="B29" s="529">
        <v>93.836228390489836</v>
      </c>
      <c r="C29" s="530">
        <v>94.280354071548032</v>
      </c>
      <c r="D29" s="526">
        <v>73.906845589024499</v>
      </c>
      <c r="E29" s="526">
        <v>94.1407907533372</v>
      </c>
      <c r="F29" s="526">
        <v>97.931704720751995</v>
      </c>
      <c r="G29" s="531">
        <v>120.37631531588167</v>
      </c>
      <c r="H29" s="526">
        <v>49.927272727272722</v>
      </c>
      <c r="I29" s="527">
        <v>48.853181818181831</v>
      </c>
      <c r="K29" s="545"/>
    </row>
    <row r="30" spans="1:12" ht="16.5" hidden="1" x14ac:dyDescent="0.3">
      <c r="A30" s="544" t="s">
        <v>113</v>
      </c>
      <c r="B30" s="529">
        <v>92.975371849029443</v>
      </c>
      <c r="C30" s="530">
        <v>95.312510792645057</v>
      </c>
      <c r="D30" s="526">
        <v>76.015437781568863</v>
      </c>
      <c r="E30" s="526">
        <v>90.39702417418718</v>
      </c>
      <c r="F30" s="526">
        <v>94.914195942763754</v>
      </c>
      <c r="G30" s="531">
        <v>121.56138815445183</v>
      </c>
      <c r="H30" s="526">
        <v>46.534761904761908</v>
      </c>
      <c r="I30" s="527">
        <v>44.799500000000009</v>
      </c>
      <c r="K30" s="545"/>
    </row>
    <row r="31" spans="1:12" ht="16.5" hidden="1" x14ac:dyDescent="0.3">
      <c r="A31" s="544" t="s">
        <v>107</v>
      </c>
      <c r="B31" s="529">
        <v>95.293985355622993</v>
      </c>
      <c r="C31" s="530">
        <v>96.418496858283291</v>
      </c>
      <c r="D31" s="526">
        <v>81.81047883090352</v>
      </c>
      <c r="E31" s="526">
        <v>89.286235923771727</v>
      </c>
      <c r="F31" s="526">
        <v>102.38065094189641</v>
      </c>
      <c r="G31" s="531">
        <v>124.56803852012494</v>
      </c>
      <c r="H31" s="526">
        <v>47.159130434782604</v>
      </c>
      <c r="I31" s="527">
        <v>44.799130434782612</v>
      </c>
      <c r="K31" s="545"/>
      <c r="L31" s="546"/>
    </row>
    <row r="32" spans="1:12" ht="16.5" hidden="1" x14ac:dyDescent="0.3">
      <c r="A32" s="544" t="s">
        <v>108</v>
      </c>
      <c r="B32" s="529">
        <v>96.084320645765203</v>
      </c>
      <c r="C32" s="530">
        <v>94.859589278644492</v>
      </c>
      <c r="D32" s="526">
        <v>90.854792625520929</v>
      </c>
      <c r="E32" s="526">
        <v>86.264780527243317</v>
      </c>
      <c r="F32" s="526">
        <v>104.30971788924801</v>
      </c>
      <c r="G32" s="531">
        <v>132.92506727587858</v>
      </c>
      <c r="H32" s="526">
        <v>47.240454545454547</v>
      </c>
      <c r="I32" s="527">
        <v>45.225714285714282</v>
      </c>
      <c r="K32" s="545"/>
    </row>
    <row r="33" spans="1:11" ht="16.5" hidden="1" x14ac:dyDescent="0.3">
      <c r="A33" s="544" t="s">
        <v>109</v>
      </c>
      <c r="B33" s="529">
        <v>95.925903957912396</v>
      </c>
      <c r="C33" s="530">
        <v>93.023995300834756</v>
      </c>
      <c r="D33" s="526">
        <v>93.758542410317389</v>
      </c>
      <c r="E33" s="526">
        <v>86.722832543219482</v>
      </c>
      <c r="F33" s="526">
        <v>101.84261133397116</v>
      </c>
      <c r="G33" s="531">
        <v>137.51024228031591</v>
      </c>
      <c r="H33" s="526">
        <v>51.38761904761904</v>
      </c>
      <c r="I33" s="527">
        <v>49.94</v>
      </c>
      <c r="K33" s="545"/>
    </row>
    <row r="34" spans="1:11" ht="16.5" hidden="1" x14ac:dyDescent="0.3">
      <c r="A34" s="544" t="s">
        <v>110</v>
      </c>
      <c r="B34" s="529">
        <v>95.796979133325422</v>
      </c>
      <c r="C34" s="530">
        <v>93.444771371056646</v>
      </c>
      <c r="D34" s="526">
        <v>94.50275198026003</v>
      </c>
      <c r="E34" s="526">
        <v>85.955940696720944</v>
      </c>
      <c r="F34" s="526">
        <v>106.14700072515859</v>
      </c>
      <c r="G34" s="531">
        <v>125.22591145554421</v>
      </c>
      <c r="H34" s="526">
        <v>47.078636363636363</v>
      </c>
      <c r="I34" s="527">
        <v>45.764285714285712</v>
      </c>
      <c r="K34" s="545"/>
    </row>
    <row r="35" spans="1:11" ht="16.5" hidden="1" x14ac:dyDescent="0.3">
      <c r="A35" s="544" t="s">
        <v>111</v>
      </c>
      <c r="B35" s="529">
        <v>95.082690919017082</v>
      </c>
      <c r="C35" s="530">
        <v>90.650989125366564</v>
      </c>
      <c r="D35" s="526">
        <v>96.201970549218998</v>
      </c>
      <c r="E35" s="526">
        <v>86.147942048355716</v>
      </c>
      <c r="F35" s="526">
        <v>110.2359157324502</v>
      </c>
      <c r="G35" s="531">
        <v>114.50419702032156</v>
      </c>
      <c r="H35" s="526">
        <v>54.916190476190479</v>
      </c>
      <c r="I35" s="527">
        <v>52.165714285714287</v>
      </c>
      <c r="K35" s="545"/>
    </row>
    <row r="36" spans="1:11" ht="16.5" hidden="1" x14ac:dyDescent="0.3">
      <c r="A36" s="543" t="s">
        <v>1081</v>
      </c>
      <c r="B36" s="529">
        <v>97.697771296400518</v>
      </c>
      <c r="C36" s="530">
        <v>91.946003695556314</v>
      </c>
      <c r="D36" s="526">
        <v>98.550196510138747</v>
      </c>
      <c r="E36" s="526">
        <v>88.677459448879688</v>
      </c>
      <c r="F36" s="526">
        <v>112.16429068869999</v>
      </c>
      <c r="G36" s="531">
        <v>125.82856124651597</v>
      </c>
      <c r="H36" s="526">
        <v>55.44761904761905</v>
      </c>
      <c r="I36" s="527">
        <v>52.597142857142856</v>
      </c>
      <c r="K36" s="545"/>
    </row>
    <row r="37" spans="1:11" ht="16.5" hidden="1" x14ac:dyDescent="0.3">
      <c r="A37" s="544" t="s">
        <v>104</v>
      </c>
      <c r="B37" s="529">
        <v>98.116024397804452</v>
      </c>
      <c r="C37" s="530">
        <v>93.934315063350809</v>
      </c>
      <c r="D37" s="526">
        <v>99.226374555086807</v>
      </c>
      <c r="E37" s="526">
        <v>90.00176911365989</v>
      </c>
      <c r="F37" s="526">
        <v>107.95105607929105</v>
      </c>
      <c r="G37" s="531">
        <v>125.55390618285554</v>
      </c>
      <c r="H37" s="526">
        <v>55.996500000000005</v>
      </c>
      <c r="I37" s="527">
        <v>53.459000000000003</v>
      </c>
      <c r="K37" s="545"/>
    </row>
    <row r="38" spans="1:11" ht="16.5" hidden="1" x14ac:dyDescent="0.3">
      <c r="A38" s="544" t="s">
        <v>1077</v>
      </c>
      <c r="B38" s="529">
        <v>96.239720176476865</v>
      </c>
      <c r="C38" s="530">
        <v>95.653763532519534</v>
      </c>
      <c r="D38" s="526">
        <v>100.62623876255081</v>
      </c>
      <c r="E38" s="526">
        <v>87.865506300732761</v>
      </c>
      <c r="F38" s="526">
        <v>101.58730163093406</v>
      </c>
      <c r="G38" s="531">
        <v>111.88414069776731</v>
      </c>
      <c r="H38" s="526">
        <v>52.538695652173907</v>
      </c>
      <c r="I38" s="527">
        <v>49.673913043478258</v>
      </c>
      <c r="K38" s="545"/>
    </row>
    <row r="39" spans="1:11" ht="16.5" hidden="1" x14ac:dyDescent="0.3">
      <c r="A39" s="544" t="s">
        <v>105</v>
      </c>
      <c r="B39" s="529">
        <v>95.137197082813259</v>
      </c>
      <c r="C39" s="530">
        <v>97.585565258764902</v>
      </c>
      <c r="D39" s="526">
        <v>100.04438119803854</v>
      </c>
      <c r="E39" s="526">
        <v>86.899854534050533</v>
      </c>
      <c r="F39" s="526">
        <v>97.583343608325961</v>
      </c>
      <c r="G39" s="531">
        <v>101.74025126410416</v>
      </c>
      <c r="H39" s="526">
        <v>53.922499999999999</v>
      </c>
      <c r="I39" s="527">
        <v>51.242500000000007</v>
      </c>
      <c r="K39" s="545"/>
    </row>
    <row r="40" spans="1:11" ht="16.5" hidden="1" x14ac:dyDescent="0.3">
      <c r="A40" s="544" t="s">
        <v>106</v>
      </c>
      <c r="B40" s="529">
        <v>97.399119864756997</v>
      </c>
      <c r="C40" s="530">
        <v>99.459106188799808</v>
      </c>
      <c r="D40" s="526">
        <v>104.83069988541726</v>
      </c>
      <c r="E40" s="526">
        <v>88.293203624132843</v>
      </c>
      <c r="F40" s="526">
        <v>101.95799128774952</v>
      </c>
      <c r="G40" s="531">
        <v>99.394216936680394</v>
      </c>
      <c r="H40" s="526">
        <v>51.410000000000004</v>
      </c>
      <c r="I40" s="527">
        <v>48.611739130434778</v>
      </c>
      <c r="K40" s="545"/>
    </row>
    <row r="41" spans="1:11" ht="16.5" hidden="1" x14ac:dyDescent="0.3">
      <c r="A41" s="544" t="s">
        <v>112</v>
      </c>
      <c r="B41" s="529">
        <v>97.967032824943033</v>
      </c>
      <c r="C41" s="530">
        <v>100.6855710196529</v>
      </c>
      <c r="D41" s="526">
        <v>109.65622669130484</v>
      </c>
      <c r="E41" s="526">
        <v>92.359899722035323</v>
      </c>
      <c r="F41" s="526">
        <v>97.478361360825204</v>
      </c>
      <c r="G41" s="531">
        <v>86.026884653805354</v>
      </c>
      <c r="H41" s="526">
        <v>47.592272727272729</v>
      </c>
      <c r="I41" s="527">
        <v>45.208636363636352</v>
      </c>
      <c r="K41" s="545"/>
    </row>
    <row r="42" spans="1:11" ht="16.5" hidden="1" x14ac:dyDescent="0.3">
      <c r="A42" s="544" t="s">
        <v>113</v>
      </c>
      <c r="B42" s="529">
        <v>100.23368188555361</v>
      </c>
      <c r="C42" s="530">
        <v>101.19215049416724</v>
      </c>
      <c r="D42" s="526">
        <v>113.89555698485401</v>
      </c>
      <c r="E42" s="526">
        <v>96.936320265839328</v>
      </c>
      <c r="F42" s="526">
        <v>96.666870212984961</v>
      </c>
      <c r="G42" s="531">
        <v>90.488823870802392</v>
      </c>
      <c r="H42" s="526">
        <v>49.148571428571437</v>
      </c>
      <c r="I42" s="527">
        <v>46.69380952380952</v>
      </c>
      <c r="K42" s="545"/>
    </row>
    <row r="43" spans="1:11" ht="16.5" hidden="1" x14ac:dyDescent="0.3">
      <c r="A43" s="544" t="s">
        <v>107</v>
      </c>
      <c r="B43" s="529">
        <v>99.338650674104173</v>
      </c>
      <c r="C43" s="530">
        <v>100.34731104316261</v>
      </c>
      <c r="D43" s="526">
        <v>116.89348826725157</v>
      </c>
      <c r="E43" s="526">
        <v>92.299675862489011</v>
      </c>
      <c r="F43" s="526">
        <v>99.16337730257689</v>
      </c>
      <c r="G43" s="531">
        <v>88.92181909912496</v>
      </c>
      <c r="H43" s="526">
        <v>51.87</v>
      </c>
      <c r="I43" s="527">
        <v>48.057826086956517</v>
      </c>
      <c r="K43" s="545"/>
    </row>
    <row r="44" spans="1:11" ht="16.5" hidden="1" x14ac:dyDescent="0.3">
      <c r="A44" s="544" t="s">
        <v>108</v>
      </c>
      <c r="B44" s="529">
        <v>99.885667782584903</v>
      </c>
      <c r="C44" s="530">
        <v>99.154653516088771</v>
      </c>
      <c r="D44" s="526">
        <v>118.3996848364948</v>
      </c>
      <c r="E44" s="526">
        <v>92.116886665132711</v>
      </c>
      <c r="F44" s="526">
        <v>103.82617530279855</v>
      </c>
      <c r="G44" s="531">
        <v>89.041874983921474</v>
      </c>
      <c r="H44" s="526">
        <v>55.514761904761912</v>
      </c>
      <c r="I44" s="527">
        <v>49.754285714285707</v>
      </c>
      <c r="K44" s="545"/>
    </row>
    <row r="45" spans="1:11" ht="16.5" hidden="1" x14ac:dyDescent="0.3">
      <c r="A45" s="544" t="s">
        <v>109</v>
      </c>
      <c r="B45" s="529">
        <v>98.911109309752803</v>
      </c>
      <c r="C45" s="530">
        <v>98.434613107030998</v>
      </c>
      <c r="D45" s="526">
        <v>115.36784623317698</v>
      </c>
      <c r="E45" s="526">
        <v>91.790347403950776</v>
      </c>
      <c r="F45" s="526">
        <v>102.67061498211288</v>
      </c>
      <c r="G45" s="531">
        <v>88.730168812863212</v>
      </c>
      <c r="H45" s="526">
        <v>57.649090909090916</v>
      </c>
      <c r="I45" s="527">
        <v>51.594545454545461</v>
      </c>
      <c r="K45" s="545"/>
    </row>
    <row r="46" spans="1:11" ht="16.5" hidden="1" x14ac:dyDescent="0.3">
      <c r="A46" s="544" t="s">
        <v>110</v>
      </c>
      <c r="B46" s="529">
        <v>98.932736196468014</v>
      </c>
      <c r="C46" s="530">
        <v>98.429554097008278</v>
      </c>
      <c r="D46" s="526">
        <v>111.37473962746373</v>
      </c>
      <c r="E46" s="526">
        <v>92.149776424047133</v>
      </c>
      <c r="F46" s="526">
        <v>103.84407188758189</v>
      </c>
      <c r="G46" s="531">
        <v>92.747119675646346</v>
      </c>
      <c r="H46" s="526">
        <v>62.865909090909078</v>
      </c>
      <c r="I46" s="527">
        <v>56.662857142857149</v>
      </c>
      <c r="K46" s="545"/>
    </row>
    <row r="47" spans="1:11" ht="16.5" hidden="1" x14ac:dyDescent="0.3">
      <c r="A47" s="544" t="s">
        <v>111</v>
      </c>
      <c r="B47" s="529">
        <v>96.406844435439112</v>
      </c>
      <c r="C47" s="530">
        <v>96.08213693247319</v>
      </c>
      <c r="D47" s="526">
        <v>107.26983272870129</v>
      </c>
      <c r="E47" s="526">
        <v>92.420460157659861</v>
      </c>
      <c r="F47" s="526">
        <v>97.96772952275461</v>
      </c>
      <c r="G47" s="531">
        <v>88.988682667407843</v>
      </c>
      <c r="H47" s="535">
        <v>64.092000000000013</v>
      </c>
      <c r="I47" s="537">
        <v>57.947000000000003</v>
      </c>
      <c r="K47" s="545"/>
    </row>
    <row r="48" spans="1:11" ht="16.5" x14ac:dyDescent="0.3">
      <c r="A48" s="544" t="s">
        <v>1082</v>
      </c>
      <c r="B48" s="529">
        <v>96.73089333524473</v>
      </c>
      <c r="C48" s="530">
        <v>95.633507302811779</v>
      </c>
      <c r="D48" s="547">
        <v>105.9981439767852</v>
      </c>
      <c r="E48" s="547">
        <v>94.950277183928449</v>
      </c>
      <c r="F48" s="547">
        <v>98.255511012888277</v>
      </c>
      <c r="G48" s="531">
        <v>87.197088826716978</v>
      </c>
      <c r="H48" s="526">
        <v>69.099999999999994</v>
      </c>
      <c r="I48" s="527">
        <v>63.7</v>
      </c>
      <c r="K48" s="545"/>
    </row>
    <row r="49" spans="1:11" ht="16.5" x14ac:dyDescent="0.3">
      <c r="A49" s="544" t="s">
        <v>1083</v>
      </c>
      <c r="B49" s="529">
        <v>97.816037946139076</v>
      </c>
      <c r="C49" s="530">
        <v>96.963194826802052</v>
      </c>
      <c r="D49" s="526">
        <v>108.75719204638173</v>
      </c>
      <c r="E49" s="526">
        <v>98.159618173702825</v>
      </c>
      <c r="F49" s="526">
        <v>95.61065503970319</v>
      </c>
      <c r="G49" s="531">
        <v>83.92642442324501</v>
      </c>
      <c r="H49" s="526">
        <v>65.7</v>
      </c>
      <c r="I49" s="527">
        <v>62.2</v>
      </c>
      <c r="K49" s="545"/>
    </row>
    <row r="50" spans="1:11" ht="16.5" x14ac:dyDescent="0.3">
      <c r="A50" s="544" t="s">
        <v>1084</v>
      </c>
      <c r="B50" s="529">
        <v>98.993745853859821</v>
      </c>
      <c r="C50" s="530">
        <v>97.189815257828272</v>
      </c>
      <c r="D50" s="526">
        <v>111.29318739172871</v>
      </c>
      <c r="E50" s="526">
        <v>101.6225254346126</v>
      </c>
      <c r="F50" s="526">
        <v>95.365766504826183</v>
      </c>
      <c r="G50" s="531">
        <v>80.911259955603157</v>
      </c>
      <c r="H50" s="526">
        <v>66.7</v>
      </c>
      <c r="I50" s="527">
        <v>62.8</v>
      </c>
      <c r="K50" s="545"/>
    </row>
    <row r="51" spans="1:11" ht="16.5" x14ac:dyDescent="0.3">
      <c r="A51" s="544" t="s">
        <v>1085</v>
      </c>
      <c r="B51" s="529">
        <v>98.487582368545816</v>
      </c>
      <c r="C51" s="530">
        <v>95.939066644655568</v>
      </c>
      <c r="D51" s="526">
        <v>109.98831258037268</v>
      </c>
      <c r="E51" s="526">
        <v>103.71693929643598</v>
      </c>
      <c r="F51" s="526">
        <v>94.035438885013562</v>
      </c>
      <c r="G51" s="531">
        <v>76.820903428127266</v>
      </c>
      <c r="H51" s="526">
        <v>71.8</v>
      </c>
      <c r="I51" s="527">
        <v>66.3</v>
      </c>
      <c r="K51" s="545"/>
    </row>
    <row r="52" spans="1:11" ht="16.5" x14ac:dyDescent="0.3">
      <c r="A52" s="544" t="s">
        <v>1086</v>
      </c>
      <c r="B52" s="529">
        <v>98.584941262069179</v>
      </c>
      <c r="C52" s="530">
        <v>95.340978053509915</v>
      </c>
      <c r="D52" s="526">
        <v>111.41927912242879</v>
      </c>
      <c r="E52" s="526">
        <v>105.21634533068315</v>
      </c>
      <c r="F52" s="526">
        <v>92.170724143864206</v>
      </c>
      <c r="G52" s="531">
        <v>76.445837988091498</v>
      </c>
      <c r="H52" s="526">
        <v>77</v>
      </c>
      <c r="I52" s="527">
        <v>70</v>
      </c>
      <c r="K52" s="545"/>
    </row>
    <row r="53" spans="1:11" ht="16.5" x14ac:dyDescent="0.3">
      <c r="A53" s="544" t="s">
        <v>1087</v>
      </c>
      <c r="B53" s="529">
        <v>96.873520339756126</v>
      </c>
      <c r="C53" s="530">
        <v>95.086631380951744</v>
      </c>
      <c r="D53" s="526">
        <v>112.28056405223711</v>
      </c>
      <c r="E53" s="526">
        <v>100.56516840017146</v>
      </c>
      <c r="F53" s="526">
        <v>89.357876842836887</v>
      </c>
      <c r="G53" s="531">
        <v>77.366087835607857</v>
      </c>
      <c r="H53" s="526">
        <v>76</v>
      </c>
      <c r="I53" s="527">
        <v>67.400000000000006</v>
      </c>
      <c r="K53" s="545"/>
    </row>
    <row r="54" spans="1:11" ht="16.5" x14ac:dyDescent="0.3">
      <c r="A54" s="544" t="s">
        <v>1088</v>
      </c>
      <c r="B54" s="529">
        <v>94.997920699547834</v>
      </c>
      <c r="C54" s="530">
        <v>94.638475060326158</v>
      </c>
      <c r="D54" s="526">
        <v>110.12866170010003</v>
      </c>
      <c r="E54" s="526">
        <v>98.227950969379094</v>
      </c>
      <c r="F54" s="526">
        <v>86.929538304197379</v>
      </c>
      <c r="G54" s="531">
        <v>72.504837876915616</v>
      </c>
      <c r="H54" s="526">
        <v>75</v>
      </c>
      <c r="I54" s="527">
        <v>70.599999999999994</v>
      </c>
      <c r="K54" s="545"/>
    </row>
    <row r="55" spans="1:11" ht="16.5" x14ac:dyDescent="0.3">
      <c r="A55" s="544" t="s">
        <v>1089</v>
      </c>
      <c r="B55" s="529">
        <v>95.899811911262958</v>
      </c>
      <c r="C55" s="530">
        <v>95.775839361968323</v>
      </c>
      <c r="D55" s="526">
        <v>108.45795268764054</v>
      </c>
      <c r="E55" s="526">
        <v>103.22679666342088</v>
      </c>
      <c r="F55" s="526">
        <v>84.465864582921583</v>
      </c>
      <c r="G55" s="531">
        <v>68.604442676421868</v>
      </c>
      <c r="H55" s="526">
        <v>73.8</v>
      </c>
      <c r="I55" s="527">
        <v>67.8</v>
      </c>
      <c r="K55" s="545"/>
    </row>
    <row r="56" spans="1:11" ht="16.5" x14ac:dyDescent="0.3">
      <c r="A56" s="544" t="s">
        <v>1090</v>
      </c>
      <c r="B56" s="529">
        <v>94.198581560315688</v>
      </c>
      <c r="C56" s="530">
        <v>94.053200348994991</v>
      </c>
      <c r="D56" s="526">
        <v>108.29185856578289</v>
      </c>
      <c r="E56" s="526">
        <v>100.17834511991353</v>
      </c>
      <c r="F56" s="526">
        <v>82.37473975226041</v>
      </c>
      <c r="G56" s="531">
        <v>70.376529037432604</v>
      </c>
      <c r="H56" s="526">
        <v>79.099999999999994</v>
      </c>
      <c r="I56" s="527">
        <v>70.099999999999994</v>
      </c>
      <c r="K56" s="545"/>
    </row>
    <row r="57" spans="1:11" ht="16.5" customHeight="1" x14ac:dyDescent="0.3">
      <c r="A57" s="544" t="s">
        <v>1091</v>
      </c>
      <c r="B57" s="529">
        <v>93.262794626208674</v>
      </c>
      <c r="C57" s="530">
        <v>92.317496723969398</v>
      </c>
      <c r="D57" s="526">
        <v>102.80372644944049</v>
      </c>
      <c r="E57" s="526">
        <v>100.68655927233722</v>
      </c>
      <c r="F57" s="526">
        <v>81.370791479149716</v>
      </c>
      <c r="G57" s="531">
        <v>76.5001287105367</v>
      </c>
      <c r="H57" s="526">
        <v>80.599999999999994</v>
      </c>
      <c r="I57" s="527">
        <v>70.8</v>
      </c>
      <c r="K57" s="545"/>
    </row>
    <row r="58" spans="1:11" ht="16.5" customHeight="1" x14ac:dyDescent="0.3">
      <c r="A58" s="544" t="s">
        <v>1092</v>
      </c>
      <c r="B58" s="529">
        <v>92.168639004063849</v>
      </c>
      <c r="C58" s="526">
        <v>92.888979230095927</v>
      </c>
      <c r="D58" s="526">
        <v>99.993134762227712</v>
      </c>
      <c r="E58" s="526">
        <v>99.509676070140941</v>
      </c>
      <c r="F58" s="526">
        <v>76.644259684989962</v>
      </c>
      <c r="G58" s="531">
        <v>79.860808819617247</v>
      </c>
      <c r="H58" s="526">
        <v>65.949090909090899</v>
      </c>
      <c r="I58" s="527">
        <v>56.693333333333328</v>
      </c>
      <c r="K58" s="545"/>
    </row>
    <row r="59" spans="1:11" ht="16.5" customHeight="1" x14ac:dyDescent="0.3">
      <c r="A59" s="548" t="s">
        <v>1093</v>
      </c>
      <c r="B59" s="533">
        <v>92.208123419859021</v>
      </c>
      <c r="C59" s="535">
        <v>92.893870858958195</v>
      </c>
      <c r="D59" s="535">
        <v>97.848237063436017</v>
      </c>
      <c r="E59" s="535">
        <v>100.92182898830487</v>
      </c>
      <c r="F59" s="535">
        <v>76.888428800787821</v>
      </c>
      <c r="G59" s="536">
        <v>78.310288290509348</v>
      </c>
      <c r="H59" s="535">
        <v>57.9</v>
      </c>
      <c r="I59" s="537">
        <v>49</v>
      </c>
      <c r="K59" s="545"/>
    </row>
    <row r="60" spans="1:11" ht="16.5" customHeight="1" x14ac:dyDescent="0.3">
      <c r="A60" s="3584" t="s">
        <v>1094</v>
      </c>
      <c r="B60" s="549">
        <v>93.246823818546545</v>
      </c>
      <c r="C60" s="541">
        <v>92.269885642397369</v>
      </c>
      <c r="D60" s="541">
        <v>100.94697874526999</v>
      </c>
      <c r="E60" s="541">
        <v>101.5076759439805</v>
      </c>
      <c r="F60" s="541">
        <v>80.303243198803074</v>
      </c>
      <c r="G60" s="542">
        <v>79.343218512367869</v>
      </c>
      <c r="H60" s="541">
        <v>60.240909090909106</v>
      </c>
      <c r="I60" s="550">
        <v>51.6</v>
      </c>
      <c r="K60" s="545"/>
    </row>
    <row r="61" spans="1:11" ht="16.5" customHeight="1" x14ac:dyDescent="0.3">
      <c r="A61" s="544" t="s">
        <v>1083</v>
      </c>
      <c r="B61" s="529">
        <v>93.97317085163904</v>
      </c>
      <c r="C61" s="526">
        <v>93.094618341419732</v>
      </c>
      <c r="D61" s="526">
        <v>103.76428954168858</v>
      </c>
      <c r="E61" s="526">
        <v>100.58643774973189</v>
      </c>
      <c r="F61" s="526">
        <v>81.82592061924143</v>
      </c>
      <c r="G61" s="531">
        <v>80.309199553179994</v>
      </c>
      <c r="H61" s="526">
        <v>64.431500000000014</v>
      </c>
      <c r="I61" s="527">
        <v>54.980526315789483</v>
      </c>
      <c r="K61" s="545"/>
    </row>
    <row r="62" spans="1:11" ht="16.5" customHeight="1" x14ac:dyDescent="0.3">
      <c r="A62" s="544" t="s">
        <v>1077</v>
      </c>
      <c r="B62" s="529">
        <v>93.123274418355777</v>
      </c>
      <c r="C62" s="526">
        <v>94.578073710419162</v>
      </c>
      <c r="D62" s="526">
        <v>105.64753411964494</v>
      </c>
      <c r="E62" s="526">
        <v>97.362371424972309</v>
      </c>
      <c r="F62" s="526">
        <v>78.463528158092359</v>
      </c>
      <c r="G62" s="531">
        <v>78.662742642588682</v>
      </c>
      <c r="H62" s="526">
        <v>67</v>
      </c>
      <c r="I62" s="527">
        <v>58.2</v>
      </c>
      <c r="K62" s="545"/>
    </row>
    <row r="63" spans="1:11" ht="16.5" customHeight="1" x14ac:dyDescent="0.3">
      <c r="A63" s="544" t="s">
        <v>105</v>
      </c>
      <c r="B63" s="529">
        <v>93.581322949176737</v>
      </c>
      <c r="C63" s="526">
        <v>97.755725650011271</v>
      </c>
      <c r="D63" s="526">
        <v>106.12800621022762</v>
      </c>
      <c r="E63" s="526">
        <v>94.502173982729488</v>
      </c>
      <c r="F63" s="526">
        <v>79.159982824831658</v>
      </c>
      <c r="G63" s="531">
        <v>79.25601579755957</v>
      </c>
      <c r="H63" s="526">
        <v>71.599999999999994</v>
      </c>
      <c r="I63" s="527">
        <v>63.9</v>
      </c>
      <c r="K63" s="545"/>
    </row>
    <row r="64" spans="1:11" ht="16.5" customHeight="1" x14ac:dyDescent="0.3">
      <c r="A64" s="544" t="s">
        <v>106</v>
      </c>
      <c r="B64" s="529">
        <v>94.185559312400997</v>
      </c>
      <c r="C64" s="526">
        <v>100.53532046660378</v>
      </c>
      <c r="D64" s="526">
        <v>106.59284098950985</v>
      </c>
      <c r="E64" s="526">
        <v>94.130977741191231</v>
      </c>
      <c r="F64" s="526">
        <v>78.55075972632612</v>
      </c>
      <c r="G64" s="531">
        <v>76.735576040519135</v>
      </c>
      <c r="H64" s="526">
        <v>70.3</v>
      </c>
      <c r="I64" s="527">
        <v>60.9</v>
      </c>
      <c r="K64" s="545"/>
    </row>
    <row r="65" spans="1:11" ht="16.5" customHeight="1" x14ac:dyDescent="0.3">
      <c r="A65" s="544" t="s">
        <v>112</v>
      </c>
      <c r="B65" s="529">
        <v>95.284108097711311</v>
      </c>
      <c r="C65" s="526">
        <v>101.23047904710467</v>
      </c>
      <c r="D65" s="526">
        <v>102.89108444726023</v>
      </c>
      <c r="E65" s="526">
        <v>98.742409574309121</v>
      </c>
      <c r="F65" s="526">
        <v>77.513543859909589</v>
      </c>
      <c r="G65" s="531">
        <v>79.944073347305149</v>
      </c>
      <c r="H65" s="526">
        <v>63.038000000000011</v>
      </c>
      <c r="I65" s="527">
        <v>54.706499999999991</v>
      </c>
      <c r="K65" s="545"/>
    </row>
    <row r="66" spans="1:11" ht="16.5" customHeight="1" x14ac:dyDescent="0.3">
      <c r="A66" s="544" t="s">
        <v>113</v>
      </c>
      <c r="B66" s="529">
        <v>95.069745757715566</v>
      </c>
      <c r="C66" s="526">
        <v>102.44213770947127</v>
      </c>
      <c r="D66" s="526">
        <v>101.06421117773988</v>
      </c>
      <c r="E66" s="526">
        <v>97.254969199534983</v>
      </c>
      <c r="F66" s="526">
        <v>78.140558889694873</v>
      </c>
      <c r="G66" s="531">
        <v>79.42907588374996</v>
      </c>
      <c r="H66" s="526">
        <v>64.2</v>
      </c>
      <c r="I66" s="527">
        <v>57.5</v>
      </c>
      <c r="K66" s="545"/>
    </row>
    <row r="67" spans="1:11" ht="16.5" customHeight="1" x14ac:dyDescent="0.3">
      <c r="A67" s="544" t="s">
        <v>107</v>
      </c>
      <c r="B67" s="529">
        <v>93.990023193305191</v>
      </c>
      <c r="C67" s="526">
        <v>102.27433753574138</v>
      </c>
      <c r="D67" s="526">
        <v>100.29965212921627</v>
      </c>
      <c r="E67" s="526">
        <v>92.276751212674043</v>
      </c>
      <c r="F67" s="526">
        <v>82.629316666676573</v>
      </c>
      <c r="G67" s="531">
        <v>76.229237696470847</v>
      </c>
      <c r="H67" s="526">
        <v>59.50181818181818</v>
      </c>
      <c r="I67" s="527">
        <v>54.844090909090909</v>
      </c>
      <c r="K67" s="545"/>
    </row>
    <row r="68" spans="1:11" ht="16.5" customHeight="1" x14ac:dyDescent="0.3">
      <c r="A68" s="544" t="s">
        <v>108</v>
      </c>
      <c r="B68" s="529">
        <v>93.30032539456711</v>
      </c>
      <c r="C68" s="526">
        <v>101.01671562781864</v>
      </c>
      <c r="D68" s="526">
        <v>99.63812689323936</v>
      </c>
      <c r="E68" s="526">
        <v>91.579569570649625</v>
      </c>
      <c r="F68" s="526">
        <v>83.925239098207342</v>
      </c>
      <c r="G68" s="531">
        <v>73.511486727583048</v>
      </c>
      <c r="H68" s="526">
        <v>62.3</v>
      </c>
      <c r="I68" s="527">
        <v>57</v>
      </c>
      <c r="K68" s="545"/>
    </row>
    <row r="69" spans="1:11" ht="16.5" customHeight="1" x14ac:dyDescent="0.3">
      <c r="A69" s="544" t="s">
        <v>109</v>
      </c>
      <c r="B69" s="529">
        <v>95.185012055845164</v>
      </c>
      <c r="C69" s="526">
        <v>101.55127368509457</v>
      </c>
      <c r="D69" s="526">
        <v>100.8202231863725</v>
      </c>
      <c r="E69" s="526">
        <v>95.741063475483273</v>
      </c>
      <c r="F69" s="526">
        <v>84.14564397316245</v>
      </c>
      <c r="G69" s="531">
        <v>77.771612782652738</v>
      </c>
      <c r="H69" s="526">
        <v>59.6</v>
      </c>
      <c r="I69" s="527">
        <v>54</v>
      </c>
      <c r="K69" s="545"/>
    </row>
    <row r="70" spans="1:11" ht="16.5" customHeight="1" x14ac:dyDescent="0.3">
      <c r="A70" s="544" t="s">
        <v>110</v>
      </c>
      <c r="B70" s="529">
        <v>98.571503602781704</v>
      </c>
      <c r="C70" s="526">
        <v>106.52632019552085</v>
      </c>
      <c r="D70" s="526">
        <v>102.45348449740578</v>
      </c>
      <c r="E70" s="526">
        <v>95.3708344866495</v>
      </c>
      <c r="F70" s="526">
        <v>93.179408297313699</v>
      </c>
      <c r="G70" s="531">
        <v>79.190245393610397</v>
      </c>
      <c r="H70" s="526">
        <v>62.713809523809516</v>
      </c>
      <c r="I70" s="527">
        <v>57.078500000000005</v>
      </c>
      <c r="K70" s="545"/>
    </row>
    <row r="71" spans="1:11" ht="16.5" customHeight="1" x14ac:dyDescent="0.3">
      <c r="A71" s="544" t="s">
        <v>111</v>
      </c>
      <c r="B71" s="529">
        <v>100.95222305098861</v>
      </c>
      <c r="C71" s="526">
        <v>106.64799397461408</v>
      </c>
      <c r="D71" s="526">
        <v>103.54295239281635</v>
      </c>
      <c r="E71" s="526">
        <v>97.210188551817808</v>
      </c>
      <c r="F71" s="526">
        <v>101.4952260339816</v>
      </c>
      <c r="G71" s="531">
        <v>82.997695417744993</v>
      </c>
      <c r="H71" s="526">
        <v>65.2</v>
      </c>
      <c r="I71" s="527">
        <v>59.8</v>
      </c>
      <c r="K71" s="545"/>
    </row>
    <row r="72" spans="1:11" ht="16.5" customHeight="1" x14ac:dyDescent="0.3">
      <c r="A72" s="3584" t="s">
        <v>1095</v>
      </c>
      <c r="B72" s="549">
        <v>102.45174240101161</v>
      </c>
      <c r="C72" s="541">
        <v>103.61032570731609</v>
      </c>
      <c r="D72" s="541">
        <v>103.84479393326944</v>
      </c>
      <c r="E72" s="541">
        <v>100.47974682437746</v>
      </c>
      <c r="F72" s="541">
        <v>108.7125084333049</v>
      </c>
      <c r="G72" s="542">
        <v>87.540273704349701</v>
      </c>
      <c r="H72" s="541">
        <v>63.672727272727279</v>
      </c>
      <c r="I72" s="550">
        <v>57.528571428571425</v>
      </c>
      <c r="K72" s="545"/>
    </row>
    <row r="73" spans="1:11" ht="16.5" customHeight="1" x14ac:dyDescent="0.3">
      <c r="A73" s="544" t="s">
        <v>1096</v>
      </c>
      <c r="B73" s="529">
        <v>99.365937683556623</v>
      </c>
      <c r="C73" s="526">
        <v>100.46310728116576</v>
      </c>
      <c r="D73" s="526">
        <v>102.85156430923657</v>
      </c>
      <c r="E73" s="526">
        <v>99.389555625606505</v>
      </c>
      <c r="F73" s="526">
        <v>97.558953471847744</v>
      </c>
      <c r="G73" s="531">
        <v>91.448643122242501</v>
      </c>
      <c r="H73" s="526">
        <v>55.477499999999999</v>
      </c>
      <c r="I73" s="527">
        <v>50.542105263157893</v>
      </c>
      <c r="K73" s="545"/>
    </row>
    <row r="74" spans="1:11" ht="16.5" customHeight="1" x14ac:dyDescent="0.3">
      <c r="A74" s="544" t="s">
        <v>1097</v>
      </c>
      <c r="B74" s="529">
        <v>95.093810016659987</v>
      </c>
      <c r="C74" s="526">
        <v>99.425056572166582</v>
      </c>
      <c r="D74" s="526">
        <v>101.52456298283946</v>
      </c>
      <c r="E74" s="526">
        <v>97.715852554204105</v>
      </c>
      <c r="F74" s="526">
        <v>85.458248410947007</v>
      </c>
      <c r="G74" s="531">
        <v>73.944245269412903</v>
      </c>
      <c r="H74" s="526">
        <v>34.252380952380953</v>
      </c>
      <c r="I74" s="527">
        <v>30.92</v>
      </c>
      <c r="K74" s="545"/>
    </row>
    <row r="75" spans="1:11" ht="16.5" customHeight="1" x14ac:dyDescent="0.3">
      <c r="A75" s="544" t="s">
        <v>1098</v>
      </c>
      <c r="B75" s="529">
        <v>92.432879102154189</v>
      </c>
      <c r="C75" s="526">
        <v>96.90645774765845</v>
      </c>
      <c r="D75" s="526">
        <v>95.753672393902946</v>
      </c>
      <c r="E75" s="526">
        <v>99.297069681133721</v>
      </c>
      <c r="F75" s="526">
        <v>81.220710533338021</v>
      </c>
      <c r="G75" s="531">
        <v>63.179505470140441</v>
      </c>
      <c r="H75" s="526">
        <v>26.631428571428565</v>
      </c>
      <c r="I75" s="527">
        <v>16.699047619047612</v>
      </c>
      <c r="K75" s="545"/>
    </row>
    <row r="76" spans="1:11" ht="16.5" customHeight="1" x14ac:dyDescent="0.3">
      <c r="A76" s="544" t="s">
        <v>1099</v>
      </c>
      <c r="B76" s="529">
        <v>90.982383371213047</v>
      </c>
      <c r="C76" s="526">
        <v>95.415913237790804</v>
      </c>
      <c r="D76" s="526">
        <v>94.425474409690707</v>
      </c>
      <c r="E76" s="526">
        <v>97.460101193310521</v>
      </c>
      <c r="F76" s="526">
        <v>77.819828365950357</v>
      </c>
      <c r="G76" s="531">
        <v>67.84539991535118</v>
      </c>
      <c r="H76" s="526">
        <v>32.411904761904758</v>
      </c>
      <c r="I76" s="527">
        <v>28.527500000000003</v>
      </c>
      <c r="K76" s="545"/>
    </row>
    <row r="77" spans="1:11" ht="16.5" customHeight="1" x14ac:dyDescent="0.3">
      <c r="A77" s="544" t="s">
        <v>1100</v>
      </c>
      <c r="B77" s="529">
        <v>93.080819878401201</v>
      </c>
      <c r="C77" s="526">
        <v>94.816410370590745</v>
      </c>
      <c r="D77" s="526">
        <v>98.3325915325089</v>
      </c>
      <c r="E77" s="526">
        <v>96.68611821888787</v>
      </c>
      <c r="F77" s="526">
        <v>86.644340336023191</v>
      </c>
      <c r="G77" s="531">
        <v>74.940606610867945</v>
      </c>
      <c r="H77" s="526">
        <v>40.786363636363632</v>
      </c>
      <c r="I77" s="527">
        <v>38.322727272727278</v>
      </c>
      <c r="K77" s="545"/>
    </row>
    <row r="78" spans="1:11" ht="16.5" customHeight="1" x14ac:dyDescent="0.3">
      <c r="A78" s="544" t="s">
        <v>1101</v>
      </c>
      <c r="B78" s="529">
        <v>93.932326667514488</v>
      </c>
      <c r="C78" s="526">
        <v>92.227051045731287</v>
      </c>
      <c r="D78" s="526">
        <v>101.78736378815815</v>
      </c>
      <c r="E78" s="526">
        <v>96.886891895037309</v>
      </c>
      <c r="F78" s="526">
        <v>93.216001805561817</v>
      </c>
      <c r="G78" s="531">
        <v>76.011903581163168</v>
      </c>
      <c r="H78" s="526">
        <v>43.222173913043477</v>
      </c>
      <c r="I78" s="527">
        <v>40.765909090909084</v>
      </c>
      <c r="K78" s="545"/>
    </row>
    <row r="79" spans="1:11" ht="16.5" customHeight="1" x14ac:dyDescent="0.3">
      <c r="A79" s="544" t="s">
        <v>1102</v>
      </c>
      <c r="B79" s="529">
        <v>95.849069866740805</v>
      </c>
      <c r="C79" s="526">
        <v>92.203017520089801</v>
      </c>
      <c r="D79" s="526">
        <v>102.10044538813383</v>
      </c>
      <c r="E79" s="526">
        <v>98.984490079024027</v>
      </c>
      <c r="F79" s="526">
        <v>98.704804431039477</v>
      </c>
      <c r="G79" s="531">
        <v>81.093970405677709</v>
      </c>
      <c r="H79" s="526">
        <v>45.047142857142859</v>
      </c>
      <c r="I79" s="527">
        <v>42.40761904761905</v>
      </c>
      <c r="K79" s="545"/>
    </row>
    <row r="80" spans="1:11" ht="16.5" customHeight="1" x14ac:dyDescent="0.3">
      <c r="A80" s="544" t="s">
        <v>1090</v>
      </c>
      <c r="B80" s="529">
        <v>97.92724565246003</v>
      </c>
      <c r="C80" s="526">
        <v>91.474033292295033</v>
      </c>
      <c r="D80" s="526">
        <v>102.31823969989316</v>
      </c>
      <c r="E80" s="526">
        <v>104.04180714439838</v>
      </c>
      <c r="F80" s="526">
        <v>104.58580714414425</v>
      </c>
      <c r="G80" s="531">
        <v>78.960651763531359</v>
      </c>
      <c r="H80" s="526">
        <v>41.697142857142865</v>
      </c>
      <c r="I80" s="527">
        <v>39.457142857142856</v>
      </c>
      <c r="K80" s="545"/>
    </row>
    <row r="81" spans="1:12" ht="16.5" customHeight="1" x14ac:dyDescent="0.3">
      <c r="A81" s="544" t="s">
        <v>109</v>
      </c>
      <c r="B81" s="529">
        <v>101.24349898394941</v>
      </c>
      <c r="C81" s="526">
        <v>91.783443249046144</v>
      </c>
      <c r="D81" s="526">
        <v>104.47993460818552</v>
      </c>
      <c r="E81" s="526">
        <v>111.63693972786629</v>
      </c>
      <c r="F81" s="526">
        <v>106.43546192483085</v>
      </c>
      <c r="G81" s="531">
        <v>84.710404959279799</v>
      </c>
      <c r="H81" s="526">
        <v>41.5</v>
      </c>
      <c r="I81" s="527">
        <v>39.6</v>
      </c>
      <c r="K81" s="545"/>
    </row>
    <row r="82" spans="1:12" ht="16.5" customHeight="1" x14ac:dyDescent="0.3">
      <c r="A82" s="544" t="s">
        <v>110</v>
      </c>
      <c r="B82" s="529">
        <v>105.45082278159903</v>
      </c>
      <c r="C82" s="526">
        <v>93.31812057540094</v>
      </c>
      <c r="D82" s="526">
        <v>105.3818860824795</v>
      </c>
      <c r="E82" s="526">
        <v>114.40460066247118</v>
      </c>
      <c r="F82" s="526">
        <v>121.85323981587024</v>
      </c>
      <c r="G82" s="531">
        <v>87.528177843908551</v>
      </c>
      <c r="H82" s="526">
        <v>43.98</v>
      </c>
      <c r="I82" s="527">
        <v>41.346500000000006</v>
      </c>
      <c r="K82" s="545"/>
    </row>
    <row r="83" spans="1:12" ht="16.5" customHeight="1" x14ac:dyDescent="0.3">
      <c r="A83" s="544" t="s">
        <v>111</v>
      </c>
      <c r="B83" s="529">
        <v>108.45839479373501</v>
      </c>
      <c r="C83" s="547">
        <v>94.845116190242663</v>
      </c>
      <c r="D83" s="547">
        <v>109.18568486388526</v>
      </c>
      <c r="E83" s="547">
        <v>115.94862786444219</v>
      </c>
      <c r="F83" s="547">
        <v>131.127830817166</v>
      </c>
      <c r="G83" s="531">
        <v>87.140829010711613</v>
      </c>
      <c r="H83" s="551">
        <v>50.218181818181826</v>
      </c>
      <c r="I83" s="552">
        <v>47.06818181818182</v>
      </c>
      <c r="K83" s="545"/>
    </row>
    <row r="84" spans="1:12" ht="16.5" customHeight="1" x14ac:dyDescent="0.3">
      <c r="A84" s="3584" t="s">
        <v>1103</v>
      </c>
      <c r="B84" s="549">
        <v>113.27587952189185</v>
      </c>
      <c r="C84" s="541">
        <v>95.96084762748599</v>
      </c>
      <c r="D84" s="541">
        <v>111.24672261561082</v>
      </c>
      <c r="E84" s="541">
        <v>124.19671754510485</v>
      </c>
      <c r="F84" s="541">
        <v>138.78542431105546</v>
      </c>
      <c r="G84" s="542">
        <v>94.159241057381038</v>
      </c>
      <c r="H84" s="541">
        <v>55.3215</v>
      </c>
      <c r="I84" s="550">
        <v>52.102105263157895</v>
      </c>
      <c r="K84" s="545"/>
    </row>
    <row r="85" spans="1:12" ht="16.5" customHeight="1" x14ac:dyDescent="0.3">
      <c r="A85" s="544" t="s">
        <v>104</v>
      </c>
      <c r="B85" s="529">
        <v>116.43368521953778</v>
      </c>
      <c r="C85" s="526">
        <v>97.768189382291382</v>
      </c>
      <c r="D85" s="526">
        <v>113.0742158195313</v>
      </c>
      <c r="E85" s="526">
        <v>125.73638432060625</v>
      </c>
      <c r="F85" s="526">
        <v>147.35368098010491</v>
      </c>
      <c r="G85" s="531">
        <v>100.17454058467479</v>
      </c>
      <c r="H85" s="526">
        <v>62.372499999999988</v>
      </c>
      <c r="I85" s="527">
        <v>59.11473684210528</v>
      </c>
      <c r="K85" s="545"/>
    </row>
    <row r="86" spans="1:12" ht="16.5" customHeight="1" x14ac:dyDescent="0.3">
      <c r="A86" s="544" t="s">
        <v>1077</v>
      </c>
      <c r="B86" s="529">
        <v>119.10976718189202</v>
      </c>
      <c r="C86" s="526">
        <v>100.76273942479263</v>
      </c>
      <c r="D86" s="526">
        <v>117.45980326747933</v>
      </c>
      <c r="E86" s="526">
        <v>123.57300084970682</v>
      </c>
      <c r="F86" s="526">
        <v>159.16606987339466</v>
      </c>
      <c r="G86" s="531">
        <v>96.197436348097199</v>
      </c>
      <c r="H86" s="526">
        <v>65.702173913043481</v>
      </c>
      <c r="I86" s="527">
        <v>62.357391304347829</v>
      </c>
      <c r="K86" s="545"/>
    </row>
    <row r="87" spans="1:12" ht="16.5" customHeight="1" x14ac:dyDescent="0.3">
      <c r="A87" s="544" t="s">
        <v>105</v>
      </c>
      <c r="B87" s="529">
        <v>121.86129963466675</v>
      </c>
      <c r="C87" s="526">
        <v>104.34529890067319</v>
      </c>
      <c r="D87" s="526">
        <v>119.10505698342429</v>
      </c>
      <c r="E87" s="526">
        <v>125.57358115767335</v>
      </c>
      <c r="F87" s="526">
        <v>162.04876653197698</v>
      </c>
      <c r="G87" s="531">
        <v>99.986820331936883</v>
      </c>
      <c r="H87" s="526">
        <v>65.328571428571422</v>
      </c>
      <c r="I87" s="527">
        <v>61.703809523809511</v>
      </c>
      <c r="K87" s="545"/>
    </row>
    <row r="88" spans="1:12" ht="16.5" customHeight="1" x14ac:dyDescent="0.3">
      <c r="A88" s="544" t="s">
        <v>106</v>
      </c>
      <c r="B88" s="529">
        <v>127.84755891544918</v>
      </c>
      <c r="C88" s="526">
        <v>107.38405480653202</v>
      </c>
      <c r="D88" s="526">
        <v>121.13134838555018</v>
      </c>
      <c r="E88" s="526">
        <v>132.83261037161526</v>
      </c>
      <c r="F88" s="526">
        <v>174.70427878378425</v>
      </c>
      <c r="G88" s="531">
        <v>106.79941521838667</v>
      </c>
      <c r="H88" s="526">
        <v>68.315714285714307</v>
      </c>
      <c r="I88" s="527">
        <v>65.2</v>
      </c>
      <c r="K88" s="545"/>
    </row>
    <row r="89" spans="1:12" ht="16.5" customHeight="1" x14ac:dyDescent="0.3">
      <c r="A89" s="544" t="s">
        <v>112</v>
      </c>
      <c r="B89" s="529">
        <v>124.56678623166056</v>
      </c>
      <c r="C89" s="526">
        <v>109.43978597977089</v>
      </c>
      <c r="D89" s="526">
        <v>119.90694500460546</v>
      </c>
      <c r="E89" s="526">
        <v>129.37169367890152</v>
      </c>
      <c r="F89" s="526">
        <v>157.54830384623241</v>
      </c>
      <c r="G89" s="531">
        <v>107.7319216686756</v>
      </c>
      <c r="H89" s="526">
        <v>73.408181818181816</v>
      </c>
      <c r="I89" s="527">
        <v>71.352727272727265</v>
      </c>
      <c r="K89" s="545"/>
    </row>
    <row r="90" spans="1:12" ht="16.5" customHeight="1" thickBot="1" x14ac:dyDescent="0.35">
      <c r="A90" s="553" t="s">
        <v>113</v>
      </c>
      <c r="B90" s="554">
        <v>123.0264076280304</v>
      </c>
      <c r="C90" s="555">
        <v>110.2855403622591</v>
      </c>
      <c r="D90" s="555">
        <v>116.51825356378205</v>
      </c>
      <c r="E90" s="555">
        <v>125.52298172824298</v>
      </c>
      <c r="F90" s="555">
        <v>155.36831235759465</v>
      </c>
      <c r="G90" s="476">
        <v>109.55192671644922</v>
      </c>
      <c r="H90" s="555">
        <v>74.3</v>
      </c>
      <c r="I90" s="556">
        <v>72.400000000000006</v>
      </c>
      <c r="K90" s="545"/>
      <c r="L90" s="545"/>
    </row>
    <row r="91" spans="1:12" ht="16.5" thickTop="1" x14ac:dyDescent="0.3">
      <c r="A91" s="557" t="s">
        <v>1104</v>
      </c>
      <c r="H91" s="526"/>
      <c r="I91" s="526"/>
    </row>
    <row r="92" spans="1:12" x14ac:dyDescent="0.3">
      <c r="H92" s="559"/>
      <c r="I92" s="559"/>
    </row>
    <row r="93" spans="1:12" x14ac:dyDescent="0.3">
      <c r="B93" s="545"/>
      <c r="F93" s="545"/>
      <c r="G93" s="545"/>
      <c r="H93" s="559"/>
      <c r="I93" s="559"/>
    </row>
    <row r="94" spans="1:12" x14ac:dyDescent="0.3">
      <c r="F94" s="545"/>
      <c r="G94" s="545"/>
      <c r="H94" s="559"/>
      <c r="I94" s="559"/>
    </row>
    <row r="95" spans="1:12" x14ac:dyDescent="0.3">
      <c r="H95" s="559"/>
      <c r="I95" s="559"/>
      <c r="J95" s="560"/>
    </row>
    <row r="96" spans="1:12" ht="15.75" x14ac:dyDescent="0.3">
      <c r="A96" s="516"/>
      <c r="H96" s="545"/>
      <c r="I96" s="545"/>
      <c r="J96" s="560"/>
    </row>
  </sheetData>
  <mergeCells count="3">
    <mergeCell ref="A3:A4"/>
    <mergeCell ref="B3:G3"/>
    <mergeCell ref="H3:I3"/>
  </mergeCells>
  <pageMargins left="0.75" right="0.75" top="0.75" bottom="0.75" header="0.3" footer="0"/>
  <pageSetup paperSize="9" scale="54" fitToWidth="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R19"/>
  <sheetViews>
    <sheetView zoomScaleNormal="100" zoomScaleSheetLayoutView="70" workbookViewId="0">
      <pane xSplit="3" ySplit="4" topLeftCell="H5" activePane="bottomRight" state="frozen"/>
      <selection activeCell="I35" sqref="I35"/>
      <selection pane="topRight" activeCell="I35" sqref="I35"/>
      <selection pane="bottomLeft" activeCell="I35" sqref="I35"/>
      <selection pane="bottomRight"/>
    </sheetView>
  </sheetViews>
  <sheetFormatPr defaultRowHeight="20.100000000000001" customHeight="1" x14ac:dyDescent="0.25"/>
  <cols>
    <col min="1" max="1" width="1.28515625" style="1993" hidden="1" customWidth="1"/>
    <col min="2" max="2" width="6.28515625" style="1993" customWidth="1"/>
    <col min="3" max="3" width="53" style="1993" bestFit="1" customWidth="1"/>
    <col min="4" max="14" width="15.7109375" style="1993" customWidth="1"/>
    <col min="15" max="15" width="25.7109375" style="1993" customWidth="1"/>
    <col min="16" max="16" width="3" style="1993" customWidth="1"/>
    <col min="17" max="17" width="9.140625" style="1993" customWidth="1"/>
    <col min="18" max="253" width="9.140625" style="1993"/>
    <col min="254" max="254" width="40.28515625" style="1993" customWidth="1"/>
    <col min="255" max="255" width="14.42578125" style="1993" customWidth="1"/>
    <col min="256" max="256" width="16" style="1993" customWidth="1"/>
    <col min="257" max="257" width="14.42578125" style="1993" customWidth="1"/>
    <col min="258" max="258" width="16" style="1993" customWidth="1"/>
    <col min="259" max="259" width="3.42578125" style="1993" customWidth="1"/>
    <col min="260" max="509" width="9.140625" style="1993"/>
    <col min="510" max="510" width="40.28515625" style="1993" customWidth="1"/>
    <col min="511" max="511" width="14.42578125" style="1993" customWidth="1"/>
    <col min="512" max="512" width="16" style="1993" customWidth="1"/>
    <col min="513" max="513" width="14.42578125" style="1993" customWidth="1"/>
    <col min="514" max="514" width="16" style="1993" customWidth="1"/>
    <col min="515" max="515" width="3.42578125" style="1993" customWidth="1"/>
    <col min="516" max="765" width="9.140625" style="1993"/>
    <col min="766" max="766" width="40.28515625" style="1993" customWidth="1"/>
    <col min="767" max="767" width="14.42578125" style="1993" customWidth="1"/>
    <col min="768" max="768" width="16" style="1993" customWidth="1"/>
    <col min="769" max="769" width="14.42578125" style="1993" customWidth="1"/>
    <col min="770" max="770" width="16" style="1993" customWidth="1"/>
    <col min="771" max="771" width="3.42578125" style="1993" customWidth="1"/>
    <col min="772" max="1021" width="9.140625" style="1993"/>
    <col min="1022" max="1022" width="40.28515625" style="1993" customWidth="1"/>
    <col min="1023" max="1023" width="14.42578125" style="1993" customWidth="1"/>
    <col min="1024" max="1024" width="16" style="1993" customWidth="1"/>
    <col min="1025" max="1025" width="14.42578125" style="1993" customWidth="1"/>
    <col min="1026" max="1026" width="16" style="1993" customWidth="1"/>
    <col min="1027" max="1027" width="3.42578125" style="1993" customWidth="1"/>
    <col min="1028" max="1277" width="9.140625" style="1993"/>
    <col min="1278" max="1278" width="40.28515625" style="1993" customWidth="1"/>
    <col min="1279" max="1279" width="14.42578125" style="1993" customWidth="1"/>
    <col min="1280" max="1280" width="16" style="1993" customWidth="1"/>
    <col min="1281" max="1281" width="14.42578125" style="1993" customWidth="1"/>
    <col min="1282" max="1282" width="16" style="1993" customWidth="1"/>
    <col min="1283" max="1283" width="3.42578125" style="1993" customWidth="1"/>
    <col min="1284" max="1533" width="9.140625" style="1993"/>
    <col min="1534" max="1534" width="40.28515625" style="1993" customWidth="1"/>
    <col min="1535" max="1535" width="14.42578125" style="1993" customWidth="1"/>
    <col min="1536" max="1536" width="16" style="1993" customWidth="1"/>
    <col min="1537" max="1537" width="14.42578125" style="1993" customWidth="1"/>
    <col min="1538" max="1538" width="16" style="1993" customWidth="1"/>
    <col min="1539" max="1539" width="3.42578125" style="1993" customWidth="1"/>
    <col min="1540" max="1789" width="9.140625" style="1993"/>
    <col min="1790" max="1790" width="40.28515625" style="1993" customWidth="1"/>
    <col min="1791" max="1791" width="14.42578125" style="1993" customWidth="1"/>
    <col min="1792" max="1792" width="16" style="1993" customWidth="1"/>
    <col min="1793" max="1793" width="14.42578125" style="1993" customWidth="1"/>
    <col min="1794" max="1794" width="16" style="1993" customWidth="1"/>
    <col min="1795" max="1795" width="3.42578125" style="1993" customWidth="1"/>
    <col min="1796" max="2045" width="9.140625" style="1993"/>
    <col min="2046" max="2046" width="40.28515625" style="1993" customWidth="1"/>
    <col min="2047" max="2047" width="14.42578125" style="1993" customWidth="1"/>
    <col min="2048" max="2048" width="16" style="1993" customWidth="1"/>
    <col min="2049" max="2049" width="14.42578125" style="1993" customWidth="1"/>
    <col min="2050" max="2050" width="16" style="1993" customWidth="1"/>
    <col min="2051" max="2051" width="3.42578125" style="1993" customWidth="1"/>
    <col min="2052" max="2301" width="9.140625" style="1993"/>
    <col min="2302" max="2302" width="40.28515625" style="1993" customWidth="1"/>
    <col min="2303" max="2303" width="14.42578125" style="1993" customWidth="1"/>
    <col min="2304" max="2304" width="16" style="1993" customWidth="1"/>
    <col min="2305" max="2305" width="14.42578125" style="1993" customWidth="1"/>
    <col min="2306" max="2306" width="16" style="1993" customWidth="1"/>
    <col min="2307" max="2307" width="3.42578125" style="1993" customWidth="1"/>
    <col min="2308" max="2557" width="9.140625" style="1993"/>
    <col min="2558" max="2558" width="40.28515625" style="1993" customWidth="1"/>
    <col min="2559" max="2559" width="14.42578125" style="1993" customWidth="1"/>
    <col min="2560" max="2560" width="16" style="1993" customWidth="1"/>
    <col min="2561" max="2561" width="14.42578125" style="1993" customWidth="1"/>
    <col min="2562" max="2562" width="16" style="1993" customWidth="1"/>
    <col min="2563" max="2563" width="3.42578125" style="1993" customWidth="1"/>
    <col min="2564" max="2813" width="9.140625" style="1993"/>
    <col min="2814" max="2814" width="40.28515625" style="1993" customWidth="1"/>
    <col min="2815" max="2815" width="14.42578125" style="1993" customWidth="1"/>
    <col min="2816" max="2816" width="16" style="1993" customWidth="1"/>
    <col min="2817" max="2817" width="14.42578125" style="1993" customWidth="1"/>
    <col min="2818" max="2818" width="16" style="1993" customWidth="1"/>
    <col min="2819" max="2819" width="3.42578125" style="1993" customWidth="1"/>
    <col min="2820" max="3069" width="9.140625" style="1993"/>
    <col min="3070" max="3070" width="40.28515625" style="1993" customWidth="1"/>
    <col min="3071" max="3071" width="14.42578125" style="1993" customWidth="1"/>
    <col min="3072" max="3072" width="16" style="1993" customWidth="1"/>
    <col min="3073" max="3073" width="14.42578125" style="1993" customWidth="1"/>
    <col min="3074" max="3074" width="16" style="1993" customWidth="1"/>
    <col min="3075" max="3075" width="3.42578125" style="1993" customWidth="1"/>
    <col min="3076" max="3325" width="9.140625" style="1993"/>
    <col min="3326" max="3326" width="40.28515625" style="1993" customWidth="1"/>
    <col min="3327" max="3327" width="14.42578125" style="1993" customWidth="1"/>
    <col min="3328" max="3328" width="16" style="1993" customWidth="1"/>
    <col min="3329" max="3329" width="14.42578125" style="1993" customWidth="1"/>
    <col min="3330" max="3330" width="16" style="1993" customWidth="1"/>
    <col min="3331" max="3331" width="3.42578125" style="1993" customWidth="1"/>
    <col min="3332" max="3581" width="9.140625" style="1993"/>
    <col min="3582" max="3582" width="40.28515625" style="1993" customWidth="1"/>
    <col min="3583" max="3583" width="14.42578125" style="1993" customWidth="1"/>
    <col min="3584" max="3584" width="16" style="1993" customWidth="1"/>
    <col min="3585" max="3585" width="14.42578125" style="1993" customWidth="1"/>
    <col min="3586" max="3586" width="16" style="1993" customWidth="1"/>
    <col min="3587" max="3587" width="3.42578125" style="1993" customWidth="1"/>
    <col min="3588" max="3837" width="9.140625" style="1993"/>
    <col min="3838" max="3838" width="40.28515625" style="1993" customWidth="1"/>
    <col min="3839" max="3839" width="14.42578125" style="1993" customWidth="1"/>
    <col min="3840" max="3840" width="16" style="1993" customWidth="1"/>
    <col min="3841" max="3841" width="14.42578125" style="1993" customWidth="1"/>
    <col min="3842" max="3842" width="16" style="1993" customWidth="1"/>
    <col min="3843" max="3843" width="3.42578125" style="1993" customWidth="1"/>
    <col min="3844" max="4093" width="9.140625" style="1993"/>
    <col min="4094" max="4094" width="40.28515625" style="1993" customWidth="1"/>
    <col min="4095" max="4095" width="14.42578125" style="1993" customWidth="1"/>
    <col min="4096" max="4096" width="16" style="1993" customWidth="1"/>
    <col min="4097" max="4097" width="14.42578125" style="1993" customWidth="1"/>
    <col min="4098" max="4098" width="16" style="1993" customWidth="1"/>
    <col min="4099" max="4099" width="3.42578125" style="1993" customWidth="1"/>
    <col min="4100" max="4349" width="9.140625" style="1993"/>
    <col min="4350" max="4350" width="40.28515625" style="1993" customWidth="1"/>
    <col min="4351" max="4351" width="14.42578125" style="1993" customWidth="1"/>
    <col min="4352" max="4352" width="16" style="1993" customWidth="1"/>
    <col min="4353" max="4353" width="14.42578125" style="1993" customWidth="1"/>
    <col min="4354" max="4354" width="16" style="1993" customWidth="1"/>
    <col min="4355" max="4355" width="3.42578125" style="1993" customWidth="1"/>
    <col min="4356" max="4605" width="9.140625" style="1993"/>
    <col min="4606" max="4606" width="40.28515625" style="1993" customWidth="1"/>
    <col min="4607" max="4607" width="14.42578125" style="1993" customWidth="1"/>
    <col min="4608" max="4608" width="16" style="1993" customWidth="1"/>
    <col min="4609" max="4609" width="14.42578125" style="1993" customWidth="1"/>
    <col min="4610" max="4610" width="16" style="1993" customWidth="1"/>
    <col min="4611" max="4611" width="3.42578125" style="1993" customWidth="1"/>
    <col min="4612" max="4861" width="9.140625" style="1993"/>
    <col min="4862" max="4862" width="40.28515625" style="1993" customWidth="1"/>
    <col min="4863" max="4863" width="14.42578125" style="1993" customWidth="1"/>
    <col min="4864" max="4864" width="16" style="1993" customWidth="1"/>
    <col min="4865" max="4865" width="14.42578125" style="1993" customWidth="1"/>
    <col min="4866" max="4866" width="16" style="1993" customWidth="1"/>
    <col min="4867" max="4867" width="3.42578125" style="1993" customWidth="1"/>
    <col min="4868" max="5117" width="9.140625" style="1993"/>
    <col min="5118" max="5118" width="40.28515625" style="1993" customWidth="1"/>
    <col min="5119" max="5119" width="14.42578125" style="1993" customWidth="1"/>
    <col min="5120" max="5120" width="16" style="1993" customWidth="1"/>
    <col min="5121" max="5121" width="14.42578125" style="1993" customWidth="1"/>
    <col min="5122" max="5122" width="16" style="1993" customWidth="1"/>
    <col min="5123" max="5123" width="3.42578125" style="1993" customWidth="1"/>
    <col min="5124" max="5373" width="9.140625" style="1993"/>
    <col min="5374" max="5374" width="40.28515625" style="1993" customWidth="1"/>
    <col min="5375" max="5375" width="14.42578125" style="1993" customWidth="1"/>
    <col min="5376" max="5376" width="16" style="1993" customWidth="1"/>
    <col min="5377" max="5377" width="14.42578125" style="1993" customWidth="1"/>
    <col min="5378" max="5378" width="16" style="1993" customWidth="1"/>
    <col min="5379" max="5379" width="3.42578125" style="1993" customWidth="1"/>
    <col min="5380" max="5629" width="9.140625" style="1993"/>
    <col min="5630" max="5630" width="40.28515625" style="1993" customWidth="1"/>
    <col min="5631" max="5631" width="14.42578125" style="1993" customWidth="1"/>
    <col min="5632" max="5632" width="16" style="1993" customWidth="1"/>
    <col min="5633" max="5633" width="14.42578125" style="1993" customWidth="1"/>
    <col min="5634" max="5634" width="16" style="1993" customWidth="1"/>
    <col min="5635" max="5635" width="3.42578125" style="1993" customWidth="1"/>
    <col min="5636" max="5885" width="9.140625" style="1993"/>
    <col min="5886" max="5886" width="40.28515625" style="1993" customWidth="1"/>
    <col min="5887" max="5887" width="14.42578125" style="1993" customWidth="1"/>
    <col min="5888" max="5888" width="16" style="1993" customWidth="1"/>
    <col min="5889" max="5889" width="14.42578125" style="1993" customWidth="1"/>
    <col min="5890" max="5890" width="16" style="1993" customWidth="1"/>
    <col min="5891" max="5891" width="3.42578125" style="1993" customWidth="1"/>
    <col min="5892" max="6141" width="9.140625" style="1993"/>
    <col min="6142" max="6142" width="40.28515625" style="1993" customWidth="1"/>
    <col min="6143" max="6143" width="14.42578125" style="1993" customWidth="1"/>
    <col min="6144" max="6144" width="16" style="1993" customWidth="1"/>
    <col min="6145" max="6145" width="14.42578125" style="1993" customWidth="1"/>
    <col min="6146" max="6146" width="16" style="1993" customWidth="1"/>
    <col min="6147" max="6147" width="3.42578125" style="1993" customWidth="1"/>
    <col min="6148" max="6397" width="9.140625" style="1993"/>
    <col min="6398" max="6398" width="40.28515625" style="1993" customWidth="1"/>
    <col min="6399" max="6399" width="14.42578125" style="1993" customWidth="1"/>
    <col min="6400" max="6400" width="16" style="1993" customWidth="1"/>
    <col min="6401" max="6401" width="14.42578125" style="1993" customWidth="1"/>
    <col min="6402" max="6402" width="16" style="1993" customWidth="1"/>
    <col min="6403" max="6403" width="3.42578125" style="1993" customWidth="1"/>
    <col min="6404" max="6653" width="9.140625" style="1993"/>
    <col min="6654" max="6654" width="40.28515625" style="1993" customWidth="1"/>
    <col min="6655" max="6655" width="14.42578125" style="1993" customWidth="1"/>
    <col min="6656" max="6656" width="16" style="1993" customWidth="1"/>
    <col min="6657" max="6657" width="14.42578125" style="1993" customWidth="1"/>
    <col min="6658" max="6658" width="16" style="1993" customWidth="1"/>
    <col min="6659" max="6659" width="3.42578125" style="1993" customWidth="1"/>
    <col min="6660" max="6909" width="9.140625" style="1993"/>
    <col min="6910" max="6910" width="40.28515625" style="1993" customWidth="1"/>
    <col min="6911" max="6911" width="14.42578125" style="1993" customWidth="1"/>
    <col min="6912" max="6912" width="16" style="1993" customWidth="1"/>
    <col min="6913" max="6913" width="14.42578125" style="1993" customWidth="1"/>
    <col min="6914" max="6914" width="16" style="1993" customWidth="1"/>
    <col min="6915" max="6915" width="3.42578125" style="1993" customWidth="1"/>
    <col min="6916" max="7165" width="9.140625" style="1993"/>
    <col min="7166" max="7166" width="40.28515625" style="1993" customWidth="1"/>
    <col min="7167" max="7167" width="14.42578125" style="1993" customWidth="1"/>
    <col min="7168" max="7168" width="16" style="1993" customWidth="1"/>
    <col min="7169" max="7169" width="14.42578125" style="1993" customWidth="1"/>
    <col min="7170" max="7170" width="16" style="1993" customWidth="1"/>
    <col min="7171" max="7171" width="3.42578125" style="1993" customWidth="1"/>
    <col min="7172" max="7421" width="9.140625" style="1993"/>
    <col min="7422" max="7422" width="40.28515625" style="1993" customWidth="1"/>
    <col min="7423" max="7423" width="14.42578125" style="1993" customWidth="1"/>
    <col min="7424" max="7424" width="16" style="1993" customWidth="1"/>
    <col min="7425" max="7425" width="14.42578125" style="1993" customWidth="1"/>
    <col min="7426" max="7426" width="16" style="1993" customWidth="1"/>
    <col min="7427" max="7427" width="3.42578125" style="1993" customWidth="1"/>
    <col min="7428" max="7677" width="9.140625" style="1993"/>
    <col min="7678" max="7678" width="40.28515625" style="1993" customWidth="1"/>
    <col min="7679" max="7679" width="14.42578125" style="1993" customWidth="1"/>
    <col min="7680" max="7680" width="16" style="1993" customWidth="1"/>
    <col min="7681" max="7681" width="14.42578125" style="1993" customWidth="1"/>
    <col min="7682" max="7682" width="16" style="1993" customWidth="1"/>
    <col min="7683" max="7683" width="3.42578125" style="1993" customWidth="1"/>
    <col min="7684" max="7933" width="9.140625" style="1993"/>
    <col min="7934" max="7934" width="40.28515625" style="1993" customWidth="1"/>
    <col min="7935" max="7935" width="14.42578125" style="1993" customWidth="1"/>
    <col min="7936" max="7936" width="16" style="1993" customWidth="1"/>
    <col min="7937" max="7937" width="14.42578125" style="1993" customWidth="1"/>
    <col min="7938" max="7938" width="16" style="1993" customWidth="1"/>
    <col min="7939" max="7939" width="3.42578125" style="1993" customWidth="1"/>
    <col min="7940" max="8189" width="9.140625" style="1993"/>
    <col min="8190" max="8190" width="40.28515625" style="1993" customWidth="1"/>
    <col min="8191" max="8191" width="14.42578125" style="1993" customWidth="1"/>
    <col min="8192" max="8192" width="16" style="1993" customWidth="1"/>
    <col min="8193" max="8193" width="14.42578125" style="1993" customWidth="1"/>
    <col min="8194" max="8194" width="16" style="1993" customWidth="1"/>
    <col min="8195" max="8195" width="3.42578125" style="1993" customWidth="1"/>
    <col min="8196" max="8445" width="9.140625" style="1993"/>
    <col min="8446" max="8446" width="40.28515625" style="1993" customWidth="1"/>
    <col min="8447" max="8447" width="14.42578125" style="1993" customWidth="1"/>
    <col min="8448" max="8448" width="16" style="1993" customWidth="1"/>
    <col min="8449" max="8449" width="14.42578125" style="1993" customWidth="1"/>
    <col min="8450" max="8450" width="16" style="1993" customWidth="1"/>
    <col min="8451" max="8451" width="3.42578125" style="1993" customWidth="1"/>
    <col min="8452" max="8701" width="9.140625" style="1993"/>
    <col min="8702" max="8702" width="40.28515625" style="1993" customWidth="1"/>
    <col min="8703" max="8703" width="14.42578125" style="1993" customWidth="1"/>
    <col min="8704" max="8704" width="16" style="1993" customWidth="1"/>
    <col min="8705" max="8705" width="14.42578125" style="1993" customWidth="1"/>
    <col min="8706" max="8706" width="16" style="1993" customWidth="1"/>
    <col min="8707" max="8707" width="3.42578125" style="1993" customWidth="1"/>
    <col min="8708" max="8957" width="9.140625" style="1993"/>
    <col min="8958" max="8958" width="40.28515625" style="1993" customWidth="1"/>
    <col min="8959" max="8959" width="14.42578125" style="1993" customWidth="1"/>
    <col min="8960" max="8960" width="16" style="1993" customWidth="1"/>
    <col min="8961" max="8961" width="14.42578125" style="1993" customWidth="1"/>
    <col min="8962" max="8962" width="16" style="1993" customWidth="1"/>
    <col min="8963" max="8963" width="3.42578125" style="1993" customWidth="1"/>
    <col min="8964" max="9213" width="9.140625" style="1993"/>
    <col min="9214" max="9214" width="40.28515625" style="1993" customWidth="1"/>
    <col min="9215" max="9215" width="14.42578125" style="1993" customWidth="1"/>
    <col min="9216" max="9216" width="16" style="1993" customWidth="1"/>
    <col min="9217" max="9217" width="14.42578125" style="1993" customWidth="1"/>
    <col min="9218" max="9218" width="16" style="1993" customWidth="1"/>
    <col min="9219" max="9219" width="3.42578125" style="1993" customWidth="1"/>
    <col min="9220" max="9469" width="9.140625" style="1993"/>
    <col min="9470" max="9470" width="40.28515625" style="1993" customWidth="1"/>
    <col min="9471" max="9471" width="14.42578125" style="1993" customWidth="1"/>
    <col min="9472" max="9472" width="16" style="1993" customWidth="1"/>
    <col min="9473" max="9473" width="14.42578125" style="1993" customWidth="1"/>
    <col min="9474" max="9474" width="16" style="1993" customWidth="1"/>
    <col min="9475" max="9475" width="3.42578125" style="1993" customWidth="1"/>
    <col min="9476" max="9725" width="9.140625" style="1993"/>
    <col min="9726" max="9726" width="40.28515625" style="1993" customWidth="1"/>
    <col min="9727" max="9727" width="14.42578125" style="1993" customWidth="1"/>
    <col min="9728" max="9728" width="16" style="1993" customWidth="1"/>
    <col min="9729" max="9729" width="14.42578125" style="1993" customWidth="1"/>
    <col min="9730" max="9730" width="16" style="1993" customWidth="1"/>
    <col min="9731" max="9731" width="3.42578125" style="1993" customWidth="1"/>
    <col min="9732" max="9981" width="9.140625" style="1993"/>
    <col min="9982" max="9982" width="40.28515625" style="1993" customWidth="1"/>
    <col min="9983" max="9983" width="14.42578125" style="1993" customWidth="1"/>
    <col min="9984" max="9984" width="16" style="1993" customWidth="1"/>
    <col min="9985" max="9985" width="14.42578125" style="1993" customWidth="1"/>
    <col min="9986" max="9986" width="16" style="1993" customWidth="1"/>
    <col min="9987" max="9987" width="3.42578125" style="1993" customWidth="1"/>
    <col min="9988" max="10237" width="9.140625" style="1993"/>
    <col min="10238" max="10238" width="40.28515625" style="1993" customWidth="1"/>
    <col min="10239" max="10239" width="14.42578125" style="1993" customWidth="1"/>
    <col min="10240" max="10240" width="16" style="1993" customWidth="1"/>
    <col min="10241" max="10241" width="14.42578125" style="1993" customWidth="1"/>
    <col min="10242" max="10242" width="16" style="1993" customWidth="1"/>
    <col min="10243" max="10243" width="3.42578125" style="1993" customWidth="1"/>
    <col min="10244" max="10493" width="9.140625" style="1993"/>
    <col min="10494" max="10494" width="40.28515625" style="1993" customWidth="1"/>
    <col min="10495" max="10495" width="14.42578125" style="1993" customWidth="1"/>
    <col min="10496" max="10496" width="16" style="1993" customWidth="1"/>
    <col min="10497" max="10497" width="14.42578125" style="1993" customWidth="1"/>
    <col min="10498" max="10498" width="16" style="1993" customWidth="1"/>
    <col min="10499" max="10499" width="3.42578125" style="1993" customWidth="1"/>
    <col min="10500" max="10749" width="9.140625" style="1993"/>
    <col min="10750" max="10750" width="40.28515625" style="1993" customWidth="1"/>
    <col min="10751" max="10751" width="14.42578125" style="1993" customWidth="1"/>
    <col min="10752" max="10752" width="16" style="1993" customWidth="1"/>
    <col min="10753" max="10753" width="14.42578125" style="1993" customWidth="1"/>
    <col min="10754" max="10754" width="16" style="1993" customWidth="1"/>
    <col min="10755" max="10755" width="3.42578125" style="1993" customWidth="1"/>
    <col min="10756" max="11005" width="9.140625" style="1993"/>
    <col min="11006" max="11006" width="40.28515625" style="1993" customWidth="1"/>
    <col min="11007" max="11007" width="14.42578125" style="1993" customWidth="1"/>
    <col min="11008" max="11008" width="16" style="1993" customWidth="1"/>
    <col min="11009" max="11009" width="14.42578125" style="1993" customWidth="1"/>
    <col min="11010" max="11010" width="16" style="1993" customWidth="1"/>
    <col min="11011" max="11011" width="3.42578125" style="1993" customWidth="1"/>
    <col min="11012" max="11261" width="9.140625" style="1993"/>
    <col min="11262" max="11262" width="40.28515625" style="1993" customWidth="1"/>
    <col min="11263" max="11263" width="14.42578125" style="1993" customWidth="1"/>
    <col min="11264" max="11264" width="16" style="1993" customWidth="1"/>
    <col min="11265" max="11265" width="14.42578125" style="1993" customWidth="1"/>
    <col min="11266" max="11266" width="16" style="1993" customWidth="1"/>
    <col min="11267" max="11267" width="3.42578125" style="1993" customWidth="1"/>
    <col min="11268" max="11517" width="9.140625" style="1993"/>
    <col min="11518" max="11518" width="40.28515625" style="1993" customWidth="1"/>
    <col min="11519" max="11519" width="14.42578125" style="1993" customWidth="1"/>
    <col min="11520" max="11520" width="16" style="1993" customWidth="1"/>
    <col min="11521" max="11521" width="14.42578125" style="1993" customWidth="1"/>
    <col min="11522" max="11522" width="16" style="1993" customWidth="1"/>
    <col min="11523" max="11523" width="3.42578125" style="1993" customWidth="1"/>
    <col min="11524" max="11773" width="9.140625" style="1993"/>
    <col min="11774" max="11774" width="40.28515625" style="1993" customWidth="1"/>
    <col min="11775" max="11775" width="14.42578125" style="1993" customWidth="1"/>
    <col min="11776" max="11776" width="16" style="1993" customWidth="1"/>
    <col min="11777" max="11777" width="14.42578125" style="1993" customWidth="1"/>
    <col min="11778" max="11778" width="16" style="1993" customWidth="1"/>
    <col min="11779" max="11779" width="3.42578125" style="1993" customWidth="1"/>
    <col min="11780" max="12029" width="9.140625" style="1993"/>
    <col min="12030" max="12030" width="40.28515625" style="1993" customWidth="1"/>
    <col min="12031" max="12031" width="14.42578125" style="1993" customWidth="1"/>
    <col min="12032" max="12032" width="16" style="1993" customWidth="1"/>
    <col min="12033" max="12033" width="14.42578125" style="1993" customWidth="1"/>
    <col min="12034" max="12034" width="16" style="1993" customWidth="1"/>
    <col min="12035" max="12035" width="3.42578125" style="1993" customWidth="1"/>
    <col min="12036" max="12285" width="9.140625" style="1993"/>
    <col min="12286" max="12286" width="40.28515625" style="1993" customWidth="1"/>
    <col min="12287" max="12287" width="14.42578125" style="1993" customWidth="1"/>
    <col min="12288" max="12288" width="16" style="1993" customWidth="1"/>
    <col min="12289" max="12289" width="14.42578125" style="1993" customWidth="1"/>
    <col min="12290" max="12290" width="16" style="1993" customWidth="1"/>
    <col min="12291" max="12291" width="3.42578125" style="1993" customWidth="1"/>
    <col min="12292" max="12541" width="9.140625" style="1993"/>
    <col min="12542" max="12542" width="40.28515625" style="1993" customWidth="1"/>
    <col min="12543" max="12543" width="14.42578125" style="1993" customWidth="1"/>
    <col min="12544" max="12544" width="16" style="1993" customWidth="1"/>
    <col min="12545" max="12545" width="14.42578125" style="1993" customWidth="1"/>
    <col min="12546" max="12546" width="16" style="1993" customWidth="1"/>
    <col min="12547" max="12547" width="3.42578125" style="1993" customWidth="1"/>
    <col min="12548" max="12797" width="9.140625" style="1993"/>
    <col min="12798" max="12798" width="40.28515625" style="1993" customWidth="1"/>
    <col min="12799" max="12799" width="14.42578125" style="1993" customWidth="1"/>
    <col min="12800" max="12800" width="16" style="1993" customWidth="1"/>
    <col min="12801" max="12801" width="14.42578125" style="1993" customWidth="1"/>
    <col min="12802" max="12802" width="16" style="1993" customWidth="1"/>
    <col min="12803" max="12803" width="3.42578125" style="1993" customWidth="1"/>
    <col min="12804" max="13053" width="9.140625" style="1993"/>
    <col min="13054" max="13054" width="40.28515625" style="1993" customWidth="1"/>
    <col min="13055" max="13055" width="14.42578125" style="1993" customWidth="1"/>
    <col min="13056" max="13056" width="16" style="1993" customWidth="1"/>
    <col min="13057" max="13057" width="14.42578125" style="1993" customWidth="1"/>
    <col min="13058" max="13058" width="16" style="1993" customWidth="1"/>
    <col min="13059" max="13059" width="3.42578125" style="1993" customWidth="1"/>
    <col min="13060" max="13309" width="9.140625" style="1993"/>
    <col min="13310" max="13310" width="40.28515625" style="1993" customWidth="1"/>
    <col min="13311" max="13311" width="14.42578125" style="1993" customWidth="1"/>
    <col min="13312" max="13312" width="16" style="1993" customWidth="1"/>
    <col min="13313" max="13313" width="14.42578125" style="1993" customWidth="1"/>
    <col min="13314" max="13314" width="16" style="1993" customWidth="1"/>
    <col min="13315" max="13315" width="3.42578125" style="1993" customWidth="1"/>
    <col min="13316" max="13565" width="9.140625" style="1993"/>
    <col min="13566" max="13566" width="40.28515625" style="1993" customWidth="1"/>
    <col min="13567" max="13567" width="14.42578125" style="1993" customWidth="1"/>
    <col min="13568" max="13568" width="16" style="1993" customWidth="1"/>
    <col min="13569" max="13569" width="14.42578125" style="1993" customWidth="1"/>
    <col min="13570" max="13570" width="16" style="1993" customWidth="1"/>
    <col min="13571" max="13571" width="3.42578125" style="1993" customWidth="1"/>
    <col min="13572" max="13821" width="9.140625" style="1993"/>
    <col min="13822" max="13822" width="40.28515625" style="1993" customWidth="1"/>
    <col min="13823" max="13823" width="14.42578125" style="1993" customWidth="1"/>
    <col min="13824" max="13824" width="16" style="1993" customWidth="1"/>
    <col min="13825" max="13825" width="14.42578125" style="1993" customWidth="1"/>
    <col min="13826" max="13826" width="16" style="1993" customWidth="1"/>
    <col min="13827" max="13827" width="3.42578125" style="1993" customWidth="1"/>
    <col min="13828" max="14077" width="9.140625" style="1993"/>
    <col min="14078" max="14078" width="40.28515625" style="1993" customWidth="1"/>
    <col min="14079" max="14079" width="14.42578125" style="1993" customWidth="1"/>
    <col min="14080" max="14080" width="16" style="1993" customWidth="1"/>
    <col min="14081" max="14081" width="14.42578125" style="1993" customWidth="1"/>
    <col min="14082" max="14082" width="16" style="1993" customWidth="1"/>
    <col min="14083" max="14083" width="3.42578125" style="1993" customWidth="1"/>
    <col min="14084" max="14333" width="9.140625" style="1993"/>
    <col min="14334" max="14334" width="40.28515625" style="1993" customWidth="1"/>
    <col min="14335" max="14335" width="14.42578125" style="1993" customWidth="1"/>
    <col min="14336" max="14336" width="16" style="1993" customWidth="1"/>
    <col min="14337" max="14337" width="14.42578125" style="1993" customWidth="1"/>
    <col min="14338" max="14338" width="16" style="1993" customWidth="1"/>
    <col min="14339" max="14339" width="3.42578125" style="1993" customWidth="1"/>
    <col min="14340" max="14589" width="9.140625" style="1993"/>
    <col min="14590" max="14590" width="40.28515625" style="1993" customWidth="1"/>
    <col min="14591" max="14591" width="14.42578125" style="1993" customWidth="1"/>
    <col min="14592" max="14592" width="16" style="1993" customWidth="1"/>
    <col min="14593" max="14593" width="14.42578125" style="1993" customWidth="1"/>
    <col min="14594" max="14594" width="16" style="1993" customWidth="1"/>
    <col min="14595" max="14595" width="3.42578125" style="1993" customWidth="1"/>
    <col min="14596" max="14845" width="9.140625" style="1993"/>
    <col min="14846" max="14846" width="40.28515625" style="1993" customWidth="1"/>
    <col min="14847" max="14847" width="14.42578125" style="1993" customWidth="1"/>
    <col min="14848" max="14848" width="16" style="1993" customWidth="1"/>
    <col min="14849" max="14849" width="14.42578125" style="1993" customWidth="1"/>
    <col min="14850" max="14850" width="16" style="1993" customWidth="1"/>
    <col min="14851" max="14851" width="3.42578125" style="1993" customWidth="1"/>
    <col min="14852" max="15101" width="9.140625" style="1993"/>
    <col min="15102" max="15102" width="40.28515625" style="1993" customWidth="1"/>
    <col min="15103" max="15103" width="14.42578125" style="1993" customWidth="1"/>
    <col min="15104" max="15104" width="16" style="1993" customWidth="1"/>
    <col min="15105" max="15105" width="14.42578125" style="1993" customWidth="1"/>
    <col min="15106" max="15106" width="16" style="1993" customWidth="1"/>
    <col min="15107" max="15107" width="3.42578125" style="1993" customWidth="1"/>
    <col min="15108" max="15357" width="9.140625" style="1993"/>
    <col min="15358" max="15358" width="40.28515625" style="1993" customWidth="1"/>
    <col min="15359" max="15359" width="14.42578125" style="1993" customWidth="1"/>
    <col min="15360" max="15360" width="16" style="1993" customWidth="1"/>
    <col min="15361" max="15361" width="14.42578125" style="1993" customWidth="1"/>
    <col min="15362" max="15362" width="16" style="1993" customWidth="1"/>
    <col min="15363" max="15363" width="3.42578125" style="1993" customWidth="1"/>
    <col min="15364" max="15613" width="9.140625" style="1993"/>
    <col min="15614" max="15614" width="40.28515625" style="1993" customWidth="1"/>
    <col min="15615" max="15615" width="14.42578125" style="1993" customWidth="1"/>
    <col min="15616" max="15616" width="16" style="1993" customWidth="1"/>
    <col min="15617" max="15617" width="14.42578125" style="1993" customWidth="1"/>
    <col min="15618" max="15618" width="16" style="1993" customWidth="1"/>
    <col min="15619" max="15619" width="3.42578125" style="1993" customWidth="1"/>
    <col min="15620" max="15869" width="9.140625" style="1993"/>
    <col min="15870" max="15870" width="40.28515625" style="1993" customWidth="1"/>
    <col min="15871" max="15871" width="14.42578125" style="1993" customWidth="1"/>
    <col min="15872" max="15872" width="16" style="1993" customWidth="1"/>
    <col min="15873" max="15873" width="14.42578125" style="1993" customWidth="1"/>
    <col min="15874" max="15874" width="16" style="1993" customWidth="1"/>
    <col min="15875" max="15875" width="3.42578125" style="1993" customWidth="1"/>
    <col min="15876" max="16125" width="9.140625" style="1993"/>
    <col min="16126" max="16126" width="40.28515625" style="1993" customWidth="1"/>
    <col min="16127" max="16127" width="14.42578125" style="1993" customWidth="1"/>
    <col min="16128" max="16128" width="16" style="1993" customWidth="1"/>
    <col min="16129" max="16129" width="14.42578125" style="1993" customWidth="1"/>
    <col min="16130" max="16130" width="16" style="1993" customWidth="1"/>
    <col min="16131" max="16131" width="3.42578125" style="1993" customWidth="1"/>
    <col min="16132" max="16384" width="9.140625" style="1993"/>
  </cols>
  <sheetData>
    <row r="1" spans="2:18" ht="20.100000000000001" customHeight="1" x14ac:dyDescent="0.25">
      <c r="B1" s="1991" t="s">
        <v>3618</v>
      </c>
      <c r="C1" s="1992"/>
    </row>
    <row r="2" spans="2:18" ht="20.100000000000001" customHeight="1" thickBot="1" x14ac:dyDescent="0.3">
      <c r="B2" s="1992"/>
      <c r="C2" s="1994"/>
      <c r="D2" s="1995"/>
      <c r="E2" s="1995"/>
      <c r="F2" s="1995"/>
      <c r="G2" s="1995"/>
      <c r="H2" s="1995"/>
      <c r="I2" s="1995"/>
      <c r="J2" s="1995"/>
      <c r="K2" s="1995"/>
      <c r="L2" s="1995"/>
      <c r="M2" s="1995"/>
      <c r="N2" s="1995"/>
      <c r="O2" s="1995"/>
    </row>
    <row r="3" spans="2:18" s="1918" customFormat="1" ht="20.100000000000001" customHeight="1" thickBot="1" x14ac:dyDescent="0.3">
      <c r="B3" s="3793"/>
      <c r="C3" s="3794"/>
      <c r="D3" s="3797" t="s">
        <v>3619</v>
      </c>
      <c r="E3" s="3798"/>
      <c r="F3" s="3797" t="s">
        <v>3620</v>
      </c>
      <c r="G3" s="3798"/>
      <c r="H3" s="3797" t="s">
        <v>3621</v>
      </c>
      <c r="I3" s="3798"/>
      <c r="J3" s="3799" t="s">
        <v>3622</v>
      </c>
      <c r="K3" s="3800"/>
      <c r="L3" s="3800"/>
      <c r="M3" s="3792" t="s">
        <v>3623</v>
      </c>
      <c r="N3" s="3792"/>
      <c r="O3" s="1996" t="s">
        <v>3624</v>
      </c>
      <c r="Q3" s="1993"/>
      <c r="R3" s="1948"/>
    </row>
    <row r="4" spans="2:18" s="1918" customFormat="1" ht="20.100000000000001" customHeight="1" thickBot="1" x14ac:dyDescent="0.3">
      <c r="B4" s="3795"/>
      <c r="C4" s="3796"/>
      <c r="D4" s="1997" t="s">
        <v>3625</v>
      </c>
      <c r="E4" s="1997" t="s">
        <v>3626</v>
      </c>
      <c r="F4" s="1997" t="s">
        <v>3627</v>
      </c>
      <c r="G4" s="1997" t="s">
        <v>3628</v>
      </c>
      <c r="H4" s="1998" t="s">
        <v>3629</v>
      </c>
      <c r="I4" s="1997" t="s">
        <v>3630</v>
      </c>
      <c r="J4" s="1997" t="s">
        <v>3631</v>
      </c>
      <c r="K4" s="1997" t="s">
        <v>3632</v>
      </c>
      <c r="L4" s="1997" t="s">
        <v>3633</v>
      </c>
      <c r="M4" s="1997" t="s">
        <v>3634</v>
      </c>
      <c r="N4" s="1997" t="s">
        <v>3635</v>
      </c>
      <c r="O4" s="1999" t="s">
        <v>3636</v>
      </c>
    </row>
    <row r="5" spans="2:18" s="1918" customFormat="1" ht="20.100000000000001" customHeight="1" x14ac:dyDescent="0.25">
      <c r="B5" s="2000">
        <v>1</v>
      </c>
      <c r="C5" s="1955" t="s">
        <v>3637</v>
      </c>
      <c r="D5" s="1956" t="s">
        <v>115</v>
      </c>
      <c r="E5" s="1956">
        <v>3500</v>
      </c>
      <c r="F5" s="1957">
        <v>3500</v>
      </c>
      <c r="G5" s="1957" t="s">
        <v>115</v>
      </c>
      <c r="H5" s="1956" t="s">
        <v>115</v>
      </c>
      <c r="I5" s="1956">
        <v>3500</v>
      </c>
      <c r="J5" s="1956">
        <v>3000</v>
      </c>
      <c r="K5" s="1956" t="s">
        <v>115</v>
      </c>
      <c r="L5" s="1956">
        <v>3000</v>
      </c>
      <c r="M5" s="1956">
        <v>5000</v>
      </c>
      <c r="N5" s="1956" t="s">
        <v>115</v>
      </c>
      <c r="O5" s="1956">
        <v>1400</v>
      </c>
    </row>
    <row r="6" spans="2:18" s="1918" customFormat="1" ht="20.100000000000001" customHeight="1" x14ac:dyDescent="0.25">
      <c r="B6" s="1933">
        <v>2</v>
      </c>
      <c r="C6" s="1937" t="s">
        <v>3638</v>
      </c>
      <c r="D6" s="1956">
        <v>2000</v>
      </c>
      <c r="E6" s="1956">
        <v>8750</v>
      </c>
      <c r="F6" s="1957">
        <v>6900</v>
      </c>
      <c r="G6" s="1957">
        <v>1400</v>
      </c>
      <c r="H6" s="1956">
        <v>1000</v>
      </c>
      <c r="I6" s="1956">
        <v>8750</v>
      </c>
      <c r="J6" s="1956">
        <v>7100</v>
      </c>
      <c r="K6" s="1956">
        <v>500</v>
      </c>
      <c r="L6" s="1956">
        <v>5650</v>
      </c>
      <c r="M6" s="1956">
        <v>12400</v>
      </c>
      <c r="N6" s="1956">
        <v>5000</v>
      </c>
      <c r="O6" s="1956">
        <v>3296</v>
      </c>
    </row>
    <row r="7" spans="2:18" s="1918" customFormat="1" ht="20.100000000000001" customHeight="1" x14ac:dyDescent="0.25">
      <c r="B7" s="1933">
        <v>3</v>
      </c>
      <c r="C7" s="1937" t="s">
        <v>3639</v>
      </c>
      <c r="D7" s="1956">
        <v>2000</v>
      </c>
      <c r="E7" s="1956">
        <v>3500</v>
      </c>
      <c r="F7" s="1957">
        <v>2100</v>
      </c>
      <c r="G7" s="1957">
        <v>1400</v>
      </c>
      <c r="H7" s="1956">
        <v>1000</v>
      </c>
      <c r="I7" s="1956">
        <v>3500</v>
      </c>
      <c r="J7" s="1956">
        <v>100</v>
      </c>
      <c r="K7" s="1956">
        <v>500</v>
      </c>
      <c r="L7" s="1956" t="s">
        <v>115</v>
      </c>
      <c r="M7" s="1956">
        <v>400</v>
      </c>
      <c r="N7" s="1956">
        <v>5000</v>
      </c>
      <c r="O7" s="1956">
        <v>1400</v>
      </c>
    </row>
    <row r="8" spans="2:18" s="1918" customFormat="1" ht="20.100000000000001" customHeight="1" x14ac:dyDescent="0.25">
      <c r="B8" s="1933">
        <v>4</v>
      </c>
      <c r="C8" s="1937" t="s">
        <v>3640</v>
      </c>
      <c r="D8" s="1958">
        <v>1.62</v>
      </c>
      <c r="E8" s="1958">
        <v>0.95</v>
      </c>
      <c r="F8" s="1959">
        <v>1.79</v>
      </c>
      <c r="G8" s="1959">
        <v>1.79</v>
      </c>
      <c r="H8" s="1958">
        <v>1.89</v>
      </c>
      <c r="I8" s="1958">
        <v>1.45</v>
      </c>
      <c r="J8" s="1958">
        <v>1.9</v>
      </c>
      <c r="K8" s="1958">
        <v>1.9</v>
      </c>
      <c r="L8" s="1958">
        <v>1.9</v>
      </c>
      <c r="M8" s="1958">
        <v>1.95</v>
      </c>
      <c r="N8" s="1958">
        <v>1.95</v>
      </c>
      <c r="O8" s="1958">
        <v>6.95</v>
      </c>
    </row>
    <row r="9" spans="2:18" s="1918" customFormat="1" ht="20.100000000000001" customHeight="1" x14ac:dyDescent="0.25">
      <c r="B9" s="1933">
        <v>5</v>
      </c>
      <c r="C9" s="1937" t="s">
        <v>3641</v>
      </c>
      <c r="D9" s="1959" t="s">
        <v>3642</v>
      </c>
      <c r="E9" s="1959">
        <v>1.1399999999999999</v>
      </c>
      <c r="F9" s="1959">
        <v>1.82</v>
      </c>
      <c r="G9" s="1959" t="s">
        <v>115</v>
      </c>
      <c r="H9" s="1958" t="s">
        <v>115</v>
      </c>
      <c r="I9" s="1958">
        <v>1.45</v>
      </c>
      <c r="J9" s="1958">
        <v>1.9</v>
      </c>
      <c r="K9" s="1958" t="s">
        <v>115</v>
      </c>
      <c r="L9" s="1958" t="s">
        <v>115</v>
      </c>
      <c r="M9" s="1958">
        <v>2.12</v>
      </c>
      <c r="N9" s="1958" t="s">
        <v>115</v>
      </c>
      <c r="O9" s="1958">
        <v>7.9</v>
      </c>
    </row>
    <row r="10" spans="2:18" s="1918" customFormat="1" ht="20.100000000000001" customHeight="1" x14ac:dyDescent="0.25">
      <c r="B10" s="1933">
        <v>6</v>
      </c>
      <c r="C10" s="1937" t="s">
        <v>3643</v>
      </c>
      <c r="D10" s="1958">
        <v>1.69</v>
      </c>
      <c r="E10" s="1958">
        <v>1.04</v>
      </c>
      <c r="F10" s="1959">
        <v>1.8</v>
      </c>
      <c r="G10" s="1959">
        <v>1.8</v>
      </c>
      <c r="H10" s="1958">
        <v>1.89</v>
      </c>
      <c r="I10" s="1958">
        <v>1.45</v>
      </c>
      <c r="J10" s="1958">
        <v>1.9</v>
      </c>
      <c r="K10" s="1958">
        <v>1.9</v>
      </c>
      <c r="L10" s="1958" t="s">
        <v>115</v>
      </c>
      <c r="M10" s="1958">
        <v>2.02</v>
      </c>
      <c r="N10" s="1958">
        <v>2.02</v>
      </c>
      <c r="O10" s="1958">
        <v>7.6</v>
      </c>
    </row>
    <row r="11" spans="2:18" s="1918" customFormat="1" ht="20.100000000000001" customHeight="1" x14ac:dyDescent="0.25">
      <c r="B11" s="1933">
        <v>7</v>
      </c>
      <c r="C11" s="1937" t="s">
        <v>3644</v>
      </c>
      <c r="D11" s="1960">
        <v>99.863</v>
      </c>
      <c r="E11" s="1960">
        <v>99.822000000000003</v>
      </c>
      <c r="F11" s="1961">
        <v>99.971000000000004</v>
      </c>
      <c r="G11" s="1961">
        <v>99.971000000000004</v>
      </c>
      <c r="H11" s="1958">
        <v>100</v>
      </c>
      <c r="I11" s="1958">
        <v>100</v>
      </c>
      <c r="J11" s="1960">
        <v>100</v>
      </c>
      <c r="K11" s="1960">
        <v>100</v>
      </c>
      <c r="L11" s="1960" t="s">
        <v>115</v>
      </c>
      <c r="M11" s="1960">
        <v>99.369</v>
      </c>
      <c r="N11" s="1960">
        <v>99.369</v>
      </c>
      <c r="O11" s="1958" t="s">
        <v>3645</v>
      </c>
    </row>
    <row r="12" spans="2:18" s="1918" customFormat="1" ht="20.100000000000001" customHeight="1" thickBot="1" x14ac:dyDescent="0.3">
      <c r="B12" s="2001"/>
      <c r="C12" s="1926"/>
      <c r="D12" s="1963"/>
      <c r="E12" s="1963"/>
      <c r="F12" s="1964"/>
      <c r="G12" s="1964"/>
      <c r="H12" s="1963"/>
      <c r="I12" s="1963"/>
      <c r="J12" s="1963"/>
      <c r="K12" s="1963"/>
      <c r="L12" s="1963"/>
      <c r="M12" s="1963"/>
      <c r="N12" s="1963"/>
      <c r="O12" s="1963"/>
    </row>
    <row r="13" spans="2:18" s="1918" customFormat="1" ht="20.100000000000001" customHeight="1" x14ac:dyDescent="0.25">
      <c r="B13" s="2002" t="s">
        <v>3646</v>
      </c>
      <c r="C13" s="2003"/>
      <c r="D13" s="2004"/>
      <c r="E13" s="2004"/>
      <c r="F13" s="2005"/>
      <c r="G13" s="2005"/>
      <c r="H13" s="2005"/>
      <c r="I13" s="2005"/>
      <c r="J13" s="2005"/>
      <c r="K13" s="2005"/>
      <c r="L13" s="2005"/>
      <c r="M13" s="2005"/>
      <c r="N13" s="2005"/>
    </row>
    <row r="14" spans="2:18" s="1918" customFormat="1" ht="20.100000000000001" customHeight="1" x14ac:dyDescent="0.25">
      <c r="B14" s="2002" t="s">
        <v>3647</v>
      </c>
      <c r="C14" s="2003"/>
      <c r="D14" s="2004"/>
      <c r="E14" s="2004"/>
      <c r="F14" s="2005"/>
      <c r="G14" s="2005"/>
      <c r="H14" s="2005"/>
      <c r="I14" s="2005"/>
      <c r="J14" s="2005"/>
      <c r="K14" s="2005"/>
      <c r="L14" s="2005"/>
      <c r="M14" s="2005"/>
      <c r="N14" s="2005"/>
    </row>
    <row r="15" spans="2:18" s="1918" customFormat="1" ht="20.100000000000001" customHeight="1" x14ac:dyDescent="0.25">
      <c r="B15" s="2002" t="s">
        <v>3648</v>
      </c>
      <c r="C15" s="2003"/>
      <c r="D15" s="2004"/>
      <c r="F15" s="2005"/>
      <c r="G15" s="2005"/>
      <c r="H15" s="2005"/>
      <c r="I15" s="2005"/>
      <c r="J15" s="2005"/>
      <c r="K15" s="2005"/>
      <c r="L15" s="2005"/>
      <c r="M15" s="2005"/>
      <c r="N15" s="2005"/>
    </row>
    <row r="16" spans="2:18" s="1918" customFormat="1" ht="20.100000000000001" customHeight="1" x14ac:dyDescent="0.25">
      <c r="B16" s="2002" t="s">
        <v>3649</v>
      </c>
      <c r="C16" s="2003"/>
      <c r="D16" s="2004"/>
      <c r="F16" s="2005"/>
      <c r="G16" s="2005"/>
      <c r="H16" s="2005"/>
      <c r="I16" s="2005"/>
      <c r="J16" s="2005"/>
      <c r="K16" s="2005"/>
      <c r="L16" s="2005"/>
      <c r="M16" s="2005"/>
      <c r="N16" s="2005"/>
    </row>
    <row r="17" spans="2:14" s="1918" customFormat="1" ht="20.100000000000001" customHeight="1" x14ac:dyDescent="0.25">
      <c r="B17" s="2002" t="s">
        <v>3650</v>
      </c>
      <c r="C17" s="2003"/>
      <c r="D17" s="2004"/>
      <c r="F17" s="2005"/>
      <c r="G17" s="2005"/>
      <c r="H17" s="2005"/>
      <c r="I17" s="2005"/>
      <c r="J17" s="2005"/>
      <c r="K17" s="2005"/>
      <c r="L17" s="2005"/>
      <c r="M17" s="2005"/>
      <c r="N17" s="2005"/>
    </row>
    <row r="18" spans="2:14" s="1918" customFormat="1" ht="20.100000000000001" customHeight="1" x14ac:dyDescent="0.25">
      <c r="B18" s="2002" t="s">
        <v>3651</v>
      </c>
      <c r="C18" s="2006"/>
      <c r="D18" s="2005"/>
      <c r="F18" s="2005"/>
      <c r="G18" s="2005"/>
      <c r="H18" s="2005"/>
      <c r="I18" s="2005"/>
      <c r="J18" s="2005"/>
      <c r="K18" s="2005"/>
      <c r="L18" s="2005"/>
      <c r="M18" s="2005"/>
      <c r="N18" s="2005"/>
    </row>
    <row r="19" spans="2:14" ht="20.100000000000001" customHeight="1" x14ac:dyDescent="0.25">
      <c r="B19" s="1967" t="s">
        <v>3553</v>
      </c>
      <c r="C19" s="2007"/>
    </row>
  </sheetData>
  <mergeCells count="6">
    <mergeCell ref="M3:N3"/>
    <mergeCell ref="B3:C4"/>
    <mergeCell ref="D3:E3"/>
    <mergeCell ref="F3:G3"/>
    <mergeCell ref="H3:I3"/>
    <mergeCell ref="J3:L3"/>
  </mergeCells>
  <pageMargins left="0.75" right="0.75" top="0.75" bottom="0.75" header="0.31496062992126" footer="0"/>
  <pageSetup paperSize="9" scale="50"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A18"/>
  <sheetViews>
    <sheetView zoomScaleNormal="100" zoomScaleSheetLayoutView="100" workbookViewId="0">
      <pane xSplit="2" ySplit="4" topLeftCell="C5" activePane="bottomRight" state="frozen"/>
      <selection activeCell="I35" sqref="I35"/>
      <selection pane="topRight" activeCell="I35" sqref="I35"/>
      <selection pane="bottomLeft" activeCell="I35" sqref="I35"/>
      <selection pane="bottomRight"/>
    </sheetView>
  </sheetViews>
  <sheetFormatPr defaultColWidth="9.140625" defaultRowHeight="20.100000000000001" customHeight="1" x14ac:dyDescent="0.25"/>
  <cols>
    <col min="1" max="1" width="5.140625" style="1885" customWidth="1"/>
    <col min="2" max="2" width="43.85546875" style="1885" bestFit="1" customWidth="1"/>
    <col min="3" max="6" width="15.7109375" style="1885" customWidth="1"/>
    <col min="7" max="7" width="3" style="1885" customWidth="1"/>
    <col min="8" max="13" width="9.28515625" style="1885" customWidth="1"/>
    <col min="14" max="16384" width="9.140625" style="1885"/>
  </cols>
  <sheetData>
    <row r="1" spans="1:27" ht="20.100000000000001" customHeight="1" x14ac:dyDescent="0.25">
      <c r="A1" s="1826" t="s">
        <v>3652</v>
      </c>
      <c r="B1" s="1827"/>
      <c r="C1" s="1827"/>
      <c r="D1" s="1827"/>
      <c r="E1" s="1827"/>
      <c r="F1" s="1827"/>
      <c r="G1" s="1827"/>
      <c r="H1" s="1827"/>
      <c r="I1" s="1828"/>
      <c r="J1" s="1828"/>
    </row>
    <row r="2" spans="1:27" ht="20.100000000000001" customHeight="1" thickBot="1" x14ac:dyDescent="0.3">
      <c r="A2" s="1827"/>
      <c r="B2" s="1827"/>
      <c r="C2" s="1876"/>
      <c r="D2" s="1876"/>
      <c r="E2" s="1876"/>
      <c r="F2" s="1876"/>
    </row>
    <row r="3" spans="1:27" ht="20.100000000000001" customHeight="1" thickBot="1" x14ac:dyDescent="0.3">
      <c r="A3" s="3771"/>
      <c r="B3" s="3801"/>
      <c r="C3" s="3773" t="s">
        <v>3547</v>
      </c>
      <c r="D3" s="3775"/>
      <c r="E3" s="3773" t="s">
        <v>114</v>
      </c>
      <c r="F3" s="3775"/>
    </row>
    <row r="4" spans="1:27" ht="20.100000000000001" customHeight="1" thickBot="1" x14ac:dyDescent="0.3">
      <c r="A4" s="2008"/>
      <c r="B4" s="1914"/>
      <c r="C4" s="1838">
        <v>43894</v>
      </c>
      <c r="D4" s="1838">
        <v>43908</v>
      </c>
      <c r="E4" s="1840">
        <v>43862</v>
      </c>
      <c r="F4" s="2009">
        <v>43891</v>
      </c>
      <c r="R4" s="1828"/>
      <c r="S4" s="1828"/>
      <c r="T4" s="1828"/>
      <c r="U4" s="1828"/>
      <c r="V4" s="1828"/>
      <c r="W4" s="1828"/>
      <c r="X4" s="1828"/>
      <c r="Y4" s="1828"/>
      <c r="Z4" s="1828"/>
      <c r="AA4" s="1828"/>
    </row>
    <row r="5" spans="1:27" ht="20.100000000000001" customHeight="1" x14ac:dyDescent="0.25">
      <c r="A5" s="1867">
        <v>1</v>
      </c>
      <c r="B5" s="2010" t="s">
        <v>3653</v>
      </c>
      <c r="C5" s="1848">
        <v>2000</v>
      </c>
      <c r="D5" s="1848">
        <v>2000</v>
      </c>
      <c r="E5" s="1849">
        <v>10500</v>
      </c>
      <c r="F5" s="1849">
        <f>SUM(C5:D5)</f>
        <v>4000</v>
      </c>
    </row>
    <row r="6" spans="1:27" ht="20.100000000000001" customHeight="1" x14ac:dyDescent="0.25">
      <c r="A6" s="1867">
        <v>2</v>
      </c>
      <c r="B6" s="2010" t="s">
        <v>3591</v>
      </c>
      <c r="C6" s="1848">
        <v>5600</v>
      </c>
      <c r="D6" s="1848">
        <v>6100</v>
      </c>
      <c r="E6" s="1849">
        <v>26300</v>
      </c>
      <c r="F6" s="1849">
        <f>SUM(C6:D6)</f>
        <v>11700</v>
      </c>
    </row>
    <row r="7" spans="1:27" ht="20.100000000000001" customHeight="1" x14ac:dyDescent="0.25">
      <c r="A7" s="1867">
        <v>3</v>
      </c>
      <c r="B7" s="2011" t="s">
        <v>3654</v>
      </c>
      <c r="C7" s="1848">
        <v>2000</v>
      </c>
      <c r="D7" s="1848">
        <v>2000</v>
      </c>
      <c r="E7" s="1849">
        <v>10500</v>
      </c>
      <c r="F7" s="1849">
        <f>SUM(C7:D7)</f>
        <v>4000</v>
      </c>
    </row>
    <row r="8" spans="1:27" ht="20.100000000000001" customHeight="1" x14ac:dyDescent="0.25">
      <c r="A8" s="1867">
        <v>4</v>
      </c>
      <c r="B8" s="2010" t="s">
        <v>3655</v>
      </c>
      <c r="C8" s="2012">
        <v>1.82</v>
      </c>
      <c r="D8" s="2013" t="s">
        <v>3656</v>
      </c>
      <c r="E8" s="1848" t="s">
        <v>115</v>
      </c>
      <c r="F8" s="1849" t="s">
        <v>115</v>
      </c>
    </row>
    <row r="9" spans="1:27" ht="20.100000000000001" customHeight="1" x14ac:dyDescent="0.25">
      <c r="A9" s="1867">
        <v>5</v>
      </c>
      <c r="B9" s="2010" t="s">
        <v>3596</v>
      </c>
      <c r="C9" s="2014">
        <v>99.861000000000004</v>
      </c>
      <c r="D9" s="2014">
        <v>99.87</v>
      </c>
      <c r="E9" s="1848" t="s">
        <v>115</v>
      </c>
      <c r="F9" s="1849" t="s">
        <v>115</v>
      </c>
    </row>
    <row r="10" spans="1:27" ht="20.100000000000001" customHeight="1" thickBot="1" x14ac:dyDescent="0.3">
      <c r="A10" s="2015"/>
      <c r="B10" s="1853"/>
      <c r="C10" s="1854"/>
      <c r="D10" s="1854"/>
      <c r="E10" s="1854"/>
      <c r="F10" s="1854"/>
    </row>
    <row r="11" spans="1:27" ht="20.100000000000001" customHeight="1" x14ac:dyDescent="0.25">
      <c r="A11" s="1859" t="s">
        <v>172</v>
      </c>
      <c r="B11" s="2016"/>
      <c r="C11" s="2016"/>
      <c r="D11" s="2016"/>
      <c r="E11" s="2016"/>
    </row>
    <row r="12" spans="1:27" ht="20.100000000000001" customHeight="1" x14ac:dyDescent="0.25">
      <c r="A12" s="1859" t="s">
        <v>3657</v>
      </c>
      <c r="B12" s="2016"/>
      <c r="C12" s="2016"/>
      <c r="D12" s="2016"/>
      <c r="E12" s="2016"/>
    </row>
    <row r="13" spans="1:27" ht="20.100000000000001" customHeight="1" x14ac:dyDescent="0.25">
      <c r="A13" s="3802" t="s">
        <v>3658</v>
      </c>
      <c r="B13" s="3802"/>
      <c r="C13" s="3802"/>
      <c r="D13" s="3802"/>
      <c r="E13" s="3802"/>
    </row>
    <row r="14" spans="1:27" ht="20.100000000000001" customHeight="1" x14ac:dyDescent="0.25">
      <c r="A14" s="1859" t="s">
        <v>3659</v>
      </c>
      <c r="B14" s="1859"/>
      <c r="C14" s="1859"/>
      <c r="D14" s="1859"/>
      <c r="E14" s="1859"/>
    </row>
    <row r="15" spans="1:27" ht="20.100000000000001" customHeight="1" x14ac:dyDescent="0.25">
      <c r="A15" s="1859" t="s">
        <v>3553</v>
      </c>
      <c r="B15" s="2016"/>
      <c r="C15" s="2016"/>
      <c r="D15" s="2016"/>
      <c r="E15" s="2016"/>
    </row>
    <row r="18" spans="8:8" ht="20.100000000000001" customHeight="1" x14ac:dyDescent="0.25">
      <c r="H18" s="1885" t="s">
        <v>3569</v>
      </c>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3"/>
  <sheetViews>
    <sheetView zoomScaleNormal="100" zoomScaleSheetLayoutView="85" workbookViewId="0">
      <pane xSplit="2" ySplit="4" topLeftCell="C5" activePane="bottomRight" state="frozen"/>
      <selection activeCell="I35" sqref="I35"/>
      <selection pane="topRight" activeCell="I35" sqref="I35"/>
      <selection pane="bottomLeft" activeCell="I35" sqref="I35"/>
      <selection pane="bottomRight"/>
    </sheetView>
  </sheetViews>
  <sheetFormatPr defaultRowHeight="20.100000000000001" customHeight="1" x14ac:dyDescent="0.25"/>
  <cols>
    <col min="1" max="1" width="5.5703125" style="1993" customWidth="1"/>
    <col min="2" max="2" width="37.28515625" style="1993" bestFit="1" customWidth="1"/>
    <col min="3" max="3" width="17.140625" style="1993" bestFit="1" customWidth="1"/>
    <col min="4" max="4" width="16.140625" style="1993" bestFit="1" customWidth="1"/>
    <col min="5" max="5" width="17.140625" style="1993" bestFit="1" customWidth="1"/>
    <col min="6" max="6" width="16.140625" style="1993" bestFit="1" customWidth="1"/>
    <col min="7" max="8" width="33.5703125" style="1993" bestFit="1" customWidth="1"/>
    <col min="9" max="252" width="9.140625" style="1993"/>
    <col min="253" max="253" width="40.28515625" style="1993" customWidth="1"/>
    <col min="254" max="254" width="14.42578125" style="1993" customWidth="1"/>
    <col min="255" max="255" width="16" style="1993" customWidth="1"/>
    <col min="256" max="256" width="14.42578125" style="1993" customWidth="1"/>
    <col min="257" max="257" width="16" style="1993" customWidth="1"/>
    <col min="258" max="258" width="3.42578125" style="1993" customWidth="1"/>
    <col min="259" max="508" width="9.140625" style="1993"/>
    <col min="509" max="509" width="40.28515625" style="1993" customWidth="1"/>
    <col min="510" max="510" width="14.42578125" style="1993" customWidth="1"/>
    <col min="511" max="511" width="16" style="1993" customWidth="1"/>
    <col min="512" max="512" width="14.42578125" style="1993" customWidth="1"/>
    <col min="513" max="513" width="16" style="1993" customWidth="1"/>
    <col min="514" max="514" width="3.42578125" style="1993" customWidth="1"/>
    <col min="515" max="764" width="9.140625" style="1993"/>
    <col min="765" max="765" width="40.28515625" style="1993" customWidth="1"/>
    <col min="766" max="766" width="14.42578125" style="1993" customWidth="1"/>
    <col min="767" max="767" width="16" style="1993" customWidth="1"/>
    <col min="768" max="768" width="14.42578125" style="1993" customWidth="1"/>
    <col min="769" max="769" width="16" style="1993" customWidth="1"/>
    <col min="770" max="770" width="3.42578125" style="1993" customWidth="1"/>
    <col min="771" max="1020" width="9.140625" style="1993"/>
    <col min="1021" max="1021" width="40.28515625" style="1993" customWidth="1"/>
    <col min="1022" max="1022" width="14.42578125" style="1993" customWidth="1"/>
    <col min="1023" max="1023" width="16" style="1993" customWidth="1"/>
    <col min="1024" max="1024" width="14.42578125" style="1993" customWidth="1"/>
    <col min="1025" max="1025" width="16" style="1993" customWidth="1"/>
    <col min="1026" max="1026" width="3.42578125" style="1993" customWidth="1"/>
    <col min="1027" max="1276" width="9.140625" style="1993"/>
    <col min="1277" max="1277" width="40.28515625" style="1993" customWidth="1"/>
    <col min="1278" max="1278" width="14.42578125" style="1993" customWidth="1"/>
    <col min="1279" max="1279" width="16" style="1993" customWidth="1"/>
    <col min="1280" max="1280" width="14.42578125" style="1993" customWidth="1"/>
    <col min="1281" max="1281" width="16" style="1993" customWidth="1"/>
    <col min="1282" max="1282" width="3.42578125" style="1993" customWidth="1"/>
    <col min="1283" max="1532" width="9.140625" style="1993"/>
    <col min="1533" max="1533" width="40.28515625" style="1993" customWidth="1"/>
    <col min="1534" max="1534" width="14.42578125" style="1993" customWidth="1"/>
    <col min="1535" max="1535" width="16" style="1993" customWidth="1"/>
    <col min="1536" max="1536" width="14.42578125" style="1993" customWidth="1"/>
    <col min="1537" max="1537" width="16" style="1993" customWidth="1"/>
    <col min="1538" max="1538" width="3.42578125" style="1993" customWidth="1"/>
    <col min="1539" max="1788" width="9.140625" style="1993"/>
    <col min="1789" max="1789" width="40.28515625" style="1993" customWidth="1"/>
    <col min="1790" max="1790" width="14.42578125" style="1993" customWidth="1"/>
    <col min="1791" max="1791" width="16" style="1993" customWidth="1"/>
    <col min="1792" max="1792" width="14.42578125" style="1993" customWidth="1"/>
    <col min="1793" max="1793" width="16" style="1993" customWidth="1"/>
    <col min="1794" max="1794" width="3.42578125" style="1993" customWidth="1"/>
    <col min="1795" max="2044" width="9.140625" style="1993"/>
    <col min="2045" max="2045" width="40.28515625" style="1993" customWidth="1"/>
    <col min="2046" max="2046" width="14.42578125" style="1993" customWidth="1"/>
    <col min="2047" max="2047" width="16" style="1993" customWidth="1"/>
    <col min="2048" max="2048" width="14.42578125" style="1993" customWidth="1"/>
    <col min="2049" max="2049" width="16" style="1993" customWidth="1"/>
    <col min="2050" max="2050" width="3.42578125" style="1993" customWidth="1"/>
    <col min="2051" max="2300" width="9.140625" style="1993"/>
    <col min="2301" max="2301" width="40.28515625" style="1993" customWidth="1"/>
    <col min="2302" max="2302" width="14.42578125" style="1993" customWidth="1"/>
    <col min="2303" max="2303" width="16" style="1993" customWidth="1"/>
    <col min="2304" max="2304" width="14.42578125" style="1993" customWidth="1"/>
    <col min="2305" max="2305" width="16" style="1993" customWidth="1"/>
    <col min="2306" max="2306" width="3.42578125" style="1993" customWidth="1"/>
    <col min="2307" max="2556" width="9.140625" style="1993"/>
    <col min="2557" max="2557" width="40.28515625" style="1993" customWidth="1"/>
    <col min="2558" max="2558" width="14.42578125" style="1993" customWidth="1"/>
    <col min="2559" max="2559" width="16" style="1993" customWidth="1"/>
    <col min="2560" max="2560" width="14.42578125" style="1993" customWidth="1"/>
    <col min="2561" max="2561" width="16" style="1993" customWidth="1"/>
    <col min="2562" max="2562" width="3.42578125" style="1993" customWidth="1"/>
    <col min="2563" max="2812" width="9.140625" style="1993"/>
    <col min="2813" max="2813" width="40.28515625" style="1993" customWidth="1"/>
    <col min="2814" max="2814" width="14.42578125" style="1993" customWidth="1"/>
    <col min="2815" max="2815" width="16" style="1993" customWidth="1"/>
    <col min="2816" max="2816" width="14.42578125" style="1993" customWidth="1"/>
    <col min="2817" max="2817" width="16" style="1993" customWidth="1"/>
    <col min="2818" max="2818" width="3.42578125" style="1993" customWidth="1"/>
    <col min="2819" max="3068" width="9.140625" style="1993"/>
    <col min="3069" max="3069" width="40.28515625" style="1993" customWidth="1"/>
    <col min="3070" max="3070" width="14.42578125" style="1993" customWidth="1"/>
    <col min="3071" max="3071" width="16" style="1993" customWidth="1"/>
    <col min="3072" max="3072" width="14.42578125" style="1993" customWidth="1"/>
    <col min="3073" max="3073" width="16" style="1993" customWidth="1"/>
    <col min="3074" max="3074" width="3.42578125" style="1993" customWidth="1"/>
    <col min="3075" max="3324" width="9.140625" style="1993"/>
    <col min="3325" max="3325" width="40.28515625" style="1993" customWidth="1"/>
    <col min="3326" max="3326" width="14.42578125" style="1993" customWidth="1"/>
    <col min="3327" max="3327" width="16" style="1993" customWidth="1"/>
    <col min="3328" max="3328" width="14.42578125" style="1993" customWidth="1"/>
    <col min="3329" max="3329" width="16" style="1993" customWidth="1"/>
    <col min="3330" max="3330" width="3.42578125" style="1993" customWidth="1"/>
    <col min="3331" max="3580" width="9.140625" style="1993"/>
    <col min="3581" max="3581" width="40.28515625" style="1993" customWidth="1"/>
    <col min="3582" max="3582" width="14.42578125" style="1993" customWidth="1"/>
    <col min="3583" max="3583" width="16" style="1993" customWidth="1"/>
    <col min="3584" max="3584" width="14.42578125" style="1993" customWidth="1"/>
    <col min="3585" max="3585" width="16" style="1993" customWidth="1"/>
    <col min="3586" max="3586" width="3.42578125" style="1993" customWidth="1"/>
    <col min="3587" max="3836" width="9.140625" style="1993"/>
    <col min="3837" max="3837" width="40.28515625" style="1993" customWidth="1"/>
    <col min="3838" max="3838" width="14.42578125" style="1993" customWidth="1"/>
    <col min="3839" max="3839" width="16" style="1993" customWidth="1"/>
    <col min="3840" max="3840" width="14.42578125" style="1993" customWidth="1"/>
    <col min="3841" max="3841" width="16" style="1993" customWidth="1"/>
    <col min="3842" max="3842" width="3.42578125" style="1993" customWidth="1"/>
    <col min="3843" max="4092" width="9.140625" style="1993"/>
    <col min="4093" max="4093" width="40.28515625" style="1993" customWidth="1"/>
    <col min="4094" max="4094" width="14.42578125" style="1993" customWidth="1"/>
    <col min="4095" max="4095" width="16" style="1993" customWidth="1"/>
    <col min="4096" max="4096" width="14.42578125" style="1993" customWidth="1"/>
    <col min="4097" max="4097" width="16" style="1993" customWidth="1"/>
    <col min="4098" max="4098" width="3.42578125" style="1993" customWidth="1"/>
    <col min="4099" max="4348" width="9.140625" style="1993"/>
    <col min="4349" max="4349" width="40.28515625" style="1993" customWidth="1"/>
    <col min="4350" max="4350" width="14.42578125" style="1993" customWidth="1"/>
    <col min="4351" max="4351" width="16" style="1993" customWidth="1"/>
    <col min="4352" max="4352" width="14.42578125" style="1993" customWidth="1"/>
    <col min="4353" max="4353" width="16" style="1993" customWidth="1"/>
    <col min="4354" max="4354" width="3.42578125" style="1993" customWidth="1"/>
    <col min="4355" max="4604" width="9.140625" style="1993"/>
    <col min="4605" max="4605" width="40.28515625" style="1993" customWidth="1"/>
    <col min="4606" max="4606" width="14.42578125" style="1993" customWidth="1"/>
    <col min="4607" max="4607" width="16" style="1993" customWidth="1"/>
    <col min="4608" max="4608" width="14.42578125" style="1993" customWidth="1"/>
    <col min="4609" max="4609" width="16" style="1993" customWidth="1"/>
    <col min="4610" max="4610" width="3.42578125" style="1993" customWidth="1"/>
    <col min="4611" max="4860" width="9.140625" style="1993"/>
    <col min="4861" max="4861" width="40.28515625" style="1993" customWidth="1"/>
    <col min="4862" max="4862" width="14.42578125" style="1993" customWidth="1"/>
    <col min="4863" max="4863" width="16" style="1993" customWidth="1"/>
    <col min="4864" max="4864" width="14.42578125" style="1993" customWidth="1"/>
    <col min="4865" max="4865" width="16" style="1993" customWidth="1"/>
    <col min="4866" max="4866" width="3.42578125" style="1993" customWidth="1"/>
    <col min="4867" max="5116" width="9.140625" style="1993"/>
    <col min="5117" max="5117" width="40.28515625" style="1993" customWidth="1"/>
    <col min="5118" max="5118" width="14.42578125" style="1993" customWidth="1"/>
    <col min="5119" max="5119" width="16" style="1993" customWidth="1"/>
    <col min="5120" max="5120" width="14.42578125" style="1993" customWidth="1"/>
    <col min="5121" max="5121" width="16" style="1993" customWidth="1"/>
    <col min="5122" max="5122" width="3.42578125" style="1993" customWidth="1"/>
    <col min="5123" max="5372" width="9.140625" style="1993"/>
    <col min="5373" max="5373" width="40.28515625" style="1993" customWidth="1"/>
    <col min="5374" max="5374" width="14.42578125" style="1993" customWidth="1"/>
    <col min="5375" max="5375" width="16" style="1993" customWidth="1"/>
    <col min="5376" max="5376" width="14.42578125" style="1993" customWidth="1"/>
    <col min="5377" max="5377" width="16" style="1993" customWidth="1"/>
    <col min="5378" max="5378" width="3.42578125" style="1993" customWidth="1"/>
    <col min="5379" max="5628" width="9.140625" style="1993"/>
    <col min="5629" max="5629" width="40.28515625" style="1993" customWidth="1"/>
    <col min="5630" max="5630" width="14.42578125" style="1993" customWidth="1"/>
    <col min="5631" max="5631" width="16" style="1993" customWidth="1"/>
    <col min="5632" max="5632" width="14.42578125" style="1993" customWidth="1"/>
    <col min="5633" max="5633" width="16" style="1993" customWidth="1"/>
    <col min="5634" max="5634" width="3.42578125" style="1993" customWidth="1"/>
    <col min="5635" max="5884" width="9.140625" style="1993"/>
    <col min="5885" max="5885" width="40.28515625" style="1993" customWidth="1"/>
    <col min="5886" max="5886" width="14.42578125" style="1993" customWidth="1"/>
    <col min="5887" max="5887" width="16" style="1993" customWidth="1"/>
    <col min="5888" max="5888" width="14.42578125" style="1993" customWidth="1"/>
    <col min="5889" max="5889" width="16" style="1993" customWidth="1"/>
    <col min="5890" max="5890" width="3.42578125" style="1993" customWidth="1"/>
    <col min="5891" max="6140" width="9.140625" style="1993"/>
    <col min="6141" max="6141" width="40.28515625" style="1993" customWidth="1"/>
    <col min="6142" max="6142" width="14.42578125" style="1993" customWidth="1"/>
    <col min="6143" max="6143" width="16" style="1993" customWidth="1"/>
    <col min="6144" max="6144" width="14.42578125" style="1993" customWidth="1"/>
    <col min="6145" max="6145" width="16" style="1993" customWidth="1"/>
    <col min="6146" max="6146" width="3.42578125" style="1993" customWidth="1"/>
    <col min="6147" max="6396" width="9.140625" style="1993"/>
    <col min="6397" max="6397" width="40.28515625" style="1993" customWidth="1"/>
    <col min="6398" max="6398" width="14.42578125" style="1993" customWidth="1"/>
    <col min="6399" max="6399" width="16" style="1993" customWidth="1"/>
    <col min="6400" max="6400" width="14.42578125" style="1993" customWidth="1"/>
    <col min="6401" max="6401" width="16" style="1993" customWidth="1"/>
    <col min="6402" max="6402" width="3.42578125" style="1993" customWidth="1"/>
    <col min="6403" max="6652" width="9.140625" style="1993"/>
    <col min="6653" max="6653" width="40.28515625" style="1993" customWidth="1"/>
    <col min="6654" max="6654" width="14.42578125" style="1993" customWidth="1"/>
    <col min="6655" max="6655" width="16" style="1993" customWidth="1"/>
    <col min="6656" max="6656" width="14.42578125" style="1993" customWidth="1"/>
    <col min="6657" max="6657" width="16" style="1993" customWidth="1"/>
    <col min="6658" max="6658" width="3.42578125" style="1993" customWidth="1"/>
    <col min="6659" max="6908" width="9.140625" style="1993"/>
    <col min="6909" max="6909" width="40.28515625" style="1993" customWidth="1"/>
    <col min="6910" max="6910" width="14.42578125" style="1993" customWidth="1"/>
    <col min="6911" max="6911" width="16" style="1993" customWidth="1"/>
    <col min="6912" max="6912" width="14.42578125" style="1993" customWidth="1"/>
    <col min="6913" max="6913" width="16" style="1993" customWidth="1"/>
    <col min="6914" max="6914" width="3.42578125" style="1993" customWidth="1"/>
    <col min="6915" max="7164" width="9.140625" style="1993"/>
    <col min="7165" max="7165" width="40.28515625" style="1993" customWidth="1"/>
    <col min="7166" max="7166" width="14.42578125" style="1993" customWidth="1"/>
    <col min="7167" max="7167" width="16" style="1993" customWidth="1"/>
    <col min="7168" max="7168" width="14.42578125" style="1993" customWidth="1"/>
    <col min="7169" max="7169" width="16" style="1993" customWidth="1"/>
    <col min="7170" max="7170" width="3.42578125" style="1993" customWidth="1"/>
    <col min="7171" max="7420" width="9.140625" style="1993"/>
    <col min="7421" max="7421" width="40.28515625" style="1993" customWidth="1"/>
    <col min="7422" max="7422" width="14.42578125" style="1993" customWidth="1"/>
    <col min="7423" max="7423" width="16" style="1993" customWidth="1"/>
    <col min="7424" max="7424" width="14.42578125" style="1993" customWidth="1"/>
    <col min="7425" max="7425" width="16" style="1993" customWidth="1"/>
    <col min="7426" max="7426" width="3.42578125" style="1993" customWidth="1"/>
    <col min="7427" max="7676" width="9.140625" style="1993"/>
    <col min="7677" max="7677" width="40.28515625" style="1993" customWidth="1"/>
    <col min="7678" max="7678" width="14.42578125" style="1993" customWidth="1"/>
    <col min="7679" max="7679" width="16" style="1993" customWidth="1"/>
    <col min="7680" max="7680" width="14.42578125" style="1993" customWidth="1"/>
    <col min="7681" max="7681" width="16" style="1993" customWidth="1"/>
    <col min="7682" max="7682" width="3.42578125" style="1993" customWidth="1"/>
    <col min="7683" max="7932" width="9.140625" style="1993"/>
    <col min="7933" max="7933" width="40.28515625" style="1993" customWidth="1"/>
    <col min="7934" max="7934" width="14.42578125" style="1993" customWidth="1"/>
    <col min="7935" max="7935" width="16" style="1993" customWidth="1"/>
    <col min="7936" max="7936" width="14.42578125" style="1993" customWidth="1"/>
    <col min="7937" max="7937" width="16" style="1993" customWidth="1"/>
    <col min="7938" max="7938" width="3.42578125" style="1993" customWidth="1"/>
    <col min="7939" max="8188" width="9.140625" style="1993"/>
    <col min="8189" max="8189" width="40.28515625" style="1993" customWidth="1"/>
    <col min="8190" max="8190" width="14.42578125" style="1993" customWidth="1"/>
    <col min="8191" max="8191" width="16" style="1993" customWidth="1"/>
    <col min="8192" max="8192" width="14.42578125" style="1993" customWidth="1"/>
    <col min="8193" max="8193" width="16" style="1993" customWidth="1"/>
    <col min="8194" max="8194" width="3.42578125" style="1993" customWidth="1"/>
    <col min="8195" max="8444" width="9.140625" style="1993"/>
    <col min="8445" max="8445" width="40.28515625" style="1993" customWidth="1"/>
    <col min="8446" max="8446" width="14.42578125" style="1993" customWidth="1"/>
    <col min="8447" max="8447" width="16" style="1993" customWidth="1"/>
    <col min="8448" max="8448" width="14.42578125" style="1993" customWidth="1"/>
    <col min="8449" max="8449" width="16" style="1993" customWidth="1"/>
    <col min="8450" max="8450" width="3.42578125" style="1993" customWidth="1"/>
    <col min="8451" max="8700" width="9.140625" style="1993"/>
    <col min="8701" max="8701" width="40.28515625" style="1993" customWidth="1"/>
    <col min="8702" max="8702" width="14.42578125" style="1993" customWidth="1"/>
    <col min="8703" max="8703" width="16" style="1993" customWidth="1"/>
    <col min="8704" max="8704" width="14.42578125" style="1993" customWidth="1"/>
    <col min="8705" max="8705" width="16" style="1993" customWidth="1"/>
    <col min="8706" max="8706" width="3.42578125" style="1993" customWidth="1"/>
    <col min="8707" max="8956" width="9.140625" style="1993"/>
    <col min="8957" max="8957" width="40.28515625" style="1993" customWidth="1"/>
    <col min="8958" max="8958" width="14.42578125" style="1993" customWidth="1"/>
    <col min="8959" max="8959" width="16" style="1993" customWidth="1"/>
    <col min="8960" max="8960" width="14.42578125" style="1993" customWidth="1"/>
    <col min="8961" max="8961" width="16" style="1993" customWidth="1"/>
    <col min="8962" max="8962" width="3.42578125" style="1993" customWidth="1"/>
    <col min="8963" max="9212" width="9.140625" style="1993"/>
    <col min="9213" max="9213" width="40.28515625" style="1993" customWidth="1"/>
    <col min="9214" max="9214" width="14.42578125" style="1993" customWidth="1"/>
    <col min="9215" max="9215" width="16" style="1993" customWidth="1"/>
    <col min="9216" max="9216" width="14.42578125" style="1993" customWidth="1"/>
    <col min="9217" max="9217" width="16" style="1993" customWidth="1"/>
    <col min="9218" max="9218" width="3.42578125" style="1993" customWidth="1"/>
    <col min="9219" max="9468" width="9.140625" style="1993"/>
    <col min="9469" max="9469" width="40.28515625" style="1993" customWidth="1"/>
    <col min="9470" max="9470" width="14.42578125" style="1993" customWidth="1"/>
    <col min="9471" max="9471" width="16" style="1993" customWidth="1"/>
    <col min="9472" max="9472" width="14.42578125" style="1993" customWidth="1"/>
    <col min="9473" max="9473" width="16" style="1993" customWidth="1"/>
    <col min="9474" max="9474" width="3.42578125" style="1993" customWidth="1"/>
    <col min="9475" max="9724" width="9.140625" style="1993"/>
    <col min="9725" max="9725" width="40.28515625" style="1993" customWidth="1"/>
    <col min="9726" max="9726" width="14.42578125" style="1993" customWidth="1"/>
    <col min="9727" max="9727" width="16" style="1993" customWidth="1"/>
    <col min="9728" max="9728" width="14.42578125" style="1993" customWidth="1"/>
    <col min="9729" max="9729" width="16" style="1993" customWidth="1"/>
    <col min="9730" max="9730" width="3.42578125" style="1993" customWidth="1"/>
    <col min="9731" max="9980" width="9.140625" style="1993"/>
    <col min="9981" max="9981" width="40.28515625" style="1993" customWidth="1"/>
    <col min="9982" max="9982" width="14.42578125" style="1993" customWidth="1"/>
    <col min="9983" max="9983" width="16" style="1993" customWidth="1"/>
    <col min="9984" max="9984" width="14.42578125" style="1993" customWidth="1"/>
    <col min="9985" max="9985" width="16" style="1993" customWidth="1"/>
    <col min="9986" max="9986" width="3.42578125" style="1993" customWidth="1"/>
    <col min="9987" max="10236" width="9.140625" style="1993"/>
    <col min="10237" max="10237" width="40.28515625" style="1993" customWidth="1"/>
    <col min="10238" max="10238" width="14.42578125" style="1993" customWidth="1"/>
    <col min="10239" max="10239" width="16" style="1993" customWidth="1"/>
    <col min="10240" max="10240" width="14.42578125" style="1993" customWidth="1"/>
    <col min="10241" max="10241" width="16" style="1993" customWidth="1"/>
    <col min="10242" max="10242" width="3.42578125" style="1993" customWidth="1"/>
    <col min="10243" max="10492" width="9.140625" style="1993"/>
    <col min="10493" max="10493" width="40.28515625" style="1993" customWidth="1"/>
    <col min="10494" max="10494" width="14.42578125" style="1993" customWidth="1"/>
    <col min="10495" max="10495" width="16" style="1993" customWidth="1"/>
    <col min="10496" max="10496" width="14.42578125" style="1993" customWidth="1"/>
    <col min="10497" max="10497" width="16" style="1993" customWidth="1"/>
    <col min="10498" max="10498" width="3.42578125" style="1993" customWidth="1"/>
    <col min="10499" max="10748" width="9.140625" style="1993"/>
    <col min="10749" max="10749" width="40.28515625" style="1993" customWidth="1"/>
    <col min="10750" max="10750" width="14.42578125" style="1993" customWidth="1"/>
    <col min="10751" max="10751" width="16" style="1993" customWidth="1"/>
    <col min="10752" max="10752" width="14.42578125" style="1993" customWidth="1"/>
    <col min="10753" max="10753" width="16" style="1993" customWidth="1"/>
    <col min="10754" max="10754" width="3.42578125" style="1993" customWidth="1"/>
    <col min="10755" max="11004" width="9.140625" style="1993"/>
    <col min="11005" max="11005" width="40.28515625" style="1993" customWidth="1"/>
    <col min="11006" max="11006" width="14.42578125" style="1993" customWidth="1"/>
    <col min="11007" max="11007" width="16" style="1993" customWidth="1"/>
    <col min="11008" max="11008" width="14.42578125" style="1993" customWidth="1"/>
    <col min="11009" max="11009" width="16" style="1993" customWidth="1"/>
    <col min="11010" max="11010" width="3.42578125" style="1993" customWidth="1"/>
    <col min="11011" max="11260" width="9.140625" style="1993"/>
    <col min="11261" max="11261" width="40.28515625" style="1993" customWidth="1"/>
    <col min="11262" max="11262" width="14.42578125" style="1993" customWidth="1"/>
    <col min="11263" max="11263" width="16" style="1993" customWidth="1"/>
    <col min="11264" max="11264" width="14.42578125" style="1993" customWidth="1"/>
    <col min="11265" max="11265" width="16" style="1993" customWidth="1"/>
    <col min="11266" max="11266" width="3.42578125" style="1993" customWidth="1"/>
    <col min="11267" max="11516" width="9.140625" style="1993"/>
    <col min="11517" max="11517" width="40.28515625" style="1993" customWidth="1"/>
    <col min="11518" max="11518" width="14.42578125" style="1993" customWidth="1"/>
    <col min="11519" max="11519" width="16" style="1993" customWidth="1"/>
    <col min="11520" max="11520" width="14.42578125" style="1993" customWidth="1"/>
    <col min="11521" max="11521" width="16" style="1993" customWidth="1"/>
    <col min="11522" max="11522" width="3.42578125" style="1993" customWidth="1"/>
    <col min="11523" max="11772" width="9.140625" style="1993"/>
    <col min="11773" max="11773" width="40.28515625" style="1993" customWidth="1"/>
    <col min="11774" max="11774" width="14.42578125" style="1993" customWidth="1"/>
    <col min="11775" max="11775" width="16" style="1993" customWidth="1"/>
    <col min="11776" max="11776" width="14.42578125" style="1993" customWidth="1"/>
    <col min="11777" max="11777" width="16" style="1993" customWidth="1"/>
    <col min="11778" max="11778" width="3.42578125" style="1993" customWidth="1"/>
    <col min="11779" max="12028" width="9.140625" style="1993"/>
    <col min="12029" max="12029" width="40.28515625" style="1993" customWidth="1"/>
    <col min="12030" max="12030" width="14.42578125" style="1993" customWidth="1"/>
    <col min="12031" max="12031" width="16" style="1993" customWidth="1"/>
    <col min="12032" max="12032" width="14.42578125" style="1993" customWidth="1"/>
    <col min="12033" max="12033" width="16" style="1993" customWidth="1"/>
    <col min="12034" max="12034" width="3.42578125" style="1993" customWidth="1"/>
    <col min="12035" max="12284" width="9.140625" style="1993"/>
    <col min="12285" max="12285" width="40.28515625" style="1993" customWidth="1"/>
    <col min="12286" max="12286" width="14.42578125" style="1993" customWidth="1"/>
    <col min="12287" max="12287" width="16" style="1993" customWidth="1"/>
    <col min="12288" max="12288" width="14.42578125" style="1993" customWidth="1"/>
    <col min="12289" max="12289" width="16" style="1993" customWidth="1"/>
    <col min="12290" max="12290" width="3.42578125" style="1993" customWidth="1"/>
    <col min="12291" max="12540" width="9.140625" style="1993"/>
    <col min="12541" max="12541" width="40.28515625" style="1993" customWidth="1"/>
    <col min="12542" max="12542" width="14.42578125" style="1993" customWidth="1"/>
    <col min="12543" max="12543" width="16" style="1993" customWidth="1"/>
    <col min="12544" max="12544" width="14.42578125" style="1993" customWidth="1"/>
    <col min="12545" max="12545" width="16" style="1993" customWidth="1"/>
    <col min="12546" max="12546" width="3.42578125" style="1993" customWidth="1"/>
    <col min="12547" max="12796" width="9.140625" style="1993"/>
    <col min="12797" max="12797" width="40.28515625" style="1993" customWidth="1"/>
    <col min="12798" max="12798" width="14.42578125" style="1993" customWidth="1"/>
    <col min="12799" max="12799" width="16" style="1993" customWidth="1"/>
    <col min="12800" max="12800" width="14.42578125" style="1993" customWidth="1"/>
    <col min="12801" max="12801" width="16" style="1993" customWidth="1"/>
    <col min="12802" max="12802" width="3.42578125" style="1993" customWidth="1"/>
    <col min="12803" max="13052" width="9.140625" style="1993"/>
    <col min="13053" max="13053" width="40.28515625" style="1993" customWidth="1"/>
    <col min="13054" max="13054" width="14.42578125" style="1993" customWidth="1"/>
    <col min="13055" max="13055" width="16" style="1993" customWidth="1"/>
    <col min="13056" max="13056" width="14.42578125" style="1993" customWidth="1"/>
    <col min="13057" max="13057" width="16" style="1993" customWidth="1"/>
    <col min="13058" max="13058" width="3.42578125" style="1993" customWidth="1"/>
    <col min="13059" max="13308" width="9.140625" style="1993"/>
    <col min="13309" max="13309" width="40.28515625" style="1993" customWidth="1"/>
    <col min="13310" max="13310" width="14.42578125" style="1993" customWidth="1"/>
    <col min="13311" max="13311" width="16" style="1993" customWidth="1"/>
    <col min="13312" max="13312" width="14.42578125" style="1993" customWidth="1"/>
    <col min="13313" max="13313" width="16" style="1993" customWidth="1"/>
    <col min="13314" max="13314" width="3.42578125" style="1993" customWidth="1"/>
    <col min="13315" max="13564" width="9.140625" style="1993"/>
    <col min="13565" max="13565" width="40.28515625" style="1993" customWidth="1"/>
    <col min="13566" max="13566" width="14.42578125" style="1993" customWidth="1"/>
    <col min="13567" max="13567" width="16" style="1993" customWidth="1"/>
    <col min="13568" max="13568" width="14.42578125" style="1993" customWidth="1"/>
    <col min="13569" max="13569" width="16" style="1993" customWidth="1"/>
    <col min="13570" max="13570" width="3.42578125" style="1993" customWidth="1"/>
    <col min="13571" max="13820" width="9.140625" style="1993"/>
    <col min="13821" max="13821" width="40.28515625" style="1993" customWidth="1"/>
    <col min="13822" max="13822" width="14.42578125" style="1993" customWidth="1"/>
    <col min="13823" max="13823" width="16" style="1993" customWidth="1"/>
    <col min="13824" max="13824" width="14.42578125" style="1993" customWidth="1"/>
    <col min="13825" max="13825" width="16" style="1993" customWidth="1"/>
    <col min="13826" max="13826" width="3.42578125" style="1993" customWidth="1"/>
    <col min="13827" max="14076" width="9.140625" style="1993"/>
    <col min="14077" max="14077" width="40.28515625" style="1993" customWidth="1"/>
    <col min="14078" max="14078" width="14.42578125" style="1993" customWidth="1"/>
    <col min="14079" max="14079" width="16" style="1993" customWidth="1"/>
    <col min="14080" max="14080" width="14.42578125" style="1993" customWidth="1"/>
    <col min="14081" max="14081" width="16" style="1993" customWidth="1"/>
    <col min="14082" max="14082" width="3.42578125" style="1993" customWidth="1"/>
    <col min="14083" max="14332" width="9.140625" style="1993"/>
    <col min="14333" max="14333" width="40.28515625" style="1993" customWidth="1"/>
    <col min="14334" max="14334" width="14.42578125" style="1993" customWidth="1"/>
    <col min="14335" max="14335" width="16" style="1993" customWidth="1"/>
    <col min="14336" max="14336" width="14.42578125" style="1993" customWidth="1"/>
    <col min="14337" max="14337" width="16" style="1993" customWidth="1"/>
    <col min="14338" max="14338" width="3.42578125" style="1993" customWidth="1"/>
    <col min="14339" max="14588" width="9.140625" style="1993"/>
    <col min="14589" max="14589" width="40.28515625" style="1993" customWidth="1"/>
    <col min="14590" max="14590" width="14.42578125" style="1993" customWidth="1"/>
    <col min="14591" max="14591" width="16" style="1993" customWidth="1"/>
    <col min="14592" max="14592" width="14.42578125" style="1993" customWidth="1"/>
    <col min="14593" max="14593" width="16" style="1993" customWidth="1"/>
    <col min="14594" max="14594" width="3.42578125" style="1993" customWidth="1"/>
    <col min="14595" max="14844" width="9.140625" style="1993"/>
    <col min="14845" max="14845" width="40.28515625" style="1993" customWidth="1"/>
    <col min="14846" max="14846" width="14.42578125" style="1993" customWidth="1"/>
    <col min="14847" max="14847" width="16" style="1993" customWidth="1"/>
    <col min="14848" max="14848" width="14.42578125" style="1993" customWidth="1"/>
    <col min="14849" max="14849" width="16" style="1993" customWidth="1"/>
    <col min="14850" max="14850" width="3.42578125" style="1993" customWidth="1"/>
    <col min="14851" max="15100" width="9.140625" style="1993"/>
    <col min="15101" max="15101" width="40.28515625" style="1993" customWidth="1"/>
    <col min="15102" max="15102" width="14.42578125" style="1993" customWidth="1"/>
    <col min="15103" max="15103" width="16" style="1993" customWidth="1"/>
    <col min="15104" max="15104" width="14.42578125" style="1993" customWidth="1"/>
    <col min="15105" max="15105" width="16" style="1993" customWidth="1"/>
    <col min="15106" max="15106" width="3.42578125" style="1993" customWidth="1"/>
    <col min="15107" max="15356" width="9.140625" style="1993"/>
    <col min="15357" max="15357" width="40.28515625" style="1993" customWidth="1"/>
    <col min="15358" max="15358" width="14.42578125" style="1993" customWidth="1"/>
    <col min="15359" max="15359" width="16" style="1993" customWidth="1"/>
    <col min="15360" max="15360" width="14.42578125" style="1993" customWidth="1"/>
    <col min="15361" max="15361" width="16" style="1993" customWidth="1"/>
    <col min="15362" max="15362" width="3.42578125" style="1993" customWidth="1"/>
    <col min="15363" max="15612" width="9.140625" style="1993"/>
    <col min="15613" max="15613" width="40.28515625" style="1993" customWidth="1"/>
    <col min="15614" max="15614" width="14.42578125" style="1993" customWidth="1"/>
    <col min="15615" max="15615" width="16" style="1993" customWidth="1"/>
    <col min="15616" max="15616" width="14.42578125" style="1993" customWidth="1"/>
    <col min="15617" max="15617" width="16" style="1993" customWidth="1"/>
    <col min="15618" max="15618" width="3.42578125" style="1993" customWidth="1"/>
    <col min="15619" max="15868" width="9.140625" style="1993"/>
    <col min="15869" max="15869" width="40.28515625" style="1993" customWidth="1"/>
    <col min="15870" max="15870" width="14.42578125" style="1993" customWidth="1"/>
    <col min="15871" max="15871" width="16" style="1993" customWidth="1"/>
    <col min="15872" max="15872" width="14.42578125" style="1993" customWidth="1"/>
    <col min="15873" max="15873" width="16" style="1993" customWidth="1"/>
    <col min="15874" max="15874" width="3.42578125" style="1993" customWidth="1"/>
    <col min="15875" max="16124" width="9.140625" style="1993"/>
    <col min="16125" max="16125" width="40.28515625" style="1993" customWidth="1"/>
    <col min="16126" max="16126" width="14.42578125" style="1993" customWidth="1"/>
    <col min="16127" max="16127" width="16" style="1993" customWidth="1"/>
    <col min="16128" max="16128" width="14.42578125" style="1993" customWidth="1"/>
    <col min="16129" max="16129" width="16" style="1993" customWidth="1"/>
    <col min="16130" max="16130" width="3.42578125" style="1993" customWidth="1"/>
    <col min="16131" max="16384" width="9.140625" style="1993"/>
  </cols>
  <sheetData>
    <row r="1" spans="1:8" ht="20.100000000000001" customHeight="1" x14ac:dyDescent="0.25">
      <c r="A1" s="1991" t="s">
        <v>3660</v>
      </c>
      <c r="B1" s="1992"/>
      <c r="C1" s="1992"/>
      <c r="D1" s="1992"/>
    </row>
    <row r="2" spans="1:8" ht="20.100000000000001" customHeight="1" thickBot="1" x14ac:dyDescent="0.3">
      <c r="A2" s="1992"/>
      <c r="B2" s="1992"/>
      <c r="C2" s="1992"/>
      <c r="D2" s="1992"/>
    </row>
    <row r="3" spans="1:8" s="1918" customFormat="1" ht="20.100000000000001" customHeight="1" thickBot="1" x14ac:dyDescent="0.3">
      <c r="A3" s="2017"/>
      <c r="B3" s="2017"/>
      <c r="C3" s="3803" t="s">
        <v>3661</v>
      </c>
      <c r="D3" s="3803"/>
      <c r="E3" s="3803" t="s">
        <v>3662</v>
      </c>
      <c r="F3" s="3803"/>
      <c r="G3" s="2018" t="s">
        <v>3663</v>
      </c>
      <c r="H3" s="2018" t="s">
        <v>3664</v>
      </c>
    </row>
    <row r="4" spans="1:8" s="1918" customFormat="1" ht="20.100000000000001" customHeight="1" thickBot="1" x14ac:dyDescent="0.3">
      <c r="A4" s="2019"/>
      <c r="B4" s="2019"/>
      <c r="C4" s="2020" t="s">
        <v>3665</v>
      </c>
      <c r="D4" s="2020" t="s">
        <v>3666</v>
      </c>
      <c r="E4" s="2020" t="s">
        <v>3665</v>
      </c>
      <c r="F4" s="2020" t="s">
        <v>3666</v>
      </c>
      <c r="G4" s="2020" t="s">
        <v>3667</v>
      </c>
      <c r="H4" s="2020" t="s">
        <v>3665</v>
      </c>
    </row>
    <row r="5" spans="1:8" s="1918" customFormat="1" ht="20.100000000000001" customHeight="1" x14ac:dyDescent="0.25">
      <c r="A5" s="2021">
        <v>1</v>
      </c>
      <c r="B5" s="2022" t="s">
        <v>3638</v>
      </c>
      <c r="C5" s="2023">
        <v>200</v>
      </c>
      <c r="D5" s="2023" t="s">
        <v>3668</v>
      </c>
      <c r="E5" s="2023" t="s">
        <v>3668</v>
      </c>
      <c r="F5" s="2023" t="s">
        <v>3668</v>
      </c>
      <c r="G5" s="2023" t="s">
        <v>3668</v>
      </c>
      <c r="H5" s="2023" t="s">
        <v>3668</v>
      </c>
    </row>
    <row r="6" spans="1:8" s="1918" customFormat="1" ht="20.100000000000001" customHeight="1" x14ac:dyDescent="0.25">
      <c r="A6" s="2021">
        <v>2</v>
      </c>
      <c r="B6" s="2022" t="s">
        <v>3669</v>
      </c>
      <c r="C6" s="2023">
        <v>200</v>
      </c>
      <c r="D6" s="2023" t="s">
        <v>3668</v>
      </c>
      <c r="E6" s="2023" t="s">
        <v>3668</v>
      </c>
      <c r="F6" s="2023" t="s">
        <v>3668</v>
      </c>
      <c r="G6" s="2023" t="s">
        <v>3668</v>
      </c>
      <c r="H6" s="2023" t="s">
        <v>3668</v>
      </c>
    </row>
    <row r="7" spans="1:8" s="1918" customFormat="1" ht="20.100000000000001" customHeight="1" x14ac:dyDescent="0.25">
      <c r="A7" s="2021">
        <v>3</v>
      </c>
      <c r="B7" s="2022" t="s">
        <v>3670</v>
      </c>
      <c r="C7" s="2024">
        <v>100.48</v>
      </c>
      <c r="D7" s="1960" t="s">
        <v>115</v>
      </c>
      <c r="E7" s="1960" t="s">
        <v>115</v>
      </c>
      <c r="F7" s="1960" t="s">
        <v>115</v>
      </c>
      <c r="G7" s="1960" t="s">
        <v>115</v>
      </c>
      <c r="H7" s="1960" t="s">
        <v>115</v>
      </c>
    </row>
    <row r="8" spans="1:8" s="1918" customFormat="1" ht="20.100000000000001" customHeight="1" x14ac:dyDescent="0.25">
      <c r="A8" s="2021">
        <v>4</v>
      </c>
      <c r="B8" s="2022" t="s">
        <v>3671</v>
      </c>
      <c r="C8" s="2024">
        <v>100.48</v>
      </c>
      <c r="D8" s="1960" t="s">
        <v>115</v>
      </c>
      <c r="E8" s="1960" t="s">
        <v>115</v>
      </c>
      <c r="F8" s="1960" t="s">
        <v>115</v>
      </c>
      <c r="G8" s="1960" t="s">
        <v>115</v>
      </c>
      <c r="H8" s="1960" t="s">
        <v>115</v>
      </c>
    </row>
    <row r="9" spans="1:8" s="1918" customFormat="1" ht="20.100000000000001" customHeight="1" thickBot="1" x14ac:dyDescent="0.3">
      <c r="A9" s="2025"/>
      <c r="B9" s="2019"/>
      <c r="C9" s="2026"/>
      <c r="D9" s="2026"/>
      <c r="E9" s="2026"/>
      <c r="F9" s="2026"/>
      <c r="G9" s="2026"/>
      <c r="H9" s="2026"/>
    </row>
    <row r="10" spans="1:8" s="2007" customFormat="1" ht="20.100000000000001" customHeight="1" x14ac:dyDescent="0.25">
      <c r="A10" s="1967" t="s">
        <v>3672</v>
      </c>
    </row>
    <row r="11" spans="1:8" s="2007" customFormat="1" ht="20.100000000000001" customHeight="1" x14ac:dyDescent="0.25">
      <c r="A11" s="1967" t="s">
        <v>3673</v>
      </c>
    </row>
    <row r="12" spans="1:8" s="2007" customFormat="1" ht="20.100000000000001" customHeight="1" x14ac:dyDescent="0.25">
      <c r="A12" s="1967" t="s">
        <v>3553</v>
      </c>
    </row>
    <row r="13" spans="1:8" s="2007" customFormat="1" ht="20.100000000000001" customHeight="1" x14ac:dyDescent="0.25">
      <c r="A13" s="1967"/>
    </row>
  </sheetData>
  <mergeCells count="2">
    <mergeCell ref="C3:D3"/>
    <mergeCell ref="E3:F3"/>
  </mergeCells>
  <pageMargins left="0.75" right="0.75" top="0.75" bottom="0.75" header="0.31496062992125984" footer="0"/>
  <pageSetup paperSize="9" scale="73"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IW48"/>
  <sheetViews>
    <sheetView zoomScale="98" zoomScaleNormal="98" workbookViewId="0">
      <selection activeCell="A21" sqref="A21"/>
    </sheetView>
  </sheetViews>
  <sheetFormatPr defaultRowHeight="14.25" x14ac:dyDescent="0.25"/>
  <cols>
    <col min="1" max="1" width="15.7109375" style="299" customWidth="1"/>
    <col min="2" max="8" width="15.7109375" style="127" customWidth="1"/>
    <col min="9" max="9" width="2" style="127" customWidth="1"/>
    <col min="10" max="10" width="2.85546875" style="127" customWidth="1"/>
    <col min="11" max="11" width="16.140625" style="127" bestFit="1" customWidth="1"/>
    <col min="12" max="12" width="17" style="127" bestFit="1" customWidth="1"/>
    <col min="13" max="17" width="16.140625" style="127" bestFit="1" customWidth="1"/>
    <col min="18" max="21" width="16" style="127" bestFit="1" customWidth="1"/>
    <col min="22" max="257" width="9.140625" style="127"/>
    <col min="258" max="263" width="15.7109375" style="127" customWidth="1"/>
    <col min="264" max="264" width="2" style="127" customWidth="1"/>
    <col min="265" max="265" width="8.140625" style="127" customWidth="1"/>
    <col min="266" max="266" width="10.85546875" style="127" customWidth="1"/>
    <col min="267" max="268" width="9.140625" style="127"/>
    <col min="269" max="269" width="11.28515625" style="127" bestFit="1" customWidth="1"/>
    <col min="270" max="513" width="9.140625" style="127"/>
    <col min="514" max="519" width="15.7109375" style="127" customWidth="1"/>
    <col min="520" max="520" width="2" style="127" customWidth="1"/>
    <col min="521" max="521" width="8.140625" style="127" customWidth="1"/>
    <col min="522" max="522" width="10.85546875" style="127" customWidth="1"/>
    <col min="523" max="524" width="9.140625" style="127"/>
    <col min="525" max="525" width="11.28515625" style="127" bestFit="1" customWidth="1"/>
    <col min="526" max="769" width="9.140625" style="127"/>
    <col min="770" max="775" width="15.7109375" style="127" customWidth="1"/>
    <col min="776" max="776" width="2" style="127" customWidth="1"/>
    <col min="777" max="777" width="8.140625" style="127" customWidth="1"/>
    <col min="778" max="778" width="10.85546875" style="127" customWidth="1"/>
    <col min="779" max="780" width="9.140625" style="127"/>
    <col min="781" max="781" width="11.28515625" style="127" bestFit="1" customWidth="1"/>
    <col min="782" max="1025" width="9.140625" style="127"/>
    <col min="1026" max="1031" width="15.7109375" style="127" customWidth="1"/>
    <col min="1032" max="1032" width="2" style="127" customWidth="1"/>
    <col min="1033" max="1033" width="8.140625" style="127" customWidth="1"/>
    <col min="1034" max="1034" width="10.85546875" style="127" customWidth="1"/>
    <col min="1035" max="1036" width="9.140625" style="127"/>
    <col min="1037" max="1037" width="11.28515625" style="127" bestFit="1" customWidth="1"/>
    <col min="1038" max="1281" width="9.140625" style="127"/>
    <col min="1282" max="1287" width="15.7109375" style="127" customWidth="1"/>
    <col min="1288" max="1288" width="2" style="127" customWidth="1"/>
    <col min="1289" max="1289" width="8.140625" style="127" customWidth="1"/>
    <col min="1290" max="1290" width="10.85546875" style="127" customWidth="1"/>
    <col min="1291" max="1292" width="9.140625" style="127"/>
    <col min="1293" max="1293" width="11.28515625" style="127" bestFit="1" customWidth="1"/>
    <col min="1294" max="1537" width="9.140625" style="127"/>
    <col min="1538" max="1543" width="15.7109375" style="127" customWidth="1"/>
    <col min="1544" max="1544" width="2" style="127" customWidth="1"/>
    <col min="1545" max="1545" width="8.140625" style="127" customWidth="1"/>
    <col min="1546" max="1546" width="10.85546875" style="127" customWidth="1"/>
    <col min="1547" max="1548" width="9.140625" style="127"/>
    <col min="1549" max="1549" width="11.28515625" style="127" bestFit="1" customWidth="1"/>
    <col min="1550" max="1793" width="9.140625" style="127"/>
    <col min="1794" max="1799" width="15.7109375" style="127" customWidth="1"/>
    <col min="1800" max="1800" width="2" style="127" customWidth="1"/>
    <col min="1801" max="1801" width="8.140625" style="127" customWidth="1"/>
    <col min="1802" max="1802" width="10.85546875" style="127" customWidth="1"/>
    <col min="1803" max="1804" width="9.140625" style="127"/>
    <col min="1805" max="1805" width="11.28515625" style="127" bestFit="1" customWidth="1"/>
    <col min="1806" max="2049" width="9.140625" style="127"/>
    <col min="2050" max="2055" width="15.7109375" style="127" customWidth="1"/>
    <col min="2056" max="2056" width="2" style="127" customWidth="1"/>
    <col min="2057" max="2057" width="8.140625" style="127" customWidth="1"/>
    <col min="2058" max="2058" width="10.85546875" style="127" customWidth="1"/>
    <col min="2059" max="2060" width="9.140625" style="127"/>
    <col min="2061" max="2061" width="11.28515625" style="127" bestFit="1" customWidth="1"/>
    <col min="2062" max="2305" width="9.140625" style="127"/>
    <col min="2306" max="2311" width="15.7109375" style="127" customWidth="1"/>
    <col min="2312" max="2312" width="2" style="127" customWidth="1"/>
    <col min="2313" max="2313" width="8.140625" style="127" customWidth="1"/>
    <col min="2314" max="2314" width="10.85546875" style="127" customWidth="1"/>
    <col min="2315" max="2316" width="9.140625" style="127"/>
    <col min="2317" max="2317" width="11.28515625" style="127" bestFit="1" customWidth="1"/>
    <col min="2318" max="2561" width="9.140625" style="127"/>
    <col min="2562" max="2567" width="15.7109375" style="127" customWidth="1"/>
    <col min="2568" max="2568" width="2" style="127" customWidth="1"/>
    <col min="2569" max="2569" width="8.140625" style="127" customWidth="1"/>
    <col min="2570" max="2570" width="10.85546875" style="127" customWidth="1"/>
    <col min="2571" max="2572" width="9.140625" style="127"/>
    <col min="2573" max="2573" width="11.28515625" style="127" bestFit="1" customWidth="1"/>
    <col min="2574" max="2817" width="9.140625" style="127"/>
    <col min="2818" max="2823" width="15.7109375" style="127" customWidth="1"/>
    <col min="2824" max="2824" width="2" style="127" customWidth="1"/>
    <col min="2825" max="2825" width="8.140625" style="127" customWidth="1"/>
    <col min="2826" max="2826" width="10.85546875" style="127" customWidth="1"/>
    <col min="2827" max="2828" width="9.140625" style="127"/>
    <col min="2829" max="2829" width="11.28515625" style="127" bestFit="1" customWidth="1"/>
    <col min="2830" max="3073" width="9.140625" style="127"/>
    <col min="3074" max="3079" width="15.7109375" style="127" customWidth="1"/>
    <col min="3080" max="3080" width="2" style="127" customWidth="1"/>
    <col min="3081" max="3081" width="8.140625" style="127" customWidth="1"/>
    <col min="3082" max="3082" width="10.85546875" style="127" customWidth="1"/>
    <col min="3083" max="3084" width="9.140625" style="127"/>
    <col min="3085" max="3085" width="11.28515625" style="127" bestFit="1" customWidth="1"/>
    <col min="3086" max="3329" width="9.140625" style="127"/>
    <col min="3330" max="3335" width="15.7109375" style="127" customWidth="1"/>
    <col min="3336" max="3336" width="2" style="127" customWidth="1"/>
    <col min="3337" max="3337" width="8.140625" style="127" customWidth="1"/>
    <col min="3338" max="3338" width="10.85546875" style="127" customWidth="1"/>
    <col min="3339" max="3340" width="9.140625" style="127"/>
    <col min="3341" max="3341" width="11.28515625" style="127" bestFit="1" customWidth="1"/>
    <col min="3342" max="3585" width="9.140625" style="127"/>
    <col min="3586" max="3591" width="15.7109375" style="127" customWidth="1"/>
    <col min="3592" max="3592" width="2" style="127" customWidth="1"/>
    <col min="3593" max="3593" width="8.140625" style="127" customWidth="1"/>
    <col min="3594" max="3594" width="10.85546875" style="127" customWidth="1"/>
    <col min="3595" max="3596" width="9.140625" style="127"/>
    <col min="3597" max="3597" width="11.28515625" style="127" bestFit="1" customWidth="1"/>
    <col min="3598" max="3841" width="9.140625" style="127"/>
    <col min="3842" max="3847" width="15.7109375" style="127" customWidth="1"/>
    <col min="3848" max="3848" width="2" style="127" customWidth="1"/>
    <col min="3849" max="3849" width="8.140625" style="127" customWidth="1"/>
    <col min="3850" max="3850" width="10.85546875" style="127" customWidth="1"/>
    <col min="3851" max="3852" width="9.140625" style="127"/>
    <col min="3853" max="3853" width="11.28515625" style="127" bestFit="1" customWidth="1"/>
    <col min="3854" max="4097" width="9.140625" style="127"/>
    <col min="4098" max="4103" width="15.7109375" style="127" customWidth="1"/>
    <col min="4104" max="4104" width="2" style="127" customWidth="1"/>
    <col min="4105" max="4105" width="8.140625" style="127" customWidth="1"/>
    <col min="4106" max="4106" width="10.85546875" style="127" customWidth="1"/>
    <col min="4107" max="4108" width="9.140625" style="127"/>
    <col min="4109" max="4109" width="11.28515625" style="127" bestFit="1" customWidth="1"/>
    <col min="4110" max="4353" width="9.140625" style="127"/>
    <col min="4354" max="4359" width="15.7109375" style="127" customWidth="1"/>
    <col min="4360" max="4360" width="2" style="127" customWidth="1"/>
    <col min="4361" max="4361" width="8.140625" style="127" customWidth="1"/>
    <col min="4362" max="4362" width="10.85546875" style="127" customWidth="1"/>
    <col min="4363" max="4364" width="9.140625" style="127"/>
    <col min="4365" max="4365" width="11.28515625" style="127" bestFit="1" customWidth="1"/>
    <col min="4366" max="4609" width="9.140625" style="127"/>
    <col min="4610" max="4615" width="15.7109375" style="127" customWidth="1"/>
    <col min="4616" max="4616" width="2" style="127" customWidth="1"/>
    <col min="4617" max="4617" width="8.140625" style="127" customWidth="1"/>
    <col min="4618" max="4618" width="10.85546875" style="127" customWidth="1"/>
    <col min="4619" max="4620" width="9.140625" style="127"/>
    <col min="4621" max="4621" width="11.28515625" style="127" bestFit="1" customWidth="1"/>
    <col min="4622" max="4865" width="9.140625" style="127"/>
    <col min="4866" max="4871" width="15.7109375" style="127" customWidth="1"/>
    <col min="4872" max="4872" width="2" style="127" customWidth="1"/>
    <col min="4873" max="4873" width="8.140625" style="127" customWidth="1"/>
    <col min="4874" max="4874" width="10.85546875" style="127" customWidth="1"/>
    <col min="4875" max="4876" width="9.140625" style="127"/>
    <col min="4877" max="4877" width="11.28515625" style="127" bestFit="1" customWidth="1"/>
    <col min="4878" max="5121" width="9.140625" style="127"/>
    <col min="5122" max="5127" width="15.7109375" style="127" customWidth="1"/>
    <col min="5128" max="5128" width="2" style="127" customWidth="1"/>
    <col min="5129" max="5129" width="8.140625" style="127" customWidth="1"/>
    <col min="5130" max="5130" width="10.85546875" style="127" customWidth="1"/>
    <col min="5131" max="5132" width="9.140625" style="127"/>
    <col min="5133" max="5133" width="11.28515625" style="127" bestFit="1" customWidth="1"/>
    <col min="5134" max="5377" width="9.140625" style="127"/>
    <col min="5378" max="5383" width="15.7109375" style="127" customWidth="1"/>
    <col min="5384" max="5384" width="2" style="127" customWidth="1"/>
    <col min="5385" max="5385" width="8.140625" style="127" customWidth="1"/>
    <col min="5386" max="5386" width="10.85546875" style="127" customWidth="1"/>
    <col min="5387" max="5388" width="9.140625" style="127"/>
    <col min="5389" max="5389" width="11.28515625" style="127" bestFit="1" customWidth="1"/>
    <col min="5390" max="5633" width="9.140625" style="127"/>
    <col min="5634" max="5639" width="15.7109375" style="127" customWidth="1"/>
    <col min="5640" max="5640" width="2" style="127" customWidth="1"/>
    <col min="5641" max="5641" width="8.140625" style="127" customWidth="1"/>
    <col min="5642" max="5642" width="10.85546875" style="127" customWidth="1"/>
    <col min="5643" max="5644" width="9.140625" style="127"/>
    <col min="5645" max="5645" width="11.28515625" style="127" bestFit="1" customWidth="1"/>
    <col min="5646" max="5889" width="9.140625" style="127"/>
    <col min="5890" max="5895" width="15.7109375" style="127" customWidth="1"/>
    <col min="5896" max="5896" width="2" style="127" customWidth="1"/>
    <col min="5897" max="5897" width="8.140625" style="127" customWidth="1"/>
    <col min="5898" max="5898" width="10.85546875" style="127" customWidth="1"/>
    <col min="5899" max="5900" width="9.140625" style="127"/>
    <col min="5901" max="5901" width="11.28515625" style="127" bestFit="1" customWidth="1"/>
    <col min="5902" max="6145" width="9.140625" style="127"/>
    <col min="6146" max="6151" width="15.7109375" style="127" customWidth="1"/>
    <col min="6152" max="6152" width="2" style="127" customWidth="1"/>
    <col min="6153" max="6153" width="8.140625" style="127" customWidth="1"/>
    <col min="6154" max="6154" width="10.85546875" style="127" customWidth="1"/>
    <col min="6155" max="6156" width="9.140625" style="127"/>
    <col min="6157" max="6157" width="11.28515625" style="127" bestFit="1" customWidth="1"/>
    <col min="6158" max="6401" width="9.140625" style="127"/>
    <col min="6402" max="6407" width="15.7109375" style="127" customWidth="1"/>
    <col min="6408" max="6408" width="2" style="127" customWidth="1"/>
    <col min="6409" max="6409" width="8.140625" style="127" customWidth="1"/>
    <col min="6410" max="6410" width="10.85546875" style="127" customWidth="1"/>
    <col min="6411" max="6412" width="9.140625" style="127"/>
    <col min="6413" max="6413" width="11.28515625" style="127" bestFit="1" customWidth="1"/>
    <col min="6414" max="6657" width="9.140625" style="127"/>
    <col min="6658" max="6663" width="15.7109375" style="127" customWidth="1"/>
    <col min="6664" max="6664" width="2" style="127" customWidth="1"/>
    <col min="6665" max="6665" width="8.140625" style="127" customWidth="1"/>
    <col min="6666" max="6666" width="10.85546875" style="127" customWidth="1"/>
    <col min="6667" max="6668" width="9.140625" style="127"/>
    <col min="6669" max="6669" width="11.28515625" style="127" bestFit="1" customWidth="1"/>
    <col min="6670" max="6913" width="9.140625" style="127"/>
    <col min="6914" max="6919" width="15.7109375" style="127" customWidth="1"/>
    <col min="6920" max="6920" width="2" style="127" customWidth="1"/>
    <col min="6921" max="6921" width="8.140625" style="127" customWidth="1"/>
    <col min="6922" max="6922" width="10.85546875" style="127" customWidth="1"/>
    <col min="6923" max="6924" width="9.140625" style="127"/>
    <col min="6925" max="6925" width="11.28515625" style="127" bestFit="1" customWidth="1"/>
    <col min="6926" max="7169" width="9.140625" style="127"/>
    <col min="7170" max="7175" width="15.7109375" style="127" customWidth="1"/>
    <col min="7176" max="7176" width="2" style="127" customWidth="1"/>
    <col min="7177" max="7177" width="8.140625" style="127" customWidth="1"/>
    <col min="7178" max="7178" width="10.85546875" style="127" customWidth="1"/>
    <col min="7179" max="7180" width="9.140625" style="127"/>
    <col min="7181" max="7181" width="11.28515625" style="127" bestFit="1" customWidth="1"/>
    <col min="7182" max="7425" width="9.140625" style="127"/>
    <col min="7426" max="7431" width="15.7109375" style="127" customWidth="1"/>
    <col min="7432" max="7432" width="2" style="127" customWidth="1"/>
    <col min="7433" max="7433" width="8.140625" style="127" customWidth="1"/>
    <col min="7434" max="7434" width="10.85546875" style="127" customWidth="1"/>
    <col min="7435" max="7436" width="9.140625" style="127"/>
    <col min="7437" max="7437" width="11.28515625" style="127" bestFit="1" customWidth="1"/>
    <col min="7438" max="7681" width="9.140625" style="127"/>
    <col min="7682" max="7687" width="15.7109375" style="127" customWidth="1"/>
    <col min="7688" max="7688" width="2" style="127" customWidth="1"/>
    <col min="7689" max="7689" width="8.140625" style="127" customWidth="1"/>
    <col min="7690" max="7690" width="10.85546875" style="127" customWidth="1"/>
    <col min="7691" max="7692" width="9.140625" style="127"/>
    <col min="7693" max="7693" width="11.28515625" style="127" bestFit="1" customWidth="1"/>
    <col min="7694" max="7937" width="9.140625" style="127"/>
    <col min="7938" max="7943" width="15.7109375" style="127" customWidth="1"/>
    <col min="7944" max="7944" width="2" style="127" customWidth="1"/>
    <col min="7945" max="7945" width="8.140625" style="127" customWidth="1"/>
    <col min="7946" max="7946" width="10.85546875" style="127" customWidth="1"/>
    <col min="7947" max="7948" width="9.140625" style="127"/>
    <col min="7949" max="7949" width="11.28515625" style="127" bestFit="1" customWidth="1"/>
    <col min="7950" max="8193" width="9.140625" style="127"/>
    <col min="8194" max="8199" width="15.7109375" style="127" customWidth="1"/>
    <col min="8200" max="8200" width="2" style="127" customWidth="1"/>
    <col min="8201" max="8201" width="8.140625" style="127" customWidth="1"/>
    <col min="8202" max="8202" width="10.85546875" style="127" customWidth="1"/>
    <col min="8203" max="8204" width="9.140625" style="127"/>
    <col min="8205" max="8205" width="11.28515625" style="127" bestFit="1" customWidth="1"/>
    <col min="8206" max="8449" width="9.140625" style="127"/>
    <col min="8450" max="8455" width="15.7109375" style="127" customWidth="1"/>
    <col min="8456" max="8456" width="2" style="127" customWidth="1"/>
    <col min="8457" max="8457" width="8.140625" style="127" customWidth="1"/>
    <col min="8458" max="8458" width="10.85546875" style="127" customWidth="1"/>
    <col min="8459" max="8460" width="9.140625" style="127"/>
    <col min="8461" max="8461" width="11.28515625" style="127" bestFit="1" customWidth="1"/>
    <col min="8462" max="8705" width="9.140625" style="127"/>
    <col min="8706" max="8711" width="15.7109375" style="127" customWidth="1"/>
    <col min="8712" max="8712" width="2" style="127" customWidth="1"/>
    <col min="8713" max="8713" width="8.140625" style="127" customWidth="1"/>
    <col min="8714" max="8714" width="10.85546875" style="127" customWidth="1"/>
    <col min="8715" max="8716" width="9.140625" style="127"/>
    <col min="8717" max="8717" width="11.28515625" style="127" bestFit="1" customWidth="1"/>
    <col min="8718" max="8961" width="9.140625" style="127"/>
    <col min="8962" max="8967" width="15.7109375" style="127" customWidth="1"/>
    <col min="8968" max="8968" width="2" style="127" customWidth="1"/>
    <col min="8969" max="8969" width="8.140625" style="127" customWidth="1"/>
    <col min="8970" max="8970" width="10.85546875" style="127" customWidth="1"/>
    <col min="8971" max="8972" width="9.140625" style="127"/>
    <col min="8973" max="8973" width="11.28515625" style="127" bestFit="1" customWidth="1"/>
    <col min="8974" max="9217" width="9.140625" style="127"/>
    <col min="9218" max="9223" width="15.7109375" style="127" customWidth="1"/>
    <col min="9224" max="9224" width="2" style="127" customWidth="1"/>
    <col min="9225" max="9225" width="8.140625" style="127" customWidth="1"/>
    <col min="9226" max="9226" width="10.85546875" style="127" customWidth="1"/>
    <col min="9227" max="9228" width="9.140625" style="127"/>
    <col min="9229" max="9229" width="11.28515625" style="127" bestFit="1" customWidth="1"/>
    <col min="9230" max="9473" width="9.140625" style="127"/>
    <col min="9474" max="9479" width="15.7109375" style="127" customWidth="1"/>
    <col min="9480" max="9480" width="2" style="127" customWidth="1"/>
    <col min="9481" max="9481" width="8.140625" style="127" customWidth="1"/>
    <col min="9482" max="9482" width="10.85546875" style="127" customWidth="1"/>
    <col min="9483" max="9484" width="9.140625" style="127"/>
    <col min="9485" max="9485" width="11.28515625" style="127" bestFit="1" customWidth="1"/>
    <col min="9486" max="9729" width="9.140625" style="127"/>
    <col min="9730" max="9735" width="15.7109375" style="127" customWidth="1"/>
    <col min="9736" max="9736" width="2" style="127" customWidth="1"/>
    <col min="9737" max="9737" width="8.140625" style="127" customWidth="1"/>
    <col min="9738" max="9738" width="10.85546875" style="127" customWidth="1"/>
    <col min="9739" max="9740" width="9.140625" style="127"/>
    <col min="9741" max="9741" width="11.28515625" style="127" bestFit="1" customWidth="1"/>
    <col min="9742" max="9985" width="9.140625" style="127"/>
    <col min="9986" max="9991" width="15.7109375" style="127" customWidth="1"/>
    <col min="9992" max="9992" width="2" style="127" customWidth="1"/>
    <col min="9993" max="9993" width="8.140625" style="127" customWidth="1"/>
    <col min="9994" max="9994" width="10.85546875" style="127" customWidth="1"/>
    <col min="9995" max="9996" width="9.140625" style="127"/>
    <col min="9997" max="9997" width="11.28515625" style="127" bestFit="1" customWidth="1"/>
    <col min="9998" max="10241" width="9.140625" style="127"/>
    <col min="10242" max="10247" width="15.7109375" style="127" customWidth="1"/>
    <col min="10248" max="10248" width="2" style="127" customWidth="1"/>
    <col min="10249" max="10249" width="8.140625" style="127" customWidth="1"/>
    <col min="10250" max="10250" width="10.85546875" style="127" customWidth="1"/>
    <col min="10251" max="10252" width="9.140625" style="127"/>
    <col min="10253" max="10253" width="11.28515625" style="127" bestFit="1" customWidth="1"/>
    <col min="10254" max="10497" width="9.140625" style="127"/>
    <col min="10498" max="10503" width="15.7109375" style="127" customWidth="1"/>
    <col min="10504" max="10504" width="2" style="127" customWidth="1"/>
    <col min="10505" max="10505" width="8.140625" style="127" customWidth="1"/>
    <col min="10506" max="10506" width="10.85546875" style="127" customWidth="1"/>
    <col min="10507" max="10508" width="9.140625" style="127"/>
    <col min="10509" max="10509" width="11.28515625" style="127" bestFit="1" customWidth="1"/>
    <col min="10510" max="10753" width="9.140625" style="127"/>
    <col min="10754" max="10759" width="15.7109375" style="127" customWidth="1"/>
    <col min="10760" max="10760" width="2" style="127" customWidth="1"/>
    <col min="10761" max="10761" width="8.140625" style="127" customWidth="1"/>
    <col min="10762" max="10762" width="10.85546875" style="127" customWidth="1"/>
    <col min="10763" max="10764" width="9.140625" style="127"/>
    <col min="10765" max="10765" width="11.28515625" style="127" bestFit="1" customWidth="1"/>
    <col min="10766" max="11009" width="9.140625" style="127"/>
    <col min="11010" max="11015" width="15.7109375" style="127" customWidth="1"/>
    <col min="11016" max="11016" width="2" style="127" customWidth="1"/>
    <col min="11017" max="11017" width="8.140625" style="127" customWidth="1"/>
    <col min="11018" max="11018" width="10.85546875" style="127" customWidth="1"/>
    <col min="11019" max="11020" width="9.140625" style="127"/>
    <col min="11021" max="11021" width="11.28515625" style="127" bestFit="1" customWidth="1"/>
    <col min="11022" max="11265" width="9.140625" style="127"/>
    <col min="11266" max="11271" width="15.7109375" style="127" customWidth="1"/>
    <col min="11272" max="11272" width="2" style="127" customWidth="1"/>
    <col min="11273" max="11273" width="8.140625" style="127" customWidth="1"/>
    <col min="11274" max="11274" width="10.85546875" style="127" customWidth="1"/>
    <col min="11275" max="11276" width="9.140625" style="127"/>
    <col min="11277" max="11277" width="11.28515625" style="127" bestFit="1" customWidth="1"/>
    <col min="11278" max="11521" width="9.140625" style="127"/>
    <col min="11522" max="11527" width="15.7109375" style="127" customWidth="1"/>
    <col min="11528" max="11528" width="2" style="127" customWidth="1"/>
    <col min="11529" max="11529" width="8.140625" style="127" customWidth="1"/>
    <col min="11530" max="11530" width="10.85546875" style="127" customWidth="1"/>
    <col min="11531" max="11532" width="9.140625" style="127"/>
    <col min="11533" max="11533" width="11.28515625" style="127" bestFit="1" customWidth="1"/>
    <col min="11534" max="11777" width="9.140625" style="127"/>
    <col min="11778" max="11783" width="15.7109375" style="127" customWidth="1"/>
    <col min="11784" max="11784" width="2" style="127" customWidth="1"/>
    <col min="11785" max="11785" width="8.140625" style="127" customWidth="1"/>
    <col min="11786" max="11786" width="10.85546875" style="127" customWidth="1"/>
    <col min="11787" max="11788" width="9.140625" style="127"/>
    <col min="11789" max="11789" width="11.28515625" style="127" bestFit="1" customWidth="1"/>
    <col min="11790" max="12033" width="9.140625" style="127"/>
    <col min="12034" max="12039" width="15.7109375" style="127" customWidth="1"/>
    <col min="12040" max="12040" width="2" style="127" customWidth="1"/>
    <col min="12041" max="12041" width="8.140625" style="127" customWidth="1"/>
    <col min="12042" max="12042" width="10.85546875" style="127" customWidth="1"/>
    <col min="12043" max="12044" width="9.140625" style="127"/>
    <col min="12045" max="12045" width="11.28515625" style="127" bestFit="1" customWidth="1"/>
    <col min="12046" max="12289" width="9.140625" style="127"/>
    <col min="12290" max="12295" width="15.7109375" style="127" customWidth="1"/>
    <col min="12296" max="12296" width="2" style="127" customWidth="1"/>
    <col min="12297" max="12297" width="8.140625" style="127" customWidth="1"/>
    <col min="12298" max="12298" width="10.85546875" style="127" customWidth="1"/>
    <col min="12299" max="12300" width="9.140625" style="127"/>
    <col min="12301" max="12301" width="11.28515625" style="127" bestFit="1" customWidth="1"/>
    <col min="12302" max="12545" width="9.140625" style="127"/>
    <col min="12546" max="12551" width="15.7109375" style="127" customWidth="1"/>
    <col min="12552" max="12552" width="2" style="127" customWidth="1"/>
    <col min="12553" max="12553" width="8.140625" style="127" customWidth="1"/>
    <col min="12554" max="12554" width="10.85546875" style="127" customWidth="1"/>
    <col min="12555" max="12556" width="9.140625" style="127"/>
    <col min="12557" max="12557" width="11.28515625" style="127" bestFit="1" customWidth="1"/>
    <col min="12558" max="12801" width="9.140625" style="127"/>
    <col min="12802" max="12807" width="15.7109375" style="127" customWidth="1"/>
    <col min="12808" max="12808" width="2" style="127" customWidth="1"/>
    <col min="12809" max="12809" width="8.140625" style="127" customWidth="1"/>
    <col min="12810" max="12810" width="10.85546875" style="127" customWidth="1"/>
    <col min="12811" max="12812" width="9.140625" style="127"/>
    <col min="12813" max="12813" width="11.28515625" style="127" bestFit="1" customWidth="1"/>
    <col min="12814" max="13057" width="9.140625" style="127"/>
    <col min="13058" max="13063" width="15.7109375" style="127" customWidth="1"/>
    <col min="13064" max="13064" width="2" style="127" customWidth="1"/>
    <col min="13065" max="13065" width="8.140625" style="127" customWidth="1"/>
    <col min="13066" max="13066" width="10.85546875" style="127" customWidth="1"/>
    <col min="13067" max="13068" width="9.140625" style="127"/>
    <col min="13069" max="13069" width="11.28515625" style="127" bestFit="1" customWidth="1"/>
    <col min="13070" max="13313" width="9.140625" style="127"/>
    <col min="13314" max="13319" width="15.7109375" style="127" customWidth="1"/>
    <col min="13320" max="13320" width="2" style="127" customWidth="1"/>
    <col min="13321" max="13321" width="8.140625" style="127" customWidth="1"/>
    <col min="13322" max="13322" width="10.85546875" style="127" customWidth="1"/>
    <col min="13323" max="13324" width="9.140625" style="127"/>
    <col min="13325" max="13325" width="11.28515625" style="127" bestFit="1" customWidth="1"/>
    <col min="13326" max="13569" width="9.140625" style="127"/>
    <col min="13570" max="13575" width="15.7109375" style="127" customWidth="1"/>
    <col min="13576" max="13576" width="2" style="127" customWidth="1"/>
    <col min="13577" max="13577" width="8.140625" style="127" customWidth="1"/>
    <col min="13578" max="13578" width="10.85546875" style="127" customWidth="1"/>
    <col min="13579" max="13580" width="9.140625" style="127"/>
    <col min="13581" max="13581" width="11.28515625" style="127" bestFit="1" customWidth="1"/>
    <col min="13582" max="13825" width="9.140625" style="127"/>
    <col min="13826" max="13831" width="15.7109375" style="127" customWidth="1"/>
    <col min="13832" max="13832" width="2" style="127" customWidth="1"/>
    <col min="13833" max="13833" width="8.140625" style="127" customWidth="1"/>
    <col min="13834" max="13834" width="10.85546875" style="127" customWidth="1"/>
    <col min="13835" max="13836" width="9.140625" style="127"/>
    <col min="13837" max="13837" width="11.28515625" style="127" bestFit="1" customWidth="1"/>
    <col min="13838" max="14081" width="9.140625" style="127"/>
    <col min="14082" max="14087" width="15.7109375" style="127" customWidth="1"/>
    <col min="14088" max="14088" width="2" style="127" customWidth="1"/>
    <col min="14089" max="14089" width="8.140625" style="127" customWidth="1"/>
    <col min="14090" max="14090" width="10.85546875" style="127" customWidth="1"/>
    <col min="14091" max="14092" width="9.140625" style="127"/>
    <col min="14093" max="14093" width="11.28515625" style="127" bestFit="1" customWidth="1"/>
    <col min="14094" max="14337" width="9.140625" style="127"/>
    <col min="14338" max="14343" width="15.7109375" style="127" customWidth="1"/>
    <col min="14344" max="14344" width="2" style="127" customWidth="1"/>
    <col min="14345" max="14345" width="8.140625" style="127" customWidth="1"/>
    <col min="14346" max="14346" width="10.85546875" style="127" customWidth="1"/>
    <col min="14347" max="14348" width="9.140625" style="127"/>
    <col min="14349" max="14349" width="11.28515625" style="127" bestFit="1" customWidth="1"/>
    <col min="14350" max="14593" width="9.140625" style="127"/>
    <col min="14594" max="14599" width="15.7109375" style="127" customWidth="1"/>
    <col min="14600" max="14600" width="2" style="127" customWidth="1"/>
    <col min="14601" max="14601" width="8.140625" style="127" customWidth="1"/>
    <col min="14602" max="14602" width="10.85546875" style="127" customWidth="1"/>
    <col min="14603" max="14604" width="9.140625" style="127"/>
    <col min="14605" max="14605" width="11.28515625" style="127" bestFit="1" customWidth="1"/>
    <col min="14606" max="14849" width="9.140625" style="127"/>
    <col min="14850" max="14855" width="15.7109375" style="127" customWidth="1"/>
    <col min="14856" max="14856" width="2" style="127" customWidth="1"/>
    <col min="14857" max="14857" width="8.140625" style="127" customWidth="1"/>
    <col min="14858" max="14858" width="10.85546875" style="127" customWidth="1"/>
    <col min="14859" max="14860" width="9.140625" style="127"/>
    <col min="14861" max="14861" width="11.28515625" style="127" bestFit="1" customWidth="1"/>
    <col min="14862" max="15105" width="9.140625" style="127"/>
    <col min="15106" max="15111" width="15.7109375" style="127" customWidth="1"/>
    <col min="15112" max="15112" width="2" style="127" customWidth="1"/>
    <col min="15113" max="15113" width="8.140625" style="127" customWidth="1"/>
    <col min="15114" max="15114" width="10.85546875" style="127" customWidth="1"/>
    <col min="15115" max="15116" width="9.140625" style="127"/>
    <col min="15117" max="15117" width="11.28515625" style="127" bestFit="1" customWidth="1"/>
    <col min="15118" max="15361" width="9.140625" style="127"/>
    <col min="15362" max="15367" width="15.7109375" style="127" customWidth="1"/>
    <col min="15368" max="15368" width="2" style="127" customWidth="1"/>
    <col min="15369" max="15369" width="8.140625" style="127" customWidth="1"/>
    <col min="15370" max="15370" width="10.85546875" style="127" customWidth="1"/>
    <col min="15371" max="15372" width="9.140625" style="127"/>
    <col min="15373" max="15373" width="11.28515625" style="127" bestFit="1" customWidth="1"/>
    <col min="15374" max="15617" width="9.140625" style="127"/>
    <col min="15618" max="15623" width="15.7109375" style="127" customWidth="1"/>
    <col min="15624" max="15624" width="2" style="127" customWidth="1"/>
    <col min="15625" max="15625" width="8.140625" style="127" customWidth="1"/>
    <col min="15626" max="15626" width="10.85546875" style="127" customWidth="1"/>
    <col min="15627" max="15628" width="9.140625" style="127"/>
    <col min="15629" max="15629" width="11.28515625" style="127" bestFit="1" customWidth="1"/>
    <col min="15630" max="15873" width="9.140625" style="127"/>
    <col min="15874" max="15879" width="15.7109375" style="127" customWidth="1"/>
    <col min="15880" max="15880" width="2" style="127" customWidth="1"/>
    <col min="15881" max="15881" width="8.140625" style="127" customWidth="1"/>
    <col min="15882" max="15882" width="10.85546875" style="127" customWidth="1"/>
    <col min="15883" max="15884" width="9.140625" style="127"/>
    <col min="15885" max="15885" width="11.28515625" style="127" bestFit="1" customWidth="1"/>
    <col min="15886" max="16129" width="9.140625" style="127"/>
    <col min="16130" max="16135" width="15.7109375" style="127" customWidth="1"/>
    <col min="16136" max="16136" width="2" style="127" customWidth="1"/>
    <col min="16137" max="16137" width="8.140625" style="127" customWidth="1"/>
    <col min="16138" max="16138" width="10.85546875" style="127" customWidth="1"/>
    <col min="16139" max="16140" width="9.140625" style="127"/>
    <col min="16141" max="16141" width="11.28515625" style="127" bestFit="1" customWidth="1"/>
    <col min="16142" max="16384" width="9.140625" style="127"/>
  </cols>
  <sheetData>
    <row r="1" spans="1:257" ht="18.75" x14ac:dyDescent="0.25">
      <c r="A1" s="699" t="s">
        <v>3674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027"/>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c r="BU1" s="2027"/>
      <c r="BV1" s="2027"/>
      <c r="BW1" s="2027"/>
      <c r="BX1" s="2027"/>
      <c r="BY1" s="2027"/>
      <c r="BZ1" s="2027"/>
      <c r="CA1" s="2027"/>
      <c r="CB1" s="2027"/>
      <c r="CC1" s="2027"/>
      <c r="CD1" s="2027"/>
      <c r="CE1" s="2027"/>
      <c r="CF1" s="2027"/>
      <c r="CG1" s="2027"/>
      <c r="CH1" s="2027"/>
      <c r="CI1" s="2027"/>
      <c r="CJ1" s="2027"/>
      <c r="CK1" s="2027"/>
      <c r="CL1" s="2027"/>
      <c r="CM1" s="2027"/>
      <c r="CN1" s="2027"/>
      <c r="CO1" s="2027"/>
      <c r="CP1" s="2027"/>
      <c r="CQ1" s="2027"/>
      <c r="CR1" s="2027"/>
      <c r="CS1" s="2027"/>
      <c r="CT1" s="2027"/>
      <c r="CU1" s="2027"/>
      <c r="CV1" s="2027"/>
      <c r="CW1" s="2027"/>
      <c r="CX1" s="2027"/>
      <c r="CY1" s="2027"/>
      <c r="CZ1" s="2027"/>
      <c r="DA1" s="2027"/>
      <c r="DB1" s="2027"/>
      <c r="DC1" s="2027"/>
      <c r="DD1" s="2027"/>
      <c r="DE1" s="2027"/>
      <c r="DF1" s="2027"/>
      <c r="DG1" s="2027"/>
      <c r="DH1" s="2027"/>
      <c r="DI1" s="2027"/>
      <c r="DJ1" s="2027"/>
      <c r="DK1" s="2027"/>
      <c r="DL1" s="2027"/>
      <c r="DM1" s="2027"/>
      <c r="DN1" s="2027"/>
      <c r="DO1" s="2027"/>
      <c r="DP1" s="2027"/>
      <c r="DQ1" s="2027"/>
      <c r="DR1" s="2027"/>
      <c r="DS1" s="2027"/>
      <c r="DT1" s="2027"/>
      <c r="DU1" s="2027"/>
      <c r="DV1" s="2027"/>
      <c r="DW1" s="2027"/>
      <c r="DX1" s="2027"/>
      <c r="DY1" s="2027"/>
      <c r="DZ1" s="2027"/>
      <c r="EA1" s="2027"/>
      <c r="EB1" s="2027"/>
      <c r="EC1" s="2027"/>
      <c r="ED1" s="2027"/>
      <c r="EE1" s="2027"/>
      <c r="EF1" s="2027"/>
      <c r="EG1" s="2027"/>
      <c r="EH1" s="2027"/>
      <c r="EI1" s="2027"/>
      <c r="EJ1" s="2027"/>
      <c r="EK1" s="2027"/>
      <c r="EL1" s="2027"/>
      <c r="EM1" s="2027"/>
      <c r="EN1" s="2027"/>
      <c r="EO1" s="2027"/>
      <c r="EP1" s="2027"/>
      <c r="EQ1" s="2027"/>
      <c r="ER1" s="2027"/>
      <c r="ES1" s="2027"/>
      <c r="ET1" s="2027"/>
      <c r="EU1" s="2027"/>
      <c r="EV1" s="2027"/>
      <c r="EW1" s="2027"/>
      <c r="EX1" s="2027"/>
      <c r="EY1" s="2027"/>
      <c r="EZ1" s="2027"/>
      <c r="FA1" s="2027"/>
      <c r="FB1" s="2027"/>
      <c r="FC1" s="2027"/>
      <c r="FD1" s="2027"/>
      <c r="FE1" s="2027"/>
      <c r="FF1" s="2027"/>
      <c r="FG1" s="2027"/>
      <c r="FH1" s="2027"/>
      <c r="FI1" s="2027"/>
      <c r="FJ1" s="2027"/>
      <c r="FK1" s="2027"/>
      <c r="FL1" s="2027"/>
      <c r="FM1" s="2027"/>
      <c r="FN1" s="2027"/>
      <c r="FO1" s="2027"/>
      <c r="FP1" s="2027"/>
      <c r="FQ1" s="2027"/>
      <c r="FR1" s="2027"/>
      <c r="FS1" s="2027"/>
      <c r="FT1" s="2027"/>
      <c r="FU1" s="2027"/>
      <c r="FV1" s="2027"/>
      <c r="FW1" s="2027"/>
      <c r="FX1" s="2027"/>
      <c r="FY1" s="2027"/>
      <c r="FZ1" s="2027"/>
      <c r="GA1" s="2027"/>
      <c r="GB1" s="2027"/>
      <c r="GC1" s="2027"/>
      <c r="GD1" s="2027"/>
      <c r="GE1" s="2027"/>
      <c r="GF1" s="2027"/>
      <c r="GG1" s="2027"/>
      <c r="GH1" s="2027"/>
      <c r="GI1" s="2027"/>
      <c r="GJ1" s="2027"/>
      <c r="GK1" s="2027"/>
      <c r="GL1" s="2027"/>
      <c r="GM1" s="2027"/>
      <c r="GN1" s="2027"/>
      <c r="GO1" s="2027"/>
      <c r="GP1" s="2027"/>
      <c r="GQ1" s="2027"/>
      <c r="GR1" s="2027"/>
      <c r="GS1" s="2027"/>
      <c r="GT1" s="2027"/>
      <c r="GU1" s="2027"/>
      <c r="GV1" s="2027"/>
      <c r="GW1" s="2027"/>
      <c r="GX1" s="2027"/>
      <c r="GY1" s="2027"/>
      <c r="GZ1" s="2027"/>
      <c r="HA1" s="2027"/>
      <c r="HB1" s="2027"/>
      <c r="HC1" s="2027"/>
      <c r="HD1" s="2027"/>
      <c r="HE1" s="2027"/>
      <c r="HF1" s="2027"/>
      <c r="HG1" s="2027"/>
      <c r="HH1" s="2027"/>
      <c r="HI1" s="2027"/>
      <c r="HJ1" s="2027"/>
      <c r="HK1" s="2027"/>
      <c r="HL1" s="2027"/>
      <c r="HM1" s="2027"/>
      <c r="HN1" s="2027"/>
      <c r="HO1" s="2027"/>
      <c r="HP1" s="2027"/>
      <c r="HQ1" s="2027"/>
      <c r="HR1" s="2027"/>
      <c r="HS1" s="2027"/>
      <c r="HT1" s="2027"/>
      <c r="HU1" s="2027"/>
      <c r="HV1" s="2027"/>
      <c r="HW1" s="2027"/>
      <c r="HX1" s="2027"/>
      <c r="HY1" s="2027"/>
      <c r="HZ1" s="2027"/>
      <c r="IA1" s="2027"/>
      <c r="IB1" s="2027"/>
      <c r="IC1" s="2027"/>
      <c r="ID1" s="2027"/>
      <c r="IE1" s="2027"/>
      <c r="IF1" s="2027"/>
      <c r="IG1" s="2027"/>
      <c r="IH1" s="2027"/>
      <c r="II1" s="2027"/>
      <c r="IJ1" s="2027"/>
      <c r="IK1" s="2027"/>
      <c r="IL1" s="2027"/>
      <c r="IM1" s="2027"/>
      <c r="IN1" s="2027"/>
      <c r="IO1" s="2027"/>
      <c r="IP1" s="2027"/>
      <c r="IQ1" s="2027"/>
      <c r="IR1" s="2027"/>
      <c r="IS1" s="2027"/>
      <c r="IT1" s="2027"/>
      <c r="IU1" s="2027"/>
      <c r="IV1" s="2027"/>
      <c r="IW1" s="2027"/>
    </row>
    <row r="2" spans="1:257" ht="15" thickBot="1" x14ac:dyDescent="0.3">
      <c r="H2" s="130" t="s">
        <v>8</v>
      </c>
    </row>
    <row r="3" spans="1:257" ht="34.5" thickTop="1" thickBot="1" x14ac:dyDescent="0.3">
      <c r="A3" s="2028"/>
      <c r="B3" s="2029" t="s">
        <v>3675</v>
      </c>
      <c r="C3" s="2029" t="s">
        <v>3676</v>
      </c>
      <c r="D3" s="2030" t="s">
        <v>3677</v>
      </c>
      <c r="E3" s="2030" t="s">
        <v>3678</v>
      </c>
      <c r="F3" s="2030" t="s">
        <v>3679</v>
      </c>
      <c r="G3" s="2031" t="s">
        <v>3680</v>
      </c>
      <c r="H3" s="2032" t="s">
        <v>274</v>
      </c>
      <c r="I3" s="2033"/>
      <c r="J3" s="2033"/>
      <c r="K3" s="2033"/>
      <c r="L3" s="2033"/>
      <c r="M3" s="2033"/>
      <c r="N3" s="2033"/>
      <c r="O3" s="2033"/>
      <c r="P3" s="2033"/>
      <c r="Q3" s="2033"/>
      <c r="R3" s="2033"/>
      <c r="S3" s="2033"/>
      <c r="T3" s="2033"/>
      <c r="U3" s="2033"/>
      <c r="V3" s="2033"/>
      <c r="W3" s="2033"/>
      <c r="X3" s="2033"/>
      <c r="Y3" s="2033"/>
      <c r="Z3" s="2033"/>
      <c r="AA3" s="2033"/>
      <c r="AB3" s="2033"/>
      <c r="AC3" s="2033"/>
      <c r="AD3" s="2033"/>
      <c r="AE3" s="2033"/>
      <c r="AF3" s="2033"/>
      <c r="AG3" s="2033"/>
      <c r="AH3" s="2033"/>
      <c r="AI3" s="2033"/>
      <c r="AJ3" s="2033"/>
      <c r="AK3" s="2033"/>
      <c r="AL3" s="2033"/>
      <c r="AM3" s="2033"/>
      <c r="AN3" s="2033"/>
      <c r="AO3" s="2033"/>
      <c r="AP3" s="2033"/>
      <c r="AQ3" s="2033"/>
      <c r="AR3" s="2033"/>
      <c r="AS3" s="2033"/>
      <c r="AT3" s="2033"/>
      <c r="AU3" s="2033"/>
      <c r="AV3" s="2033"/>
      <c r="AW3" s="2033"/>
      <c r="AX3" s="2033"/>
      <c r="AY3" s="2033"/>
      <c r="AZ3" s="2033"/>
      <c r="BA3" s="2033"/>
      <c r="BB3" s="2033"/>
      <c r="BC3" s="2033"/>
      <c r="BD3" s="2033"/>
      <c r="BE3" s="2033"/>
      <c r="BF3" s="2033"/>
      <c r="BG3" s="2033"/>
      <c r="BH3" s="2033"/>
      <c r="BI3" s="2033"/>
      <c r="BJ3" s="2033"/>
      <c r="BK3" s="2033"/>
      <c r="BL3" s="2033"/>
      <c r="BM3" s="2033"/>
      <c r="BN3" s="2033"/>
      <c r="BO3" s="2033"/>
      <c r="BP3" s="2033"/>
      <c r="BQ3" s="2033"/>
      <c r="BR3" s="2033"/>
      <c r="BS3" s="2033"/>
      <c r="BT3" s="2033"/>
      <c r="BU3" s="2033"/>
      <c r="BV3" s="2033"/>
      <c r="BW3" s="2033"/>
      <c r="BX3" s="2033"/>
      <c r="BY3" s="2033"/>
      <c r="BZ3" s="2033"/>
      <c r="CA3" s="2033"/>
      <c r="CB3" s="2033"/>
      <c r="CC3" s="2033"/>
      <c r="CD3" s="2033"/>
      <c r="CE3" s="2033"/>
      <c r="CF3" s="2033"/>
      <c r="CG3" s="2033"/>
      <c r="CH3" s="2033"/>
      <c r="CI3" s="2033"/>
      <c r="CJ3" s="2033"/>
      <c r="CK3" s="2033"/>
      <c r="CL3" s="2033"/>
      <c r="CM3" s="2033"/>
      <c r="CN3" s="2033"/>
      <c r="CO3" s="2033"/>
      <c r="CP3" s="2033"/>
      <c r="CQ3" s="2033"/>
      <c r="CR3" s="2033"/>
      <c r="CS3" s="2033"/>
      <c r="CT3" s="2033"/>
      <c r="CU3" s="2033"/>
      <c r="CV3" s="2033"/>
      <c r="CW3" s="2033"/>
      <c r="CX3" s="2033"/>
      <c r="CY3" s="2033"/>
      <c r="CZ3" s="2033"/>
      <c r="DA3" s="2033"/>
      <c r="DB3" s="2033"/>
      <c r="DC3" s="2033"/>
      <c r="DD3" s="2033"/>
      <c r="DE3" s="2033"/>
      <c r="DF3" s="2033"/>
      <c r="DG3" s="2033"/>
      <c r="DH3" s="2033"/>
      <c r="DI3" s="2033"/>
      <c r="DJ3" s="2033"/>
      <c r="DK3" s="2033"/>
      <c r="DL3" s="2033"/>
      <c r="DM3" s="2033"/>
      <c r="DN3" s="2033"/>
      <c r="DO3" s="2033"/>
      <c r="DP3" s="2033"/>
      <c r="DQ3" s="2033"/>
      <c r="DR3" s="2033"/>
      <c r="DS3" s="2033"/>
      <c r="DT3" s="2033"/>
      <c r="DU3" s="2033"/>
      <c r="DV3" s="2033"/>
      <c r="DW3" s="2033"/>
      <c r="DX3" s="2033"/>
      <c r="DY3" s="2033"/>
      <c r="DZ3" s="2033"/>
      <c r="EA3" s="2033"/>
      <c r="EB3" s="2033"/>
      <c r="EC3" s="2033"/>
      <c r="ED3" s="2033"/>
      <c r="EE3" s="2033"/>
      <c r="EF3" s="2033"/>
      <c r="EG3" s="2033"/>
      <c r="EH3" s="2033"/>
      <c r="EI3" s="2033"/>
      <c r="EJ3" s="2033"/>
      <c r="EK3" s="2033"/>
      <c r="EL3" s="2033"/>
      <c r="EM3" s="2033"/>
      <c r="EN3" s="2033"/>
      <c r="EO3" s="2033"/>
      <c r="EP3" s="2033"/>
      <c r="EQ3" s="2033"/>
      <c r="ER3" s="2033"/>
      <c r="ES3" s="2033"/>
      <c r="ET3" s="2033"/>
      <c r="EU3" s="2033"/>
      <c r="EV3" s="2033"/>
      <c r="EW3" s="2033"/>
      <c r="EX3" s="2033"/>
      <c r="EY3" s="2033"/>
      <c r="EZ3" s="2033"/>
      <c r="FA3" s="2033"/>
      <c r="FB3" s="2033"/>
      <c r="FC3" s="2033"/>
      <c r="FD3" s="2033"/>
      <c r="FE3" s="2033"/>
      <c r="FF3" s="2033"/>
      <c r="FG3" s="2033"/>
      <c r="FH3" s="2033"/>
      <c r="FI3" s="2033"/>
      <c r="FJ3" s="2033"/>
      <c r="FK3" s="2033"/>
      <c r="FL3" s="2033"/>
      <c r="FM3" s="2033"/>
      <c r="FN3" s="2033"/>
      <c r="FO3" s="2033"/>
      <c r="FP3" s="2033"/>
      <c r="FQ3" s="2033"/>
      <c r="FR3" s="2033"/>
      <c r="FS3" s="2033"/>
      <c r="FT3" s="2033"/>
      <c r="FU3" s="2033"/>
      <c r="FV3" s="2033"/>
      <c r="FW3" s="2033"/>
      <c r="FX3" s="2033"/>
      <c r="FY3" s="2033"/>
      <c r="FZ3" s="2033"/>
      <c r="GA3" s="2033"/>
      <c r="GB3" s="2033"/>
      <c r="GC3" s="2033"/>
      <c r="GD3" s="2033"/>
      <c r="GE3" s="2033"/>
      <c r="GF3" s="2033"/>
      <c r="GG3" s="2033"/>
      <c r="GH3" s="2033"/>
      <c r="GI3" s="2033"/>
      <c r="GJ3" s="2033"/>
      <c r="GK3" s="2033"/>
      <c r="GL3" s="2033"/>
      <c r="GM3" s="2033"/>
      <c r="GN3" s="2033"/>
      <c r="GO3" s="2033"/>
      <c r="GP3" s="2033"/>
      <c r="GQ3" s="2033"/>
      <c r="GR3" s="2033"/>
      <c r="GS3" s="2033"/>
      <c r="GT3" s="2033"/>
      <c r="GU3" s="2033"/>
      <c r="GV3" s="2033"/>
      <c r="GW3" s="2033"/>
      <c r="GX3" s="2033"/>
      <c r="GY3" s="2033"/>
      <c r="GZ3" s="2033"/>
      <c r="HA3" s="2033"/>
      <c r="HB3" s="2033"/>
      <c r="HC3" s="2033"/>
      <c r="HD3" s="2033"/>
      <c r="HE3" s="2033"/>
      <c r="HF3" s="2033"/>
      <c r="HG3" s="2033"/>
      <c r="HH3" s="2033"/>
      <c r="HI3" s="2033"/>
      <c r="HJ3" s="2033"/>
      <c r="HK3" s="2033"/>
      <c r="HL3" s="2033"/>
      <c r="HM3" s="2033"/>
      <c r="HN3" s="2033"/>
      <c r="HO3" s="2033"/>
      <c r="HP3" s="2033"/>
      <c r="HQ3" s="2033"/>
      <c r="HR3" s="2033"/>
      <c r="HS3" s="2033"/>
      <c r="HT3" s="2033"/>
      <c r="HU3" s="2033"/>
      <c r="HV3" s="2033"/>
      <c r="HW3" s="2033"/>
      <c r="HX3" s="2033"/>
      <c r="HY3" s="2033"/>
      <c r="HZ3" s="2033"/>
      <c r="IA3" s="2033"/>
      <c r="IB3" s="2033"/>
      <c r="IC3" s="2033"/>
      <c r="ID3" s="2033"/>
      <c r="IE3" s="2033"/>
      <c r="IF3" s="2033"/>
      <c r="IG3" s="2033"/>
      <c r="IH3" s="2033"/>
      <c r="II3" s="2033"/>
      <c r="IJ3" s="2033"/>
      <c r="IK3" s="2033"/>
      <c r="IL3" s="2033"/>
      <c r="IM3" s="2033"/>
      <c r="IN3" s="2033"/>
      <c r="IO3" s="2033"/>
      <c r="IP3" s="2033"/>
      <c r="IQ3" s="2033"/>
      <c r="IR3" s="2033"/>
      <c r="IS3" s="2033"/>
      <c r="IT3" s="2033"/>
      <c r="IU3" s="2033"/>
      <c r="IV3" s="2033"/>
      <c r="IW3" s="2033"/>
    </row>
    <row r="4" spans="1:257" ht="16.5" x14ac:dyDescent="0.25">
      <c r="A4" s="2034">
        <v>44013</v>
      </c>
      <c r="B4" s="2035">
        <v>39880</v>
      </c>
      <c r="C4" s="2035">
        <v>5178</v>
      </c>
      <c r="D4" s="2036">
        <v>58225</v>
      </c>
      <c r="E4" s="2036">
        <v>80500</v>
      </c>
      <c r="F4" s="2036">
        <v>104801.4</v>
      </c>
      <c r="G4" s="2036">
        <v>6591.3</v>
      </c>
      <c r="H4" s="2037">
        <f t="shared" ref="H4:H16" si="0">SUM(B4:G4)</f>
        <v>295175.7</v>
      </c>
      <c r="M4" s="2038"/>
    </row>
    <row r="5" spans="1:257" ht="16.5" x14ac:dyDescent="0.25">
      <c r="A5" s="2034">
        <v>44074</v>
      </c>
      <c r="B5" s="2035">
        <v>32080</v>
      </c>
      <c r="C5" s="2035">
        <v>4968</v>
      </c>
      <c r="D5" s="2036">
        <v>58225</v>
      </c>
      <c r="E5" s="2036">
        <v>80500</v>
      </c>
      <c r="F5" s="2036">
        <v>104801.4</v>
      </c>
      <c r="G5" s="2036">
        <v>6584.5</v>
      </c>
      <c r="H5" s="2037">
        <f t="shared" si="0"/>
        <v>287158.90000000002</v>
      </c>
      <c r="M5" s="2038"/>
    </row>
    <row r="6" spans="1:257" ht="16.5" x14ac:dyDescent="0.25">
      <c r="A6" s="2034">
        <v>44104</v>
      </c>
      <c r="B6" s="2035">
        <v>28980</v>
      </c>
      <c r="C6" s="2035">
        <v>5196.6000000000004</v>
      </c>
      <c r="D6" s="2036">
        <v>58225</v>
      </c>
      <c r="E6" s="2036">
        <v>80500</v>
      </c>
      <c r="F6" s="2036">
        <v>104452.5</v>
      </c>
      <c r="G6" s="2036">
        <v>6576.1</v>
      </c>
      <c r="H6" s="2037">
        <f t="shared" si="0"/>
        <v>283930.19999999995</v>
      </c>
      <c r="M6" s="2038"/>
    </row>
    <row r="7" spans="1:257" ht="16.5" x14ac:dyDescent="0.25">
      <c r="A7" s="2034">
        <v>44134</v>
      </c>
      <c r="B7" s="2035">
        <v>25900</v>
      </c>
      <c r="C7" s="2035">
        <v>5623.25</v>
      </c>
      <c r="D7" s="2036">
        <v>53225</v>
      </c>
      <c r="E7" s="2036">
        <v>80500</v>
      </c>
      <c r="F7" s="2036">
        <v>104452.5</v>
      </c>
      <c r="G7" s="2036">
        <v>6563.7049999999999</v>
      </c>
      <c r="H7" s="2037">
        <f t="shared" si="0"/>
        <v>276264.45500000002</v>
      </c>
      <c r="M7" s="2038"/>
    </row>
    <row r="8" spans="1:257" ht="16.5" x14ac:dyDescent="0.25">
      <c r="A8" s="2034">
        <v>44165</v>
      </c>
      <c r="B8" s="2035">
        <v>21900</v>
      </c>
      <c r="C8" s="2035">
        <v>5812.25</v>
      </c>
      <c r="D8" s="2036">
        <v>55025</v>
      </c>
      <c r="E8" s="2036">
        <v>82500</v>
      </c>
      <c r="F8" s="2036">
        <v>104452.5</v>
      </c>
      <c r="G8" s="2036">
        <v>6554.53</v>
      </c>
      <c r="H8" s="2037">
        <f t="shared" si="0"/>
        <v>276244.28000000003</v>
      </c>
      <c r="M8" s="2038"/>
    </row>
    <row r="9" spans="1:257" ht="16.5" x14ac:dyDescent="0.25">
      <c r="A9" s="2034">
        <v>44196</v>
      </c>
      <c r="B9" s="2035">
        <v>18400</v>
      </c>
      <c r="C9" s="2035">
        <v>6417.35</v>
      </c>
      <c r="D9" s="2036">
        <v>57025</v>
      </c>
      <c r="E9" s="2036">
        <v>80200</v>
      </c>
      <c r="F9" s="2036">
        <v>106452.5</v>
      </c>
      <c r="G9" s="2036">
        <v>6546.9750000000004</v>
      </c>
      <c r="H9" s="2037">
        <f t="shared" si="0"/>
        <v>275041.82499999995</v>
      </c>
      <c r="M9" s="2038"/>
    </row>
    <row r="10" spans="1:257" ht="16.5" x14ac:dyDescent="0.25">
      <c r="A10" s="2034">
        <v>44225</v>
      </c>
      <c r="B10" s="2035">
        <v>20600</v>
      </c>
      <c r="C10" s="2035">
        <v>5891.85</v>
      </c>
      <c r="D10" s="2036">
        <v>53825</v>
      </c>
      <c r="E10" s="2036">
        <v>82200</v>
      </c>
      <c r="F10" s="2036">
        <v>108266.8</v>
      </c>
      <c r="G10" s="2036">
        <v>6540.55</v>
      </c>
      <c r="H10" s="2037">
        <f t="shared" si="0"/>
        <v>277324.2</v>
      </c>
      <c r="M10" s="2038"/>
    </row>
    <row r="11" spans="1:257" ht="16.5" x14ac:dyDescent="0.25">
      <c r="A11" s="2034">
        <v>44255</v>
      </c>
      <c r="B11" s="2035">
        <v>21400</v>
      </c>
      <c r="C11" s="2035">
        <v>6886.85</v>
      </c>
      <c r="D11" s="2036">
        <v>55625</v>
      </c>
      <c r="E11" s="2036">
        <v>84200</v>
      </c>
      <c r="F11" s="2036">
        <v>110266.8</v>
      </c>
      <c r="G11" s="2036">
        <v>6529.2749999999996</v>
      </c>
      <c r="H11" s="2037">
        <f t="shared" si="0"/>
        <v>284907.92500000005</v>
      </c>
      <c r="M11" s="2038"/>
    </row>
    <row r="12" spans="1:257" ht="16.5" x14ac:dyDescent="0.25">
      <c r="A12" s="2034">
        <v>44286</v>
      </c>
      <c r="B12" s="2035">
        <v>21500</v>
      </c>
      <c r="C12" s="2035">
        <v>7456.85</v>
      </c>
      <c r="D12" s="2036">
        <v>57425</v>
      </c>
      <c r="E12" s="2036">
        <v>86200</v>
      </c>
      <c r="F12" s="2036">
        <v>112014.3</v>
      </c>
      <c r="G12" s="2036">
        <v>6527.9750000000004</v>
      </c>
      <c r="H12" s="2037">
        <f t="shared" si="0"/>
        <v>291124.125</v>
      </c>
      <c r="M12" s="2038"/>
    </row>
    <row r="13" spans="1:257" ht="16.5" x14ac:dyDescent="0.25">
      <c r="A13" s="2034">
        <v>44316</v>
      </c>
      <c r="B13" s="2035">
        <v>22300</v>
      </c>
      <c r="C13" s="2035">
        <v>7491.85</v>
      </c>
      <c r="D13" s="2036">
        <v>54425</v>
      </c>
      <c r="E13" s="2036">
        <v>88200</v>
      </c>
      <c r="F13" s="2036">
        <v>114014.3</v>
      </c>
      <c r="G13" s="2036">
        <v>6524.125</v>
      </c>
      <c r="H13" s="2037">
        <f t="shared" si="0"/>
        <v>292955.27500000002</v>
      </c>
      <c r="M13" s="2038"/>
    </row>
    <row r="14" spans="1:257" ht="16.5" x14ac:dyDescent="0.25">
      <c r="A14" s="2034">
        <v>44347</v>
      </c>
      <c r="B14" s="2035">
        <v>24350</v>
      </c>
      <c r="C14" s="2035">
        <v>7315.85</v>
      </c>
      <c r="D14" s="2036">
        <v>56625</v>
      </c>
      <c r="E14" s="2036">
        <v>86200</v>
      </c>
      <c r="F14" s="2036">
        <v>116814.3</v>
      </c>
      <c r="G14" s="2036">
        <v>6513.65</v>
      </c>
      <c r="H14" s="2037">
        <f t="shared" si="0"/>
        <v>297818.80000000005</v>
      </c>
      <c r="M14" s="2038"/>
    </row>
    <row r="15" spans="1:257" ht="16.5" x14ac:dyDescent="0.25">
      <c r="A15" s="2034">
        <v>44377</v>
      </c>
      <c r="B15" s="2035">
        <v>26350</v>
      </c>
      <c r="C15" s="2035">
        <v>11835.35</v>
      </c>
      <c r="D15" s="2036">
        <v>62825</v>
      </c>
      <c r="E15" s="2036">
        <v>91950</v>
      </c>
      <c r="F15" s="2036">
        <v>121464.3</v>
      </c>
      <c r="G15" s="2036">
        <v>6506.15</v>
      </c>
      <c r="H15" s="2037">
        <f t="shared" si="0"/>
        <v>320930.80000000005</v>
      </c>
      <c r="M15" s="2038"/>
    </row>
    <row r="16" spans="1:257" ht="17.25" thickBot="1" x14ac:dyDescent="0.3">
      <c r="A16" s="2039">
        <v>44408</v>
      </c>
      <c r="B16" s="2040">
        <v>26950</v>
      </c>
      <c r="C16" s="2040">
        <v>12656.5</v>
      </c>
      <c r="D16" s="2041">
        <v>59325</v>
      </c>
      <c r="E16" s="2041">
        <v>91950</v>
      </c>
      <c r="F16" s="2041">
        <v>121464.3</v>
      </c>
      <c r="G16" s="2041">
        <v>6498.75</v>
      </c>
      <c r="H16" s="2042">
        <f t="shared" si="0"/>
        <v>318844.55</v>
      </c>
      <c r="M16" s="2038"/>
    </row>
    <row r="17" spans="1:257" s="123" customFormat="1" ht="15" thickTop="1" x14ac:dyDescent="0.25">
      <c r="A17" s="123" t="s">
        <v>172</v>
      </c>
      <c r="H17" s="2043"/>
    </row>
    <row r="18" spans="1:257" s="123" customFormat="1" x14ac:dyDescent="0.25">
      <c r="A18" s="123" t="s">
        <v>3224</v>
      </c>
      <c r="H18" s="2043"/>
    </row>
    <row r="19" spans="1:257" x14ac:dyDescent="0.25">
      <c r="A19" s="127"/>
      <c r="H19" s="299"/>
    </row>
    <row r="21" spans="1:257" ht="17.25" x14ac:dyDescent="0.25">
      <c r="A21" s="699" t="s">
        <v>3681</v>
      </c>
      <c r="B21" s="1434"/>
      <c r="C21" s="1434"/>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4"/>
      <c r="AL21" s="1434"/>
      <c r="AM21" s="1434"/>
      <c r="AN21" s="1434"/>
      <c r="AO21" s="1434"/>
      <c r="AP21" s="1434"/>
      <c r="AQ21" s="1434"/>
      <c r="AR21" s="1434"/>
      <c r="AS21" s="1434"/>
      <c r="AT21" s="1434"/>
      <c r="AU21" s="1434"/>
      <c r="AV21" s="1434"/>
      <c r="AW21" s="1434"/>
      <c r="AX21" s="1434"/>
      <c r="AY21" s="1434"/>
      <c r="AZ21" s="1434"/>
      <c r="BA21" s="1434"/>
      <c r="BB21" s="1434"/>
      <c r="BC21" s="1434"/>
      <c r="BD21" s="1434"/>
      <c r="BE21" s="1434"/>
      <c r="BF21" s="1434"/>
      <c r="BG21" s="1434"/>
      <c r="BH21" s="1434"/>
      <c r="BI21" s="1434"/>
      <c r="BJ21" s="1434"/>
      <c r="BK21" s="1434"/>
      <c r="BL21" s="1434"/>
      <c r="BM21" s="1434"/>
      <c r="BN21" s="1434"/>
      <c r="BO21" s="1434"/>
      <c r="BP21" s="1434"/>
      <c r="BQ21" s="1434"/>
      <c r="BR21" s="1434"/>
      <c r="BS21" s="1434"/>
      <c r="BT21" s="1434"/>
      <c r="BU21" s="1434"/>
      <c r="BV21" s="1434"/>
      <c r="BW21" s="1434"/>
      <c r="BX21" s="1434"/>
      <c r="BY21" s="1434"/>
      <c r="BZ21" s="1434"/>
      <c r="CA21" s="1434"/>
      <c r="CB21" s="1434"/>
      <c r="CC21" s="1434"/>
      <c r="CD21" s="1434"/>
      <c r="CE21" s="1434"/>
      <c r="CF21" s="1434"/>
      <c r="CG21" s="1434"/>
      <c r="CH21" s="1434"/>
      <c r="CI21" s="1434"/>
      <c r="CJ21" s="1434"/>
      <c r="CK21" s="1434"/>
      <c r="CL21" s="1434"/>
      <c r="CM21" s="1434"/>
      <c r="CN21" s="1434"/>
      <c r="CO21" s="1434"/>
      <c r="CP21" s="1434"/>
      <c r="CQ21" s="1434"/>
      <c r="CR21" s="1434"/>
      <c r="CS21" s="1434"/>
      <c r="CT21" s="1434"/>
      <c r="CU21" s="1434"/>
      <c r="CV21" s="1434"/>
      <c r="CW21" s="1434"/>
      <c r="CX21" s="1434"/>
      <c r="CY21" s="1434"/>
      <c r="CZ21" s="1434"/>
      <c r="DA21" s="1434"/>
      <c r="DB21" s="1434"/>
      <c r="DC21" s="1434"/>
      <c r="DD21" s="1434"/>
      <c r="DE21" s="1434"/>
      <c r="DF21" s="1434"/>
      <c r="DG21" s="1434"/>
      <c r="DH21" s="1434"/>
      <c r="DI21" s="1434"/>
      <c r="DJ21" s="1434"/>
      <c r="DK21" s="1434"/>
      <c r="DL21" s="1434"/>
      <c r="DM21" s="1434"/>
      <c r="DN21" s="1434"/>
      <c r="DO21" s="1434"/>
      <c r="DP21" s="1434"/>
      <c r="DQ21" s="1434"/>
      <c r="DR21" s="1434"/>
      <c r="DS21" s="1434"/>
      <c r="DT21" s="1434"/>
      <c r="DU21" s="1434"/>
      <c r="DV21" s="1434"/>
      <c r="DW21" s="1434"/>
      <c r="DX21" s="1434"/>
      <c r="DY21" s="1434"/>
      <c r="DZ21" s="1434"/>
      <c r="EA21" s="1434"/>
      <c r="EB21" s="1434"/>
      <c r="EC21" s="1434"/>
      <c r="ED21" s="1434"/>
      <c r="EE21" s="1434"/>
      <c r="EF21" s="1434"/>
      <c r="EG21" s="1434"/>
      <c r="EH21" s="1434"/>
      <c r="EI21" s="1434"/>
      <c r="EJ21" s="1434"/>
      <c r="EK21" s="1434"/>
      <c r="EL21" s="1434"/>
      <c r="EM21" s="1434"/>
      <c r="EN21" s="1434"/>
      <c r="EO21" s="1434"/>
      <c r="EP21" s="1434"/>
      <c r="EQ21" s="1434"/>
      <c r="ER21" s="1434"/>
      <c r="ES21" s="1434"/>
      <c r="ET21" s="1434"/>
      <c r="EU21" s="1434"/>
      <c r="EV21" s="1434"/>
      <c r="EW21" s="1434"/>
      <c r="EX21" s="1434"/>
      <c r="EY21" s="1434"/>
      <c r="EZ21" s="1434"/>
      <c r="FA21" s="1434"/>
      <c r="FB21" s="1434"/>
      <c r="FC21" s="1434"/>
      <c r="FD21" s="1434"/>
      <c r="FE21" s="1434"/>
      <c r="FF21" s="1434"/>
      <c r="FG21" s="1434"/>
      <c r="FH21" s="1434"/>
      <c r="FI21" s="1434"/>
      <c r="FJ21" s="1434"/>
      <c r="FK21" s="1434"/>
      <c r="FL21" s="1434"/>
      <c r="FM21" s="1434"/>
      <c r="FN21" s="1434"/>
      <c r="FO21" s="1434"/>
      <c r="FP21" s="1434"/>
      <c r="FQ21" s="1434"/>
      <c r="FR21" s="1434"/>
      <c r="FS21" s="1434"/>
      <c r="FT21" s="1434"/>
      <c r="FU21" s="1434"/>
      <c r="FV21" s="1434"/>
      <c r="FW21" s="1434"/>
      <c r="FX21" s="1434"/>
      <c r="FY21" s="1434"/>
      <c r="FZ21" s="1434"/>
      <c r="GA21" s="1434"/>
      <c r="GB21" s="1434"/>
      <c r="GC21" s="1434"/>
      <c r="GD21" s="1434"/>
      <c r="GE21" s="1434"/>
      <c r="GF21" s="1434"/>
      <c r="GG21" s="1434"/>
      <c r="GH21" s="1434"/>
      <c r="GI21" s="1434"/>
      <c r="GJ21" s="1434"/>
      <c r="GK21" s="1434"/>
      <c r="GL21" s="1434"/>
      <c r="GM21" s="1434"/>
      <c r="GN21" s="1434"/>
      <c r="GO21" s="1434"/>
      <c r="GP21" s="1434"/>
      <c r="GQ21" s="1434"/>
      <c r="GR21" s="1434"/>
      <c r="GS21" s="1434"/>
      <c r="GT21" s="1434"/>
      <c r="GU21" s="1434"/>
      <c r="GV21" s="1434"/>
      <c r="GW21" s="1434"/>
      <c r="GX21" s="1434"/>
      <c r="GY21" s="1434"/>
      <c r="GZ21" s="1434"/>
      <c r="HA21" s="1434"/>
      <c r="HB21" s="1434"/>
      <c r="HC21" s="1434"/>
      <c r="HD21" s="1434"/>
      <c r="HE21" s="1434"/>
      <c r="HF21" s="1434"/>
      <c r="HG21" s="1434"/>
      <c r="HH21" s="1434"/>
      <c r="HI21" s="1434"/>
      <c r="HJ21" s="1434"/>
      <c r="HK21" s="1434"/>
      <c r="HL21" s="1434"/>
      <c r="HM21" s="1434"/>
      <c r="HN21" s="1434"/>
      <c r="HO21" s="1434"/>
      <c r="HP21" s="1434"/>
      <c r="HQ21" s="1434"/>
      <c r="HR21" s="1434"/>
      <c r="HS21" s="1434"/>
      <c r="HT21" s="1434"/>
      <c r="HU21" s="1434"/>
      <c r="HV21" s="1434"/>
      <c r="HW21" s="1434"/>
      <c r="HX21" s="1434"/>
      <c r="HY21" s="1434"/>
      <c r="HZ21" s="1434"/>
      <c r="IA21" s="1434"/>
      <c r="IB21" s="1434"/>
      <c r="IC21" s="1434"/>
      <c r="ID21" s="1434"/>
      <c r="IE21" s="1434"/>
      <c r="IF21" s="1434"/>
      <c r="IG21" s="1434"/>
      <c r="IH21" s="1434"/>
      <c r="II21" s="1434"/>
      <c r="IJ21" s="1434"/>
      <c r="IK21" s="1434"/>
      <c r="IL21" s="1434"/>
      <c r="IM21" s="1434"/>
      <c r="IN21" s="1434"/>
      <c r="IO21" s="1434"/>
      <c r="IP21" s="1434"/>
      <c r="IQ21" s="1434"/>
      <c r="IR21" s="1434"/>
      <c r="IS21" s="1434"/>
      <c r="IT21" s="1434"/>
      <c r="IU21" s="1434"/>
      <c r="IV21" s="1434"/>
      <c r="IW21" s="1434"/>
    </row>
    <row r="22" spans="1:257" ht="15" thickBot="1" x14ac:dyDescent="0.3">
      <c r="F22" s="130"/>
      <c r="G22" s="130"/>
      <c r="H22" s="130" t="s">
        <v>8</v>
      </c>
    </row>
    <row r="23" spans="1:257" ht="34.5" thickTop="1" thickBot="1" x14ac:dyDescent="0.3">
      <c r="A23" s="2044"/>
      <c r="B23" s="2029" t="s">
        <v>3675</v>
      </c>
      <c r="C23" s="2029" t="s">
        <v>3676</v>
      </c>
      <c r="D23" s="2030" t="s">
        <v>3677</v>
      </c>
      <c r="E23" s="2030" t="s">
        <v>3678</v>
      </c>
      <c r="F23" s="2030" t="s">
        <v>3682</v>
      </c>
      <c r="G23" s="2031" t="s">
        <v>3680</v>
      </c>
      <c r="H23" s="2032" t="s">
        <v>274</v>
      </c>
    </row>
    <row r="24" spans="1:257" ht="16.5" x14ac:dyDescent="0.25">
      <c r="A24" s="2045" t="s">
        <v>3683</v>
      </c>
      <c r="B24" s="2035">
        <v>25450</v>
      </c>
      <c r="C24" s="2035">
        <v>12656.5</v>
      </c>
      <c r="D24" s="2036">
        <v>22225</v>
      </c>
      <c r="E24" s="2036">
        <v>11200</v>
      </c>
      <c r="F24" s="2036">
        <v>4931</v>
      </c>
      <c r="G24" s="2035" t="s">
        <v>115</v>
      </c>
      <c r="H24" s="2046">
        <f t="shared" ref="H24:H44" si="1">SUM(B24:G24)</f>
        <v>76462.5</v>
      </c>
      <c r="J24" s="2047"/>
      <c r="K24" s="2047"/>
      <c r="L24" s="2047"/>
    </row>
    <row r="25" spans="1:257" ht="16.5" x14ac:dyDescent="0.25">
      <c r="A25" s="2045" t="s">
        <v>3684</v>
      </c>
      <c r="B25" s="2035">
        <v>1500</v>
      </c>
      <c r="C25" s="2035" t="s">
        <v>115</v>
      </c>
      <c r="D25" s="2036">
        <v>14800</v>
      </c>
      <c r="E25" s="2036">
        <v>18000</v>
      </c>
      <c r="F25" s="2036">
        <v>2631</v>
      </c>
      <c r="G25" s="2035" t="s">
        <v>115</v>
      </c>
      <c r="H25" s="2046">
        <f t="shared" si="1"/>
        <v>36931</v>
      </c>
      <c r="J25" s="2048"/>
    </row>
    <row r="26" spans="1:257" ht="16.5" x14ac:dyDescent="0.25">
      <c r="A26" s="2045" t="s">
        <v>3685</v>
      </c>
      <c r="B26" s="2035" t="s">
        <v>115</v>
      </c>
      <c r="C26" s="2035" t="s">
        <v>115</v>
      </c>
      <c r="D26" s="2036">
        <v>19800</v>
      </c>
      <c r="E26" s="2036">
        <v>11700</v>
      </c>
      <c r="F26" s="2036">
        <v>6513</v>
      </c>
      <c r="G26" s="2035" t="s">
        <v>115</v>
      </c>
      <c r="H26" s="2046">
        <f t="shared" si="1"/>
        <v>38013</v>
      </c>
      <c r="J26" s="2048"/>
    </row>
    <row r="27" spans="1:257" ht="16.5" x14ac:dyDescent="0.25">
      <c r="A27" s="2045" t="s">
        <v>3686</v>
      </c>
      <c r="B27" s="2035" t="s">
        <v>115</v>
      </c>
      <c r="C27" s="2035" t="s">
        <v>115</v>
      </c>
      <c r="D27" s="2036">
        <v>2500</v>
      </c>
      <c r="E27" s="2036">
        <v>30300</v>
      </c>
      <c r="F27" s="2036">
        <v>6083</v>
      </c>
      <c r="G27" s="2035" t="s">
        <v>115</v>
      </c>
      <c r="H27" s="2046">
        <f t="shared" si="1"/>
        <v>38883</v>
      </c>
      <c r="J27" s="2048"/>
    </row>
    <row r="28" spans="1:257" ht="16.5" x14ac:dyDescent="0.25">
      <c r="A28" s="2045" t="s">
        <v>3687</v>
      </c>
      <c r="B28" s="2035" t="s">
        <v>115</v>
      </c>
      <c r="C28" s="2035" t="s">
        <v>115</v>
      </c>
      <c r="D28" s="2049" t="s">
        <v>115</v>
      </c>
      <c r="E28" s="2036">
        <v>20750</v>
      </c>
      <c r="F28" s="2036">
        <v>9661.5</v>
      </c>
      <c r="G28" s="2035" t="s">
        <v>115</v>
      </c>
      <c r="H28" s="2046">
        <f t="shared" si="1"/>
        <v>30411.5</v>
      </c>
      <c r="J28" s="2048"/>
    </row>
    <row r="29" spans="1:257" ht="16.5" x14ac:dyDescent="0.25">
      <c r="A29" s="2045" t="s">
        <v>3688</v>
      </c>
      <c r="B29" s="2035" t="s">
        <v>115</v>
      </c>
      <c r="C29" s="2035" t="s">
        <v>115</v>
      </c>
      <c r="D29" s="2049" t="s">
        <v>115</v>
      </c>
      <c r="E29" s="2036" t="s">
        <v>115</v>
      </c>
      <c r="F29" s="2036">
        <v>8292.7999999999993</v>
      </c>
      <c r="G29" s="2035" t="s">
        <v>115</v>
      </c>
      <c r="H29" s="2046">
        <f t="shared" si="1"/>
        <v>8292.7999999999993</v>
      </c>
      <c r="J29" s="2048"/>
    </row>
    <row r="30" spans="1:257" ht="16.5" x14ac:dyDescent="0.25">
      <c r="A30" s="2045" t="s">
        <v>3689</v>
      </c>
      <c r="B30" s="2035" t="s">
        <v>115</v>
      </c>
      <c r="C30" s="2035" t="s">
        <v>115</v>
      </c>
      <c r="D30" s="2049" t="s">
        <v>115</v>
      </c>
      <c r="E30" s="2036" t="s">
        <v>115</v>
      </c>
      <c r="F30" s="2036">
        <v>11623.6</v>
      </c>
      <c r="G30" s="2035" t="s">
        <v>115</v>
      </c>
      <c r="H30" s="2046">
        <f t="shared" si="1"/>
        <v>11623.6</v>
      </c>
      <c r="J30" s="2048"/>
    </row>
    <row r="31" spans="1:257" ht="16.5" x14ac:dyDescent="0.25">
      <c r="A31" s="2045" t="s">
        <v>3690</v>
      </c>
      <c r="B31" s="2035" t="s">
        <v>115</v>
      </c>
      <c r="C31" s="2035" t="s">
        <v>115</v>
      </c>
      <c r="D31" s="2049" t="s">
        <v>115</v>
      </c>
      <c r="E31" s="2036" t="s">
        <v>115</v>
      </c>
      <c r="F31" s="2036">
        <v>9096.1</v>
      </c>
      <c r="G31" s="2035" t="s">
        <v>115</v>
      </c>
      <c r="H31" s="2046">
        <f t="shared" si="1"/>
        <v>9096.1</v>
      </c>
      <c r="J31" s="2048"/>
    </row>
    <row r="32" spans="1:257" ht="16.5" x14ac:dyDescent="0.25">
      <c r="A32" s="2045" t="s">
        <v>3691</v>
      </c>
      <c r="B32" s="2035" t="s">
        <v>115</v>
      </c>
      <c r="C32" s="2035" t="s">
        <v>115</v>
      </c>
      <c r="D32" s="2049" t="s">
        <v>115</v>
      </c>
      <c r="E32" s="2036" t="s">
        <v>115</v>
      </c>
      <c r="F32" s="2036">
        <v>11582.3</v>
      </c>
      <c r="G32" s="2035" t="s">
        <v>115</v>
      </c>
      <c r="H32" s="2046">
        <f t="shared" si="1"/>
        <v>11582.3</v>
      </c>
      <c r="J32" s="2048"/>
    </row>
    <row r="33" spans="1:257" ht="16.5" x14ac:dyDescent="0.25">
      <c r="A33" s="2045" t="s">
        <v>3692</v>
      </c>
      <c r="B33" s="2035" t="s">
        <v>115</v>
      </c>
      <c r="C33" s="2035" t="s">
        <v>115</v>
      </c>
      <c r="D33" s="2049" t="s">
        <v>115</v>
      </c>
      <c r="E33" s="2036" t="s">
        <v>115</v>
      </c>
      <c r="F33" s="2036">
        <v>12500</v>
      </c>
      <c r="G33" s="2035" t="s">
        <v>115</v>
      </c>
      <c r="H33" s="2046">
        <f t="shared" si="1"/>
        <v>12500</v>
      </c>
      <c r="J33" s="2048"/>
    </row>
    <row r="34" spans="1:257" ht="16.5" x14ac:dyDescent="0.25">
      <c r="A34" s="2045" t="s">
        <v>3693</v>
      </c>
      <c r="B34" s="2035" t="s">
        <v>115</v>
      </c>
      <c r="C34" s="2035" t="s">
        <v>115</v>
      </c>
      <c r="D34" s="2049" t="s">
        <v>115</v>
      </c>
      <c r="E34" s="2036" t="s">
        <v>115</v>
      </c>
      <c r="F34" s="2036">
        <v>2100</v>
      </c>
      <c r="G34" s="2035" t="s">
        <v>115</v>
      </c>
      <c r="H34" s="2046">
        <f t="shared" si="1"/>
        <v>2100</v>
      </c>
      <c r="J34" s="2048"/>
    </row>
    <row r="35" spans="1:257" ht="16.5" x14ac:dyDescent="0.25">
      <c r="A35" s="2045" t="s">
        <v>3694</v>
      </c>
      <c r="B35" s="2035" t="s">
        <v>115</v>
      </c>
      <c r="C35" s="2035" t="s">
        <v>115</v>
      </c>
      <c r="D35" s="2049" t="s">
        <v>115</v>
      </c>
      <c r="E35" s="2036" t="s">
        <v>115</v>
      </c>
      <c r="F35" s="2036">
        <v>2700</v>
      </c>
      <c r="G35" s="2035" t="s">
        <v>115</v>
      </c>
      <c r="H35" s="2046">
        <f t="shared" si="1"/>
        <v>2700</v>
      </c>
      <c r="J35" s="2048"/>
    </row>
    <row r="36" spans="1:257" ht="16.5" x14ac:dyDescent="0.25">
      <c r="A36" s="2045" t="s">
        <v>3695</v>
      </c>
      <c r="B36" s="2035" t="s">
        <v>115</v>
      </c>
      <c r="C36" s="2035" t="s">
        <v>115</v>
      </c>
      <c r="D36" s="2049" t="s">
        <v>115</v>
      </c>
      <c r="E36" s="2036" t="s">
        <v>115</v>
      </c>
      <c r="F36" s="2036">
        <v>2400</v>
      </c>
      <c r="G36" s="2035" t="s">
        <v>115</v>
      </c>
      <c r="H36" s="2046">
        <f t="shared" si="1"/>
        <v>2400</v>
      </c>
      <c r="J36" s="2048"/>
    </row>
    <row r="37" spans="1:257" ht="16.5" x14ac:dyDescent="0.25">
      <c r="A37" s="2045" t="s">
        <v>3696</v>
      </c>
      <c r="B37" s="2035" t="s">
        <v>115</v>
      </c>
      <c r="C37" s="2035" t="s">
        <v>115</v>
      </c>
      <c r="D37" s="2049" t="s">
        <v>115</v>
      </c>
      <c r="E37" s="2036" t="s">
        <v>115</v>
      </c>
      <c r="F37" s="2036">
        <v>3000</v>
      </c>
      <c r="G37" s="2035" t="s">
        <v>115</v>
      </c>
      <c r="H37" s="2046">
        <f t="shared" si="1"/>
        <v>3000</v>
      </c>
      <c r="J37" s="2048"/>
    </row>
    <row r="38" spans="1:257" ht="16.5" x14ac:dyDescent="0.25">
      <c r="A38" s="2045" t="s">
        <v>3697</v>
      </c>
      <c r="B38" s="2035" t="s">
        <v>115</v>
      </c>
      <c r="C38" s="2035" t="s">
        <v>115</v>
      </c>
      <c r="D38" s="2049" t="s">
        <v>115</v>
      </c>
      <c r="E38" s="2036" t="s">
        <v>115</v>
      </c>
      <c r="F38" s="2036">
        <v>9150</v>
      </c>
      <c r="G38" s="2035" t="s">
        <v>115</v>
      </c>
      <c r="H38" s="2046">
        <f t="shared" si="1"/>
        <v>9150</v>
      </c>
      <c r="J38" s="2048"/>
    </row>
    <row r="39" spans="1:257" ht="16.5" x14ac:dyDescent="0.25">
      <c r="A39" s="2045" t="s">
        <v>3698</v>
      </c>
      <c r="B39" s="2035" t="s">
        <v>115</v>
      </c>
      <c r="C39" s="2035" t="s">
        <v>115</v>
      </c>
      <c r="D39" s="2049" t="s">
        <v>115</v>
      </c>
      <c r="E39" s="2036" t="s">
        <v>115</v>
      </c>
      <c r="F39" s="2036">
        <v>3400</v>
      </c>
      <c r="G39" s="2035" t="s">
        <v>115</v>
      </c>
      <c r="H39" s="2046">
        <f t="shared" si="1"/>
        <v>3400</v>
      </c>
      <c r="J39" s="2048"/>
    </row>
    <row r="40" spans="1:257" ht="16.5" x14ac:dyDescent="0.25">
      <c r="A40" s="2045" t="s">
        <v>3699</v>
      </c>
      <c r="B40" s="2035" t="s">
        <v>115</v>
      </c>
      <c r="C40" s="2035" t="s">
        <v>115</v>
      </c>
      <c r="D40" s="2049" t="s">
        <v>115</v>
      </c>
      <c r="E40" s="2036" t="s">
        <v>115</v>
      </c>
      <c r="F40" s="2036">
        <v>3000</v>
      </c>
      <c r="G40" s="2035" t="s">
        <v>115</v>
      </c>
      <c r="H40" s="2046">
        <f t="shared" si="1"/>
        <v>3000</v>
      </c>
      <c r="J40" s="2048"/>
    </row>
    <row r="41" spans="1:257" ht="16.5" x14ac:dyDescent="0.25">
      <c r="A41" s="2045" t="s">
        <v>3700</v>
      </c>
      <c r="B41" s="2035" t="s">
        <v>115</v>
      </c>
      <c r="C41" s="2035" t="s">
        <v>115</v>
      </c>
      <c r="D41" s="2049" t="s">
        <v>115</v>
      </c>
      <c r="E41" s="2036" t="s">
        <v>115</v>
      </c>
      <c r="F41" s="2036">
        <v>4200</v>
      </c>
      <c r="G41" s="2035" t="s">
        <v>115</v>
      </c>
      <c r="H41" s="2046">
        <f t="shared" si="1"/>
        <v>4200</v>
      </c>
      <c r="J41" s="2048"/>
    </row>
    <row r="42" spans="1:257" ht="16.5" x14ac:dyDescent="0.25">
      <c r="A42" s="2045" t="s">
        <v>3701</v>
      </c>
      <c r="B42" s="2035" t="s">
        <v>115</v>
      </c>
      <c r="C42" s="2035" t="s">
        <v>115</v>
      </c>
      <c r="D42" s="2049" t="s">
        <v>115</v>
      </c>
      <c r="E42" s="2036" t="s">
        <v>115</v>
      </c>
      <c r="F42" s="2036">
        <v>3800</v>
      </c>
      <c r="G42" s="2050" t="s">
        <v>115</v>
      </c>
      <c r="H42" s="2046">
        <f t="shared" si="1"/>
        <v>3800</v>
      </c>
      <c r="J42" s="2048"/>
    </row>
    <row r="43" spans="1:257" ht="16.5" x14ac:dyDescent="0.25">
      <c r="A43" s="2045" t="s">
        <v>3702</v>
      </c>
      <c r="B43" s="2035" t="s">
        <v>115</v>
      </c>
      <c r="C43" s="2035" t="s">
        <v>115</v>
      </c>
      <c r="D43" s="2049" t="s">
        <v>115</v>
      </c>
      <c r="E43" s="2036" t="s">
        <v>115</v>
      </c>
      <c r="F43" s="2036">
        <v>4800</v>
      </c>
      <c r="G43" s="2050" t="s">
        <v>115</v>
      </c>
      <c r="H43" s="2046">
        <f t="shared" si="1"/>
        <v>4800</v>
      </c>
      <c r="J43" s="2048"/>
    </row>
    <row r="44" spans="1:257" ht="17.25" thickBot="1" x14ac:dyDescent="0.3">
      <c r="A44" s="2045" t="s">
        <v>3680</v>
      </c>
      <c r="B44" s="2035" t="s">
        <v>115</v>
      </c>
      <c r="C44" s="2035" t="s">
        <v>115</v>
      </c>
      <c r="D44" s="2049" t="s">
        <v>115</v>
      </c>
      <c r="E44" s="2036" t="s">
        <v>115</v>
      </c>
      <c r="F44" s="2036" t="s">
        <v>115</v>
      </c>
      <c r="G44" s="2051">
        <v>6498.75</v>
      </c>
      <c r="H44" s="2046">
        <f t="shared" si="1"/>
        <v>6498.75</v>
      </c>
      <c r="J44" s="2048"/>
    </row>
    <row r="45" spans="1:257" ht="17.25" thickBot="1" x14ac:dyDescent="0.3">
      <c r="A45" s="2052" t="s">
        <v>274</v>
      </c>
      <c r="B45" s="2053">
        <f>SUM(B24:B39)</f>
        <v>26950</v>
      </c>
      <c r="C45" s="2053">
        <f>SUM(C24:C39)</f>
        <v>12656.5</v>
      </c>
      <c r="D45" s="2054">
        <f>SUM(D24:D39)</f>
        <v>59325</v>
      </c>
      <c r="E45" s="2054">
        <f>SUM(E24:E39)</f>
        <v>91950</v>
      </c>
      <c r="F45" s="2054">
        <f>SUM(F24:F44)</f>
        <v>121464.3</v>
      </c>
      <c r="G45" s="2055">
        <f>SUM(G24:G44)</f>
        <v>6498.75</v>
      </c>
      <c r="H45" s="2056">
        <f>SUM(H24:H44)</f>
        <v>318844.55</v>
      </c>
      <c r="I45" s="299"/>
      <c r="J45" s="2057"/>
      <c r="K45" s="2057"/>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c r="EO45" s="299"/>
      <c r="EP45" s="299"/>
      <c r="EQ45" s="299"/>
      <c r="ER45" s="299"/>
      <c r="ES45" s="299"/>
      <c r="ET45" s="299"/>
      <c r="EU45" s="299"/>
      <c r="EV45" s="299"/>
      <c r="EW45" s="299"/>
      <c r="EX45" s="299"/>
      <c r="EY45" s="299"/>
      <c r="EZ45" s="299"/>
      <c r="FA45" s="299"/>
      <c r="FB45" s="299"/>
      <c r="FC45" s="299"/>
      <c r="FD45" s="299"/>
      <c r="FE45" s="299"/>
      <c r="FF45" s="299"/>
      <c r="FG45" s="299"/>
      <c r="FH45" s="299"/>
      <c r="FI45" s="299"/>
      <c r="FJ45" s="299"/>
      <c r="FK45" s="299"/>
      <c r="FL45" s="299"/>
      <c r="FM45" s="299"/>
      <c r="FN45" s="299"/>
      <c r="FO45" s="299"/>
      <c r="FP45" s="299"/>
      <c r="FQ45" s="299"/>
      <c r="FR45" s="299"/>
      <c r="FS45" s="299"/>
      <c r="FT45" s="299"/>
      <c r="FU45" s="299"/>
      <c r="FV45" s="299"/>
      <c r="FW45" s="299"/>
      <c r="FX45" s="299"/>
      <c r="FY45" s="299"/>
      <c r="FZ45" s="299"/>
      <c r="GA45" s="299"/>
      <c r="GB45" s="299"/>
      <c r="GC45" s="299"/>
      <c r="GD45" s="299"/>
      <c r="GE45" s="299"/>
      <c r="GF45" s="299"/>
      <c r="GG45" s="299"/>
      <c r="GH45" s="299"/>
      <c r="GI45" s="299"/>
      <c r="GJ45" s="299"/>
      <c r="GK45" s="299"/>
      <c r="GL45" s="299"/>
      <c r="GM45" s="299"/>
      <c r="GN45" s="299"/>
      <c r="GO45" s="299"/>
      <c r="GP45" s="299"/>
      <c r="GQ45" s="299"/>
      <c r="GR45" s="299"/>
      <c r="GS45" s="299"/>
      <c r="GT45" s="299"/>
      <c r="GU45" s="299"/>
      <c r="GV45" s="299"/>
      <c r="GW45" s="299"/>
      <c r="GX45" s="299"/>
      <c r="GY45" s="299"/>
      <c r="GZ45" s="299"/>
      <c r="HA45" s="299"/>
      <c r="HB45" s="299"/>
      <c r="HC45" s="299"/>
      <c r="HD45" s="299"/>
      <c r="HE45" s="299"/>
      <c r="HF45" s="299"/>
      <c r="HG45" s="299"/>
      <c r="HH45" s="299"/>
      <c r="HI45" s="299"/>
      <c r="HJ45" s="299"/>
      <c r="HK45" s="299"/>
      <c r="HL45" s="299"/>
      <c r="HM45" s="299"/>
      <c r="HN45" s="299"/>
      <c r="HO45" s="299"/>
      <c r="HP45" s="299"/>
      <c r="HQ45" s="299"/>
      <c r="HR45" s="299"/>
      <c r="HS45" s="299"/>
      <c r="HT45" s="299"/>
      <c r="HU45" s="299"/>
      <c r="HV45" s="299"/>
      <c r="HW45" s="299"/>
      <c r="HX45" s="299"/>
      <c r="HY45" s="299"/>
      <c r="HZ45" s="299"/>
      <c r="IA45" s="299"/>
      <c r="IB45" s="299"/>
      <c r="IC45" s="299"/>
      <c r="ID45" s="299"/>
      <c r="IE45" s="299"/>
      <c r="IF45" s="299"/>
      <c r="IG45" s="299"/>
      <c r="IH45" s="299"/>
      <c r="II45" s="299"/>
      <c r="IJ45" s="299"/>
      <c r="IK45" s="299"/>
      <c r="IL45" s="299"/>
      <c r="IM45" s="299"/>
      <c r="IN45" s="299"/>
      <c r="IO45" s="299"/>
      <c r="IP45" s="299"/>
      <c r="IQ45" s="299"/>
      <c r="IR45" s="299"/>
      <c r="IS45" s="299"/>
      <c r="IT45" s="299"/>
      <c r="IU45" s="299"/>
      <c r="IV45" s="299"/>
      <c r="IW45" s="299"/>
    </row>
    <row r="46" spans="1:257" s="123" customFormat="1" ht="15" thickTop="1" x14ac:dyDescent="0.25">
      <c r="A46" s="123" t="s">
        <v>3703</v>
      </c>
      <c r="B46" s="123" t="s">
        <v>3704</v>
      </c>
      <c r="H46" s="2043"/>
    </row>
    <row r="47" spans="1:257" s="123" customFormat="1" x14ac:dyDescent="0.25">
      <c r="A47" s="123" t="s">
        <v>172</v>
      </c>
    </row>
    <row r="48" spans="1:257" s="123" customFormat="1" x14ac:dyDescent="0.25">
      <c r="A48" s="123" t="s">
        <v>3224</v>
      </c>
    </row>
  </sheetData>
  <pageMargins left="0.75" right="0.75" top="0.75" bottom="0.75" header="0" footer="0"/>
  <pageSetup paperSize="9" scale="6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M27"/>
  <sheetViews>
    <sheetView zoomScaleNormal="100" zoomScaleSheetLayoutView="118" workbookViewId="0">
      <pane xSplit="1" ySplit="3" topLeftCell="B4" activePane="bottomRight" state="frozen"/>
      <selection activeCell="I35" sqref="I35"/>
      <selection pane="topRight" activeCell="I35" sqref="I35"/>
      <selection pane="bottomLeft" activeCell="I35" sqref="I35"/>
      <selection pane="bottomRight" activeCell="A17" sqref="A17"/>
    </sheetView>
  </sheetViews>
  <sheetFormatPr defaultRowHeight="20.100000000000001" customHeight="1" x14ac:dyDescent="0.25"/>
  <cols>
    <col min="1" max="1" width="38" style="2062" customWidth="1"/>
    <col min="2" max="2" width="23.140625" style="2062" customWidth="1"/>
    <col min="3" max="3" width="21.5703125" style="2062" customWidth="1"/>
    <col min="4" max="4" width="9.140625" style="2062"/>
    <col min="5" max="5" width="2.85546875" style="2062" customWidth="1"/>
    <col min="6" max="9" width="9.140625" style="2062" customWidth="1"/>
    <col min="10" max="16384" width="9.140625" style="2062"/>
  </cols>
  <sheetData>
    <row r="1" spans="1:13" s="2059" customFormat="1" ht="20.100000000000001" customHeight="1" thickBot="1" x14ac:dyDescent="0.3">
      <c r="A1" s="2058" t="s">
        <v>3705</v>
      </c>
    </row>
    <row r="2" spans="1:13" ht="20.100000000000001" customHeight="1" thickTop="1" x14ac:dyDescent="0.25">
      <c r="A2" s="3804"/>
      <c r="B2" s="2060" t="s">
        <v>3706</v>
      </c>
      <c r="C2" s="2061" t="s">
        <v>3707</v>
      </c>
    </row>
    <row r="3" spans="1:13" ht="20.100000000000001" customHeight="1" thickBot="1" x14ac:dyDescent="0.3">
      <c r="A3" s="3805"/>
      <c r="B3" s="2063" t="s">
        <v>3708</v>
      </c>
      <c r="C3" s="2064" t="s">
        <v>8</v>
      </c>
    </row>
    <row r="4" spans="1:13" ht="20.100000000000001" customHeight="1" thickTop="1" x14ac:dyDescent="0.25">
      <c r="A4" s="2065" t="s">
        <v>3027</v>
      </c>
      <c r="B4" s="2066">
        <f>SUM(B6:B7)</f>
        <v>46</v>
      </c>
      <c r="C4" s="2067">
        <f>SUM(C6:C7)</f>
        <v>5130.1499999999996</v>
      </c>
    </row>
    <row r="5" spans="1:13" s="2071" customFormat="1" ht="20.100000000000001" customHeight="1" x14ac:dyDescent="0.25">
      <c r="A5" s="2068" t="s">
        <v>3709</v>
      </c>
      <c r="B5" s="2069"/>
      <c r="C5" s="2070"/>
      <c r="L5" s="2062"/>
      <c r="M5" s="2062"/>
    </row>
    <row r="6" spans="1:13" ht="20.100000000000001" customHeight="1" x14ac:dyDescent="0.25">
      <c r="A6" s="2072" t="s">
        <v>3710</v>
      </c>
      <c r="B6" s="2073">
        <v>5</v>
      </c>
      <c r="C6" s="2074">
        <v>450.65</v>
      </c>
    </row>
    <row r="7" spans="1:13" ht="20.100000000000001" customHeight="1" x14ac:dyDescent="0.25">
      <c r="A7" s="2072" t="s">
        <v>3711</v>
      </c>
      <c r="B7" s="2073">
        <v>41</v>
      </c>
      <c r="C7" s="2074">
        <v>4679.5</v>
      </c>
    </row>
    <row r="8" spans="1:13" ht="20.100000000000001" customHeight="1" x14ac:dyDescent="0.25">
      <c r="A8" s="2075" t="s">
        <v>3712</v>
      </c>
      <c r="B8" s="2076">
        <f>SUM(B10:B12)</f>
        <v>53</v>
      </c>
      <c r="C8" s="2067">
        <f>SUM(C10:C12)</f>
        <v>1469.05</v>
      </c>
    </row>
    <row r="9" spans="1:13" s="2071" customFormat="1" ht="20.100000000000001" customHeight="1" x14ac:dyDescent="0.25">
      <c r="A9" s="2068" t="s">
        <v>3709</v>
      </c>
      <c r="B9" s="2077"/>
      <c r="C9" s="2070"/>
      <c r="L9" s="2062"/>
      <c r="M9" s="2062"/>
    </row>
    <row r="10" spans="1:13" ht="20.100000000000001" customHeight="1" x14ac:dyDescent="0.25">
      <c r="A10" s="2072" t="s">
        <v>3713</v>
      </c>
      <c r="B10" s="2078">
        <v>6</v>
      </c>
      <c r="C10" s="2074">
        <v>354</v>
      </c>
    </row>
    <row r="11" spans="1:13" ht="20.100000000000001" customHeight="1" x14ac:dyDescent="0.25">
      <c r="A11" s="2072" t="s">
        <v>3714</v>
      </c>
      <c r="B11" s="2078">
        <v>29</v>
      </c>
      <c r="C11" s="2074">
        <v>483.75</v>
      </c>
    </row>
    <row r="12" spans="1:13" ht="20.100000000000001" customHeight="1" x14ac:dyDescent="0.25">
      <c r="A12" s="2072" t="s">
        <v>3715</v>
      </c>
      <c r="B12" s="2078">
        <v>18</v>
      </c>
      <c r="C12" s="2074">
        <v>631.29999999999995</v>
      </c>
    </row>
    <row r="13" spans="1:13" ht="20.100000000000001" customHeight="1" x14ac:dyDescent="0.25">
      <c r="A13" s="2075" t="s">
        <v>3716</v>
      </c>
      <c r="B13" s="2076">
        <v>12</v>
      </c>
      <c r="C13" s="2067">
        <v>613.1</v>
      </c>
      <c r="G13" s="2079"/>
    </row>
    <row r="14" spans="1:13" ht="20.100000000000001" customHeight="1" thickBot="1" x14ac:dyDescent="0.3">
      <c r="A14" s="2075" t="s">
        <v>3717</v>
      </c>
      <c r="B14" s="2080">
        <v>171</v>
      </c>
      <c r="C14" s="2067">
        <v>257.3</v>
      </c>
    </row>
    <row r="15" spans="1:13" ht="20.100000000000001" customHeight="1" thickTop="1" thickBot="1" x14ac:dyDescent="0.3">
      <c r="A15" s="2081" t="s">
        <v>114</v>
      </c>
      <c r="B15" s="2082">
        <f>B4+B8+B13+B14</f>
        <v>282</v>
      </c>
      <c r="C15" s="2083">
        <f>C4+C8+C13+C14</f>
        <v>7469.6</v>
      </c>
    </row>
    <row r="16" spans="1:13" ht="20.100000000000001" customHeight="1" thickTop="1" x14ac:dyDescent="0.25">
      <c r="A16" s="2084"/>
    </row>
    <row r="17" spans="1:3" ht="20.100000000000001" customHeight="1" thickBot="1" x14ac:dyDescent="0.3">
      <c r="A17" s="1826" t="s">
        <v>3718</v>
      </c>
      <c r="B17" s="1827"/>
      <c r="C17" s="1827"/>
    </row>
    <row r="18" spans="1:3" ht="20.100000000000001" customHeight="1" thickTop="1" x14ac:dyDescent="0.25">
      <c r="A18" s="2085"/>
      <c r="B18" s="2060" t="s">
        <v>3706</v>
      </c>
      <c r="C18" s="2060" t="s">
        <v>3719</v>
      </c>
    </row>
    <row r="19" spans="1:3" ht="20.100000000000001" customHeight="1" thickBot="1" x14ac:dyDescent="0.3">
      <c r="A19" s="2086"/>
      <c r="B19" s="2063" t="s">
        <v>3708</v>
      </c>
      <c r="C19" s="2064" t="s">
        <v>8</v>
      </c>
    </row>
    <row r="20" spans="1:3" ht="20.100000000000001" customHeight="1" thickTop="1" x14ac:dyDescent="0.25">
      <c r="A20" s="2087">
        <v>44378</v>
      </c>
      <c r="B20" s="2073"/>
      <c r="C20" s="2088"/>
    </row>
    <row r="21" spans="1:3" ht="20.100000000000001" customHeight="1" x14ac:dyDescent="0.25">
      <c r="A21" s="2089" t="s">
        <v>3720</v>
      </c>
      <c r="B21" s="2073">
        <v>20</v>
      </c>
      <c r="C21" s="2074">
        <v>791.7</v>
      </c>
    </row>
    <row r="22" spans="1:3" ht="20.100000000000001" customHeight="1" x14ac:dyDescent="0.25">
      <c r="A22" s="2089" t="s">
        <v>3721</v>
      </c>
      <c r="B22" s="2073">
        <v>61</v>
      </c>
      <c r="C22" s="2074">
        <v>1508.4</v>
      </c>
    </row>
    <row r="23" spans="1:3" ht="20.100000000000001" customHeight="1" x14ac:dyDescent="0.25">
      <c r="A23" s="2089" t="s">
        <v>3722</v>
      </c>
      <c r="B23" s="2073">
        <v>97</v>
      </c>
      <c r="C23" s="2074">
        <v>2444.65</v>
      </c>
    </row>
    <row r="24" spans="1:3" ht="20.100000000000001" customHeight="1" x14ac:dyDescent="0.25">
      <c r="A24" s="2089" t="s">
        <v>3723</v>
      </c>
      <c r="B24" s="2073">
        <v>56</v>
      </c>
      <c r="C24" s="2074">
        <v>1175.8499999999999</v>
      </c>
    </row>
    <row r="25" spans="1:3" ht="20.100000000000001" customHeight="1" thickBot="1" x14ac:dyDescent="0.3">
      <c r="A25" s="2089" t="s">
        <v>3724</v>
      </c>
      <c r="B25" s="2073">
        <v>48</v>
      </c>
      <c r="C25" s="2074">
        <v>1549</v>
      </c>
    </row>
    <row r="26" spans="1:3" s="2092" customFormat="1" ht="20.100000000000001" customHeight="1" thickTop="1" thickBot="1" x14ac:dyDescent="0.3">
      <c r="A26" s="2081" t="s">
        <v>114</v>
      </c>
      <c r="B26" s="2090">
        <f>SUM(B21:B25)</f>
        <v>282</v>
      </c>
      <c r="C26" s="2091">
        <f>SUM(C21:C25)</f>
        <v>7469.6</v>
      </c>
    </row>
    <row r="27" spans="1:3" ht="20.100000000000001" customHeight="1" thickTop="1" x14ac:dyDescent="0.25">
      <c r="A27" s="1859" t="s">
        <v>3553</v>
      </c>
    </row>
  </sheetData>
  <mergeCells count="1">
    <mergeCell ref="A2:A3"/>
  </mergeCells>
  <pageMargins left="0.75" right="0.75" top="0.75" bottom="0.75" header="0.31496062992126" footer="0"/>
  <pageSetup paperSize="9" scale="93"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E13"/>
  <sheetViews>
    <sheetView showGridLines="0" zoomScaleNormal="100" zoomScaleSheetLayoutView="130" workbookViewId="0">
      <pane xSplit="1" ySplit="4" topLeftCell="B5" activePane="bottomRight" state="frozen"/>
      <selection activeCell="I35" sqref="I35"/>
      <selection pane="topRight" activeCell="I35" sqref="I35"/>
      <selection pane="bottomLeft" activeCell="I35" sqref="I35"/>
      <selection pane="bottomRight"/>
    </sheetView>
  </sheetViews>
  <sheetFormatPr defaultRowHeight="20.100000000000001" customHeight="1" x14ac:dyDescent="0.25"/>
  <cols>
    <col min="1" max="1" width="28.85546875" style="1948" bestFit="1" customWidth="1"/>
    <col min="2" max="2" width="16.42578125" style="1948" customWidth="1"/>
    <col min="3" max="3" width="14" style="1948" customWidth="1"/>
    <col min="4" max="4" width="23.85546875" style="1948" customWidth="1"/>
    <col min="5" max="5" width="1.28515625" style="1948" customWidth="1"/>
    <col min="6" max="6" width="27.5703125" style="1948" bestFit="1" customWidth="1"/>
    <col min="7" max="7" width="28.85546875" style="1948" bestFit="1" customWidth="1"/>
    <col min="8" max="9" width="24.28515625" style="1948" bestFit="1" customWidth="1"/>
    <col min="10" max="10" width="25.5703125" style="1948" bestFit="1" customWidth="1"/>
    <col min="11" max="11" width="21" style="1948" bestFit="1" customWidth="1"/>
    <col min="12" max="12" width="8.140625" style="1948" bestFit="1" customWidth="1"/>
    <col min="13" max="16384" width="9.140625" style="1948"/>
  </cols>
  <sheetData>
    <row r="1" spans="1:5" ht="20.100000000000001" customHeight="1" x14ac:dyDescent="0.25">
      <c r="A1" s="1826" t="s">
        <v>3725</v>
      </c>
    </row>
    <row r="2" spans="1:5" ht="20.100000000000001" customHeight="1" thickBot="1" x14ac:dyDescent="0.3">
      <c r="A2" s="1827"/>
    </row>
    <row r="3" spans="1:5" ht="20.100000000000001" customHeight="1" thickBot="1" x14ac:dyDescent="0.3">
      <c r="A3" s="1840" t="s">
        <v>3726</v>
      </c>
      <c r="B3" s="2093" t="s">
        <v>3727</v>
      </c>
      <c r="C3" s="1840" t="s">
        <v>3728</v>
      </c>
    </row>
    <row r="4" spans="1:5" ht="20.100000000000001" customHeight="1" thickBot="1" x14ac:dyDescent="0.3">
      <c r="A4" s="1840"/>
      <c r="B4" s="2094" t="s">
        <v>3729</v>
      </c>
      <c r="C4" s="2094" t="s">
        <v>10</v>
      </c>
      <c r="D4" s="2095"/>
    </row>
    <row r="5" spans="1:5" ht="20.100000000000001" customHeight="1" x14ac:dyDescent="0.25">
      <c r="A5" s="2096" t="s">
        <v>3730</v>
      </c>
      <c r="B5" s="2097">
        <v>2386.1</v>
      </c>
      <c r="C5" s="2098" t="s">
        <v>3731</v>
      </c>
      <c r="D5" s="2095"/>
    </row>
    <row r="6" spans="1:5" ht="20.100000000000001" customHeight="1" x14ac:dyDescent="0.25">
      <c r="A6" s="2099" t="s">
        <v>3732</v>
      </c>
      <c r="B6" s="2100">
        <v>550.79999999999995</v>
      </c>
      <c r="C6" s="2101" t="s">
        <v>3733</v>
      </c>
      <c r="D6" s="2095"/>
    </row>
    <row r="7" spans="1:5" ht="20.100000000000001" customHeight="1" x14ac:dyDescent="0.25">
      <c r="A7" s="2099" t="s">
        <v>3734</v>
      </c>
      <c r="B7" s="2100">
        <v>2031.45</v>
      </c>
      <c r="C7" s="2101" t="s">
        <v>3735</v>
      </c>
      <c r="D7" s="2095"/>
    </row>
    <row r="8" spans="1:5" ht="20.100000000000001" customHeight="1" x14ac:dyDescent="0.25">
      <c r="A8" s="2099" t="s">
        <v>3736</v>
      </c>
      <c r="B8" s="2100">
        <v>999.9</v>
      </c>
      <c r="C8" s="2101" t="s">
        <v>3737</v>
      </c>
      <c r="D8" s="2095"/>
    </row>
    <row r="9" spans="1:5" ht="20.100000000000001" customHeight="1" x14ac:dyDescent="0.25">
      <c r="A9" s="2099" t="s">
        <v>3738</v>
      </c>
      <c r="B9" s="2100">
        <v>260.95</v>
      </c>
      <c r="C9" s="2101" t="s">
        <v>2027</v>
      </c>
      <c r="D9" s="2095"/>
    </row>
    <row r="10" spans="1:5" ht="20.100000000000001" customHeight="1" x14ac:dyDescent="0.25">
      <c r="A10" s="2099" t="s">
        <v>3739</v>
      </c>
      <c r="B10" s="2100">
        <v>751.5</v>
      </c>
      <c r="C10" s="2101" t="s">
        <v>3740</v>
      </c>
      <c r="D10" s="2095"/>
    </row>
    <row r="11" spans="1:5" ht="20.100000000000001" customHeight="1" thickBot="1" x14ac:dyDescent="0.3">
      <c r="A11" s="2099" t="s">
        <v>3741</v>
      </c>
      <c r="B11" s="2100">
        <v>488.9</v>
      </c>
      <c r="C11" s="2101" t="s">
        <v>3742</v>
      </c>
      <c r="D11" s="2095"/>
    </row>
    <row r="12" spans="1:5" ht="20.100000000000001" customHeight="1" thickBot="1" x14ac:dyDescent="0.3">
      <c r="A12" s="2102" t="s">
        <v>114</v>
      </c>
      <c r="B12" s="2103">
        <f>SUM(B5:B11)</f>
        <v>7469.5999999999985</v>
      </c>
      <c r="C12" s="2103" t="s">
        <v>3743</v>
      </c>
    </row>
    <row r="13" spans="1:5" s="2104" customFormat="1" ht="20.100000000000001" customHeight="1" x14ac:dyDescent="0.25">
      <c r="A13" s="1859" t="s">
        <v>3553</v>
      </c>
      <c r="B13" s="1859"/>
      <c r="E13" s="2105"/>
    </row>
  </sheetData>
  <pageMargins left="0.75" right="0.75" top="0.75" bottom="0.75" header="0.31496062992125984" footer="0"/>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35"/>
  <sheetViews>
    <sheetView zoomScaleNormal="100" workbookViewId="0"/>
  </sheetViews>
  <sheetFormatPr defaultColWidth="11.42578125" defaultRowHeight="17.25" x14ac:dyDescent="0.25"/>
  <cols>
    <col min="1" max="1" width="16.5703125" style="2114" customWidth="1"/>
    <col min="2" max="2" width="21.85546875" style="2114" customWidth="1"/>
    <col min="3" max="4" width="19.140625" style="2114" customWidth="1"/>
    <col min="5" max="5" width="11.140625" style="2114" bestFit="1" customWidth="1"/>
    <col min="6" max="15" width="11.42578125" style="2111" customWidth="1"/>
    <col min="16" max="251" width="11.42578125" style="2114"/>
    <col min="252" max="252" width="14.85546875" style="2114" customWidth="1"/>
    <col min="253" max="254" width="12.5703125" style="2114" customWidth="1"/>
    <col min="255" max="255" width="12.140625" style="2114" customWidth="1"/>
    <col min="256" max="256" width="14" style="2114" bestFit="1" customWidth="1"/>
    <col min="257" max="257" width="13.5703125" style="2114" bestFit="1" customWidth="1"/>
    <col min="258" max="258" width="10.5703125" style="2114" bestFit="1" customWidth="1"/>
    <col min="259" max="259" width="11.85546875" style="2114" bestFit="1" customWidth="1"/>
    <col min="260" max="260" width="5.7109375" style="2114" customWidth="1"/>
    <col min="261" max="271" width="11.42578125" style="2114" customWidth="1"/>
    <col min="272" max="507" width="11.42578125" style="2114"/>
    <col min="508" max="508" width="14.85546875" style="2114" customWidth="1"/>
    <col min="509" max="510" width="12.5703125" style="2114" customWidth="1"/>
    <col min="511" max="511" width="12.140625" style="2114" customWidth="1"/>
    <col min="512" max="512" width="14" style="2114" bestFit="1" customWidth="1"/>
    <col min="513" max="513" width="13.5703125" style="2114" bestFit="1" customWidth="1"/>
    <col min="514" max="514" width="10.5703125" style="2114" bestFit="1" customWidth="1"/>
    <col min="515" max="515" width="11.85546875" style="2114" bestFit="1" customWidth="1"/>
    <col min="516" max="516" width="5.7109375" style="2114" customWidth="1"/>
    <col min="517" max="527" width="11.42578125" style="2114" customWidth="1"/>
    <col min="528" max="763" width="11.42578125" style="2114"/>
    <col min="764" max="764" width="14.85546875" style="2114" customWidth="1"/>
    <col min="765" max="766" width="12.5703125" style="2114" customWidth="1"/>
    <col min="767" max="767" width="12.140625" style="2114" customWidth="1"/>
    <col min="768" max="768" width="14" style="2114" bestFit="1" customWidth="1"/>
    <col min="769" max="769" width="13.5703125" style="2114" bestFit="1" customWidth="1"/>
    <col min="770" max="770" width="10.5703125" style="2114" bestFit="1" customWidth="1"/>
    <col min="771" max="771" width="11.85546875" style="2114" bestFit="1" customWidth="1"/>
    <col min="772" max="772" width="5.7109375" style="2114" customWidth="1"/>
    <col min="773" max="783" width="11.42578125" style="2114" customWidth="1"/>
    <col min="784" max="1019" width="11.42578125" style="2114"/>
    <col min="1020" max="1020" width="14.85546875" style="2114" customWidth="1"/>
    <col min="1021" max="1022" width="12.5703125" style="2114" customWidth="1"/>
    <col min="1023" max="1023" width="12.140625" style="2114" customWidth="1"/>
    <col min="1024" max="1024" width="14" style="2114" bestFit="1" customWidth="1"/>
    <col min="1025" max="1025" width="13.5703125" style="2114" bestFit="1" customWidth="1"/>
    <col min="1026" max="1026" width="10.5703125" style="2114" bestFit="1" customWidth="1"/>
    <col min="1027" max="1027" width="11.85546875" style="2114" bestFit="1" customWidth="1"/>
    <col min="1028" max="1028" width="5.7109375" style="2114" customWidth="1"/>
    <col min="1029" max="1039" width="11.42578125" style="2114" customWidth="1"/>
    <col min="1040" max="1275" width="11.42578125" style="2114"/>
    <col min="1276" max="1276" width="14.85546875" style="2114" customWidth="1"/>
    <col min="1277" max="1278" width="12.5703125" style="2114" customWidth="1"/>
    <col min="1279" max="1279" width="12.140625" style="2114" customWidth="1"/>
    <col min="1280" max="1280" width="14" style="2114" bestFit="1" customWidth="1"/>
    <col min="1281" max="1281" width="13.5703125" style="2114" bestFit="1" customWidth="1"/>
    <col min="1282" max="1282" width="10.5703125" style="2114" bestFit="1" customWidth="1"/>
    <col min="1283" max="1283" width="11.85546875" style="2114" bestFit="1" customWidth="1"/>
    <col min="1284" max="1284" width="5.7109375" style="2114" customWidth="1"/>
    <col min="1285" max="1295" width="11.42578125" style="2114" customWidth="1"/>
    <col min="1296" max="1531" width="11.42578125" style="2114"/>
    <col min="1532" max="1532" width="14.85546875" style="2114" customWidth="1"/>
    <col min="1533" max="1534" width="12.5703125" style="2114" customWidth="1"/>
    <col min="1535" max="1535" width="12.140625" style="2114" customWidth="1"/>
    <col min="1536" max="1536" width="14" style="2114" bestFit="1" customWidth="1"/>
    <col min="1537" max="1537" width="13.5703125" style="2114" bestFit="1" customWidth="1"/>
    <col min="1538" max="1538" width="10.5703125" style="2114" bestFit="1" customWidth="1"/>
    <col min="1539" max="1539" width="11.85546875" style="2114" bestFit="1" customWidth="1"/>
    <col min="1540" max="1540" width="5.7109375" style="2114" customWidth="1"/>
    <col min="1541" max="1551" width="11.42578125" style="2114" customWidth="1"/>
    <col min="1552" max="1787" width="11.42578125" style="2114"/>
    <col min="1788" max="1788" width="14.85546875" style="2114" customWidth="1"/>
    <col min="1789" max="1790" width="12.5703125" style="2114" customWidth="1"/>
    <col min="1791" max="1791" width="12.140625" style="2114" customWidth="1"/>
    <col min="1792" max="1792" width="14" style="2114" bestFit="1" customWidth="1"/>
    <col min="1793" max="1793" width="13.5703125" style="2114" bestFit="1" customWidth="1"/>
    <col min="1794" max="1794" width="10.5703125" style="2114" bestFit="1" customWidth="1"/>
    <col min="1795" max="1795" width="11.85546875" style="2114" bestFit="1" customWidth="1"/>
    <col min="1796" max="1796" width="5.7109375" style="2114" customWidth="1"/>
    <col min="1797" max="1807" width="11.42578125" style="2114" customWidth="1"/>
    <col min="1808" max="2043" width="11.42578125" style="2114"/>
    <col min="2044" max="2044" width="14.85546875" style="2114" customWidth="1"/>
    <col min="2045" max="2046" width="12.5703125" style="2114" customWidth="1"/>
    <col min="2047" max="2047" width="12.140625" style="2114" customWidth="1"/>
    <col min="2048" max="2048" width="14" style="2114" bestFit="1" customWidth="1"/>
    <col min="2049" max="2049" width="13.5703125" style="2114" bestFit="1" customWidth="1"/>
    <col min="2050" max="2050" width="10.5703125" style="2114" bestFit="1" customWidth="1"/>
    <col min="2051" max="2051" width="11.85546875" style="2114" bestFit="1" customWidth="1"/>
    <col min="2052" max="2052" width="5.7109375" style="2114" customWidth="1"/>
    <col min="2053" max="2063" width="11.42578125" style="2114" customWidth="1"/>
    <col min="2064" max="2299" width="11.42578125" style="2114"/>
    <col min="2300" max="2300" width="14.85546875" style="2114" customWidth="1"/>
    <col min="2301" max="2302" width="12.5703125" style="2114" customWidth="1"/>
    <col min="2303" max="2303" width="12.140625" style="2114" customWidth="1"/>
    <col min="2304" max="2304" width="14" style="2114" bestFit="1" customWidth="1"/>
    <col min="2305" max="2305" width="13.5703125" style="2114" bestFit="1" customWidth="1"/>
    <col min="2306" max="2306" width="10.5703125" style="2114" bestFit="1" customWidth="1"/>
    <col min="2307" max="2307" width="11.85546875" style="2114" bestFit="1" customWidth="1"/>
    <col min="2308" max="2308" width="5.7109375" style="2114" customWidth="1"/>
    <col min="2309" max="2319" width="11.42578125" style="2114" customWidth="1"/>
    <col min="2320" max="2555" width="11.42578125" style="2114"/>
    <col min="2556" max="2556" width="14.85546875" style="2114" customWidth="1"/>
    <col min="2557" max="2558" width="12.5703125" style="2114" customWidth="1"/>
    <col min="2559" max="2559" width="12.140625" style="2114" customWidth="1"/>
    <col min="2560" max="2560" width="14" style="2114" bestFit="1" customWidth="1"/>
    <col min="2561" max="2561" width="13.5703125" style="2114" bestFit="1" customWidth="1"/>
    <col min="2562" max="2562" width="10.5703125" style="2114" bestFit="1" customWidth="1"/>
    <col min="2563" max="2563" width="11.85546875" style="2114" bestFit="1" customWidth="1"/>
    <col min="2564" max="2564" width="5.7109375" style="2114" customWidth="1"/>
    <col min="2565" max="2575" width="11.42578125" style="2114" customWidth="1"/>
    <col min="2576" max="2811" width="11.42578125" style="2114"/>
    <col min="2812" max="2812" width="14.85546875" style="2114" customWidth="1"/>
    <col min="2813" max="2814" width="12.5703125" style="2114" customWidth="1"/>
    <col min="2815" max="2815" width="12.140625" style="2114" customWidth="1"/>
    <col min="2816" max="2816" width="14" style="2114" bestFit="1" customWidth="1"/>
    <col min="2817" max="2817" width="13.5703125" style="2114" bestFit="1" customWidth="1"/>
    <col min="2818" max="2818" width="10.5703125" style="2114" bestFit="1" customWidth="1"/>
    <col min="2819" max="2819" width="11.85546875" style="2114" bestFit="1" customWidth="1"/>
    <col min="2820" max="2820" width="5.7109375" style="2114" customWidth="1"/>
    <col min="2821" max="2831" width="11.42578125" style="2114" customWidth="1"/>
    <col min="2832" max="3067" width="11.42578125" style="2114"/>
    <col min="3068" max="3068" width="14.85546875" style="2114" customWidth="1"/>
    <col min="3069" max="3070" width="12.5703125" style="2114" customWidth="1"/>
    <col min="3071" max="3071" width="12.140625" style="2114" customWidth="1"/>
    <col min="3072" max="3072" width="14" style="2114" bestFit="1" customWidth="1"/>
    <col min="3073" max="3073" width="13.5703125" style="2114" bestFit="1" customWidth="1"/>
    <col min="3074" max="3074" width="10.5703125" style="2114" bestFit="1" customWidth="1"/>
    <col min="3075" max="3075" width="11.85546875" style="2114" bestFit="1" customWidth="1"/>
    <col min="3076" max="3076" width="5.7109375" style="2114" customWidth="1"/>
    <col min="3077" max="3087" width="11.42578125" style="2114" customWidth="1"/>
    <col min="3088" max="3323" width="11.42578125" style="2114"/>
    <col min="3324" max="3324" width="14.85546875" style="2114" customWidth="1"/>
    <col min="3325" max="3326" width="12.5703125" style="2114" customWidth="1"/>
    <col min="3327" max="3327" width="12.140625" style="2114" customWidth="1"/>
    <col min="3328" max="3328" width="14" style="2114" bestFit="1" customWidth="1"/>
    <col min="3329" max="3329" width="13.5703125" style="2114" bestFit="1" customWidth="1"/>
    <col min="3330" max="3330" width="10.5703125" style="2114" bestFit="1" customWidth="1"/>
    <col min="3331" max="3331" width="11.85546875" style="2114" bestFit="1" customWidth="1"/>
    <col min="3332" max="3332" width="5.7109375" style="2114" customWidth="1"/>
    <col min="3333" max="3343" width="11.42578125" style="2114" customWidth="1"/>
    <col min="3344" max="3579" width="11.42578125" style="2114"/>
    <col min="3580" max="3580" width="14.85546875" style="2114" customWidth="1"/>
    <col min="3581" max="3582" width="12.5703125" style="2114" customWidth="1"/>
    <col min="3583" max="3583" width="12.140625" style="2114" customWidth="1"/>
    <col min="3584" max="3584" width="14" style="2114" bestFit="1" customWidth="1"/>
    <col min="3585" max="3585" width="13.5703125" style="2114" bestFit="1" customWidth="1"/>
    <col min="3586" max="3586" width="10.5703125" style="2114" bestFit="1" customWidth="1"/>
    <col min="3587" max="3587" width="11.85546875" style="2114" bestFit="1" customWidth="1"/>
    <col min="3588" max="3588" width="5.7109375" style="2114" customWidth="1"/>
    <col min="3589" max="3599" width="11.42578125" style="2114" customWidth="1"/>
    <col min="3600" max="3835" width="11.42578125" style="2114"/>
    <col min="3836" max="3836" width="14.85546875" style="2114" customWidth="1"/>
    <col min="3837" max="3838" width="12.5703125" style="2114" customWidth="1"/>
    <col min="3839" max="3839" width="12.140625" style="2114" customWidth="1"/>
    <col min="3840" max="3840" width="14" style="2114" bestFit="1" customWidth="1"/>
    <col min="3841" max="3841" width="13.5703125" style="2114" bestFit="1" customWidth="1"/>
    <col min="3842" max="3842" width="10.5703125" style="2114" bestFit="1" customWidth="1"/>
    <col min="3843" max="3843" width="11.85546875" style="2114" bestFit="1" customWidth="1"/>
    <col min="3844" max="3844" width="5.7109375" style="2114" customWidth="1"/>
    <col min="3845" max="3855" width="11.42578125" style="2114" customWidth="1"/>
    <col min="3856" max="4091" width="11.42578125" style="2114"/>
    <col min="4092" max="4092" width="14.85546875" style="2114" customWidth="1"/>
    <col min="4093" max="4094" width="12.5703125" style="2114" customWidth="1"/>
    <col min="4095" max="4095" width="12.140625" style="2114" customWidth="1"/>
    <col min="4096" max="4096" width="14" style="2114" bestFit="1" customWidth="1"/>
    <col min="4097" max="4097" width="13.5703125" style="2114" bestFit="1" customWidth="1"/>
    <col min="4098" max="4098" width="10.5703125" style="2114" bestFit="1" customWidth="1"/>
    <col min="4099" max="4099" width="11.85546875" style="2114" bestFit="1" customWidth="1"/>
    <col min="4100" max="4100" width="5.7109375" style="2114" customWidth="1"/>
    <col min="4101" max="4111" width="11.42578125" style="2114" customWidth="1"/>
    <col min="4112" max="4347" width="11.42578125" style="2114"/>
    <col min="4348" max="4348" width="14.85546875" style="2114" customWidth="1"/>
    <col min="4349" max="4350" width="12.5703125" style="2114" customWidth="1"/>
    <col min="4351" max="4351" width="12.140625" style="2114" customWidth="1"/>
    <col min="4352" max="4352" width="14" style="2114" bestFit="1" customWidth="1"/>
    <col min="4353" max="4353" width="13.5703125" style="2114" bestFit="1" customWidth="1"/>
    <col min="4354" max="4354" width="10.5703125" style="2114" bestFit="1" customWidth="1"/>
    <col min="4355" max="4355" width="11.85546875" style="2114" bestFit="1" customWidth="1"/>
    <col min="4356" max="4356" width="5.7109375" style="2114" customWidth="1"/>
    <col min="4357" max="4367" width="11.42578125" style="2114" customWidth="1"/>
    <col min="4368" max="4603" width="11.42578125" style="2114"/>
    <col min="4604" max="4604" width="14.85546875" style="2114" customWidth="1"/>
    <col min="4605" max="4606" width="12.5703125" style="2114" customWidth="1"/>
    <col min="4607" max="4607" width="12.140625" style="2114" customWidth="1"/>
    <col min="4608" max="4608" width="14" style="2114" bestFit="1" customWidth="1"/>
    <col min="4609" max="4609" width="13.5703125" style="2114" bestFit="1" customWidth="1"/>
    <col min="4610" max="4610" width="10.5703125" style="2114" bestFit="1" customWidth="1"/>
    <col min="4611" max="4611" width="11.85546875" style="2114" bestFit="1" customWidth="1"/>
    <col min="4612" max="4612" width="5.7109375" style="2114" customWidth="1"/>
    <col min="4613" max="4623" width="11.42578125" style="2114" customWidth="1"/>
    <col min="4624" max="4859" width="11.42578125" style="2114"/>
    <col min="4860" max="4860" width="14.85546875" style="2114" customWidth="1"/>
    <col min="4861" max="4862" width="12.5703125" style="2114" customWidth="1"/>
    <col min="4863" max="4863" width="12.140625" style="2114" customWidth="1"/>
    <col min="4864" max="4864" width="14" style="2114" bestFit="1" customWidth="1"/>
    <col min="4865" max="4865" width="13.5703125" style="2114" bestFit="1" customWidth="1"/>
    <col min="4866" max="4866" width="10.5703125" style="2114" bestFit="1" customWidth="1"/>
    <col min="4867" max="4867" width="11.85546875" style="2114" bestFit="1" customWidth="1"/>
    <col min="4868" max="4868" width="5.7109375" style="2114" customWidth="1"/>
    <col min="4869" max="4879" width="11.42578125" style="2114" customWidth="1"/>
    <col min="4880" max="5115" width="11.42578125" style="2114"/>
    <col min="5116" max="5116" width="14.85546875" style="2114" customWidth="1"/>
    <col min="5117" max="5118" width="12.5703125" style="2114" customWidth="1"/>
    <col min="5119" max="5119" width="12.140625" style="2114" customWidth="1"/>
    <col min="5120" max="5120" width="14" style="2114" bestFit="1" customWidth="1"/>
    <col min="5121" max="5121" width="13.5703125" style="2114" bestFit="1" customWidth="1"/>
    <col min="5122" max="5122" width="10.5703125" style="2114" bestFit="1" customWidth="1"/>
    <col min="5123" max="5123" width="11.85546875" style="2114" bestFit="1" customWidth="1"/>
    <col min="5124" max="5124" width="5.7109375" style="2114" customWidth="1"/>
    <col min="5125" max="5135" width="11.42578125" style="2114" customWidth="1"/>
    <col min="5136" max="5371" width="11.42578125" style="2114"/>
    <col min="5372" max="5372" width="14.85546875" style="2114" customWidth="1"/>
    <col min="5373" max="5374" width="12.5703125" style="2114" customWidth="1"/>
    <col min="5375" max="5375" width="12.140625" style="2114" customWidth="1"/>
    <col min="5376" max="5376" width="14" style="2114" bestFit="1" customWidth="1"/>
    <col min="5377" max="5377" width="13.5703125" style="2114" bestFit="1" customWidth="1"/>
    <col min="5378" max="5378" width="10.5703125" style="2114" bestFit="1" customWidth="1"/>
    <col min="5379" max="5379" width="11.85546875" style="2114" bestFit="1" customWidth="1"/>
    <col min="5380" max="5380" width="5.7109375" style="2114" customWidth="1"/>
    <col min="5381" max="5391" width="11.42578125" style="2114" customWidth="1"/>
    <col min="5392" max="5627" width="11.42578125" style="2114"/>
    <col min="5628" max="5628" width="14.85546875" style="2114" customWidth="1"/>
    <col min="5629" max="5630" width="12.5703125" style="2114" customWidth="1"/>
    <col min="5631" max="5631" width="12.140625" style="2114" customWidth="1"/>
    <col min="5632" max="5632" width="14" style="2114" bestFit="1" customWidth="1"/>
    <col min="5633" max="5633" width="13.5703125" style="2114" bestFit="1" customWidth="1"/>
    <col min="5634" max="5634" width="10.5703125" style="2114" bestFit="1" customWidth="1"/>
    <col min="5635" max="5635" width="11.85546875" style="2114" bestFit="1" customWidth="1"/>
    <col min="5636" max="5636" width="5.7109375" style="2114" customWidth="1"/>
    <col min="5637" max="5647" width="11.42578125" style="2114" customWidth="1"/>
    <col min="5648" max="5883" width="11.42578125" style="2114"/>
    <col min="5884" max="5884" width="14.85546875" style="2114" customWidth="1"/>
    <col min="5885" max="5886" width="12.5703125" style="2114" customWidth="1"/>
    <col min="5887" max="5887" width="12.140625" style="2114" customWidth="1"/>
    <col min="5888" max="5888" width="14" style="2114" bestFit="1" customWidth="1"/>
    <col min="5889" max="5889" width="13.5703125" style="2114" bestFit="1" customWidth="1"/>
    <col min="5890" max="5890" width="10.5703125" style="2114" bestFit="1" customWidth="1"/>
    <col min="5891" max="5891" width="11.85546875" style="2114" bestFit="1" customWidth="1"/>
    <col min="5892" max="5892" width="5.7109375" style="2114" customWidth="1"/>
    <col min="5893" max="5903" width="11.42578125" style="2114" customWidth="1"/>
    <col min="5904" max="6139" width="11.42578125" style="2114"/>
    <col min="6140" max="6140" width="14.85546875" style="2114" customWidth="1"/>
    <col min="6141" max="6142" width="12.5703125" style="2114" customWidth="1"/>
    <col min="6143" max="6143" width="12.140625" style="2114" customWidth="1"/>
    <col min="6144" max="6144" width="14" style="2114" bestFit="1" customWidth="1"/>
    <col min="6145" max="6145" width="13.5703125" style="2114" bestFit="1" customWidth="1"/>
    <col min="6146" max="6146" width="10.5703125" style="2114" bestFit="1" customWidth="1"/>
    <col min="6147" max="6147" width="11.85546875" style="2114" bestFit="1" customWidth="1"/>
    <col min="6148" max="6148" width="5.7109375" style="2114" customWidth="1"/>
    <col min="6149" max="6159" width="11.42578125" style="2114" customWidth="1"/>
    <col min="6160" max="6395" width="11.42578125" style="2114"/>
    <col min="6396" max="6396" width="14.85546875" style="2114" customWidth="1"/>
    <col min="6397" max="6398" width="12.5703125" style="2114" customWidth="1"/>
    <col min="6399" max="6399" width="12.140625" style="2114" customWidth="1"/>
    <col min="6400" max="6400" width="14" style="2114" bestFit="1" customWidth="1"/>
    <col min="6401" max="6401" width="13.5703125" style="2114" bestFit="1" customWidth="1"/>
    <col min="6402" max="6402" width="10.5703125" style="2114" bestFit="1" customWidth="1"/>
    <col min="6403" max="6403" width="11.85546875" style="2114" bestFit="1" customWidth="1"/>
    <col min="6404" max="6404" width="5.7109375" style="2114" customWidth="1"/>
    <col min="6405" max="6415" width="11.42578125" style="2114" customWidth="1"/>
    <col min="6416" max="6651" width="11.42578125" style="2114"/>
    <col min="6652" max="6652" width="14.85546875" style="2114" customWidth="1"/>
    <col min="6653" max="6654" width="12.5703125" style="2114" customWidth="1"/>
    <col min="6655" max="6655" width="12.140625" style="2114" customWidth="1"/>
    <col min="6656" max="6656" width="14" style="2114" bestFit="1" customWidth="1"/>
    <col min="6657" max="6657" width="13.5703125" style="2114" bestFit="1" customWidth="1"/>
    <col min="6658" max="6658" width="10.5703125" style="2114" bestFit="1" customWidth="1"/>
    <col min="6659" max="6659" width="11.85546875" style="2114" bestFit="1" customWidth="1"/>
    <col min="6660" max="6660" width="5.7109375" style="2114" customWidth="1"/>
    <col min="6661" max="6671" width="11.42578125" style="2114" customWidth="1"/>
    <col min="6672" max="6907" width="11.42578125" style="2114"/>
    <col min="6908" max="6908" width="14.85546875" style="2114" customWidth="1"/>
    <col min="6909" max="6910" width="12.5703125" style="2114" customWidth="1"/>
    <col min="6911" max="6911" width="12.140625" style="2114" customWidth="1"/>
    <col min="6912" max="6912" width="14" style="2114" bestFit="1" customWidth="1"/>
    <col min="6913" max="6913" width="13.5703125" style="2114" bestFit="1" customWidth="1"/>
    <col min="6914" max="6914" width="10.5703125" style="2114" bestFit="1" customWidth="1"/>
    <col min="6915" max="6915" width="11.85546875" style="2114" bestFit="1" customWidth="1"/>
    <col min="6916" max="6916" width="5.7109375" style="2114" customWidth="1"/>
    <col min="6917" max="6927" width="11.42578125" style="2114" customWidth="1"/>
    <col min="6928" max="7163" width="11.42578125" style="2114"/>
    <col min="7164" max="7164" width="14.85546875" style="2114" customWidth="1"/>
    <col min="7165" max="7166" width="12.5703125" style="2114" customWidth="1"/>
    <col min="7167" max="7167" width="12.140625" style="2114" customWidth="1"/>
    <col min="7168" max="7168" width="14" style="2114" bestFit="1" customWidth="1"/>
    <col min="7169" max="7169" width="13.5703125" style="2114" bestFit="1" customWidth="1"/>
    <col min="7170" max="7170" width="10.5703125" style="2114" bestFit="1" customWidth="1"/>
    <col min="7171" max="7171" width="11.85546875" style="2114" bestFit="1" customWidth="1"/>
    <col min="7172" max="7172" width="5.7109375" style="2114" customWidth="1"/>
    <col min="7173" max="7183" width="11.42578125" style="2114" customWidth="1"/>
    <col min="7184" max="7419" width="11.42578125" style="2114"/>
    <col min="7420" max="7420" width="14.85546875" style="2114" customWidth="1"/>
    <col min="7421" max="7422" width="12.5703125" style="2114" customWidth="1"/>
    <col min="7423" max="7423" width="12.140625" style="2114" customWidth="1"/>
    <col min="7424" max="7424" width="14" style="2114" bestFit="1" customWidth="1"/>
    <col min="7425" max="7425" width="13.5703125" style="2114" bestFit="1" customWidth="1"/>
    <col min="7426" max="7426" width="10.5703125" style="2114" bestFit="1" customWidth="1"/>
    <col min="7427" max="7427" width="11.85546875" style="2114" bestFit="1" customWidth="1"/>
    <col min="7428" max="7428" width="5.7109375" style="2114" customWidth="1"/>
    <col min="7429" max="7439" width="11.42578125" style="2114" customWidth="1"/>
    <col min="7440" max="7675" width="11.42578125" style="2114"/>
    <col min="7676" max="7676" width="14.85546875" style="2114" customWidth="1"/>
    <col min="7677" max="7678" width="12.5703125" style="2114" customWidth="1"/>
    <col min="7679" max="7679" width="12.140625" style="2114" customWidth="1"/>
    <col min="7680" max="7680" width="14" style="2114" bestFit="1" customWidth="1"/>
    <col min="7681" max="7681" width="13.5703125" style="2114" bestFit="1" customWidth="1"/>
    <col min="7682" max="7682" width="10.5703125" style="2114" bestFit="1" customWidth="1"/>
    <col min="7683" max="7683" width="11.85546875" style="2114" bestFit="1" customWidth="1"/>
    <col min="7684" max="7684" width="5.7109375" style="2114" customWidth="1"/>
    <col min="7685" max="7695" width="11.42578125" style="2114" customWidth="1"/>
    <col min="7696" max="7931" width="11.42578125" style="2114"/>
    <col min="7932" max="7932" width="14.85546875" style="2114" customWidth="1"/>
    <col min="7933" max="7934" width="12.5703125" style="2114" customWidth="1"/>
    <col min="7935" max="7935" width="12.140625" style="2114" customWidth="1"/>
    <col min="7936" max="7936" width="14" style="2114" bestFit="1" customWidth="1"/>
    <col min="7937" max="7937" width="13.5703125" style="2114" bestFit="1" customWidth="1"/>
    <col min="7938" max="7938" width="10.5703125" style="2114" bestFit="1" customWidth="1"/>
    <col min="7939" max="7939" width="11.85546875" style="2114" bestFit="1" customWidth="1"/>
    <col min="7940" max="7940" width="5.7109375" style="2114" customWidth="1"/>
    <col min="7941" max="7951" width="11.42578125" style="2114" customWidth="1"/>
    <col min="7952" max="8187" width="11.42578125" style="2114"/>
    <col min="8188" max="8188" width="14.85546875" style="2114" customWidth="1"/>
    <col min="8189" max="8190" width="12.5703125" style="2114" customWidth="1"/>
    <col min="8191" max="8191" width="12.140625" style="2114" customWidth="1"/>
    <col min="8192" max="8192" width="14" style="2114" bestFit="1" customWidth="1"/>
    <col min="8193" max="8193" width="13.5703125" style="2114" bestFit="1" customWidth="1"/>
    <col min="8194" max="8194" width="10.5703125" style="2114" bestFit="1" customWidth="1"/>
    <col min="8195" max="8195" width="11.85546875" style="2114" bestFit="1" customWidth="1"/>
    <col min="8196" max="8196" width="5.7109375" style="2114" customWidth="1"/>
    <col min="8197" max="8207" width="11.42578125" style="2114" customWidth="1"/>
    <col min="8208" max="8443" width="11.42578125" style="2114"/>
    <col min="8444" max="8444" width="14.85546875" style="2114" customWidth="1"/>
    <col min="8445" max="8446" width="12.5703125" style="2114" customWidth="1"/>
    <col min="8447" max="8447" width="12.140625" style="2114" customWidth="1"/>
    <col min="8448" max="8448" width="14" style="2114" bestFit="1" customWidth="1"/>
    <col min="8449" max="8449" width="13.5703125" style="2114" bestFit="1" customWidth="1"/>
    <col min="8450" max="8450" width="10.5703125" style="2114" bestFit="1" customWidth="1"/>
    <col min="8451" max="8451" width="11.85546875" style="2114" bestFit="1" customWidth="1"/>
    <col min="8452" max="8452" width="5.7109375" style="2114" customWidth="1"/>
    <col min="8453" max="8463" width="11.42578125" style="2114" customWidth="1"/>
    <col min="8464" max="8699" width="11.42578125" style="2114"/>
    <col min="8700" max="8700" width="14.85546875" style="2114" customWidth="1"/>
    <col min="8701" max="8702" width="12.5703125" style="2114" customWidth="1"/>
    <col min="8703" max="8703" width="12.140625" style="2114" customWidth="1"/>
    <col min="8704" max="8704" width="14" style="2114" bestFit="1" customWidth="1"/>
    <col min="8705" max="8705" width="13.5703125" style="2114" bestFit="1" customWidth="1"/>
    <col min="8706" max="8706" width="10.5703125" style="2114" bestFit="1" customWidth="1"/>
    <col min="8707" max="8707" width="11.85546875" style="2114" bestFit="1" customWidth="1"/>
    <col min="8708" max="8708" width="5.7109375" style="2114" customWidth="1"/>
    <col min="8709" max="8719" width="11.42578125" style="2114" customWidth="1"/>
    <col min="8720" max="8955" width="11.42578125" style="2114"/>
    <col min="8956" max="8956" width="14.85546875" style="2114" customWidth="1"/>
    <col min="8957" max="8958" width="12.5703125" style="2114" customWidth="1"/>
    <col min="8959" max="8959" width="12.140625" style="2114" customWidth="1"/>
    <col min="8960" max="8960" width="14" style="2114" bestFit="1" customWidth="1"/>
    <col min="8961" max="8961" width="13.5703125" style="2114" bestFit="1" customWidth="1"/>
    <col min="8962" max="8962" width="10.5703125" style="2114" bestFit="1" customWidth="1"/>
    <col min="8963" max="8963" width="11.85546875" style="2114" bestFit="1" customWidth="1"/>
    <col min="8964" max="8964" width="5.7109375" style="2114" customWidth="1"/>
    <col min="8965" max="8975" width="11.42578125" style="2114" customWidth="1"/>
    <col min="8976" max="9211" width="11.42578125" style="2114"/>
    <col min="9212" max="9212" width="14.85546875" style="2114" customWidth="1"/>
    <col min="9213" max="9214" width="12.5703125" style="2114" customWidth="1"/>
    <col min="9215" max="9215" width="12.140625" style="2114" customWidth="1"/>
    <col min="9216" max="9216" width="14" style="2114" bestFit="1" customWidth="1"/>
    <col min="9217" max="9217" width="13.5703125" style="2114" bestFit="1" customWidth="1"/>
    <col min="9218" max="9218" width="10.5703125" style="2114" bestFit="1" customWidth="1"/>
    <col min="9219" max="9219" width="11.85546875" style="2114" bestFit="1" customWidth="1"/>
    <col min="9220" max="9220" width="5.7109375" style="2114" customWidth="1"/>
    <col min="9221" max="9231" width="11.42578125" style="2114" customWidth="1"/>
    <col min="9232" max="9467" width="11.42578125" style="2114"/>
    <col min="9468" max="9468" width="14.85546875" style="2114" customWidth="1"/>
    <col min="9469" max="9470" width="12.5703125" style="2114" customWidth="1"/>
    <col min="9471" max="9471" width="12.140625" style="2114" customWidth="1"/>
    <col min="9472" max="9472" width="14" style="2114" bestFit="1" customWidth="1"/>
    <col min="9473" max="9473" width="13.5703125" style="2114" bestFit="1" customWidth="1"/>
    <col min="9474" max="9474" width="10.5703125" style="2114" bestFit="1" customWidth="1"/>
    <col min="9475" max="9475" width="11.85546875" style="2114" bestFit="1" customWidth="1"/>
    <col min="9476" max="9476" width="5.7109375" style="2114" customWidth="1"/>
    <col min="9477" max="9487" width="11.42578125" style="2114" customWidth="1"/>
    <col min="9488" max="9723" width="11.42578125" style="2114"/>
    <col min="9724" max="9724" width="14.85546875" style="2114" customWidth="1"/>
    <col min="9725" max="9726" width="12.5703125" style="2114" customWidth="1"/>
    <col min="9727" max="9727" width="12.140625" style="2114" customWidth="1"/>
    <col min="9728" max="9728" width="14" style="2114" bestFit="1" customWidth="1"/>
    <col min="9729" max="9729" width="13.5703125" style="2114" bestFit="1" customWidth="1"/>
    <col min="9730" max="9730" width="10.5703125" style="2114" bestFit="1" customWidth="1"/>
    <col min="9731" max="9731" width="11.85546875" style="2114" bestFit="1" customWidth="1"/>
    <col min="9732" max="9732" width="5.7109375" style="2114" customWidth="1"/>
    <col min="9733" max="9743" width="11.42578125" style="2114" customWidth="1"/>
    <col min="9744" max="9979" width="11.42578125" style="2114"/>
    <col min="9980" max="9980" width="14.85546875" style="2114" customWidth="1"/>
    <col min="9981" max="9982" width="12.5703125" style="2114" customWidth="1"/>
    <col min="9983" max="9983" width="12.140625" style="2114" customWidth="1"/>
    <col min="9984" max="9984" width="14" style="2114" bestFit="1" customWidth="1"/>
    <col min="9985" max="9985" width="13.5703125" style="2114" bestFit="1" customWidth="1"/>
    <col min="9986" max="9986" width="10.5703125" style="2114" bestFit="1" customWidth="1"/>
    <col min="9987" max="9987" width="11.85546875" style="2114" bestFit="1" customWidth="1"/>
    <col min="9988" max="9988" width="5.7109375" style="2114" customWidth="1"/>
    <col min="9989" max="9999" width="11.42578125" style="2114" customWidth="1"/>
    <col min="10000" max="10235" width="11.42578125" style="2114"/>
    <col min="10236" max="10236" width="14.85546875" style="2114" customWidth="1"/>
    <col min="10237" max="10238" width="12.5703125" style="2114" customWidth="1"/>
    <col min="10239" max="10239" width="12.140625" style="2114" customWidth="1"/>
    <col min="10240" max="10240" width="14" style="2114" bestFit="1" customWidth="1"/>
    <col min="10241" max="10241" width="13.5703125" style="2114" bestFit="1" customWidth="1"/>
    <col min="10242" max="10242" width="10.5703125" style="2114" bestFit="1" customWidth="1"/>
    <col min="10243" max="10243" width="11.85546875" style="2114" bestFit="1" customWidth="1"/>
    <col min="10244" max="10244" width="5.7109375" style="2114" customWidth="1"/>
    <col min="10245" max="10255" width="11.42578125" style="2114" customWidth="1"/>
    <col min="10256" max="10491" width="11.42578125" style="2114"/>
    <col min="10492" max="10492" width="14.85546875" style="2114" customWidth="1"/>
    <col min="10493" max="10494" width="12.5703125" style="2114" customWidth="1"/>
    <col min="10495" max="10495" width="12.140625" style="2114" customWidth="1"/>
    <col min="10496" max="10496" width="14" style="2114" bestFit="1" customWidth="1"/>
    <col min="10497" max="10497" width="13.5703125" style="2114" bestFit="1" customWidth="1"/>
    <col min="10498" max="10498" width="10.5703125" style="2114" bestFit="1" customWidth="1"/>
    <col min="10499" max="10499" width="11.85546875" style="2114" bestFit="1" customWidth="1"/>
    <col min="10500" max="10500" width="5.7109375" style="2114" customWidth="1"/>
    <col min="10501" max="10511" width="11.42578125" style="2114" customWidth="1"/>
    <col min="10512" max="10747" width="11.42578125" style="2114"/>
    <col min="10748" max="10748" width="14.85546875" style="2114" customWidth="1"/>
    <col min="10749" max="10750" width="12.5703125" style="2114" customWidth="1"/>
    <col min="10751" max="10751" width="12.140625" style="2114" customWidth="1"/>
    <col min="10752" max="10752" width="14" style="2114" bestFit="1" customWidth="1"/>
    <col min="10753" max="10753" width="13.5703125" style="2114" bestFit="1" customWidth="1"/>
    <col min="10754" max="10754" width="10.5703125" style="2114" bestFit="1" customWidth="1"/>
    <col min="10755" max="10755" width="11.85546875" style="2114" bestFit="1" customWidth="1"/>
    <col min="10756" max="10756" width="5.7109375" style="2114" customWidth="1"/>
    <col min="10757" max="10767" width="11.42578125" style="2114" customWidth="1"/>
    <col min="10768" max="11003" width="11.42578125" style="2114"/>
    <col min="11004" max="11004" width="14.85546875" style="2114" customWidth="1"/>
    <col min="11005" max="11006" width="12.5703125" style="2114" customWidth="1"/>
    <col min="11007" max="11007" width="12.140625" style="2114" customWidth="1"/>
    <col min="11008" max="11008" width="14" style="2114" bestFit="1" customWidth="1"/>
    <col min="11009" max="11009" width="13.5703125" style="2114" bestFit="1" customWidth="1"/>
    <col min="11010" max="11010" width="10.5703125" style="2114" bestFit="1" customWidth="1"/>
    <col min="11011" max="11011" width="11.85546875" style="2114" bestFit="1" customWidth="1"/>
    <col min="11012" max="11012" width="5.7109375" style="2114" customWidth="1"/>
    <col min="11013" max="11023" width="11.42578125" style="2114" customWidth="1"/>
    <col min="11024" max="11259" width="11.42578125" style="2114"/>
    <col min="11260" max="11260" width="14.85546875" style="2114" customWidth="1"/>
    <col min="11261" max="11262" width="12.5703125" style="2114" customWidth="1"/>
    <col min="11263" max="11263" width="12.140625" style="2114" customWidth="1"/>
    <col min="11264" max="11264" width="14" style="2114" bestFit="1" customWidth="1"/>
    <col min="11265" max="11265" width="13.5703125" style="2114" bestFit="1" customWidth="1"/>
    <col min="11266" max="11266" width="10.5703125" style="2114" bestFit="1" customWidth="1"/>
    <col min="11267" max="11267" width="11.85546875" style="2114" bestFit="1" customWidth="1"/>
    <col min="11268" max="11268" width="5.7109375" style="2114" customWidth="1"/>
    <col min="11269" max="11279" width="11.42578125" style="2114" customWidth="1"/>
    <col min="11280" max="11515" width="11.42578125" style="2114"/>
    <col min="11516" max="11516" width="14.85546875" style="2114" customWidth="1"/>
    <col min="11517" max="11518" width="12.5703125" style="2114" customWidth="1"/>
    <col min="11519" max="11519" width="12.140625" style="2114" customWidth="1"/>
    <col min="11520" max="11520" width="14" style="2114" bestFit="1" customWidth="1"/>
    <col min="11521" max="11521" width="13.5703125" style="2114" bestFit="1" customWidth="1"/>
    <col min="11522" max="11522" width="10.5703125" style="2114" bestFit="1" customWidth="1"/>
    <col min="11523" max="11523" width="11.85546875" style="2114" bestFit="1" customWidth="1"/>
    <col min="11524" max="11524" width="5.7109375" style="2114" customWidth="1"/>
    <col min="11525" max="11535" width="11.42578125" style="2114" customWidth="1"/>
    <col min="11536" max="11771" width="11.42578125" style="2114"/>
    <col min="11772" max="11772" width="14.85546875" style="2114" customWidth="1"/>
    <col min="11773" max="11774" width="12.5703125" style="2114" customWidth="1"/>
    <col min="11775" max="11775" width="12.140625" style="2114" customWidth="1"/>
    <col min="11776" max="11776" width="14" style="2114" bestFit="1" customWidth="1"/>
    <col min="11777" max="11777" width="13.5703125" style="2114" bestFit="1" customWidth="1"/>
    <col min="11778" max="11778" width="10.5703125" style="2114" bestFit="1" customWidth="1"/>
    <col min="11779" max="11779" width="11.85546875" style="2114" bestFit="1" customWidth="1"/>
    <col min="11780" max="11780" width="5.7109375" style="2114" customWidth="1"/>
    <col min="11781" max="11791" width="11.42578125" style="2114" customWidth="1"/>
    <col min="11792" max="12027" width="11.42578125" style="2114"/>
    <col min="12028" max="12028" width="14.85546875" style="2114" customWidth="1"/>
    <col min="12029" max="12030" width="12.5703125" style="2114" customWidth="1"/>
    <col min="12031" max="12031" width="12.140625" style="2114" customWidth="1"/>
    <col min="12032" max="12032" width="14" style="2114" bestFit="1" customWidth="1"/>
    <col min="12033" max="12033" width="13.5703125" style="2114" bestFit="1" customWidth="1"/>
    <col min="12034" max="12034" width="10.5703125" style="2114" bestFit="1" customWidth="1"/>
    <col min="12035" max="12035" width="11.85546875" style="2114" bestFit="1" customWidth="1"/>
    <col min="12036" max="12036" width="5.7109375" style="2114" customWidth="1"/>
    <col min="12037" max="12047" width="11.42578125" style="2114" customWidth="1"/>
    <col min="12048" max="12283" width="11.42578125" style="2114"/>
    <col min="12284" max="12284" width="14.85546875" style="2114" customWidth="1"/>
    <col min="12285" max="12286" width="12.5703125" style="2114" customWidth="1"/>
    <col min="12287" max="12287" width="12.140625" style="2114" customWidth="1"/>
    <col min="12288" max="12288" width="14" style="2114" bestFit="1" customWidth="1"/>
    <col min="12289" max="12289" width="13.5703125" style="2114" bestFit="1" customWidth="1"/>
    <col min="12290" max="12290" width="10.5703125" style="2114" bestFit="1" customWidth="1"/>
    <col min="12291" max="12291" width="11.85546875" style="2114" bestFit="1" customWidth="1"/>
    <col min="12292" max="12292" width="5.7109375" style="2114" customWidth="1"/>
    <col min="12293" max="12303" width="11.42578125" style="2114" customWidth="1"/>
    <col min="12304" max="12539" width="11.42578125" style="2114"/>
    <col min="12540" max="12540" width="14.85546875" style="2114" customWidth="1"/>
    <col min="12541" max="12542" width="12.5703125" style="2114" customWidth="1"/>
    <col min="12543" max="12543" width="12.140625" style="2114" customWidth="1"/>
    <col min="12544" max="12544" width="14" style="2114" bestFit="1" customWidth="1"/>
    <col min="12545" max="12545" width="13.5703125" style="2114" bestFit="1" customWidth="1"/>
    <col min="12546" max="12546" width="10.5703125" style="2114" bestFit="1" customWidth="1"/>
    <col min="12547" max="12547" width="11.85546875" style="2114" bestFit="1" customWidth="1"/>
    <col min="12548" max="12548" width="5.7109375" style="2114" customWidth="1"/>
    <col min="12549" max="12559" width="11.42578125" style="2114" customWidth="1"/>
    <col min="12560" max="12795" width="11.42578125" style="2114"/>
    <col min="12796" max="12796" width="14.85546875" style="2114" customWidth="1"/>
    <col min="12797" max="12798" width="12.5703125" style="2114" customWidth="1"/>
    <col min="12799" max="12799" width="12.140625" style="2114" customWidth="1"/>
    <col min="12800" max="12800" width="14" style="2114" bestFit="1" customWidth="1"/>
    <col min="12801" max="12801" width="13.5703125" style="2114" bestFit="1" customWidth="1"/>
    <col min="12802" max="12802" width="10.5703125" style="2114" bestFit="1" customWidth="1"/>
    <col min="12803" max="12803" width="11.85546875" style="2114" bestFit="1" customWidth="1"/>
    <col min="12804" max="12804" width="5.7109375" style="2114" customWidth="1"/>
    <col min="12805" max="12815" width="11.42578125" style="2114" customWidth="1"/>
    <col min="12816" max="13051" width="11.42578125" style="2114"/>
    <col min="13052" max="13052" width="14.85546875" style="2114" customWidth="1"/>
    <col min="13053" max="13054" width="12.5703125" style="2114" customWidth="1"/>
    <col min="13055" max="13055" width="12.140625" style="2114" customWidth="1"/>
    <col min="13056" max="13056" width="14" style="2114" bestFit="1" customWidth="1"/>
    <col min="13057" max="13057" width="13.5703125" style="2114" bestFit="1" customWidth="1"/>
    <col min="13058" max="13058" width="10.5703125" style="2114" bestFit="1" customWidth="1"/>
    <col min="13059" max="13059" width="11.85546875" style="2114" bestFit="1" customWidth="1"/>
    <col min="13060" max="13060" width="5.7109375" style="2114" customWidth="1"/>
    <col min="13061" max="13071" width="11.42578125" style="2114" customWidth="1"/>
    <col min="13072" max="13307" width="11.42578125" style="2114"/>
    <col min="13308" max="13308" width="14.85546875" style="2114" customWidth="1"/>
    <col min="13309" max="13310" width="12.5703125" style="2114" customWidth="1"/>
    <col min="13311" max="13311" width="12.140625" style="2114" customWidth="1"/>
    <col min="13312" max="13312" width="14" style="2114" bestFit="1" customWidth="1"/>
    <col min="13313" max="13313" width="13.5703125" style="2114" bestFit="1" customWidth="1"/>
    <col min="13314" max="13314" width="10.5703125" style="2114" bestFit="1" customWidth="1"/>
    <col min="13315" max="13315" width="11.85546875" style="2114" bestFit="1" customWidth="1"/>
    <col min="13316" max="13316" width="5.7109375" style="2114" customWidth="1"/>
    <col min="13317" max="13327" width="11.42578125" style="2114" customWidth="1"/>
    <col min="13328" max="13563" width="11.42578125" style="2114"/>
    <col min="13564" max="13564" width="14.85546875" style="2114" customWidth="1"/>
    <col min="13565" max="13566" width="12.5703125" style="2114" customWidth="1"/>
    <col min="13567" max="13567" width="12.140625" style="2114" customWidth="1"/>
    <col min="13568" max="13568" width="14" style="2114" bestFit="1" customWidth="1"/>
    <col min="13569" max="13569" width="13.5703125" style="2114" bestFit="1" customWidth="1"/>
    <col min="13570" max="13570" width="10.5703125" style="2114" bestFit="1" customWidth="1"/>
    <col min="13571" max="13571" width="11.85546875" style="2114" bestFit="1" customWidth="1"/>
    <col min="13572" max="13572" width="5.7109375" style="2114" customWidth="1"/>
    <col min="13573" max="13583" width="11.42578125" style="2114" customWidth="1"/>
    <col min="13584" max="13819" width="11.42578125" style="2114"/>
    <col min="13820" max="13820" width="14.85546875" style="2114" customWidth="1"/>
    <col min="13821" max="13822" width="12.5703125" style="2114" customWidth="1"/>
    <col min="13823" max="13823" width="12.140625" style="2114" customWidth="1"/>
    <col min="13824" max="13824" width="14" style="2114" bestFit="1" customWidth="1"/>
    <col min="13825" max="13825" width="13.5703125" style="2114" bestFit="1" customWidth="1"/>
    <col min="13826" max="13826" width="10.5703125" style="2114" bestFit="1" customWidth="1"/>
    <col min="13827" max="13827" width="11.85546875" style="2114" bestFit="1" customWidth="1"/>
    <col min="13828" max="13828" width="5.7109375" style="2114" customWidth="1"/>
    <col min="13829" max="13839" width="11.42578125" style="2114" customWidth="1"/>
    <col min="13840" max="14075" width="11.42578125" style="2114"/>
    <col min="14076" max="14076" width="14.85546875" style="2114" customWidth="1"/>
    <col min="14077" max="14078" width="12.5703125" style="2114" customWidth="1"/>
    <col min="14079" max="14079" width="12.140625" style="2114" customWidth="1"/>
    <col min="14080" max="14080" width="14" style="2114" bestFit="1" customWidth="1"/>
    <col min="14081" max="14081" width="13.5703125" style="2114" bestFit="1" customWidth="1"/>
    <col min="14082" max="14082" width="10.5703125" style="2114" bestFit="1" customWidth="1"/>
    <col min="14083" max="14083" width="11.85546875" style="2114" bestFit="1" customWidth="1"/>
    <col min="14084" max="14084" width="5.7109375" style="2114" customWidth="1"/>
    <col min="14085" max="14095" width="11.42578125" style="2114" customWidth="1"/>
    <col min="14096" max="14331" width="11.42578125" style="2114"/>
    <col min="14332" max="14332" width="14.85546875" style="2114" customWidth="1"/>
    <col min="14333" max="14334" width="12.5703125" style="2114" customWidth="1"/>
    <col min="14335" max="14335" width="12.140625" style="2114" customWidth="1"/>
    <col min="14336" max="14336" width="14" style="2114" bestFit="1" customWidth="1"/>
    <col min="14337" max="14337" width="13.5703125" style="2114" bestFit="1" customWidth="1"/>
    <col min="14338" max="14338" width="10.5703125" style="2114" bestFit="1" customWidth="1"/>
    <col min="14339" max="14339" width="11.85546875" style="2114" bestFit="1" customWidth="1"/>
    <col min="14340" max="14340" width="5.7109375" style="2114" customWidth="1"/>
    <col min="14341" max="14351" width="11.42578125" style="2114" customWidth="1"/>
    <col min="14352" max="14587" width="11.42578125" style="2114"/>
    <col min="14588" max="14588" width="14.85546875" style="2114" customWidth="1"/>
    <col min="14589" max="14590" width="12.5703125" style="2114" customWidth="1"/>
    <col min="14591" max="14591" width="12.140625" style="2114" customWidth="1"/>
    <col min="14592" max="14592" width="14" style="2114" bestFit="1" customWidth="1"/>
    <col min="14593" max="14593" width="13.5703125" style="2114" bestFit="1" customWidth="1"/>
    <col min="14594" max="14594" width="10.5703125" style="2114" bestFit="1" customWidth="1"/>
    <col min="14595" max="14595" width="11.85546875" style="2114" bestFit="1" customWidth="1"/>
    <col min="14596" max="14596" width="5.7109375" style="2114" customWidth="1"/>
    <col min="14597" max="14607" width="11.42578125" style="2114" customWidth="1"/>
    <col min="14608" max="14843" width="11.42578125" style="2114"/>
    <col min="14844" max="14844" width="14.85546875" style="2114" customWidth="1"/>
    <col min="14845" max="14846" width="12.5703125" style="2114" customWidth="1"/>
    <col min="14847" max="14847" width="12.140625" style="2114" customWidth="1"/>
    <col min="14848" max="14848" width="14" style="2114" bestFit="1" customWidth="1"/>
    <col min="14849" max="14849" width="13.5703125" style="2114" bestFit="1" customWidth="1"/>
    <col min="14850" max="14850" width="10.5703125" style="2114" bestFit="1" customWidth="1"/>
    <col min="14851" max="14851" width="11.85546875" style="2114" bestFit="1" customWidth="1"/>
    <col min="14852" max="14852" width="5.7109375" style="2114" customWidth="1"/>
    <col min="14853" max="14863" width="11.42578125" style="2114" customWidth="1"/>
    <col min="14864" max="15099" width="11.42578125" style="2114"/>
    <col min="15100" max="15100" width="14.85546875" style="2114" customWidth="1"/>
    <col min="15101" max="15102" width="12.5703125" style="2114" customWidth="1"/>
    <col min="15103" max="15103" width="12.140625" style="2114" customWidth="1"/>
    <col min="15104" max="15104" width="14" style="2114" bestFit="1" customWidth="1"/>
    <col min="15105" max="15105" width="13.5703125" style="2114" bestFit="1" customWidth="1"/>
    <col min="15106" max="15106" width="10.5703125" style="2114" bestFit="1" customWidth="1"/>
    <col min="15107" max="15107" width="11.85546875" style="2114" bestFit="1" customWidth="1"/>
    <col min="15108" max="15108" width="5.7109375" style="2114" customWidth="1"/>
    <col min="15109" max="15119" width="11.42578125" style="2114" customWidth="1"/>
    <col min="15120" max="15355" width="11.42578125" style="2114"/>
    <col min="15356" max="15356" width="14.85546875" style="2114" customWidth="1"/>
    <col min="15357" max="15358" width="12.5703125" style="2114" customWidth="1"/>
    <col min="15359" max="15359" width="12.140625" style="2114" customWidth="1"/>
    <col min="15360" max="15360" width="14" style="2114" bestFit="1" customWidth="1"/>
    <col min="15361" max="15361" width="13.5703125" style="2114" bestFit="1" customWidth="1"/>
    <col min="15362" max="15362" width="10.5703125" style="2114" bestFit="1" customWidth="1"/>
    <col min="15363" max="15363" width="11.85546875" style="2114" bestFit="1" customWidth="1"/>
    <col min="15364" max="15364" width="5.7109375" style="2114" customWidth="1"/>
    <col min="15365" max="15375" width="11.42578125" style="2114" customWidth="1"/>
    <col min="15376" max="15611" width="11.42578125" style="2114"/>
    <col min="15612" max="15612" width="14.85546875" style="2114" customWidth="1"/>
    <col min="15613" max="15614" width="12.5703125" style="2114" customWidth="1"/>
    <col min="15615" max="15615" width="12.140625" style="2114" customWidth="1"/>
    <col min="15616" max="15616" width="14" style="2114" bestFit="1" customWidth="1"/>
    <col min="15617" max="15617" width="13.5703125" style="2114" bestFit="1" customWidth="1"/>
    <col min="15618" max="15618" width="10.5703125" style="2114" bestFit="1" customWidth="1"/>
    <col min="15619" max="15619" width="11.85546875" style="2114" bestFit="1" customWidth="1"/>
    <col min="15620" max="15620" width="5.7109375" style="2114" customWidth="1"/>
    <col min="15621" max="15631" width="11.42578125" style="2114" customWidth="1"/>
    <col min="15632" max="15867" width="11.42578125" style="2114"/>
    <col min="15868" max="15868" width="14.85546875" style="2114" customWidth="1"/>
    <col min="15869" max="15870" width="12.5703125" style="2114" customWidth="1"/>
    <col min="15871" max="15871" width="12.140625" style="2114" customWidth="1"/>
    <col min="15872" max="15872" width="14" style="2114" bestFit="1" customWidth="1"/>
    <col min="15873" max="15873" width="13.5703125" style="2114" bestFit="1" customWidth="1"/>
    <col min="15874" max="15874" width="10.5703125" style="2114" bestFit="1" customWidth="1"/>
    <col min="15875" max="15875" width="11.85546875" style="2114" bestFit="1" customWidth="1"/>
    <col min="15876" max="15876" width="5.7109375" style="2114" customWidth="1"/>
    <col min="15877" max="15887" width="11.42578125" style="2114" customWidth="1"/>
    <col min="15888" max="16123" width="11.42578125" style="2114"/>
    <col min="16124" max="16124" width="14.85546875" style="2114" customWidth="1"/>
    <col min="16125" max="16126" width="12.5703125" style="2114" customWidth="1"/>
    <col min="16127" max="16127" width="12.140625" style="2114" customWidth="1"/>
    <col min="16128" max="16128" width="14" style="2114" bestFit="1" customWidth="1"/>
    <col min="16129" max="16129" width="13.5703125" style="2114" bestFit="1" customWidth="1"/>
    <col min="16130" max="16130" width="10.5703125" style="2114" bestFit="1" customWidth="1"/>
    <col min="16131" max="16131" width="11.85546875" style="2114" bestFit="1" customWidth="1"/>
    <col min="16132" max="16132" width="5.7109375" style="2114" customWidth="1"/>
    <col min="16133" max="16143" width="11.42578125" style="2114" customWidth="1"/>
    <col min="16144" max="16384" width="11.42578125" style="2114"/>
  </cols>
  <sheetData>
    <row r="1" spans="1:15" s="2111" customFormat="1" ht="24" customHeight="1" x14ac:dyDescent="0.25">
      <c r="A1" s="2106" t="s">
        <v>3744</v>
      </c>
      <c r="B1" s="2107"/>
      <c r="C1" s="2108"/>
      <c r="D1" s="2109"/>
      <c r="E1" s="2110"/>
    </row>
    <row r="2" spans="1:15" s="2111" customFormat="1" ht="4.5" customHeight="1" thickBot="1" x14ac:dyDescent="0.3">
      <c r="D2" s="2112"/>
      <c r="E2" s="2112"/>
    </row>
    <row r="3" spans="1:15" ht="19.5" customHeight="1" thickTop="1" x14ac:dyDescent="0.25">
      <c r="A3" s="2113"/>
      <c r="B3" s="3806" t="s">
        <v>3745</v>
      </c>
      <c r="C3" s="3809" t="s">
        <v>3746</v>
      </c>
      <c r="D3" s="3812" t="s">
        <v>3747</v>
      </c>
    </row>
    <row r="4" spans="1:15" x14ac:dyDescent="0.25">
      <c r="A4" s="2115"/>
      <c r="B4" s="3807"/>
      <c r="C4" s="3810"/>
      <c r="D4" s="3813"/>
    </row>
    <row r="5" spans="1:15" x14ac:dyDescent="0.25">
      <c r="A5" s="2115"/>
      <c r="B5" s="3807"/>
      <c r="C5" s="3810"/>
      <c r="D5" s="3813"/>
    </row>
    <row r="6" spans="1:15" x14ac:dyDescent="0.25">
      <c r="A6" s="2115" t="s">
        <v>1</v>
      </c>
      <c r="B6" s="3807"/>
      <c r="C6" s="3810"/>
      <c r="D6" s="3813"/>
    </row>
    <row r="7" spans="1:15" x14ac:dyDescent="0.25">
      <c r="A7" s="2115"/>
      <c r="B7" s="3807"/>
      <c r="C7" s="3810"/>
      <c r="D7" s="3813"/>
    </row>
    <row r="8" spans="1:15" ht="18" thickBot="1" x14ac:dyDescent="0.3">
      <c r="A8" s="2115"/>
      <c r="B8" s="3808"/>
      <c r="C8" s="3811"/>
      <c r="D8" s="3814"/>
      <c r="E8" s="2111"/>
      <c r="J8" s="2116"/>
    </row>
    <row r="9" spans="1:15" x14ac:dyDescent="0.25">
      <c r="A9" s="2117"/>
      <c r="B9" s="2118"/>
      <c r="C9" s="2119" t="s">
        <v>8</v>
      </c>
      <c r="D9" s="2120"/>
    </row>
    <row r="10" spans="1:15" ht="18.75" customHeight="1" x14ac:dyDescent="0.25">
      <c r="A10" s="2121">
        <v>44408</v>
      </c>
      <c r="B10" s="2122"/>
      <c r="C10" s="2123"/>
      <c r="D10" s="2124"/>
    </row>
    <row r="11" spans="1:15" ht="18" customHeight="1" x14ac:dyDescent="0.3">
      <c r="A11" s="2125" t="s">
        <v>3748</v>
      </c>
      <c r="B11" s="2126">
        <v>15000</v>
      </c>
      <c r="C11" s="2127">
        <v>889.1</v>
      </c>
      <c r="D11" s="2128">
        <v>889.1</v>
      </c>
      <c r="E11" s="2129"/>
      <c r="F11" s="2130"/>
    </row>
    <row r="12" spans="1:15" ht="18" customHeight="1" x14ac:dyDescent="0.3">
      <c r="A12" s="2125" t="s">
        <v>3749</v>
      </c>
      <c r="B12" s="2126">
        <v>15000</v>
      </c>
      <c r="C12" s="2127">
        <v>1513.5</v>
      </c>
      <c r="D12" s="2128">
        <v>1513.5</v>
      </c>
      <c r="E12" s="2129"/>
      <c r="F12" s="2131"/>
      <c r="G12" s="2132"/>
      <c r="H12" s="2132"/>
    </row>
    <row r="13" spans="1:15" ht="18" customHeight="1" x14ac:dyDescent="0.3">
      <c r="A13" s="2125" t="s">
        <v>3750</v>
      </c>
      <c r="B13" s="2126">
        <v>15000</v>
      </c>
      <c r="C13" s="2127">
        <v>1641.05</v>
      </c>
      <c r="D13" s="2128">
        <v>1641.05</v>
      </c>
      <c r="E13" s="2129"/>
      <c r="F13" s="2131"/>
      <c r="G13" s="2133"/>
      <c r="H13" s="2133"/>
      <c r="I13" s="2133"/>
    </row>
    <row r="14" spans="1:15" ht="18" customHeight="1" x14ac:dyDescent="0.3">
      <c r="A14" s="2125" t="s">
        <v>3751</v>
      </c>
      <c r="B14" s="2126">
        <v>15000</v>
      </c>
      <c r="C14" s="2127">
        <v>1977.95</v>
      </c>
      <c r="D14" s="2128">
        <v>1977.95</v>
      </c>
      <c r="E14" s="2129"/>
      <c r="F14" s="2134"/>
      <c r="G14" s="2133"/>
      <c r="H14" s="2133"/>
      <c r="I14" s="2133"/>
    </row>
    <row r="15" spans="1:15" ht="18" customHeight="1" x14ac:dyDescent="0.3">
      <c r="A15" s="2135" t="s">
        <v>3752</v>
      </c>
      <c r="B15" s="2136">
        <v>15000</v>
      </c>
      <c r="C15" s="2137">
        <v>916.5</v>
      </c>
      <c r="D15" s="2138">
        <v>916.5</v>
      </c>
      <c r="E15" s="2129"/>
      <c r="F15" s="2134"/>
      <c r="G15" s="2132"/>
      <c r="H15" s="2132"/>
    </row>
    <row r="16" spans="1:15" s="2141" customFormat="1" ht="18" customHeight="1" x14ac:dyDescent="0.25">
      <c r="A16" s="2139">
        <v>44043</v>
      </c>
      <c r="B16" s="2140">
        <v>15000</v>
      </c>
      <c r="C16" s="2140">
        <v>14149</v>
      </c>
      <c r="D16" s="2124">
        <v>14149</v>
      </c>
      <c r="F16" s="2133"/>
      <c r="G16" s="2133"/>
      <c r="H16" s="2133"/>
      <c r="I16" s="2133"/>
      <c r="J16" s="2133"/>
      <c r="K16" s="2133"/>
      <c r="L16" s="2133"/>
      <c r="M16" s="2133"/>
      <c r="N16" s="2133"/>
      <c r="O16" s="2133"/>
    </row>
    <row r="17" spans="1:15" s="2141" customFormat="1" ht="18" customHeight="1" x14ac:dyDescent="0.25">
      <c r="A17" s="2139">
        <v>44074</v>
      </c>
      <c r="B17" s="2140">
        <v>15000</v>
      </c>
      <c r="C17" s="2140">
        <v>7924</v>
      </c>
      <c r="D17" s="2124">
        <v>7924</v>
      </c>
      <c r="F17" s="2133"/>
      <c r="G17" s="2133"/>
      <c r="H17" s="2133"/>
      <c r="I17" s="2133"/>
      <c r="J17" s="2133"/>
      <c r="K17" s="2133"/>
      <c r="L17" s="2133"/>
      <c r="M17" s="2133"/>
      <c r="N17" s="2133"/>
      <c r="O17" s="2133"/>
    </row>
    <row r="18" spans="1:15" s="2141" customFormat="1" ht="18" customHeight="1" x14ac:dyDescent="0.25">
      <c r="A18" s="2139">
        <v>44104</v>
      </c>
      <c r="B18" s="2140">
        <v>15000</v>
      </c>
      <c r="C18" s="2140">
        <v>5680</v>
      </c>
      <c r="D18" s="2124">
        <v>5680</v>
      </c>
      <c r="F18" s="2133"/>
      <c r="G18" s="2133"/>
      <c r="H18" s="2133"/>
      <c r="I18" s="2133"/>
      <c r="J18" s="2133"/>
      <c r="K18" s="2133"/>
      <c r="L18" s="2133"/>
      <c r="M18" s="2133"/>
      <c r="N18" s="2133"/>
      <c r="O18" s="2133"/>
    </row>
    <row r="19" spans="1:15" s="2141" customFormat="1" ht="18" customHeight="1" x14ac:dyDescent="0.25">
      <c r="A19" s="2139">
        <v>44134</v>
      </c>
      <c r="B19" s="2140">
        <v>15000</v>
      </c>
      <c r="C19" s="2140">
        <v>7817</v>
      </c>
      <c r="D19" s="2124">
        <v>7817</v>
      </c>
      <c r="F19" s="2133"/>
      <c r="G19" s="2133"/>
      <c r="H19" s="2133"/>
      <c r="I19" s="2133"/>
      <c r="J19" s="2133"/>
      <c r="K19" s="2133"/>
      <c r="L19" s="2133"/>
      <c r="M19" s="2133"/>
      <c r="N19" s="2133"/>
      <c r="O19" s="2133"/>
    </row>
    <row r="20" spans="1:15" s="2141" customFormat="1" ht="18" customHeight="1" x14ac:dyDescent="0.25">
      <c r="A20" s="2139">
        <v>44165</v>
      </c>
      <c r="B20" s="2140">
        <v>15000</v>
      </c>
      <c r="C20" s="2140">
        <v>3064.85</v>
      </c>
      <c r="D20" s="2124">
        <v>3064.85</v>
      </c>
      <c r="F20" s="2133"/>
      <c r="G20" s="2133"/>
      <c r="H20" s="2133"/>
      <c r="I20" s="2133"/>
      <c r="J20" s="2133"/>
      <c r="K20" s="2133"/>
      <c r="L20" s="2133"/>
      <c r="M20" s="2133"/>
      <c r="N20" s="2133"/>
      <c r="O20" s="2133"/>
    </row>
    <row r="21" spans="1:15" s="2141" customFormat="1" ht="18" customHeight="1" x14ac:dyDescent="0.25">
      <c r="A21" s="2139">
        <v>44196</v>
      </c>
      <c r="B21" s="2140">
        <v>15000</v>
      </c>
      <c r="C21" s="2140">
        <v>5944.25</v>
      </c>
      <c r="D21" s="2124">
        <v>5944.25</v>
      </c>
      <c r="F21" s="2133"/>
      <c r="G21" s="2133"/>
      <c r="H21" s="2133"/>
      <c r="I21" s="2133"/>
      <c r="J21" s="2133"/>
      <c r="K21" s="2133"/>
      <c r="L21" s="2133"/>
      <c r="M21" s="2133"/>
      <c r="N21" s="2133"/>
      <c r="O21" s="2133"/>
    </row>
    <row r="22" spans="1:15" s="2141" customFormat="1" ht="18" customHeight="1" x14ac:dyDescent="0.25">
      <c r="A22" s="2139">
        <v>44225</v>
      </c>
      <c r="B22" s="2140">
        <v>15000</v>
      </c>
      <c r="C22" s="2140">
        <v>13482.8</v>
      </c>
      <c r="D22" s="2124">
        <v>13482.8</v>
      </c>
      <c r="F22" s="2133"/>
      <c r="G22" s="2133"/>
      <c r="H22" s="2133"/>
      <c r="I22" s="2133"/>
      <c r="J22" s="2133"/>
      <c r="K22" s="2133"/>
      <c r="L22" s="2133"/>
      <c r="M22" s="2133"/>
      <c r="N22" s="2133"/>
      <c r="O22" s="2133"/>
    </row>
    <row r="23" spans="1:15" s="2141" customFormat="1" ht="18" customHeight="1" x14ac:dyDescent="0.25">
      <c r="A23" s="2139">
        <v>44255</v>
      </c>
      <c r="B23" s="2140">
        <v>15000</v>
      </c>
      <c r="C23" s="2140">
        <v>4080.6</v>
      </c>
      <c r="D23" s="2124">
        <v>4080.6</v>
      </c>
      <c r="F23" s="2133"/>
      <c r="G23" s="2133"/>
      <c r="H23" s="2133"/>
      <c r="I23" s="2133"/>
      <c r="J23" s="2133"/>
      <c r="K23" s="2133"/>
      <c r="L23" s="2133"/>
      <c r="M23" s="2133"/>
      <c r="N23" s="2133"/>
      <c r="O23" s="2133"/>
    </row>
    <row r="24" spans="1:15" s="2141" customFormat="1" ht="18" customHeight="1" x14ac:dyDescent="0.25">
      <c r="A24" s="2139">
        <v>44286</v>
      </c>
      <c r="B24" s="2140">
        <v>15000</v>
      </c>
      <c r="C24" s="2140">
        <v>8879.85</v>
      </c>
      <c r="D24" s="2124">
        <v>8879.85</v>
      </c>
      <c r="F24" s="2133"/>
      <c r="G24" s="2133"/>
      <c r="H24" s="2133"/>
      <c r="I24" s="2133"/>
      <c r="J24" s="2133"/>
      <c r="K24" s="2133"/>
      <c r="L24" s="2133"/>
      <c r="M24" s="2133"/>
      <c r="N24" s="2133"/>
      <c r="O24" s="2133"/>
    </row>
    <row r="25" spans="1:15" s="2141" customFormat="1" ht="18" customHeight="1" x14ac:dyDescent="0.25">
      <c r="A25" s="2139">
        <v>44316</v>
      </c>
      <c r="B25" s="2140">
        <v>15000</v>
      </c>
      <c r="C25" s="2140">
        <v>10468.4</v>
      </c>
      <c r="D25" s="2124">
        <v>10468.4</v>
      </c>
      <c r="F25" s="2133"/>
      <c r="G25" s="2133"/>
      <c r="H25" s="2133"/>
      <c r="I25" s="2133"/>
      <c r="J25" s="2133"/>
      <c r="K25" s="2133"/>
      <c r="L25" s="2133"/>
      <c r="M25" s="2133"/>
      <c r="N25" s="2133"/>
      <c r="O25" s="2133"/>
    </row>
    <row r="26" spans="1:15" s="2141" customFormat="1" ht="18" customHeight="1" x14ac:dyDescent="0.25">
      <c r="A26" s="2139">
        <v>44347</v>
      </c>
      <c r="B26" s="2140">
        <v>15000</v>
      </c>
      <c r="C26" s="2140">
        <v>10804.15</v>
      </c>
      <c r="D26" s="2124">
        <v>10804.15</v>
      </c>
      <c r="F26" s="2133"/>
      <c r="G26" s="2133"/>
      <c r="H26" s="2133"/>
      <c r="I26" s="2133"/>
      <c r="J26" s="2133"/>
      <c r="K26" s="2133"/>
      <c r="L26" s="2133"/>
      <c r="M26" s="2133"/>
      <c r="N26" s="2133"/>
      <c r="O26" s="2133"/>
    </row>
    <row r="27" spans="1:15" s="2141" customFormat="1" ht="18" customHeight="1" x14ac:dyDescent="0.25">
      <c r="A27" s="2139">
        <v>44377</v>
      </c>
      <c r="B27" s="2140">
        <v>15000</v>
      </c>
      <c r="C27" s="2140">
        <v>11562.25</v>
      </c>
      <c r="D27" s="2124">
        <v>11562.25</v>
      </c>
      <c r="F27" s="2133"/>
      <c r="G27" s="2133"/>
      <c r="H27" s="2133"/>
      <c r="I27" s="2133"/>
      <c r="J27" s="2133"/>
      <c r="K27" s="2133"/>
      <c r="L27" s="2133"/>
      <c r="M27" s="2133"/>
      <c r="N27" s="2133"/>
      <c r="O27" s="2133"/>
    </row>
    <row r="28" spans="1:15" s="2141" customFormat="1" ht="18" customHeight="1" thickBot="1" x14ac:dyDescent="0.3">
      <c r="A28" s="2142">
        <v>44408</v>
      </c>
      <c r="B28" s="2143">
        <v>15000</v>
      </c>
      <c r="C28" s="2143">
        <v>6938.1</v>
      </c>
      <c r="D28" s="2144">
        <v>6938.1</v>
      </c>
      <c r="F28" s="2145"/>
      <c r="G28" s="2133"/>
      <c r="H28" s="2133"/>
      <c r="I28" s="2133"/>
      <c r="J28" s="2133"/>
      <c r="K28" s="2133"/>
      <c r="L28" s="2133"/>
      <c r="M28" s="2133"/>
      <c r="N28" s="2133"/>
      <c r="O28" s="2133"/>
    </row>
    <row r="29" spans="1:15" s="2148" customFormat="1" ht="18" customHeight="1" thickTop="1" x14ac:dyDescent="0.25">
      <c r="A29" s="2146" t="s">
        <v>3753</v>
      </c>
      <c r="B29" s="2147"/>
      <c r="C29" s="2147"/>
      <c r="D29" s="2147"/>
      <c r="F29" s="2149"/>
      <c r="G29" s="2150"/>
      <c r="H29" s="2150"/>
      <c r="I29" s="2150"/>
      <c r="J29" s="2150"/>
      <c r="K29" s="2150"/>
      <c r="L29" s="2150"/>
      <c r="M29" s="2150"/>
      <c r="N29" s="2150"/>
      <c r="O29" s="2150"/>
    </row>
    <row r="30" spans="1:15" s="2148" customFormat="1" ht="19.5" customHeight="1" x14ac:dyDescent="0.25">
      <c r="A30" s="2146" t="s">
        <v>3754</v>
      </c>
      <c r="B30" s="2146"/>
      <c r="C30" s="2151"/>
      <c r="D30" s="2152"/>
      <c r="F30" s="2153"/>
      <c r="G30" s="2150"/>
      <c r="H30" s="2150"/>
      <c r="I30" s="2150"/>
      <c r="J30" s="2150"/>
      <c r="K30" s="2150"/>
      <c r="L30" s="2150"/>
      <c r="M30" s="2150"/>
      <c r="N30" s="2150"/>
      <c r="O30" s="2150"/>
    </row>
    <row r="31" spans="1:15" s="2148" customFormat="1" ht="17.25" customHeight="1" x14ac:dyDescent="0.25">
      <c r="A31" s="3815" t="s">
        <v>960</v>
      </c>
      <c r="B31" s="3815"/>
      <c r="C31" s="3815"/>
      <c r="D31" s="3815"/>
      <c r="F31" s="2150"/>
      <c r="G31" s="2150"/>
      <c r="H31" s="2150"/>
      <c r="I31" s="2150"/>
      <c r="J31" s="2150"/>
      <c r="K31" s="2150"/>
      <c r="L31" s="2150"/>
      <c r="M31" s="2150"/>
      <c r="N31" s="2150"/>
      <c r="O31" s="2150"/>
    </row>
    <row r="32" spans="1:15" s="2148" customFormat="1" ht="18" customHeight="1" x14ac:dyDescent="0.25">
      <c r="A32" s="2151" t="s">
        <v>3755</v>
      </c>
      <c r="B32" s="2151"/>
      <c r="C32" s="2151"/>
      <c r="D32" s="2151"/>
      <c r="F32" s="2150"/>
      <c r="G32" s="2150"/>
      <c r="H32" s="2150"/>
      <c r="I32" s="2150"/>
      <c r="J32" s="2150"/>
      <c r="K32" s="2150"/>
      <c r="L32" s="2150"/>
      <c r="M32" s="2150"/>
      <c r="N32" s="2150"/>
      <c r="O32" s="2150"/>
    </row>
    <row r="33" spans="1:15" s="2141" customFormat="1" x14ac:dyDescent="0.25">
      <c r="D33" s="2154"/>
    </row>
    <row r="34" spans="1:15" s="2141" customFormat="1" x14ac:dyDescent="0.25"/>
    <row r="35" spans="1:15" s="2141" customFormat="1" ht="18" customHeight="1" x14ac:dyDescent="0.25">
      <c r="A35" s="2114"/>
      <c r="B35" s="2114"/>
      <c r="C35" s="2114"/>
      <c r="D35" s="2114"/>
      <c r="F35" s="2133"/>
      <c r="G35" s="2133"/>
      <c r="H35" s="2133"/>
      <c r="I35" s="2133"/>
      <c r="J35" s="2133"/>
      <c r="K35" s="2133"/>
      <c r="L35" s="2133"/>
      <c r="M35" s="2133"/>
      <c r="N35" s="2133"/>
      <c r="O35" s="2133"/>
    </row>
  </sheetData>
  <mergeCells count="4">
    <mergeCell ref="B3:B8"/>
    <mergeCell ref="C3:C8"/>
    <mergeCell ref="D3:D8"/>
    <mergeCell ref="A31:D31"/>
  </mergeCells>
  <pageMargins left="0.75" right="0.75" top="0.75" bottom="0.75" header="0.3" footer="0"/>
  <pageSetup paperSize="9" scale="9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O277"/>
  <sheetViews>
    <sheetView zoomScaleNormal="100" zoomScaleSheetLayoutView="100" workbookViewId="0">
      <pane xSplit="1" ySplit="6" topLeftCell="B7" activePane="bottomRight" state="frozen"/>
      <selection activeCell="I35" sqref="I35"/>
      <selection pane="topRight" activeCell="I35" sqref="I35"/>
      <selection pane="bottomLeft" activeCell="I35" sqref="I35"/>
      <selection pane="bottomRight"/>
    </sheetView>
  </sheetViews>
  <sheetFormatPr defaultColWidth="9.140625" defaultRowHeight="20.100000000000001" customHeight="1" x14ac:dyDescent="0.25"/>
  <cols>
    <col min="1" max="1" width="18.7109375" style="2156" customWidth="1"/>
    <col min="2" max="2" width="10.5703125" style="2156" bestFit="1" customWidth="1"/>
    <col min="3" max="3" width="11.28515625" style="2156" bestFit="1" customWidth="1"/>
    <col min="4" max="4" width="8.42578125" style="2156" bestFit="1" customWidth="1"/>
    <col min="5" max="5" width="12.140625" style="2156" customWidth="1"/>
    <col min="6" max="7" width="14.42578125" style="2156" customWidth="1"/>
    <col min="8" max="8" width="5.140625" style="2156" hidden="1" customWidth="1"/>
    <col min="9" max="9" width="4.5703125" style="2156" customWidth="1"/>
    <col min="10" max="10" width="9.140625" style="2156"/>
    <col min="11" max="11" width="5.85546875" style="2156" customWidth="1"/>
    <col min="12" max="12" width="7.28515625" style="2156" customWidth="1"/>
    <col min="13" max="16384" width="9.140625" style="2156"/>
  </cols>
  <sheetData>
    <row r="1" spans="1:14" ht="20.100000000000001" customHeight="1" x14ac:dyDescent="0.25">
      <c r="A1" s="1373" t="s">
        <v>3756</v>
      </c>
      <c r="B1" s="2155"/>
      <c r="C1" s="2155"/>
      <c r="D1" s="2155"/>
      <c r="E1" s="2155"/>
      <c r="F1" s="2155"/>
      <c r="G1" s="2155"/>
    </row>
    <row r="2" spans="1:14" ht="20.100000000000001" customHeight="1" thickBot="1" x14ac:dyDescent="0.3">
      <c r="A2" s="2155"/>
      <c r="I2" s="2156" t="s">
        <v>3430</v>
      </c>
    </row>
    <row r="3" spans="1:14" ht="20.100000000000001" customHeight="1" thickTop="1" x14ac:dyDescent="0.25">
      <c r="A3" s="3816" t="s">
        <v>1</v>
      </c>
      <c r="B3" s="3819" t="s">
        <v>3757</v>
      </c>
      <c r="C3" s="3750"/>
      <c r="D3" s="3820"/>
      <c r="E3" s="2157" t="s">
        <v>3758</v>
      </c>
      <c r="F3" s="2157" t="s">
        <v>3759</v>
      </c>
      <c r="G3" s="2158" t="s">
        <v>3760</v>
      </c>
      <c r="H3" s="2159" t="s">
        <v>3761</v>
      </c>
      <c r="I3" s="2156" t="s">
        <v>3430</v>
      </c>
    </row>
    <row r="4" spans="1:14" ht="20.100000000000001" customHeight="1" thickBot="1" x14ac:dyDescent="0.3">
      <c r="A4" s="3817"/>
      <c r="B4" s="3821"/>
      <c r="C4" s="3822"/>
      <c r="D4" s="3823"/>
      <c r="E4" s="1388" t="s">
        <v>3762</v>
      </c>
      <c r="F4" s="1388" t="s">
        <v>3763</v>
      </c>
      <c r="G4" s="1390" t="s">
        <v>3764</v>
      </c>
      <c r="H4" s="2160" t="s">
        <v>3765</v>
      </c>
    </row>
    <row r="5" spans="1:14" ht="20.100000000000001" customHeight="1" thickBot="1" x14ac:dyDescent="0.3">
      <c r="A5" s="3817"/>
      <c r="B5" s="2161" t="s">
        <v>3766</v>
      </c>
      <c r="C5" s="2162" t="s">
        <v>3767</v>
      </c>
      <c r="D5" s="2163" t="s">
        <v>114</v>
      </c>
      <c r="E5" s="1393"/>
      <c r="F5" s="1393" t="s">
        <v>3768</v>
      </c>
      <c r="G5" s="1395" t="s">
        <v>3769</v>
      </c>
      <c r="H5" s="2164"/>
    </row>
    <row r="6" spans="1:14" ht="20.100000000000001" customHeight="1" thickBot="1" x14ac:dyDescent="0.3">
      <c r="A6" s="3818"/>
      <c r="B6" s="3824" t="s">
        <v>8</v>
      </c>
      <c r="C6" s="3825"/>
      <c r="D6" s="3825"/>
      <c r="E6" s="3826"/>
      <c r="F6" s="3827" t="s">
        <v>416</v>
      </c>
      <c r="G6" s="3828"/>
      <c r="H6" s="2165"/>
    </row>
    <row r="7" spans="1:14" ht="20.100000000000001" customHeight="1" thickTop="1" x14ac:dyDescent="0.25">
      <c r="A7" s="2166">
        <v>44378</v>
      </c>
      <c r="B7" s="2167"/>
      <c r="C7" s="2168"/>
      <c r="D7" s="2168"/>
      <c r="E7" s="2168"/>
      <c r="F7" s="2169"/>
      <c r="G7" s="2170"/>
      <c r="H7" s="2171"/>
    </row>
    <row r="8" spans="1:14" ht="20.100000000000001" customHeight="1" x14ac:dyDescent="0.25">
      <c r="A8" s="2172" t="s">
        <v>3770</v>
      </c>
      <c r="B8" s="2173">
        <v>1150</v>
      </c>
      <c r="C8" s="2174">
        <v>1150</v>
      </c>
      <c r="D8" s="2174">
        <v>1150</v>
      </c>
      <c r="E8" s="2174">
        <v>1150</v>
      </c>
      <c r="F8" s="2175" t="s">
        <v>3771</v>
      </c>
      <c r="G8" s="2176">
        <v>0.43</v>
      </c>
      <c r="H8" s="2177"/>
      <c r="I8" s="2178"/>
      <c r="J8" s="2179"/>
      <c r="K8" s="2179"/>
      <c r="L8" s="2179"/>
      <c r="N8" s="2180"/>
    </row>
    <row r="9" spans="1:14" ht="20.100000000000001" customHeight="1" x14ac:dyDescent="0.25">
      <c r="A9" s="2181" t="s">
        <v>3772</v>
      </c>
      <c r="B9" s="2173">
        <v>100</v>
      </c>
      <c r="C9" s="2174">
        <v>100</v>
      </c>
      <c r="D9" s="2174">
        <v>300</v>
      </c>
      <c r="E9" s="2174">
        <v>100</v>
      </c>
      <c r="F9" s="2175">
        <v>0.3</v>
      </c>
      <c r="G9" s="2176">
        <v>0.3</v>
      </c>
      <c r="H9" s="2177"/>
      <c r="I9" s="2178"/>
      <c r="J9" s="2179"/>
      <c r="K9" s="2179"/>
      <c r="L9" s="2179"/>
      <c r="N9" s="2180"/>
    </row>
    <row r="10" spans="1:14" ht="20.100000000000001" customHeight="1" x14ac:dyDescent="0.25">
      <c r="A10" s="2181" t="s">
        <v>3773</v>
      </c>
      <c r="B10" s="2173">
        <v>200</v>
      </c>
      <c r="C10" s="2174">
        <v>250</v>
      </c>
      <c r="D10" s="2174">
        <v>450</v>
      </c>
      <c r="E10" s="2174">
        <v>225</v>
      </c>
      <c r="F10" s="2175">
        <v>0.25</v>
      </c>
      <c r="G10" s="2176">
        <v>0.25</v>
      </c>
      <c r="H10" s="2177"/>
      <c r="I10" s="2178"/>
      <c r="J10" s="2179"/>
      <c r="K10" s="2179"/>
      <c r="L10" s="2179"/>
      <c r="N10" s="2180"/>
    </row>
    <row r="11" spans="1:14" ht="20.100000000000001" customHeight="1" x14ac:dyDescent="0.25">
      <c r="A11" s="2181" t="s">
        <v>3774</v>
      </c>
      <c r="B11" s="2173">
        <v>150</v>
      </c>
      <c r="C11" s="2174">
        <v>500</v>
      </c>
      <c r="D11" s="2174">
        <v>1650</v>
      </c>
      <c r="E11" s="2174">
        <v>412.5</v>
      </c>
      <c r="F11" s="2175" t="s">
        <v>3775</v>
      </c>
      <c r="G11" s="2176">
        <v>0.28999999999999998</v>
      </c>
      <c r="H11" s="2177"/>
      <c r="I11" s="2178"/>
      <c r="J11" s="2179"/>
      <c r="K11" s="2179"/>
      <c r="L11" s="2179"/>
      <c r="N11" s="2180"/>
    </row>
    <row r="12" spans="1:14" ht="20.100000000000001" customHeight="1" x14ac:dyDescent="0.25">
      <c r="A12" s="2181" t="s">
        <v>3776</v>
      </c>
      <c r="B12" s="2173">
        <v>100</v>
      </c>
      <c r="C12" s="2174">
        <v>1100</v>
      </c>
      <c r="D12" s="2174">
        <v>1800</v>
      </c>
      <c r="E12" s="2174">
        <v>600</v>
      </c>
      <c r="F12" s="2182" t="s">
        <v>3777</v>
      </c>
      <c r="G12" s="2183">
        <v>0.32</v>
      </c>
      <c r="H12" s="2177"/>
      <c r="I12" s="2178"/>
      <c r="J12" s="2179"/>
      <c r="K12" s="2179"/>
      <c r="L12" s="2179"/>
      <c r="N12" s="2180"/>
    </row>
    <row r="13" spans="1:14" ht="20.100000000000001" customHeight="1" x14ac:dyDescent="0.25">
      <c r="A13" s="2181" t="s">
        <v>3778</v>
      </c>
      <c r="B13" s="2173">
        <v>600</v>
      </c>
      <c r="C13" s="2174">
        <v>600</v>
      </c>
      <c r="D13" s="2174">
        <v>1200</v>
      </c>
      <c r="E13" s="2174">
        <v>600</v>
      </c>
      <c r="F13" s="2182" t="s">
        <v>3777</v>
      </c>
      <c r="G13" s="2183">
        <v>0.32</v>
      </c>
      <c r="H13" s="2177"/>
      <c r="I13" s="2178"/>
      <c r="J13" s="2179"/>
      <c r="K13" s="2179"/>
      <c r="L13" s="2179"/>
      <c r="N13" s="2180"/>
    </row>
    <row r="14" spans="1:14" ht="20.100000000000001" customHeight="1" thickBot="1" x14ac:dyDescent="0.3">
      <c r="A14" s="2184"/>
      <c r="B14" s="2185"/>
      <c r="C14" s="2186"/>
      <c r="D14" s="2186"/>
      <c r="E14" s="2186"/>
      <c r="F14" s="2187"/>
      <c r="G14" s="2188"/>
      <c r="H14" s="2177"/>
      <c r="I14" s="2178"/>
      <c r="J14" s="2179"/>
      <c r="K14" s="2179"/>
      <c r="L14" s="2179"/>
      <c r="N14" s="2180"/>
    </row>
    <row r="15" spans="1:14" ht="20.100000000000001" hidden="1" customHeight="1" thickTop="1" x14ac:dyDescent="0.25">
      <c r="A15" s="2189"/>
      <c r="B15" s="2173"/>
      <c r="C15" s="2174"/>
      <c r="D15" s="2174"/>
      <c r="E15" s="2174"/>
      <c r="F15" s="2182"/>
      <c r="G15" s="2183"/>
      <c r="H15" s="2177"/>
      <c r="I15" s="2190"/>
      <c r="K15" s="2155"/>
      <c r="M15" s="2155"/>
      <c r="N15" s="2180"/>
    </row>
    <row r="16" spans="1:14" ht="20.100000000000001" hidden="1" customHeight="1" x14ac:dyDescent="0.25">
      <c r="A16" s="2191">
        <v>36312</v>
      </c>
      <c r="B16" s="2173">
        <v>10</v>
      </c>
      <c r="C16" s="2174">
        <v>230</v>
      </c>
      <c r="D16" s="2174">
        <v>2385</v>
      </c>
      <c r="E16" s="2174">
        <v>80</v>
      </c>
      <c r="F16" s="2182" t="s">
        <v>3779</v>
      </c>
      <c r="G16" s="2183">
        <v>9.9600000000000009</v>
      </c>
      <c r="H16" s="2177">
        <v>12.61</v>
      </c>
      <c r="I16" s="2190"/>
    </row>
    <row r="17" spans="1:9" ht="20.100000000000001" hidden="1" customHeight="1" x14ac:dyDescent="0.25">
      <c r="A17" s="2191">
        <v>36404</v>
      </c>
      <c r="B17" s="2173">
        <v>10</v>
      </c>
      <c r="C17" s="2174">
        <v>120</v>
      </c>
      <c r="D17" s="2174">
        <v>1223</v>
      </c>
      <c r="E17" s="2174">
        <v>52.96</v>
      </c>
      <c r="F17" s="2182" t="s">
        <v>3780</v>
      </c>
      <c r="G17" s="2183">
        <v>9.5630000000000006</v>
      </c>
      <c r="H17" s="2177">
        <v>12.72</v>
      </c>
      <c r="I17" s="2190"/>
    </row>
    <row r="18" spans="1:9" ht="20.100000000000001" hidden="1" customHeight="1" thickBot="1" x14ac:dyDescent="0.3">
      <c r="A18" s="2191">
        <v>36495</v>
      </c>
      <c r="B18" s="2173">
        <v>85</v>
      </c>
      <c r="C18" s="2174">
        <v>500</v>
      </c>
      <c r="D18" s="2174">
        <v>6285</v>
      </c>
      <c r="E18" s="2174">
        <v>273</v>
      </c>
      <c r="F18" s="2182" t="s">
        <v>3781</v>
      </c>
      <c r="G18" s="2183">
        <v>9.67</v>
      </c>
      <c r="H18" s="2177">
        <v>12.36</v>
      </c>
      <c r="I18" s="2190"/>
    </row>
    <row r="19" spans="1:9" ht="20.100000000000001" hidden="1" customHeight="1" thickTop="1" x14ac:dyDescent="0.25">
      <c r="A19" s="2192">
        <v>36586</v>
      </c>
      <c r="B19" s="2173">
        <v>10</v>
      </c>
      <c r="C19" s="2174">
        <v>255</v>
      </c>
      <c r="D19" s="2174">
        <v>3163.2</v>
      </c>
      <c r="E19" s="2174">
        <v>102</v>
      </c>
      <c r="F19" s="2182" t="s">
        <v>1473</v>
      </c>
      <c r="G19" s="2183">
        <v>9.1199999999999992</v>
      </c>
      <c r="H19" s="2177">
        <v>11.71</v>
      </c>
      <c r="I19" s="2190"/>
    </row>
    <row r="20" spans="1:9" ht="20.100000000000001" hidden="1" customHeight="1" x14ac:dyDescent="0.25">
      <c r="A20" s="2191">
        <v>36678</v>
      </c>
      <c r="B20" s="2173">
        <v>20</v>
      </c>
      <c r="C20" s="2174">
        <v>600</v>
      </c>
      <c r="D20" s="2174">
        <v>3421</v>
      </c>
      <c r="E20" s="2174">
        <v>118</v>
      </c>
      <c r="F20" s="2182" t="s">
        <v>1676</v>
      </c>
      <c r="G20" s="2183">
        <v>7.27</v>
      </c>
      <c r="H20" s="2177">
        <v>10.039999999999999</v>
      </c>
      <c r="I20" s="2190"/>
    </row>
    <row r="21" spans="1:9" ht="20.100000000000001" hidden="1" customHeight="1" x14ac:dyDescent="0.25">
      <c r="A21" s="2191">
        <v>36708</v>
      </c>
      <c r="B21" s="2173">
        <v>10</v>
      </c>
      <c r="C21" s="2174">
        <v>830</v>
      </c>
      <c r="D21" s="2174">
        <v>6813</v>
      </c>
      <c r="E21" s="2174">
        <v>243</v>
      </c>
      <c r="F21" s="2182" t="s">
        <v>673</v>
      </c>
      <c r="G21" s="2183">
        <v>7.46</v>
      </c>
      <c r="H21" s="2177">
        <v>10.08</v>
      </c>
      <c r="I21" s="2190"/>
    </row>
    <row r="22" spans="1:9" ht="20.100000000000001" hidden="1" customHeight="1" x14ac:dyDescent="0.25">
      <c r="A22" s="2191">
        <v>36739</v>
      </c>
      <c r="B22" s="2173">
        <v>25</v>
      </c>
      <c r="C22" s="2174">
        <v>460</v>
      </c>
      <c r="D22" s="2174">
        <v>6528</v>
      </c>
      <c r="E22" s="2174">
        <v>211</v>
      </c>
      <c r="F22" s="2182" t="s">
        <v>1396</v>
      </c>
      <c r="G22" s="2183">
        <v>7.03</v>
      </c>
      <c r="H22" s="2177">
        <v>10.32</v>
      </c>
      <c r="I22" s="2190"/>
    </row>
    <row r="23" spans="1:9" ht="20.100000000000001" hidden="1" customHeight="1" x14ac:dyDescent="0.25">
      <c r="A23" s="2191">
        <v>36770</v>
      </c>
      <c r="B23" s="2173">
        <v>30</v>
      </c>
      <c r="C23" s="2174">
        <v>168</v>
      </c>
      <c r="D23" s="2174">
        <v>2859</v>
      </c>
      <c r="E23" s="2174">
        <v>95</v>
      </c>
      <c r="F23" s="2182" t="s">
        <v>3782</v>
      </c>
      <c r="G23" s="2183">
        <v>7.13</v>
      </c>
      <c r="H23" s="2177">
        <v>9.9550000000000001</v>
      </c>
      <c r="I23" s="2190"/>
    </row>
    <row r="24" spans="1:9" ht="20.100000000000001" hidden="1" customHeight="1" x14ac:dyDescent="0.25">
      <c r="A24" s="2191">
        <v>36800</v>
      </c>
      <c r="B24" s="2173">
        <v>30</v>
      </c>
      <c r="C24" s="2174">
        <v>270</v>
      </c>
      <c r="D24" s="2174">
        <v>3581</v>
      </c>
      <c r="E24" s="2174">
        <v>138</v>
      </c>
      <c r="F24" s="2182" t="s">
        <v>449</v>
      </c>
      <c r="G24" s="2183">
        <v>7.48</v>
      </c>
      <c r="H24" s="2177">
        <v>10.16</v>
      </c>
      <c r="I24" s="2190"/>
    </row>
    <row r="25" spans="1:9" ht="20.100000000000001" hidden="1" customHeight="1" x14ac:dyDescent="0.25">
      <c r="A25" s="2191">
        <v>36831</v>
      </c>
      <c r="B25" s="2173">
        <v>40</v>
      </c>
      <c r="C25" s="2174">
        <v>201</v>
      </c>
      <c r="D25" s="2174">
        <v>2859</v>
      </c>
      <c r="E25" s="2174">
        <v>95</v>
      </c>
      <c r="F25" s="2182" t="s">
        <v>421</v>
      </c>
      <c r="G25" s="2183">
        <v>7.98</v>
      </c>
      <c r="H25" s="2177">
        <v>10.77</v>
      </c>
      <c r="I25" s="2190"/>
    </row>
    <row r="26" spans="1:9" ht="20.100000000000001" hidden="1" customHeight="1" x14ac:dyDescent="0.25">
      <c r="A26" s="2191">
        <v>36861</v>
      </c>
      <c r="B26" s="2173">
        <v>16</v>
      </c>
      <c r="C26" s="2174">
        <v>398</v>
      </c>
      <c r="D26" s="2174">
        <v>5734</v>
      </c>
      <c r="E26" s="2174">
        <v>185</v>
      </c>
      <c r="F26" s="2182" t="s">
        <v>1430</v>
      </c>
      <c r="G26" s="2183">
        <v>7.96</v>
      </c>
      <c r="H26" s="2177">
        <v>11.29</v>
      </c>
      <c r="I26" s="2190"/>
    </row>
    <row r="27" spans="1:9" ht="20.100000000000001" hidden="1" customHeight="1" x14ac:dyDescent="0.25">
      <c r="A27" s="2191">
        <v>36892</v>
      </c>
      <c r="B27" s="2173">
        <v>10</v>
      </c>
      <c r="C27" s="2174">
        <v>590</v>
      </c>
      <c r="D27" s="2174">
        <v>4252</v>
      </c>
      <c r="E27" s="2174">
        <v>185</v>
      </c>
      <c r="F27" s="2182" t="s">
        <v>1479</v>
      </c>
      <c r="G27" s="2183">
        <v>6.8</v>
      </c>
      <c r="H27" s="2177">
        <v>11.05</v>
      </c>
      <c r="I27" s="2190"/>
    </row>
    <row r="28" spans="1:9" ht="20.100000000000001" hidden="1" customHeight="1" x14ac:dyDescent="0.25">
      <c r="A28" s="2191">
        <v>36923</v>
      </c>
      <c r="B28" s="2173">
        <v>30</v>
      </c>
      <c r="C28" s="2174">
        <v>594</v>
      </c>
      <c r="D28" s="2174">
        <v>4815</v>
      </c>
      <c r="E28" s="2174">
        <v>172</v>
      </c>
      <c r="F28" s="2182" t="s">
        <v>3783</v>
      </c>
      <c r="G28" s="2183">
        <v>7.2584999999999997</v>
      </c>
      <c r="H28" s="2177">
        <v>11.2</v>
      </c>
      <c r="I28" s="2190"/>
    </row>
    <row r="29" spans="1:9" ht="20.100000000000001" hidden="1" customHeight="1" x14ac:dyDescent="0.25">
      <c r="A29" s="2191">
        <v>36951</v>
      </c>
      <c r="B29" s="2173">
        <v>40</v>
      </c>
      <c r="C29" s="2174">
        <v>410</v>
      </c>
      <c r="D29" s="2174">
        <v>4583</v>
      </c>
      <c r="E29" s="2174">
        <v>148</v>
      </c>
      <c r="F29" s="2182" t="s">
        <v>789</v>
      </c>
      <c r="G29" s="2183">
        <v>7.5</v>
      </c>
      <c r="H29" s="2177">
        <v>10.67</v>
      </c>
      <c r="I29" s="2190"/>
    </row>
    <row r="30" spans="1:9" ht="20.100000000000001" hidden="1" customHeight="1" x14ac:dyDescent="0.25">
      <c r="A30" s="2191">
        <v>36982</v>
      </c>
      <c r="B30" s="2173">
        <v>50</v>
      </c>
      <c r="C30" s="2174">
        <v>560</v>
      </c>
      <c r="D30" s="2174">
        <v>8724</v>
      </c>
      <c r="E30" s="2174">
        <v>291</v>
      </c>
      <c r="F30" s="2182" t="s">
        <v>423</v>
      </c>
      <c r="G30" s="2183">
        <v>7.8</v>
      </c>
      <c r="H30" s="2177">
        <v>11.01</v>
      </c>
      <c r="I30" s="2190"/>
    </row>
    <row r="31" spans="1:9" ht="20.100000000000001" hidden="1" customHeight="1" x14ac:dyDescent="0.25">
      <c r="A31" s="2191">
        <v>37012</v>
      </c>
      <c r="B31" s="2173">
        <v>80</v>
      </c>
      <c r="C31" s="2174">
        <v>435</v>
      </c>
      <c r="D31" s="2174">
        <v>5942</v>
      </c>
      <c r="E31" s="2174">
        <v>192</v>
      </c>
      <c r="F31" s="2182" t="s">
        <v>766</v>
      </c>
      <c r="G31" s="2183">
        <v>8.43</v>
      </c>
      <c r="H31" s="2177">
        <v>11.53</v>
      </c>
      <c r="I31" s="2190"/>
    </row>
    <row r="32" spans="1:9" ht="20.100000000000001" hidden="1" customHeight="1" x14ac:dyDescent="0.25">
      <c r="A32" s="2191">
        <v>37043</v>
      </c>
      <c r="B32" s="2173">
        <v>10</v>
      </c>
      <c r="C32" s="2174">
        <v>570</v>
      </c>
      <c r="D32" s="2174">
        <v>5355</v>
      </c>
      <c r="E32" s="2174">
        <v>178.5</v>
      </c>
      <c r="F32" s="2182" t="s">
        <v>3784</v>
      </c>
      <c r="G32" s="2183">
        <v>7.29</v>
      </c>
      <c r="H32" s="2177">
        <v>11.12</v>
      </c>
      <c r="I32" s="2190"/>
    </row>
    <row r="33" spans="1:9" ht="20.100000000000001" hidden="1" customHeight="1" x14ac:dyDescent="0.25">
      <c r="A33" s="2191">
        <v>37073</v>
      </c>
      <c r="B33" s="2173">
        <v>50</v>
      </c>
      <c r="C33" s="2174">
        <v>570</v>
      </c>
      <c r="D33" s="2174">
        <v>6170</v>
      </c>
      <c r="E33" s="2174">
        <v>199</v>
      </c>
      <c r="F33" s="2182" t="s">
        <v>3782</v>
      </c>
      <c r="G33" s="2183">
        <v>7.18</v>
      </c>
      <c r="H33" s="2177">
        <v>11.03</v>
      </c>
      <c r="I33" s="2190"/>
    </row>
    <row r="34" spans="1:9" ht="20.100000000000001" hidden="1" customHeight="1" x14ac:dyDescent="0.25">
      <c r="A34" s="2191">
        <v>37104</v>
      </c>
      <c r="B34" s="2173">
        <v>35</v>
      </c>
      <c r="C34" s="2174">
        <v>482</v>
      </c>
      <c r="D34" s="2174">
        <v>4954</v>
      </c>
      <c r="E34" s="2174">
        <v>160</v>
      </c>
      <c r="F34" s="2182" t="s">
        <v>803</v>
      </c>
      <c r="G34" s="2183">
        <v>7.28</v>
      </c>
      <c r="H34" s="2177">
        <v>10.51</v>
      </c>
      <c r="I34" s="2190"/>
    </row>
    <row r="35" spans="1:9" ht="20.100000000000001" hidden="1" customHeight="1" x14ac:dyDescent="0.25">
      <c r="A35" s="2191">
        <v>37135</v>
      </c>
      <c r="B35" s="2173">
        <v>3</v>
      </c>
      <c r="C35" s="2174">
        <v>333</v>
      </c>
      <c r="D35" s="2174">
        <v>4828</v>
      </c>
      <c r="E35" s="2174">
        <v>161</v>
      </c>
      <c r="F35" s="2182" t="s">
        <v>3785</v>
      </c>
      <c r="G35" s="2183">
        <v>7.13</v>
      </c>
      <c r="H35" s="2177">
        <v>10.14</v>
      </c>
      <c r="I35" s="2190"/>
    </row>
    <row r="36" spans="1:9" ht="20.100000000000001" hidden="1" customHeight="1" x14ac:dyDescent="0.25">
      <c r="A36" s="2191">
        <v>37165</v>
      </c>
      <c r="B36" s="2173">
        <v>115</v>
      </c>
      <c r="C36" s="2174">
        <v>615</v>
      </c>
      <c r="D36" s="2174">
        <v>9010</v>
      </c>
      <c r="E36" s="2174">
        <v>291</v>
      </c>
      <c r="F36" s="2182" t="s">
        <v>3786</v>
      </c>
      <c r="G36" s="2183">
        <v>7.12</v>
      </c>
      <c r="H36" s="2177">
        <v>10.36</v>
      </c>
      <c r="I36" s="2190"/>
    </row>
    <row r="37" spans="1:9" ht="20.100000000000001" hidden="1" customHeight="1" x14ac:dyDescent="0.25">
      <c r="A37" s="2191">
        <v>37196</v>
      </c>
      <c r="B37" s="2173">
        <v>50</v>
      </c>
      <c r="C37" s="2174">
        <v>720</v>
      </c>
      <c r="D37" s="2174">
        <v>7487</v>
      </c>
      <c r="E37" s="2174">
        <v>267</v>
      </c>
      <c r="F37" s="2182" t="s">
        <v>2695</v>
      </c>
      <c r="G37" s="2183">
        <v>6.86</v>
      </c>
      <c r="H37" s="2177">
        <v>9.89</v>
      </c>
      <c r="I37" s="2190"/>
    </row>
    <row r="38" spans="1:9" ht="20.100000000000001" hidden="1" customHeight="1" x14ac:dyDescent="0.25">
      <c r="A38" s="2191">
        <v>37226</v>
      </c>
      <c r="B38" s="2173">
        <v>30</v>
      </c>
      <c r="C38" s="2174">
        <v>895</v>
      </c>
      <c r="D38" s="2174">
        <v>9060</v>
      </c>
      <c r="E38" s="2174">
        <v>292</v>
      </c>
      <c r="F38" s="2182" t="s">
        <v>1397</v>
      </c>
      <c r="G38" s="2183">
        <v>6.95</v>
      </c>
      <c r="H38" s="2177">
        <v>10.27</v>
      </c>
      <c r="I38" s="2190"/>
    </row>
    <row r="39" spans="1:9" ht="20.100000000000001" hidden="1" customHeight="1" x14ac:dyDescent="0.25">
      <c r="A39" s="2191">
        <v>37257</v>
      </c>
      <c r="B39" s="2173">
        <v>5</v>
      </c>
      <c r="C39" s="2174">
        <v>310</v>
      </c>
      <c r="D39" s="2174">
        <v>3355</v>
      </c>
      <c r="E39" s="2174">
        <v>116</v>
      </c>
      <c r="F39" s="2182" t="s">
        <v>879</v>
      </c>
      <c r="G39" s="2183">
        <v>6.69</v>
      </c>
      <c r="H39" s="2177">
        <v>10.039999999999999</v>
      </c>
      <c r="I39" s="2190"/>
    </row>
    <row r="40" spans="1:9" ht="20.100000000000001" hidden="1" customHeight="1" x14ac:dyDescent="0.25">
      <c r="A40" s="2191">
        <v>37288</v>
      </c>
      <c r="B40" s="2173">
        <v>10</v>
      </c>
      <c r="C40" s="2174">
        <v>640</v>
      </c>
      <c r="D40" s="2174">
        <v>6100</v>
      </c>
      <c r="E40" s="2174">
        <v>218</v>
      </c>
      <c r="F40" s="2182" t="s">
        <v>3787</v>
      </c>
      <c r="G40" s="2183">
        <v>6.22</v>
      </c>
      <c r="H40" s="2177"/>
      <c r="I40" s="2190"/>
    </row>
    <row r="41" spans="1:9" ht="20.100000000000001" hidden="1" customHeight="1" x14ac:dyDescent="0.25">
      <c r="A41" s="2191">
        <v>37316</v>
      </c>
      <c r="B41" s="2173">
        <v>5</v>
      </c>
      <c r="C41" s="2174">
        <v>418</v>
      </c>
      <c r="D41" s="2174">
        <v>7338</v>
      </c>
      <c r="E41" s="2174">
        <v>237</v>
      </c>
      <c r="F41" s="2182" t="s">
        <v>2434</v>
      </c>
      <c r="G41" s="2183">
        <v>6.63</v>
      </c>
      <c r="H41" s="2177">
        <v>9.9</v>
      </c>
      <c r="I41" s="2190"/>
    </row>
    <row r="42" spans="1:9" ht="20.100000000000001" hidden="1" customHeight="1" x14ac:dyDescent="0.25">
      <c r="A42" s="2191">
        <v>37347</v>
      </c>
      <c r="B42" s="2173">
        <v>70</v>
      </c>
      <c r="C42" s="2174">
        <v>310</v>
      </c>
      <c r="D42" s="2174">
        <v>5516</v>
      </c>
      <c r="E42" s="2174">
        <v>184</v>
      </c>
      <c r="F42" s="2182" t="s">
        <v>2874</v>
      </c>
      <c r="G42" s="2183">
        <v>6.74</v>
      </c>
      <c r="H42" s="2177">
        <v>10.09</v>
      </c>
      <c r="I42" s="2190"/>
    </row>
    <row r="43" spans="1:9" ht="20.100000000000001" hidden="1" customHeight="1" x14ac:dyDescent="0.25">
      <c r="A43" s="2191">
        <v>37377</v>
      </c>
      <c r="B43" s="2173">
        <v>30</v>
      </c>
      <c r="C43" s="2174">
        <v>330</v>
      </c>
      <c r="D43" s="2174">
        <v>4300</v>
      </c>
      <c r="E43" s="2174">
        <v>143</v>
      </c>
      <c r="F43" s="2182" t="s">
        <v>3788</v>
      </c>
      <c r="G43" s="2183">
        <v>6.43</v>
      </c>
      <c r="H43" s="2177">
        <v>10.02</v>
      </c>
      <c r="I43" s="2190"/>
    </row>
    <row r="44" spans="1:9" ht="20.100000000000001" hidden="1" customHeight="1" x14ac:dyDescent="0.25">
      <c r="A44" s="2191">
        <v>37408</v>
      </c>
      <c r="B44" s="2173">
        <v>10</v>
      </c>
      <c r="C44" s="2174">
        <v>390</v>
      </c>
      <c r="D44" s="2174">
        <v>2970</v>
      </c>
      <c r="E44" s="2174">
        <v>149</v>
      </c>
      <c r="F44" s="2182" t="s">
        <v>3789</v>
      </c>
      <c r="G44" s="2183">
        <v>6.5</v>
      </c>
      <c r="H44" s="2177">
        <v>9.92</v>
      </c>
      <c r="I44" s="2190"/>
    </row>
    <row r="45" spans="1:9" ht="20.100000000000001" hidden="1" customHeight="1" x14ac:dyDescent="0.25">
      <c r="A45" s="2191">
        <v>37438</v>
      </c>
      <c r="B45" s="2173">
        <v>10</v>
      </c>
      <c r="C45" s="2174">
        <v>735</v>
      </c>
      <c r="D45" s="2174">
        <v>7661</v>
      </c>
      <c r="E45" s="2174">
        <v>255</v>
      </c>
      <c r="F45" s="2182" t="s">
        <v>3790</v>
      </c>
      <c r="G45" s="2183">
        <v>5.73</v>
      </c>
      <c r="H45" s="2177">
        <v>9.89</v>
      </c>
      <c r="I45" s="2190"/>
    </row>
    <row r="46" spans="1:9" ht="20.100000000000001" hidden="1" customHeight="1" x14ac:dyDescent="0.25">
      <c r="A46" s="2191">
        <v>37469</v>
      </c>
      <c r="B46" s="2173">
        <v>10</v>
      </c>
      <c r="C46" s="2174">
        <v>455</v>
      </c>
      <c r="D46" s="2174">
        <v>8185</v>
      </c>
      <c r="E46" s="2174">
        <v>264</v>
      </c>
      <c r="F46" s="2182" t="s">
        <v>3791</v>
      </c>
      <c r="G46" s="2183">
        <v>7.37</v>
      </c>
      <c r="H46" s="2177">
        <v>9.73</v>
      </c>
    </row>
    <row r="47" spans="1:9" ht="20.100000000000001" hidden="1" customHeight="1" x14ac:dyDescent="0.25">
      <c r="A47" s="2191">
        <v>37500</v>
      </c>
      <c r="B47" s="2173">
        <v>205</v>
      </c>
      <c r="C47" s="2174">
        <v>627</v>
      </c>
      <c r="D47" s="2174">
        <v>9421</v>
      </c>
      <c r="E47" s="2174">
        <v>314</v>
      </c>
      <c r="F47" s="2182" t="s">
        <v>3792</v>
      </c>
      <c r="G47" s="2183">
        <v>7.74</v>
      </c>
      <c r="H47" s="2177">
        <v>9.65</v>
      </c>
    </row>
    <row r="48" spans="1:9" ht="20.100000000000001" hidden="1" customHeight="1" x14ac:dyDescent="0.25">
      <c r="A48" s="2191">
        <v>37530</v>
      </c>
      <c r="B48" s="2173">
        <v>250</v>
      </c>
      <c r="C48" s="2174">
        <v>812</v>
      </c>
      <c r="D48" s="2174">
        <v>17979</v>
      </c>
      <c r="E48" s="2174">
        <v>580</v>
      </c>
      <c r="F48" s="2182" t="s">
        <v>3791</v>
      </c>
      <c r="G48" s="2183">
        <v>7.67</v>
      </c>
      <c r="H48" s="2177">
        <v>10.07</v>
      </c>
    </row>
    <row r="49" spans="1:8" ht="20.100000000000001" hidden="1" customHeight="1" x14ac:dyDescent="0.25">
      <c r="A49" s="2191">
        <v>37561</v>
      </c>
      <c r="B49" s="2173">
        <v>20</v>
      </c>
      <c r="C49" s="2174">
        <v>695</v>
      </c>
      <c r="D49" s="2174">
        <v>6205</v>
      </c>
      <c r="E49" s="2174">
        <v>270</v>
      </c>
      <c r="F49" s="2182" t="s">
        <v>3792</v>
      </c>
      <c r="G49" s="2183">
        <v>7.42</v>
      </c>
      <c r="H49" s="2177">
        <v>9.59</v>
      </c>
    </row>
    <row r="50" spans="1:8" ht="20.100000000000001" hidden="1" customHeight="1" x14ac:dyDescent="0.25">
      <c r="A50" s="2191">
        <v>37591</v>
      </c>
      <c r="B50" s="2173">
        <v>10</v>
      </c>
      <c r="C50" s="2174">
        <v>235</v>
      </c>
      <c r="D50" s="2174">
        <v>2869</v>
      </c>
      <c r="E50" s="2174">
        <v>125</v>
      </c>
      <c r="F50" s="2182" t="s">
        <v>3793</v>
      </c>
      <c r="G50" s="2183">
        <v>4.92</v>
      </c>
      <c r="H50" s="2177">
        <v>9.17</v>
      </c>
    </row>
    <row r="51" spans="1:8" ht="20.100000000000001" hidden="1" customHeight="1" x14ac:dyDescent="0.25">
      <c r="A51" s="2191">
        <v>37622</v>
      </c>
      <c r="B51" s="2173">
        <v>90</v>
      </c>
      <c r="C51" s="2174">
        <v>425</v>
      </c>
      <c r="D51" s="2174">
        <v>4318</v>
      </c>
      <c r="E51" s="2174">
        <v>254</v>
      </c>
      <c r="F51" s="2182" t="s">
        <v>3794</v>
      </c>
      <c r="G51" s="2183">
        <v>3.72</v>
      </c>
      <c r="H51" s="2177">
        <v>9.0399999999999991</v>
      </c>
    </row>
    <row r="52" spans="1:8" ht="20.100000000000001" hidden="1" customHeight="1" x14ac:dyDescent="0.25">
      <c r="A52" s="2191">
        <v>37653</v>
      </c>
      <c r="B52" s="2173">
        <v>15</v>
      </c>
      <c r="C52" s="2174">
        <v>545</v>
      </c>
      <c r="D52" s="2174">
        <v>6869</v>
      </c>
      <c r="E52" s="2174">
        <v>275</v>
      </c>
      <c r="F52" s="2182" t="s">
        <v>707</v>
      </c>
      <c r="G52" s="2183">
        <v>4.75</v>
      </c>
      <c r="H52" s="2177">
        <v>8.59</v>
      </c>
    </row>
    <row r="53" spans="1:8" ht="20.100000000000001" hidden="1" customHeight="1" x14ac:dyDescent="0.25">
      <c r="A53" s="2191">
        <v>37681</v>
      </c>
      <c r="B53" s="2173">
        <v>30</v>
      </c>
      <c r="C53" s="2174">
        <v>200</v>
      </c>
      <c r="D53" s="2174">
        <v>2485</v>
      </c>
      <c r="E53" s="2174">
        <v>124</v>
      </c>
      <c r="F53" s="2182" t="s">
        <v>2294</v>
      </c>
      <c r="G53" s="2183">
        <v>3.64</v>
      </c>
      <c r="H53" s="2177">
        <v>8.5500000000000007</v>
      </c>
    </row>
    <row r="54" spans="1:8" ht="20.100000000000001" hidden="1" customHeight="1" x14ac:dyDescent="0.25">
      <c r="A54" s="2191">
        <v>37712</v>
      </c>
      <c r="B54" s="2173">
        <v>5</v>
      </c>
      <c r="C54" s="2174">
        <v>530</v>
      </c>
      <c r="D54" s="2174">
        <v>4181</v>
      </c>
      <c r="E54" s="2174">
        <v>144</v>
      </c>
      <c r="F54" s="2182" t="s">
        <v>3795</v>
      </c>
      <c r="G54" s="2183">
        <v>3.66</v>
      </c>
      <c r="H54" s="2177">
        <v>8.5073333333333316</v>
      </c>
    </row>
    <row r="55" spans="1:8" ht="20.100000000000001" hidden="1" customHeight="1" x14ac:dyDescent="0.25">
      <c r="A55" s="2191">
        <v>37742</v>
      </c>
      <c r="B55" s="2173">
        <v>10</v>
      </c>
      <c r="C55" s="2174">
        <v>565</v>
      </c>
      <c r="D55" s="2174">
        <v>6318</v>
      </c>
      <c r="E55" s="2174">
        <v>218</v>
      </c>
      <c r="F55" s="2182" t="s">
        <v>3796</v>
      </c>
      <c r="G55" s="2183">
        <v>4.12</v>
      </c>
      <c r="H55" s="2177">
        <v>8.3699999999999992</v>
      </c>
    </row>
    <row r="56" spans="1:8" ht="20.100000000000001" hidden="1" customHeight="1" x14ac:dyDescent="0.25">
      <c r="A56" s="2191">
        <v>37773</v>
      </c>
      <c r="B56" s="2173">
        <v>28</v>
      </c>
      <c r="C56" s="2174">
        <v>275</v>
      </c>
      <c r="D56" s="2174">
        <v>2768</v>
      </c>
      <c r="E56" s="2174">
        <v>115</v>
      </c>
      <c r="F56" s="2182" t="s">
        <v>707</v>
      </c>
      <c r="G56" s="2183">
        <v>4.45</v>
      </c>
      <c r="H56" s="2177">
        <v>8.3699999999999992</v>
      </c>
    </row>
    <row r="57" spans="1:8" ht="20.100000000000001" hidden="1" customHeight="1" x14ac:dyDescent="0.25">
      <c r="A57" s="2191">
        <v>37803</v>
      </c>
      <c r="B57" s="2173">
        <v>20</v>
      </c>
      <c r="C57" s="2174">
        <v>975</v>
      </c>
      <c r="D57" s="2174">
        <v>12795</v>
      </c>
      <c r="E57" s="2174">
        <v>413</v>
      </c>
      <c r="F57" s="2182" t="s">
        <v>3797</v>
      </c>
      <c r="G57" s="2183">
        <v>4.08</v>
      </c>
      <c r="H57" s="2177">
        <v>8.33</v>
      </c>
    </row>
    <row r="58" spans="1:8" ht="20.100000000000001" hidden="1" customHeight="1" x14ac:dyDescent="0.25">
      <c r="A58" s="2191">
        <v>37834</v>
      </c>
      <c r="B58" s="2173">
        <v>110</v>
      </c>
      <c r="C58" s="2174">
        <v>595</v>
      </c>
      <c r="D58" s="2174">
        <v>5646</v>
      </c>
      <c r="E58" s="2174">
        <v>268.85000000000002</v>
      </c>
      <c r="F58" s="2182" t="s">
        <v>3798</v>
      </c>
      <c r="G58" s="2183">
        <v>3.89</v>
      </c>
      <c r="H58" s="2177">
        <v>8.42</v>
      </c>
    </row>
    <row r="59" spans="1:8" ht="20.100000000000001" hidden="1" customHeight="1" x14ac:dyDescent="0.25">
      <c r="A59" s="2191">
        <v>37865</v>
      </c>
      <c r="B59" s="2173">
        <v>20</v>
      </c>
      <c r="C59" s="2174">
        <v>130</v>
      </c>
      <c r="D59" s="2174">
        <v>668</v>
      </c>
      <c r="E59" s="2174">
        <v>67</v>
      </c>
      <c r="F59" s="2182" t="s">
        <v>432</v>
      </c>
      <c r="G59" s="2183">
        <v>2.78</v>
      </c>
      <c r="H59" s="2177">
        <v>8.2799999999999994</v>
      </c>
    </row>
    <row r="60" spans="1:8" ht="20.100000000000001" hidden="1" customHeight="1" x14ac:dyDescent="0.25">
      <c r="A60" s="2191">
        <v>37895</v>
      </c>
      <c r="B60" s="2173">
        <v>10</v>
      </c>
      <c r="C60" s="2174">
        <v>552</v>
      </c>
      <c r="D60" s="2174">
        <v>3155</v>
      </c>
      <c r="E60" s="2174">
        <v>186</v>
      </c>
      <c r="F60" s="2182" t="s">
        <v>1607</v>
      </c>
      <c r="G60" s="2183">
        <v>1.96</v>
      </c>
      <c r="H60" s="2177">
        <v>7.83</v>
      </c>
    </row>
    <row r="61" spans="1:8" ht="20.100000000000001" hidden="1" customHeight="1" x14ac:dyDescent="0.25">
      <c r="A61" s="2191">
        <v>37926</v>
      </c>
      <c r="B61" s="2173">
        <v>10</v>
      </c>
      <c r="C61" s="2174">
        <v>431</v>
      </c>
      <c r="D61" s="2174">
        <v>2211</v>
      </c>
      <c r="E61" s="2174">
        <v>130</v>
      </c>
      <c r="F61" s="2182" t="s">
        <v>3799</v>
      </c>
      <c r="G61" s="2183">
        <v>1.26</v>
      </c>
      <c r="H61" s="2177">
        <v>7.806</v>
      </c>
    </row>
    <row r="62" spans="1:8" ht="20.100000000000001" hidden="1" customHeight="1" x14ac:dyDescent="0.25">
      <c r="A62" s="2191">
        <v>37956</v>
      </c>
      <c r="B62" s="2173">
        <v>50</v>
      </c>
      <c r="C62" s="2174">
        <v>695</v>
      </c>
      <c r="D62" s="2174">
        <v>5392</v>
      </c>
      <c r="E62" s="2174">
        <v>174</v>
      </c>
      <c r="F62" s="2182" t="s">
        <v>2490</v>
      </c>
      <c r="G62" s="2183">
        <v>1.4</v>
      </c>
      <c r="H62" s="2177">
        <v>7.35</v>
      </c>
    </row>
    <row r="63" spans="1:8" ht="20.100000000000001" hidden="1" customHeight="1" x14ac:dyDescent="0.25">
      <c r="A63" s="2191">
        <v>37987</v>
      </c>
      <c r="B63" s="2173">
        <v>1</v>
      </c>
      <c r="C63" s="2174">
        <v>695</v>
      </c>
      <c r="D63" s="2174">
        <v>5670</v>
      </c>
      <c r="E63" s="2174">
        <v>247</v>
      </c>
      <c r="F63" s="2182" t="s">
        <v>2490</v>
      </c>
      <c r="G63" s="2183">
        <v>1.27</v>
      </c>
      <c r="H63" s="2177">
        <v>7.1</v>
      </c>
    </row>
    <row r="64" spans="1:8" ht="20.100000000000001" hidden="1" customHeight="1" x14ac:dyDescent="0.25">
      <c r="A64" s="2191">
        <v>38018</v>
      </c>
      <c r="B64" s="2173">
        <v>15</v>
      </c>
      <c r="C64" s="2174">
        <v>875</v>
      </c>
      <c r="D64" s="2174">
        <v>6570</v>
      </c>
      <c r="E64" s="2174">
        <v>365</v>
      </c>
      <c r="F64" s="2182" t="s">
        <v>2208</v>
      </c>
      <c r="G64" s="2183">
        <v>1.45</v>
      </c>
      <c r="H64" s="2177">
        <v>6.3</v>
      </c>
    </row>
    <row r="65" spans="1:8" ht="20.100000000000001" hidden="1" customHeight="1" x14ac:dyDescent="0.25">
      <c r="A65" s="2191">
        <v>38047</v>
      </c>
      <c r="B65" s="2173">
        <v>25</v>
      </c>
      <c r="C65" s="2174">
        <v>190</v>
      </c>
      <c r="D65" s="2174">
        <v>2405</v>
      </c>
      <c r="E65" s="2174">
        <v>93</v>
      </c>
      <c r="F65" s="2182" t="s">
        <v>3800</v>
      </c>
      <c r="G65" s="2183">
        <v>1</v>
      </c>
      <c r="H65" s="2177">
        <v>5.31</v>
      </c>
    </row>
    <row r="66" spans="1:8" ht="20.100000000000001" hidden="1" customHeight="1" x14ac:dyDescent="0.25">
      <c r="A66" s="2191">
        <v>38078</v>
      </c>
      <c r="B66" s="2173">
        <v>10</v>
      </c>
      <c r="C66" s="2174">
        <v>695</v>
      </c>
      <c r="D66" s="2174">
        <v>4911</v>
      </c>
      <c r="E66" s="2174">
        <v>163.69999999999999</v>
      </c>
      <c r="F66" s="2182" t="s">
        <v>3801</v>
      </c>
      <c r="G66" s="2183">
        <v>1.0026999999999999</v>
      </c>
      <c r="H66" s="2177">
        <v>4.25</v>
      </c>
    </row>
    <row r="67" spans="1:8" ht="20.100000000000001" hidden="1" customHeight="1" x14ac:dyDescent="0.25">
      <c r="A67" s="2191">
        <v>38108</v>
      </c>
      <c r="B67" s="2173">
        <v>10</v>
      </c>
      <c r="C67" s="2174">
        <v>350</v>
      </c>
      <c r="D67" s="2174">
        <v>2915</v>
      </c>
      <c r="E67" s="2174">
        <v>101</v>
      </c>
      <c r="F67" s="2182">
        <v>1</v>
      </c>
      <c r="G67" s="2183">
        <v>1</v>
      </c>
      <c r="H67" s="2177">
        <v>3.43</v>
      </c>
    </row>
    <row r="68" spans="1:8" ht="20.100000000000001" hidden="1" customHeight="1" x14ac:dyDescent="0.25">
      <c r="A68" s="2191">
        <v>38139</v>
      </c>
      <c r="B68" s="2173">
        <v>40</v>
      </c>
      <c r="C68" s="2174">
        <v>1100</v>
      </c>
      <c r="D68" s="2174">
        <v>7232</v>
      </c>
      <c r="E68" s="2174">
        <v>241.1</v>
      </c>
      <c r="F68" s="2182" t="s">
        <v>3802</v>
      </c>
      <c r="G68" s="2183">
        <v>1.02</v>
      </c>
      <c r="H68" s="2177">
        <v>4.55</v>
      </c>
    </row>
    <row r="69" spans="1:8" ht="20.100000000000001" hidden="1" customHeight="1" x14ac:dyDescent="0.25">
      <c r="A69" s="2191">
        <v>38169</v>
      </c>
      <c r="B69" s="2173">
        <v>40</v>
      </c>
      <c r="C69" s="2174">
        <v>375</v>
      </c>
      <c r="D69" s="2174">
        <v>5978</v>
      </c>
      <c r="E69" s="2174">
        <v>193</v>
      </c>
      <c r="F69" s="2182" t="s">
        <v>536</v>
      </c>
      <c r="G69" s="2183">
        <v>1.07</v>
      </c>
      <c r="H69" s="2177">
        <v>5.03</v>
      </c>
    </row>
    <row r="70" spans="1:8" ht="20.100000000000001" hidden="1" customHeight="1" x14ac:dyDescent="0.25">
      <c r="A70" s="2191">
        <v>38200</v>
      </c>
      <c r="B70" s="2173">
        <v>20</v>
      </c>
      <c r="C70" s="2174">
        <v>870</v>
      </c>
      <c r="D70" s="2174">
        <v>11835</v>
      </c>
      <c r="E70" s="2174">
        <v>438.3</v>
      </c>
      <c r="F70" s="2182" t="s">
        <v>3803</v>
      </c>
      <c r="G70" s="2183">
        <v>1</v>
      </c>
      <c r="H70" s="2177">
        <v>5.26</v>
      </c>
    </row>
    <row r="71" spans="1:8" ht="20.100000000000001" hidden="1" customHeight="1" x14ac:dyDescent="0.25">
      <c r="A71" s="2191">
        <v>38231</v>
      </c>
      <c r="B71" s="2173">
        <v>200</v>
      </c>
      <c r="C71" s="2174">
        <v>1170</v>
      </c>
      <c r="D71" s="2174">
        <v>11979</v>
      </c>
      <c r="E71" s="2174">
        <v>444</v>
      </c>
      <c r="F71" s="2182" t="s">
        <v>3804</v>
      </c>
      <c r="G71" s="2183">
        <v>1</v>
      </c>
      <c r="H71" s="2177">
        <v>5.38</v>
      </c>
    </row>
    <row r="72" spans="1:8" ht="20.100000000000001" hidden="1" customHeight="1" x14ac:dyDescent="0.25">
      <c r="A72" s="2191">
        <v>38261</v>
      </c>
      <c r="B72" s="2173">
        <v>220</v>
      </c>
      <c r="C72" s="2174">
        <v>1090</v>
      </c>
      <c r="D72" s="2174">
        <v>19154</v>
      </c>
      <c r="E72" s="2174">
        <v>617.87</v>
      </c>
      <c r="F72" s="2182" t="s">
        <v>2490</v>
      </c>
      <c r="G72" s="2183">
        <v>1.35</v>
      </c>
      <c r="H72" s="2177">
        <v>5.3606451612903223</v>
      </c>
    </row>
    <row r="73" spans="1:8" ht="20.100000000000001" hidden="1" customHeight="1" x14ac:dyDescent="0.25">
      <c r="A73" s="2191">
        <v>38292</v>
      </c>
      <c r="B73" s="2173">
        <v>8</v>
      </c>
      <c r="C73" s="2174">
        <v>715</v>
      </c>
      <c r="D73" s="2174">
        <v>4458</v>
      </c>
      <c r="E73" s="2174">
        <v>186</v>
      </c>
      <c r="F73" s="2182" t="s">
        <v>3805</v>
      </c>
      <c r="G73" s="2183">
        <v>3.51</v>
      </c>
      <c r="H73" s="2177">
        <v>5.64</v>
      </c>
    </row>
    <row r="74" spans="1:8" ht="20.100000000000001" hidden="1" customHeight="1" x14ac:dyDescent="0.25">
      <c r="A74" s="2191">
        <v>38322</v>
      </c>
      <c r="B74" s="2173">
        <v>30</v>
      </c>
      <c r="C74" s="2174">
        <v>860</v>
      </c>
      <c r="D74" s="2174">
        <v>10355</v>
      </c>
      <c r="E74" s="2174">
        <v>334.03</v>
      </c>
      <c r="F74" s="2182" t="s">
        <v>3805</v>
      </c>
      <c r="G74" s="2183">
        <v>1.69</v>
      </c>
      <c r="H74" s="2177">
        <v>5.6</v>
      </c>
    </row>
    <row r="75" spans="1:8" ht="20.100000000000001" hidden="1" customHeight="1" x14ac:dyDescent="0.25">
      <c r="A75" s="2191">
        <v>38353</v>
      </c>
      <c r="B75" s="2173">
        <v>15</v>
      </c>
      <c r="C75" s="2174">
        <v>553</v>
      </c>
      <c r="D75" s="2174">
        <v>7391</v>
      </c>
      <c r="E75" s="2174">
        <v>238.4</v>
      </c>
      <c r="F75" s="2182" t="s">
        <v>3806</v>
      </c>
      <c r="G75" s="2183">
        <v>1.67</v>
      </c>
      <c r="H75" s="2177">
        <v>5.5</v>
      </c>
    </row>
    <row r="76" spans="1:8" ht="20.100000000000001" hidden="1" customHeight="1" x14ac:dyDescent="0.25">
      <c r="A76" s="2191">
        <v>38384</v>
      </c>
      <c r="B76" s="2173">
        <v>135</v>
      </c>
      <c r="C76" s="2174">
        <v>915</v>
      </c>
      <c r="D76" s="2174">
        <v>11798.5</v>
      </c>
      <c r="E76" s="2174">
        <v>437</v>
      </c>
      <c r="F76" s="2182" t="s">
        <v>3807</v>
      </c>
      <c r="G76" s="2183">
        <v>2.08</v>
      </c>
      <c r="H76" s="2177">
        <v>5.7</v>
      </c>
    </row>
    <row r="77" spans="1:8" ht="20.100000000000001" hidden="1" customHeight="1" x14ac:dyDescent="0.25">
      <c r="A77" s="2191">
        <v>38412</v>
      </c>
      <c r="B77" s="2173">
        <v>93</v>
      </c>
      <c r="C77" s="2174">
        <v>468</v>
      </c>
      <c r="D77" s="2174">
        <v>7692</v>
      </c>
      <c r="E77" s="2174">
        <v>248</v>
      </c>
      <c r="F77" s="2193" t="s">
        <v>3808</v>
      </c>
      <c r="G77" s="2183">
        <v>1.89</v>
      </c>
      <c r="H77" s="2177">
        <v>6.14</v>
      </c>
    </row>
    <row r="78" spans="1:8" ht="20.100000000000001" hidden="1" customHeight="1" x14ac:dyDescent="0.25">
      <c r="A78" s="2191">
        <v>38443</v>
      </c>
      <c r="B78" s="2173">
        <v>5</v>
      </c>
      <c r="C78" s="2174">
        <v>665</v>
      </c>
      <c r="D78" s="2174">
        <v>6352</v>
      </c>
      <c r="E78" s="2174">
        <v>244.3</v>
      </c>
      <c r="F78" s="2193" t="s">
        <v>3809</v>
      </c>
      <c r="G78" s="2183">
        <v>1.49</v>
      </c>
      <c r="H78" s="2177">
        <v>6.01</v>
      </c>
    </row>
    <row r="79" spans="1:8" ht="20.100000000000001" hidden="1" customHeight="1" x14ac:dyDescent="0.25">
      <c r="A79" s="2191">
        <v>38473</v>
      </c>
      <c r="B79" s="2173">
        <v>80</v>
      </c>
      <c r="C79" s="2174">
        <v>545</v>
      </c>
      <c r="D79" s="2174">
        <v>6923</v>
      </c>
      <c r="E79" s="2174">
        <v>223.3</v>
      </c>
      <c r="F79" s="2182" t="s">
        <v>3799</v>
      </c>
      <c r="G79" s="2183">
        <v>1.43</v>
      </c>
      <c r="H79" s="2177">
        <v>6.01</v>
      </c>
    </row>
    <row r="80" spans="1:8" ht="20.100000000000001" hidden="1" customHeight="1" x14ac:dyDescent="0.25">
      <c r="A80" s="2191">
        <v>38504</v>
      </c>
      <c r="B80" s="2173">
        <v>10</v>
      </c>
      <c r="C80" s="2174">
        <v>465</v>
      </c>
      <c r="D80" s="2174">
        <v>5208</v>
      </c>
      <c r="E80" s="2174">
        <v>179.6</v>
      </c>
      <c r="F80" s="2182" t="s">
        <v>433</v>
      </c>
      <c r="G80" s="2183">
        <v>1.62</v>
      </c>
      <c r="H80" s="2177">
        <v>5.98</v>
      </c>
    </row>
    <row r="81" spans="1:15" ht="20.100000000000001" hidden="1" customHeight="1" x14ac:dyDescent="0.25">
      <c r="A81" s="2191">
        <v>38534</v>
      </c>
      <c r="B81" s="2173">
        <v>35</v>
      </c>
      <c r="C81" s="2174">
        <v>1080</v>
      </c>
      <c r="D81" s="2174">
        <v>9733</v>
      </c>
      <c r="E81" s="2174">
        <v>361</v>
      </c>
      <c r="F81" s="2182" t="s">
        <v>3810</v>
      </c>
      <c r="G81" s="2183">
        <v>1.74</v>
      </c>
      <c r="H81" s="2177">
        <v>5.94</v>
      </c>
    </row>
    <row r="82" spans="1:15" ht="20.100000000000001" hidden="1" customHeight="1" x14ac:dyDescent="0.25">
      <c r="A82" s="2191">
        <v>38565</v>
      </c>
      <c r="B82" s="2173">
        <v>45</v>
      </c>
      <c r="C82" s="2174">
        <v>635</v>
      </c>
      <c r="D82" s="2174">
        <v>8734</v>
      </c>
      <c r="E82" s="2174">
        <v>281.7</v>
      </c>
      <c r="F82" s="2182" t="s">
        <v>3811</v>
      </c>
      <c r="G82" s="2183">
        <v>4.9000000000000004</v>
      </c>
      <c r="H82" s="2177">
        <v>6.22</v>
      </c>
    </row>
    <row r="83" spans="1:15" ht="20.100000000000001" hidden="1" customHeight="1" x14ac:dyDescent="0.25">
      <c r="A83" s="2191">
        <v>38596</v>
      </c>
      <c r="B83" s="2173">
        <v>20</v>
      </c>
      <c r="C83" s="2174">
        <v>525</v>
      </c>
      <c r="D83" s="2174">
        <v>5817</v>
      </c>
      <c r="E83" s="2174">
        <v>232.7</v>
      </c>
      <c r="F83" s="2182" t="s">
        <v>648</v>
      </c>
      <c r="G83" s="2183">
        <v>2.98</v>
      </c>
      <c r="H83" s="2177">
        <v>6.4</v>
      </c>
    </row>
    <row r="84" spans="1:15" ht="20.100000000000001" hidden="1" customHeight="1" x14ac:dyDescent="0.25">
      <c r="A84" s="2191">
        <v>38626</v>
      </c>
      <c r="B84" s="2173">
        <v>140</v>
      </c>
      <c r="C84" s="2174">
        <v>965</v>
      </c>
      <c r="D84" s="2174">
        <v>14032</v>
      </c>
      <c r="E84" s="2174">
        <v>452.6</v>
      </c>
      <c r="F84" s="2182" t="s">
        <v>437</v>
      </c>
      <c r="G84" s="2183">
        <v>2.82</v>
      </c>
      <c r="H84" s="2177">
        <v>6.38</v>
      </c>
      <c r="K84" s="2194"/>
    </row>
    <row r="85" spans="1:15" ht="20.100000000000001" hidden="1" customHeight="1" x14ac:dyDescent="0.25">
      <c r="A85" s="2191">
        <v>38657</v>
      </c>
      <c r="B85" s="2173">
        <v>100</v>
      </c>
      <c r="C85" s="2174">
        <v>690</v>
      </c>
      <c r="D85" s="2174">
        <v>6927</v>
      </c>
      <c r="E85" s="2174">
        <v>238.9</v>
      </c>
      <c r="F85" s="2182" t="s">
        <v>437</v>
      </c>
      <c r="G85" s="2183">
        <v>2.89</v>
      </c>
      <c r="H85" s="2177">
        <v>6.42</v>
      </c>
    </row>
    <row r="86" spans="1:15" ht="20.100000000000001" hidden="1" customHeight="1" x14ac:dyDescent="0.25">
      <c r="A86" s="2191">
        <v>38687</v>
      </c>
      <c r="B86" s="2173">
        <v>40</v>
      </c>
      <c r="C86" s="2174">
        <v>1175</v>
      </c>
      <c r="D86" s="2174">
        <v>10982</v>
      </c>
      <c r="E86" s="2174">
        <v>366.1</v>
      </c>
      <c r="F86" s="2182" t="s">
        <v>484</v>
      </c>
      <c r="G86" s="2183">
        <v>3.87</v>
      </c>
      <c r="H86" s="2177">
        <v>7.16</v>
      </c>
    </row>
    <row r="87" spans="1:15" ht="20.100000000000001" hidden="1" customHeight="1" x14ac:dyDescent="0.25">
      <c r="A87" s="2191">
        <v>38718</v>
      </c>
      <c r="B87" s="2173">
        <v>40</v>
      </c>
      <c r="C87" s="2174">
        <v>1175</v>
      </c>
      <c r="D87" s="2174">
        <v>11848</v>
      </c>
      <c r="E87" s="2174">
        <v>382.19</v>
      </c>
      <c r="F87" s="2182" t="s">
        <v>3812</v>
      </c>
      <c r="G87" s="2183">
        <v>5.68</v>
      </c>
      <c r="H87" s="2177">
        <v>7.53</v>
      </c>
    </row>
    <row r="88" spans="1:15" ht="20.100000000000001" hidden="1" customHeight="1" x14ac:dyDescent="0.25">
      <c r="A88" s="2191">
        <v>38749</v>
      </c>
      <c r="B88" s="2173">
        <v>30</v>
      </c>
      <c r="C88" s="2174">
        <v>725</v>
      </c>
      <c r="D88" s="2174">
        <v>5512</v>
      </c>
      <c r="E88" s="2174">
        <v>220</v>
      </c>
      <c r="F88" s="2182" t="s">
        <v>1559</v>
      </c>
      <c r="G88" s="2183">
        <v>3.87</v>
      </c>
      <c r="H88" s="2177">
        <v>7.44</v>
      </c>
    </row>
    <row r="89" spans="1:15" ht="20.100000000000001" hidden="1" customHeight="1" x14ac:dyDescent="0.25">
      <c r="A89" s="2191">
        <v>38777</v>
      </c>
      <c r="B89" s="2173">
        <v>19</v>
      </c>
      <c r="C89" s="2174">
        <v>280</v>
      </c>
      <c r="D89" s="2174">
        <v>2453</v>
      </c>
      <c r="E89" s="2174">
        <v>82</v>
      </c>
      <c r="F89" s="2182" t="s">
        <v>1559</v>
      </c>
      <c r="G89" s="2183">
        <v>3.83</v>
      </c>
      <c r="H89" s="2177">
        <v>7.52</v>
      </c>
    </row>
    <row r="90" spans="1:15" ht="20.100000000000001" hidden="1" customHeight="1" x14ac:dyDescent="0.25">
      <c r="A90" s="2191">
        <v>38808</v>
      </c>
      <c r="B90" s="2173">
        <v>44</v>
      </c>
      <c r="C90" s="2174">
        <v>630</v>
      </c>
      <c r="D90" s="2174">
        <v>10167</v>
      </c>
      <c r="E90" s="2174">
        <v>363.1</v>
      </c>
      <c r="F90" s="2182" t="s">
        <v>3813</v>
      </c>
      <c r="G90" s="2183">
        <v>3.88</v>
      </c>
      <c r="H90" s="2177">
        <v>7.51</v>
      </c>
      <c r="L90" s="2155"/>
      <c r="N90" s="2155"/>
      <c r="O90" s="2180"/>
    </row>
    <row r="91" spans="1:15" ht="20.100000000000001" hidden="1" customHeight="1" x14ac:dyDescent="0.25">
      <c r="A91" s="2191">
        <v>38838</v>
      </c>
      <c r="B91" s="2173">
        <v>15</v>
      </c>
      <c r="C91" s="2174">
        <v>1050</v>
      </c>
      <c r="D91" s="2174">
        <v>10439</v>
      </c>
      <c r="E91" s="2174">
        <v>336.7</v>
      </c>
      <c r="F91" s="2182" t="s">
        <v>2473</v>
      </c>
      <c r="G91" s="2183">
        <v>3.52</v>
      </c>
      <c r="H91" s="2177">
        <v>7.47</v>
      </c>
    </row>
    <row r="92" spans="1:15" ht="20.100000000000001" hidden="1" customHeight="1" x14ac:dyDescent="0.25">
      <c r="A92" s="2191">
        <v>38869</v>
      </c>
      <c r="B92" s="2173">
        <v>6</v>
      </c>
      <c r="C92" s="2174">
        <v>625</v>
      </c>
      <c r="D92" s="2174">
        <v>4852</v>
      </c>
      <c r="E92" s="2174">
        <v>194.08</v>
      </c>
      <c r="F92" s="2182" t="s">
        <v>1683</v>
      </c>
      <c r="G92" s="2183">
        <v>3.54</v>
      </c>
      <c r="H92" s="2177">
        <v>7.34</v>
      </c>
    </row>
    <row r="93" spans="1:15" ht="20.100000000000001" hidden="1" customHeight="1" x14ac:dyDescent="0.25">
      <c r="A93" s="2191">
        <v>38899</v>
      </c>
      <c r="B93" s="2173">
        <v>25</v>
      </c>
      <c r="C93" s="2174">
        <v>718.5</v>
      </c>
      <c r="D93" s="2174">
        <v>6063.5</v>
      </c>
      <c r="E93" s="2174">
        <v>209.09</v>
      </c>
      <c r="F93" s="2182" t="s">
        <v>1683</v>
      </c>
      <c r="G93" s="2183">
        <v>3.65</v>
      </c>
      <c r="H93" s="2177">
        <v>7.34</v>
      </c>
    </row>
    <row r="94" spans="1:15" ht="20.100000000000001" hidden="1" customHeight="1" x14ac:dyDescent="0.25">
      <c r="A94" s="2191">
        <v>38930</v>
      </c>
      <c r="B94" s="2173">
        <v>205</v>
      </c>
      <c r="C94" s="2174">
        <v>1651</v>
      </c>
      <c r="D94" s="2174">
        <v>15286</v>
      </c>
      <c r="E94" s="2174">
        <v>493.09699999999998</v>
      </c>
      <c r="F94" s="2182" t="s">
        <v>3814</v>
      </c>
      <c r="G94" s="2183">
        <v>5.15</v>
      </c>
      <c r="H94" s="2177">
        <v>7.26</v>
      </c>
    </row>
    <row r="95" spans="1:15" ht="20.100000000000001" hidden="1" customHeight="1" x14ac:dyDescent="0.25">
      <c r="A95" s="2191">
        <v>38961</v>
      </c>
      <c r="B95" s="2173">
        <v>40</v>
      </c>
      <c r="C95" s="2174">
        <v>1075</v>
      </c>
      <c r="D95" s="2174">
        <v>14115</v>
      </c>
      <c r="E95" s="2174">
        <v>470</v>
      </c>
      <c r="F95" s="2182" t="s">
        <v>669</v>
      </c>
      <c r="G95" s="2183">
        <v>8.0399999999999991</v>
      </c>
      <c r="H95" s="2177">
        <v>8.7899999999999991</v>
      </c>
    </row>
    <row r="96" spans="1:15" ht="20.100000000000001" hidden="1" customHeight="1" x14ac:dyDescent="0.25">
      <c r="A96" s="2191">
        <v>38991</v>
      </c>
      <c r="B96" s="2195">
        <v>450</v>
      </c>
      <c r="C96" s="2174">
        <v>1290</v>
      </c>
      <c r="D96" s="2174">
        <v>24863</v>
      </c>
      <c r="E96" s="2196">
        <v>802</v>
      </c>
      <c r="F96" s="2196" t="s">
        <v>3815</v>
      </c>
      <c r="G96" s="2197">
        <v>10.83</v>
      </c>
      <c r="H96" s="2198">
        <v>10.17</v>
      </c>
    </row>
    <row r="97" spans="1:11" ht="20.100000000000001" hidden="1" customHeight="1" x14ac:dyDescent="0.25">
      <c r="A97" s="2191">
        <v>39022</v>
      </c>
      <c r="B97" s="2173">
        <v>197</v>
      </c>
      <c r="C97" s="2174">
        <v>1005</v>
      </c>
      <c r="D97" s="2174">
        <v>17569.5</v>
      </c>
      <c r="E97" s="2174">
        <v>585.65</v>
      </c>
      <c r="F97" s="2182" t="s">
        <v>2215</v>
      </c>
      <c r="G97" s="2183">
        <v>8.98</v>
      </c>
      <c r="H97" s="2177">
        <v>10.66</v>
      </c>
    </row>
    <row r="98" spans="1:11" ht="20.100000000000001" hidden="1" customHeight="1" x14ac:dyDescent="0.25">
      <c r="A98" s="2191">
        <v>39052</v>
      </c>
      <c r="B98" s="2173">
        <v>10</v>
      </c>
      <c r="C98" s="2174">
        <v>595</v>
      </c>
      <c r="D98" s="2174">
        <v>6183.5</v>
      </c>
      <c r="E98" s="2174">
        <v>237.8</v>
      </c>
      <c r="F98" s="2182" t="s">
        <v>3816</v>
      </c>
      <c r="G98" s="2183">
        <v>8.86</v>
      </c>
      <c r="H98" s="2177">
        <v>11.84</v>
      </c>
    </row>
    <row r="99" spans="1:11" ht="20.100000000000001" hidden="1" customHeight="1" x14ac:dyDescent="0.25">
      <c r="A99" s="2191">
        <v>39083</v>
      </c>
      <c r="B99" s="2173">
        <v>100</v>
      </c>
      <c r="C99" s="2174">
        <v>918</v>
      </c>
      <c r="D99" s="2174">
        <v>13445</v>
      </c>
      <c r="E99" s="2174">
        <v>433.7</v>
      </c>
      <c r="F99" s="2182" t="s">
        <v>1545</v>
      </c>
      <c r="G99" s="2183">
        <v>8.5500000000000007</v>
      </c>
      <c r="H99" s="2177">
        <v>12.99</v>
      </c>
    </row>
    <row r="100" spans="1:11" ht="20.100000000000001" hidden="1" customHeight="1" x14ac:dyDescent="0.25">
      <c r="A100" s="2191">
        <v>39114</v>
      </c>
      <c r="B100" s="2173">
        <v>113.5</v>
      </c>
      <c r="C100" s="2174">
        <v>730</v>
      </c>
      <c r="D100" s="2174">
        <v>8733</v>
      </c>
      <c r="E100" s="2174">
        <v>311.89999999999998</v>
      </c>
      <c r="F100" s="2182" t="s">
        <v>3817</v>
      </c>
      <c r="G100" s="2183">
        <v>9.0399999999999991</v>
      </c>
      <c r="H100" s="2177">
        <v>13.25</v>
      </c>
    </row>
    <row r="101" spans="1:11" ht="20.100000000000001" hidden="1" customHeight="1" x14ac:dyDescent="0.25">
      <c r="A101" s="2191">
        <v>39142</v>
      </c>
      <c r="B101" s="2195">
        <v>26</v>
      </c>
      <c r="C101" s="2174">
        <v>1094</v>
      </c>
      <c r="D101" s="2174">
        <v>8516</v>
      </c>
      <c r="E101" s="2196">
        <v>284</v>
      </c>
      <c r="F101" s="2196" t="s">
        <v>759</v>
      </c>
      <c r="G101" s="2197">
        <v>8.31</v>
      </c>
      <c r="H101" s="2198">
        <v>12.11</v>
      </c>
      <c r="J101" s="2199"/>
      <c r="K101" s="2179"/>
    </row>
    <row r="102" spans="1:11" ht="20.100000000000001" hidden="1" customHeight="1" x14ac:dyDescent="0.25">
      <c r="A102" s="2191">
        <v>39173</v>
      </c>
      <c r="B102" s="2173">
        <v>18</v>
      </c>
      <c r="C102" s="2174">
        <v>730</v>
      </c>
      <c r="D102" s="2174">
        <v>6819.5</v>
      </c>
      <c r="E102" s="2174">
        <v>227.3</v>
      </c>
      <c r="F102" s="2182" t="s">
        <v>3818</v>
      </c>
      <c r="G102" s="2183">
        <v>8.1</v>
      </c>
      <c r="H102" s="2177">
        <v>11.47</v>
      </c>
      <c r="J102" s="2199"/>
      <c r="K102" s="2179"/>
    </row>
    <row r="103" spans="1:11" ht="20.100000000000001" hidden="1" customHeight="1" x14ac:dyDescent="0.25">
      <c r="A103" s="2191">
        <v>39203</v>
      </c>
      <c r="B103" s="2173">
        <v>30</v>
      </c>
      <c r="C103" s="2174">
        <v>1095</v>
      </c>
      <c r="D103" s="2174">
        <v>11416.5</v>
      </c>
      <c r="E103" s="2174">
        <v>368</v>
      </c>
      <c r="F103" s="2182" t="s">
        <v>759</v>
      </c>
      <c r="G103" s="2183">
        <v>8.3699999999999992</v>
      </c>
      <c r="H103" s="2177">
        <v>11.67</v>
      </c>
      <c r="J103" s="2199"/>
      <c r="K103" s="2179"/>
    </row>
    <row r="104" spans="1:11" ht="20.100000000000001" hidden="1" customHeight="1" x14ac:dyDescent="0.25">
      <c r="A104" s="2191">
        <v>39240</v>
      </c>
      <c r="B104" s="2173">
        <v>35</v>
      </c>
      <c r="C104" s="2174">
        <v>520</v>
      </c>
      <c r="D104" s="2174">
        <v>7316</v>
      </c>
      <c r="E104" s="2174">
        <v>252.3</v>
      </c>
      <c r="F104" s="2182" t="s">
        <v>3819</v>
      </c>
      <c r="G104" s="2183">
        <v>8.31</v>
      </c>
      <c r="H104" s="2177">
        <v>11.08</v>
      </c>
      <c r="J104" s="2199"/>
      <c r="K104" s="2179"/>
    </row>
    <row r="105" spans="1:11" ht="20.100000000000001" hidden="1" customHeight="1" x14ac:dyDescent="0.25">
      <c r="A105" s="2191">
        <v>39270</v>
      </c>
      <c r="B105" s="2173">
        <v>35</v>
      </c>
      <c r="C105" s="2174">
        <v>1300</v>
      </c>
      <c r="D105" s="2174">
        <v>11424</v>
      </c>
      <c r="E105" s="2174">
        <v>369</v>
      </c>
      <c r="F105" s="2182" t="s">
        <v>3820</v>
      </c>
      <c r="G105" s="2183">
        <v>8.77</v>
      </c>
      <c r="H105" s="2177">
        <v>11.23</v>
      </c>
      <c r="J105" s="2199"/>
      <c r="K105" s="2179"/>
    </row>
    <row r="106" spans="1:11" ht="20.100000000000001" hidden="1" customHeight="1" x14ac:dyDescent="0.25">
      <c r="A106" s="2191">
        <v>39301</v>
      </c>
      <c r="B106" s="2173">
        <v>102</v>
      </c>
      <c r="C106" s="2174">
        <v>1355</v>
      </c>
      <c r="D106" s="2174">
        <v>14748</v>
      </c>
      <c r="E106" s="2174">
        <v>508.6</v>
      </c>
      <c r="F106" s="2182" t="s">
        <v>3821</v>
      </c>
      <c r="G106" s="2183">
        <v>8.77</v>
      </c>
      <c r="H106" s="2177">
        <v>10.199999999999999</v>
      </c>
    </row>
    <row r="107" spans="1:11" ht="20.100000000000001" hidden="1" customHeight="1" x14ac:dyDescent="0.25">
      <c r="A107" s="2191">
        <v>39332</v>
      </c>
      <c r="B107" s="2173">
        <v>180</v>
      </c>
      <c r="C107" s="2174">
        <v>1355</v>
      </c>
      <c r="D107" s="2174">
        <v>19377</v>
      </c>
      <c r="E107" s="2174">
        <v>645.9</v>
      </c>
      <c r="F107" s="2182" t="s">
        <v>3822</v>
      </c>
      <c r="G107" s="2183">
        <v>8.94</v>
      </c>
      <c r="H107" s="2177">
        <v>9.49</v>
      </c>
    </row>
    <row r="108" spans="1:11" ht="20.100000000000001" hidden="1" customHeight="1" x14ac:dyDescent="0.25">
      <c r="A108" s="2191">
        <v>39362</v>
      </c>
      <c r="B108" s="2173">
        <v>20</v>
      </c>
      <c r="C108" s="2174">
        <v>580</v>
      </c>
      <c r="D108" s="2174">
        <v>5229</v>
      </c>
      <c r="E108" s="2174">
        <v>169</v>
      </c>
      <c r="F108" s="2182" t="s">
        <v>3822</v>
      </c>
      <c r="G108" s="2183">
        <v>9.2200000000000006</v>
      </c>
      <c r="H108" s="2177">
        <v>9.24</v>
      </c>
    </row>
    <row r="109" spans="1:11" ht="20.100000000000001" hidden="1" customHeight="1" x14ac:dyDescent="0.25">
      <c r="A109" s="2191">
        <v>39393</v>
      </c>
      <c r="B109" s="2173">
        <v>15</v>
      </c>
      <c r="C109" s="2174">
        <v>765</v>
      </c>
      <c r="D109" s="2174">
        <v>7274</v>
      </c>
      <c r="E109" s="2174">
        <v>291</v>
      </c>
      <c r="F109" s="2182" t="s">
        <v>3823</v>
      </c>
      <c r="G109" s="2183">
        <v>8.6</v>
      </c>
      <c r="H109" s="2177">
        <v>9.07</v>
      </c>
    </row>
    <row r="110" spans="1:11" ht="20.100000000000001" hidden="1" customHeight="1" x14ac:dyDescent="0.25">
      <c r="A110" s="2191">
        <v>39423</v>
      </c>
      <c r="B110" s="2173">
        <v>50</v>
      </c>
      <c r="C110" s="2174">
        <v>570</v>
      </c>
      <c r="D110" s="2174">
        <v>8113</v>
      </c>
      <c r="E110" s="2174">
        <v>262</v>
      </c>
      <c r="F110" s="2182" t="s">
        <v>3824</v>
      </c>
      <c r="G110" s="2183">
        <v>8.75</v>
      </c>
      <c r="H110" s="2177">
        <v>9.93</v>
      </c>
    </row>
    <row r="111" spans="1:11" ht="20.100000000000001" hidden="1" customHeight="1" x14ac:dyDescent="0.25">
      <c r="A111" s="2191">
        <v>39454</v>
      </c>
      <c r="B111" s="2173">
        <v>100</v>
      </c>
      <c r="C111" s="2174">
        <v>494</v>
      </c>
      <c r="D111" s="2174">
        <v>9109</v>
      </c>
      <c r="E111" s="2174">
        <v>293.8</v>
      </c>
      <c r="F111" s="2182" t="s">
        <v>759</v>
      </c>
      <c r="G111" s="2183">
        <v>8.67</v>
      </c>
      <c r="H111" s="2177">
        <v>9.82</v>
      </c>
    </row>
    <row r="112" spans="1:11" ht="20.100000000000001" hidden="1" customHeight="1" x14ac:dyDescent="0.25">
      <c r="A112" s="2191">
        <v>39485</v>
      </c>
      <c r="B112" s="2173">
        <v>210</v>
      </c>
      <c r="C112" s="2174">
        <v>985</v>
      </c>
      <c r="D112" s="2174">
        <v>19697</v>
      </c>
      <c r="E112" s="2174">
        <v>679.2</v>
      </c>
      <c r="F112" s="2182" t="s">
        <v>3825</v>
      </c>
      <c r="G112" s="2183">
        <v>8.0500000000000007</v>
      </c>
      <c r="H112" s="2177">
        <v>8.6300000000000008</v>
      </c>
    </row>
    <row r="113" spans="1:8" ht="20.100000000000001" hidden="1" customHeight="1" x14ac:dyDescent="0.25">
      <c r="A113" s="2191">
        <v>39514</v>
      </c>
      <c r="B113" s="2173">
        <v>40</v>
      </c>
      <c r="C113" s="2174">
        <v>1270</v>
      </c>
      <c r="D113" s="2174">
        <v>16270</v>
      </c>
      <c r="E113" s="2174">
        <v>524.79999999999995</v>
      </c>
      <c r="F113" s="2182" t="s">
        <v>3826</v>
      </c>
      <c r="G113" s="2183">
        <v>7.48</v>
      </c>
      <c r="H113" s="2177">
        <v>7.6</v>
      </c>
    </row>
    <row r="114" spans="1:8" ht="20.100000000000001" hidden="1" customHeight="1" x14ac:dyDescent="0.25">
      <c r="A114" s="2191">
        <v>39545</v>
      </c>
      <c r="B114" s="2173">
        <v>23</v>
      </c>
      <c r="C114" s="2174">
        <v>673</v>
      </c>
      <c r="D114" s="2174">
        <v>3832</v>
      </c>
      <c r="E114" s="2174">
        <v>128</v>
      </c>
      <c r="F114" s="2182" t="s">
        <v>3827</v>
      </c>
      <c r="G114" s="2183">
        <v>6.84</v>
      </c>
      <c r="H114" s="2177">
        <v>7.49</v>
      </c>
    </row>
    <row r="115" spans="1:8" ht="20.100000000000001" hidden="1" customHeight="1" x14ac:dyDescent="0.25">
      <c r="A115" s="2191">
        <v>39575</v>
      </c>
      <c r="B115" s="2173">
        <v>35</v>
      </c>
      <c r="C115" s="2174">
        <v>750</v>
      </c>
      <c r="D115" s="2174">
        <v>11303</v>
      </c>
      <c r="E115" s="2174">
        <v>364.61</v>
      </c>
      <c r="F115" s="2182" t="s">
        <v>3828</v>
      </c>
      <c r="G115" s="2183">
        <v>6.67</v>
      </c>
      <c r="H115" s="2177">
        <v>7.34</v>
      </c>
    </row>
    <row r="116" spans="1:8" ht="20.100000000000001" hidden="1" customHeight="1" x14ac:dyDescent="0.25">
      <c r="A116" s="2191">
        <v>39606</v>
      </c>
      <c r="B116" s="2173">
        <v>79</v>
      </c>
      <c r="C116" s="2174">
        <v>1014</v>
      </c>
      <c r="D116" s="2174">
        <v>9849</v>
      </c>
      <c r="E116" s="2174">
        <v>328.3</v>
      </c>
      <c r="F116" s="2182" t="s">
        <v>3829</v>
      </c>
      <c r="G116" s="2183">
        <v>6.54</v>
      </c>
      <c r="H116" s="2177">
        <v>7.35</v>
      </c>
    </row>
    <row r="117" spans="1:8" ht="20.100000000000001" hidden="1" customHeight="1" x14ac:dyDescent="0.25">
      <c r="A117" s="2191">
        <v>39636</v>
      </c>
      <c r="B117" s="2173">
        <v>120</v>
      </c>
      <c r="C117" s="2174">
        <v>2085</v>
      </c>
      <c r="D117" s="2174">
        <v>23482</v>
      </c>
      <c r="E117" s="2174">
        <v>757.5</v>
      </c>
      <c r="F117" s="2182" t="s">
        <v>3830</v>
      </c>
      <c r="G117" s="2183">
        <v>6.82</v>
      </c>
      <c r="H117" s="2177">
        <v>7.37</v>
      </c>
    </row>
    <row r="118" spans="1:8" ht="20.100000000000001" hidden="1" customHeight="1" x14ac:dyDescent="0.25">
      <c r="A118" s="2191">
        <v>39667</v>
      </c>
      <c r="B118" s="2173">
        <v>15</v>
      </c>
      <c r="C118" s="2174">
        <v>975</v>
      </c>
      <c r="D118" s="2174">
        <v>10122</v>
      </c>
      <c r="E118" s="2174">
        <v>326.52</v>
      </c>
      <c r="F118" s="2182" t="s">
        <v>1397</v>
      </c>
      <c r="G118" s="2183">
        <v>6.78</v>
      </c>
      <c r="H118" s="2177">
        <v>7.83</v>
      </c>
    </row>
    <row r="119" spans="1:8" ht="20.100000000000001" hidden="1" customHeight="1" x14ac:dyDescent="0.25">
      <c r="A119" s="2191">
        <v>39698</v>
      </c>
      <c r="B119" s="2173">
        <v>650</v>
      </c>
      <c r="C119" s="2174">
        <v>2070</v>
      </c>
      <c r="D119" s="2174">
        <v>39405</v>
      </c>
      <c r="E119" s="2174">
        <v>1313.5</v>
      </c>
      <c r="F119" s="2182" t="s">
        <v>427</v>
      </c>
      <c r="G119" s="2183">
        <v>8.9700000000000006</v>
      </c>
      <c r="H119" s="2177">
        <v>8.6999999999999993</v>
      </c>
    </row>
    <row r="120" spans="1:8" ht="20.100000000000001" hidden="1" customHeight="1" x14ac:dyDescent="0.25">
      <c r="A120" s="2191">
        <v>39728</v>
      </c>
      <c r="B120" s="2173">
        <v>125</v>
      </c>
      <c r="C120" s="2174">
        <v>2310</v>
      </c>
      <c r="D120" s="2174">
        <v>25466</v>
      </c>
      <c r="E120" s="2174">
        <v>821</v>
      </c>
      <c r="F120" s="2182" t="s">
        <v>3831</v>
      </c>
      <c r="G120" s="2183">
        <v>8.94</v>
      </c>
      <c r="H120" s="2177">
        <v>9.39</v>
      </c>
    </row>
    <row r="121" spans="1:8" ht="20.100000000000001" hidden="1" customHeight="1" x14ac:dyDescent="0.25">
      <c r="A121" s="2191">
        <v>39759</v>
      </c>
      <c r="B121" s="2173">
        <v>59</v>
      </c>
      <c r="C121" s="2174">
        <v>1324</v>
      </c>
      <c r="D121" s="2174">
        <v>14905</v>
      </c>
      <c r="E121" s="2174">
        <v>496.84</v>
      </c>
      <c r="F121" s="2182" t="s">
        <v>427</v>
      </c>
      <c r="G121" s="2183">
        <v>8.89</v>
      </c>
      <c r="H121" s="2177">
        <v>9.2799999999999994</v>
      </c>
    </row>
    <row r="122" spans="1:8" ht="20.100000000000001" hidden="1" customHeight="1" x14ac:dyDescent="0.25">
      <c r="A122" s="2191">
        <v>39789</v>
      </c>
      <c r="B122" s="2173">
        <v>19.34</v>
      </c>
      <c r="C122" s="2174">
        <v>1549.34</v>
      </c>
      <c r="D122" s="2174">
        <v>12040.54</v>
      </c>
      <c r="E122" s="2174">
        <v>388.4</v>
      </c>
      <c r="F122" s="2182" t="s">
        <v>714</v>
      </c>
      <c r="G122" s="2183">
        <v>7.24</v>
      </c>
      <c r="H122" s="2177">
        <v>9.06</v>
      </c>
    </row>
    <row r="123" spans="1:8" ht="20.100000000000001" hidden="1" customHeight="1" x14ac:dyDescent="0.25">
      <c r="A123" s="2191">
        <v>39820</v>
      </c>
      <c r="B123" s="2173">
        <v>14.5</v>
      </c>
      <c r="C123" s="2174">
        <v>1504.34</v>
      </c>
      <c r="D123" s="2174">
        <v>19368.099999999999</v>
      </c>
      <c r="E123" s="2174">
        <v>624.78</v>
      </c>
      <c r="F123" s="2182" t="s">
        <v>823</v>
      </c>
      <c r="G123" s="2183">
        <v>6.96</v>
      </c>
      <c r="H123" s="2177">
        <v>8.2100000000000009</v>
      </c>
    </row>
    <row r="124" spans="1:8" ht="20.100000000000001" hidden="1" customHeight="1" x14ac:dyDescent="0.25">
      <c r="A124" s="2191">
        <v>39851</v>
      </c>
      <c r="B124" s="2173">
        <v>4.5</v>
      </c>
      <c r="C124" s="2174">
        <v>1229.5</v>
      </c>
      <c r="D124" s="2174">
        <v>11511</v>
      </c>
      <c r="E124" s="2174">
        <v>411</v>
      </c>
      <c r="F124" s="2182" t="s">
        <v>1432</v>
      </c>
      <c r="G124" s="2183">
        <v>6.53</v>
      </c>
      <c r="H124" s="2177">
        <v>7.17</v>
      </c>
    </row>
    <row r="125" spans="1:8" ht="20.100000000000001" hidden="1" customHeight="1" x14ac:dyDescent="0.25">
      <c r="A125" s="2191">
        <v>39879</v>
      </c>
      <c r="B125" s="2173">
        <v>5</v>
      </c>
      <c r="C125" s="2174">
        <v>1020</v>
      </c>
      <c r="D125" s="2174">
        <v>12544.5</v>
      </c>
      <c r="E125" s="2174">
        <v>404.7</v>
      </c>
      <c r="F125" s="2182" t="s">
        <v>3832</v>
      </c>
      <c r="G125" s="2183">
        <v>5.77</v>
      </c>
      <c r="H125" s="2177">
        <v>6.31</v>
      </c>
    </row>
    <row r="126" spans="1:8" ht="20.100000000000001" hidden="1" customHeight="1" x14ac:dyDescent="0.25">
      <c r="A126" s="2191">
        <v>39910</v>
      </c>
      <c r="B126" s="2173">
        <v>44.5</v>
      </c>
      <c r="C126" s="2174">
        <v>619.5</v>
      </c>
      <c r="D126" s="2174">
        <v>9119.5</v>
      </c>
      <c r="E126" s="2174">
        <v>303.98</v>
      </c>
      <c r="F126" s="2182" t="s">
        <v>3833</v>
      </c>
      <c r="G126" s="2183">
        <v>4.8099999999999996</v>
      </c>
      <c r="H126" s="2177">
        <v>5.0999999999999996</v>
      </c>
    </row>
    <row r="127" spans="1:8" ht="20.100000000000001" hidden="1" customHeight="1" x14ac:dyDescent="0.25">
      <c r="A127" s="2191">
        <v>39940</v>
      </c>
      <c r="B127" s="2173">
        <v>144.5</v>
      </c>
      <c r="C127" s="2174">
        <v>839.5</v>
      </c>
      <c r="D127" s="2174">
        <v>10281.5</v>
      </c>
      <c r="E127" s="2174">
        <v>331.66</v>
      </c>
      <c r="F127" s="2182" t="s">
        <v>3834</v>
      </c>
      <c r="G127" s="2183">
        <v>4.7</v>
      </c>
      <c r="H127" s="2177">
        <v>4.8099999999999996</v>
      </c>
    </row>
    <row r="128" spans="1:8" ht="20.100000000000001" hidden="1" customHeight="1" x14ac:dyDescent="0.25">
      <c r="A128" s="2191">
        <v>39971</v>
      </c>
      <c r="B128" s="2173">
        <v>104.5</v>
      </c>
      <c r="C128" s="2174">
        <v>1119.5</v>
      </c>
      <c r="D128" s="2174">
        <v>11690</v>
      </c>
      <c r="E128" s="2174">
        <v>389.67</v>
      </c>
      <c r="F128" s="2182" t="s">
        <v>1480</v>
      </c>
      <c r="G128" s="2183">
        <v>4.28</v>
      </c>
      <c r="H128" s="2177">
        <v>4.75</v>
      </c>
    </row>
    <row r="129" spans="1:8" ht="20.100000000000001" hidden="1" customHeight="1" x14ac:dyDescent="0.25">
      <c r="A129" s="2191">
        <v>40001</v>
      </c>
      <c r="B129" s="2173">
        <v>4.66</v>
      </c>
      <c r="C129" s="2174">
        <v>864.5</v>
      </c>
      <c r="D129" s="2174">
        <v>10376.1</v>
      </c>
      <c r="E129" s="2174">
        <v>334.71</v>
      </c>
      <c r="F129" s="2182" t="s">
        <v>1480</v>
      </c>
      <c r="G129" s="2183">
        <v>4.05</v>
      </c>
      <c r="H129" s="2177">
        <v>4.6900000000000004</v>
      </c>
    </row>
    <row r="130" spans="1:8" ht="20.100000000000001" hidden="1" customHeight="1" x14ac:dyDescent="0.25">
      <c r="A130" s="2191">
        <v>40032</v>
      </c>
      <c r="B130" s="2173">
        <v>70</v>
      </c>
      <c r="C130" s="2174">
        <v>1444.6</v>
      </c>
      <c r="D130" s="2174">
        <v>16163.6</v>
      </c>
      <c r="E130" s="2174">
        <v>577.27</v>
      </c>
      <c r="F130" s="2182" t="s">
        <v>3835</v>
      </c>
      <c r="G130" s="2183">
        <v>4.0199999999999996</v>
      </c>
      <c r="H130" s="2177">
        <v>4.51</v>
      </c>
    </row>
    <row r="131" spans="1:8" ht="20.100000000000001" hidden="1" customHeight="1" x14ac:dyDescent="0.25">
      <c r="A131" s="2191">
        <v>40063</v>
      </c>
      <c r="B131" s="2173">
        <v>100</v>
      </c>
      <c r="C131" s="2174">
        <v>1090</v>
      </c>
      <c r="D131" s="2174">
        <v>16460</v>
      </c>
      <c r="E131" s="2174">
        <v>549</v>
      </c>
      <c r="F131" s="2182" t="s">
        <v>3836</v>
      </c>
      <c r="G131" s="2183">
        <v>4.0599999999999996</v>
      </c>
      <c r="H131" s="2177">
        <v>4.4400000000000004</v>
      </c>
    </row>
    <row r="132" spans="1:8" ht="20.100000000000001" hidden="1" customHeight="1" x14ac:dyDescent="0.25">
      <c r="A132" s="2191">
        <v>40093</v>
      </c>
      <c r="B132" s="2173">
        <v>175</v>
      </c>
      <c r="C132" s="2174">
        <v>1255</v>
      </c>
      <c r="D132" s="2174">
        <v>14700</v>
      </c>
      <c r="E132" s="2174">
        <v>474.19</v>
      </c>
      <c r="F132" s="2182" t="s">
        <v>3836</v>
      </c>
      <c r="G132" s="2183">
        <v>4.04</v>
      </c>
      <c r="H132" s="2177">
        <v>4.7300000000000004</v>
      </c>
    </row>
    <row r="133" spans="1:8" ht="20.100000000000001" hidden="1" customHeight="1" x14ac:dyDescent="0.25">
      <c r="A133" s="2191">
        <v>40124</v>
      </c>
      <c r="B133" s="2173">
        <v>55</v>
      </c>
      <c r="C133" s="2174">
        <v>895</v>
      </c>
      <c r="D133" s="2174">
        <v>13796</v>
      </c>
      <c r="E133" s="2174">
        <v>459.87</v>
      </c>
      <c r="F133" s="2182" t="s">
        <v>3837</v>
      </c>
      <c r="G133" s="2183">
        <v>4.0199999999999996</v>
      </c>
      <c r="H133" s="2177">
        <v>4.53</v>
      </c>
    </row>
    <row r="134" spans="1:8" ht="20.100000000000001" hidden="1" customHeight="1" x14ac:dyDescent="0.25">
      <c r="A134" s="2191">
        <v>40148</v>
      </c>
      <c r="B134" s="2173">
        <v>75</v>
      </c>
      <c r="C134" s="2174">
        <v>1932.5</v>
      </c>
      <c r="D134" s="2174">
        <v>23618.5</v>
      </c>
      <c r="E134" s="2174">
        <v>761.89</v>
      </c>
      <c r="F134" s="2182" t="s">
        <v>652</v>
      </c>
      <c r="G134" s="2183">
        <v>4.26</v>
      </c>
      <c r="H134" s="2177">
        <v>4.4000000000000004</v>
      </c>
    </row>
    <row r="135" spans="1:8" ht="20.100000000000001" hidden="1" customHeight="1" x14ac:dyDescent="0.25">
      <c r="A135" s="2191">
        <v>40179</v>
      </c>
      <c r="B135" s="2173">
        <v>70.400000000000006</v>
      </c>
      <c r="C135" s="2174">
        <v>1245.4000000000001</v>
      </c>
      <c r="D135" s="2174">
        <v>16488.2</v>
      </c>
      <c r="E135" s="2174">
        <v>531.88</v>
      </c>
      <c r="F135" s="2182" t="s">
        <v>652</v>
      </c>
      <c r="G135" s="2183">
        <v>4.26</v>
      </c>
      <c r="H135" s="2177">
        <v>4.51</v>
      </c>
    </row>
    <row r="136" spans="1:8" ht="20.100000000000001" hidden="1" customHeight="1" x14ac:dyDescent="0.25">
      <c r="A136" s="2191">
        <v>40210</v>
      </c>
      <c r="B136" s="2173">
        <v>70.400000000000006</v>
      </c>
      <c r="C136" s="2174">
        <v>1245</v>
      </c>
      <c r="D136" s="2174">
        <v>16179.2</v>
      </c>
      <c r="E136" s="2174">
        <v>577.83000000000004</v>
      </c>
      <c r="F136" s="2182" t="s">
        <v>3838</v>
      </c>
      <c r="G136" s="2183">
        <v>3.91</v>
      </c>
      <c r="H136" s="2177">
        <v>4.5</v>
      </c>
    </row>
    <row r="137" spans="1:8" ht="20.100000000000001" hidden="1" customHeight="1" x14ac:dyDescent="0.25">
      <c r="A137" s="2191">
        <v>40238</v>
      </c>
      <c r="B137" s="2173">
        <v>20.399999999999999</v>
      </c>
      <c r="C137" s="2174">
        <v>800.4</v>
      </c>
      <c r="D137" s="2174">
        <v>4135.3999999999996</v>
      </c>
      <c r="E137" s="2174">
        <v>133.4</v>
      </c>
      <c r="F137" s="2182" t="s">
        <v>3839</v>
      </c>
      <c r="G137" s="2183">
        <v>3.88</v>
      </c>
      <c r="H137" s="2177">
        <v>4.3099999999999996</v>
      </c>
    </row>
    <row r="138" spans="1:8" ht="20.100000000000001" hidden="1" customHeight="1" x14ac:dyDescent="0.25">
      <c r="A138" s="2191">
        <v>40269</v>
      </c>
      <c r="B138" s="2173">
        <v>20.399999999999999</v>
      </c>
      <c r="C138" s="2174">
        <v>655.4</v>
      </c>
      <c r="D138" s="2174">
        <v>7522</v>
      </c>
      <c r="E138" s="2174">
        <v>250.73</v>
      </c>
      <c r="F138" s="2182" t="s">
        <v>3840</v>
      </c>
      <c r="G138" s="2183">
        <v>3.94</v>
      </c>
      <c r="H138" s="2177">
        <v>4.51</v>
      </c>
    </row>
    <row r="139" spans="1:8" ht="20.100000000000001" hidden="1" customHeight="1" x14ac:dyDescent="0.25">
      <c r="A139" s="2191">
        <v>40299</v>
      </c>
      <c r="B139" s="2173">
        <v>20.399999999999999</v>
      </c>
      <c r="C139" s="2174">
        <v>915.4</v>
      </c>
      <c r="D139" s="2174">
        <v>9407.4</v>
      </c>
      <c r="E139" s="2174">
        <v>303.45999999999998</v>
      </c>
      <c r="F139" s="2182" t="s">
        <v>3839</v>
      </c>
      <c r="G139" s="2183">
        <v>3.74</v>
      </c>
      <c r="H139" s="2177">
        <v>4.04</v>
      </c>
    </row>
    <row r="140" spans="1:8" ht="20.100000000000001" hidden="1" customHeight="1" x14ac:dyDescent="0.25">
      <c r="A140" s="2191">
        <v>40330</v>
      </c>
      <c r="B140" s="2173">
        <v>20.399999999999999</v>
      </c>
      <c r="C140" s="2174">
        <v>1515.4</v>
      </c>
      <c r="D140" s="2174">
        <v>10598</v>
      </c>
      <c r="E140" s="2174">
        <v>353.3</v>
      </c>
      <c r="F140" s="2182" t="s">
        <v>3841</v>
      </c>
      <c r="G140" s="2183">
        <v>3.36</v>
      </c>
      <c r="H140" s="2177">
        <v>3.47</v>
      </c>
    </row>
    <row r="141" spans="1:8" ht="20.100000000000001" hidden="1" customHeight="1" x14ac:dyDescent="0.25">
      <c r="A141" s="2191">
        <v>40360</v>
      </c>
      <c r="B141" s="2173">
        <v>5</v>
      </c>
      <c r="C141" s="2174">
        <v>1150</v>
      </c>
      <c r="D141" s="2174">
        <v>7431</v>
      </c>
      <c r="E141" s="2174">
        <v>239.71</v>
      </c>
      <c r="F141" s="2182" t="s">
        <v>3842</v>
      </c>
      <c r="G141" s="2183">
        <v>3.45</v>
      </c>
      <c r="H141" s="2177">
        <v>3.87</v>
      </c>
    </row>
    <row r="142" spans="1:8" ht="20.100000000000001" hidden="1" customHeight="1" x14ac:dyDescent="0.25">
      <c r="A142" s="2191">
        <v>40391</v>
      </c>
      <c r="B142" s="2173">
        <v>15</v>
      </c>
      <c r="C142" s="2174">
        <v>360</v>
      </c>
      <c r="D142" s="2174">
        <v>2422</v>
      </c>
      <c r="E142" s="2174">
        <v>100.92</v>
      </c>
      <c r="F142" s="2182" t="s">
        <v>3843</v>
      </c>
      <c r="G142" s="2183">
        <v>2.52</v>
      </c>
      <c r="H142" s="2177">
        <v>3.02</v>
      </c>
    </row>
    <row r="143" spans="1:8" ht="20.100000000000001" hidden="1" customHeight="1" x14ac:dyDescent="0.25">
      <c r="A143" s="2191">
        <v>40422</v>
      </c>
      <c r="B143" s="2173">
        <v>60</v>
      </c>
      <c r="C143" s="2174">
        <v>490</v>
      </c>
      <c r="D143" s="2174">
        <v>7090</v>
      </c>
      <c r="E143" s="2174">
        <v>253</v>
      </c>
      <c r="F143" s="2182" t="s">
        <v>3844</v>
      </c>
      <c r="G143" s="2183">
        <v>2.0699999999999998</v>
      </c>
      <c r="H143" s="2177">
        <v>2.73</v>
      </c>
    </row>
    <row r="144" spans="1:8" ht="20.100000000000001" hidden="1" customHeight="1" x14ac:dyDescent="0.25">
      <c r="A144" s="2191">
        <v>40452</v>
      </c>
      <c r="B144" s="2173">
        <v>95</v>
      </c>
      <c r="C144" s="2174">
        <v>670</v>
      </c>
      <c r="D144" s="2174">
        <v>11070</v>
      </c>
      <c r="E144" s="2174">
        <v>357.1</v>
      </c>
      <c r="F144" s="2182" t="s">
        <v>551</v>
      </c>
      <c r="G144" s="2183">
        <v>2.27</v>
      </c>
      <c r="H144" s="2177">
        <v>4.3099999999999996</v>
      </c>
    </row>
    <row r="145" spans="1:8" ht="20.100000000000001" hidden="1" customHeight="1" x14ac:dyDescent="0.25">
      <c r="A145" s="2191">
        <v>40483</v>
      </c>
      <c r="B145" s="2173">
        <v>157</v>
      </c>
      <c r="C145" s="2174">
        <v>730</v>
      </c>
      <c r="D145" s="2174">
        <v>9951</v>
      </c>
      <c r="E145" s="2174">
        <v>331.7</v>
      </c>
      <c r="F145" s="2182" t="s">
        <v>3844</v>
      </c>
      <c r="G145" s="2183">
        <v>2.17</v>
      </c>
      <c r="H145" s="2177">
        <v>3.95</v>
      </c>
    </row>
    <row r="146" spans="1:8" ht="20.100000000000001" hidden="1" customHeight="1" x14ac:dyDescent="0.25">
      <c r="A146" s="2191">
        <v>40513</v>
      </c>
      <c r="B146" s="2173">
        <v>235</v>
      </c>
      <c r="C146" s="2174">
        <v>772</v>
      </c>
      <c r="D146" s="2174">
        <v>15575</v>
      </c>
      <c r="E146" s="2174">
        <v>502.4</v>
      </c>
      <c r="F146" s="2182" t="s">
        <v>3845</v>
      </c>
      <c r="G146" s="2183">
        <v>2.04</v>
      </c>
      <c r="H146" s="2177">
        <v>3.11</v>
      </c>
    </row>
    <row r="147" spans="1:8" ht="20.100000000000001" hidden="1" customHeight="1" x14ac:dyDescent="0.25">
      <c r="A147" s="2191">
        <v>40544</v>
      </c>
      <c r="B147" s="2173">
        <v>220</v>
      </c>
      <c r="C147" s="2174">
        <v>985</v>
      </c>
      <c r="D147" s="2174">
        <v>14845</v>
      </c>
      <c r="E147" s="2174">
        <v>478.87</v>
      </c>
      <c r="F147" s="2182" t="s">
        <v>3846</v>
      </c>
      <c r="G147" s="2183">
        <v>2.0099999999999998</v>
      </c>
      <c r="H147" s="2177">
        <v>3.02</v>
      </c>
    </row>
    <row r="148" spans="1:8" ht="20.100000000000001" hidden="1" customHeight="1" x14ac:dyDescent="0.25">
      <c r="A148" s="2191">
        <v>40575</v>
      </c>
      <c r="B148" s="2173">
        <v>335</v>
      </c>
      <c r="C148" s="2174">
        <v>2350</v>
      </c>
      <c r="D148" s="2174">
        <v>25115</v>
      </c>
      <c r="E148" s="2174">
        <v>896.96</v>
      </c>
      <c r="F148" s="2182" t="s">
        <v>3847</v>
      </c>
      <c r="G148" s="2183">
        <v>1.86</v>
      </c>
      <c r="H148" s="2177">
        <v>2.83</v>
      </c>
    </row>
    <row r="149" spans="1:8" ht="20.100000000000001" hidden="1" customHeight="1" x14ac:dyDescent="0.25">
      <c r="A149" s="2191">
        <v>40603</v>
      </c>
      <c r="B149" s="2173">
        <v>20</v>
      </c>
      <c r="C149" s="2174">
        <v>2420</v>
      </c>
      <c r="D149" s="2174">
        <v>16505</v>
      </c>
      <c r="E149" s="2174">
        <v>611</v>
      </c>
      <c r="F149" s="2182" t="s">
        <v>3848</v>
      </c>
      <c r="G149" s="2183">
        <v>1.64</v>
      </c>
      <c r="H149" s="2177">
        <v>2.41</v>
      </c>
    </row>
    <row r="150" spans="1:8" ht="20.100000000000001" hidden="1" customHeight="1" x14ac:dyDescent="0.25">
      <c r="A150" s="2191">
        <v>40634</v>
      </c>
      <c r="B150" s="2173">
        <v>630</v>
      </c>
      <c r="C150" s="2174">
        <v>2200</v>
      </c>
      <c r="D150" s="2174">
        <v>40323</v>
      </c>
      <c r="E150" s="2174">
        <v>1344</v>
      </c>
      <c r="F150" s="2182" t="s">
        <v>3849</v>
      </c>
      <c r="G150" s="2183">
        <v>1.51</v>
      </c>
      <c r="H150" s="2177">
        <v>4.12</v>
      </c>
    </row>
    <row r="151" spans="1:8" ht="20.100000000000001" hidden="1" customHeight="1" x14ac:dyDescent="0.25">
      <c r="A151" s="2191">
        <v>40664</v>
      </c>
      <c r="B151" s="2173">
        <v>100</v>
      </c>
      <c r="C151" s="2174">
        <v>1975</v>
      </c>
      <c r="D151" s="2174">
        <v>25594</v>
      </c>
      <c r="E151" s="2174">
        <v>947.93</v>
      </c>
      <c r="F151" s="2182" t="s">
        <v>1414</v>
      </c>
      <c r="G151" s="2183">
        <v>1.4</v>
      </c>
      <c r="H151" s="2177">
        <v>4.0599999999999996</v>
      </c>
    </row>
    <row r="152" spans="1:8" ht="20.100000000000001" hidden="1" customHeight="1" x14ac:dyDescent="0.25">
      <c r="A152" s="2191">
        <v>40695</v>
      </c>
      <c r="B152" s="2173">
        <v>100</v>
      </c>
      <c r="C152" s="2174">
        <v>1595</v>
      </c>
      <c r="D152" s="2174">
        <v>15057</v>
      </c>
      <c r="E152" s="2174">
        <v>501.9</v>
      </c>
      <c r="F152" s="2182" t="s">
        <v>3850</v>
      </c>
      <c r="G152" s="2183">
        <v>2.63</v>
      </c>
      <c r="H152" s="2177">
        <v>4.29</v>
      </c>
    </row>
    <row r="153" spans="1:8" ht="20.100000000000001" hidden="1" customHeight="1" x14ac:dyDescent="0.25">
      <c r="A153" s="2191">
        <v>40725</v>
      </c>
      <c r="B153" s="2173">
        <v>425</v>
      </c>
      <c r="C153" s="2174">
        <v>1525</v>
      </c>
      <c r="D153" s="2174">
        <v>34075</v>
      </c>
      <c r="E153" s="2174">
        <v>1099.19</v>
      </c>
      <c r="F153" s="2182" t="s">
        <v>3851</v>
      </c>
      <c r="G153" s="2183">
        <v>1.95</v>
      </c>
      <c r="H153" s="2177">
        <v>4.41</v>
      </c>
    </row>
    <row r="154" spans="1:8" ht="20.100000000000001" hidden="1" customHeight="1" x14ac:dyDescent="0.25">
      <c r="A154" s="2191">
        <v>40756</v>
      </c>
      <c r="B154" s="2173">
        <v>25</v>
      </c>
      <c r="C154" s="2174">
        <v>1895</v>
      </c>
      <c r="D154" s="2174">
        <v>34690</v>
      </c>
      <c r="E154" s="2174">
        <v>1156.33</v>
      </c>
      <c r="F154" s="2182" t="s">
        <v>3852</v>
      </c>
      <c r="G154" s="2183">
        <v>3.58</v>
      </c>
      <c r="H154" s="2177">
        <v>4.3899999999999997</v>
      </c>
    </row>
    <row r="155" spans="1:8" ht="20.100000000000001" hidden="1" customHeight="1" x14ac:dyDescent="0.25">
      <c r="A155" s="2191">
        <v>40787</v>
      </c>
      <c r="B155" s="2173">
        <v>40</v>
      </c>
      <c r="C155" s="2174">
        <v>2025</v>
      </c>
      <c r="D155" s="2174">
        <v>15795</v>
      </c>
      <c r="E155" s="2174">
        <v>658.13</v>
      </c>
      <c r="F155" s="2182" t="s">
        <v>3853</v>
      </c>
      <c r="G155" s="2183">
        <v>3.27</v>
      </c>
      <c r="H155" s="2177">
        <v>4.46</v>
      </c>
    </row>
    <row r="156" spans="1:8" ht="20.100000000000001" hidden="1" customHeight="1" x14ac:dyDescent="0.25">
      <c r="A156" s="2191">
        <v>40817</v>
      </c>
      <c r="B156" s="2173">
        <v>100</v>
      </c>
      <c r="C156" s="2174">
        <v>2105</v>
      </c>
      <c r="D156" s="2174">
        <v>31715</v>
      </c>
      <c r="E156" s="2174">
        <v>1023.06</v>
      </c>
      <c r="F156" s="2182" t="s">
        <v>3854</v>
      </c>
      <c r="G156" s="2183">
        <v>2.61</v>
      </c>
      <c r="H156" s="2177">
        <v>4.43</v>
      </c>
    </row>
    <row r="157" spans="1:8" ht="20.100000000000001" hidden="1" customHeight="1" x14ac:dyDescent="0.25">
      <c r="A157" s="2191">
        <v>40848</v>
      </c>
      <c r="B157" s="2173">
        <v>50</v>
      </c>
      <c r="C157" s="2174">
        <v>2480</v>
      </c>
      <c r="D157" s="2174">
        <v>40844</v>
      </c>
      <c r="E157" s="2174">
        <v>1361</v>
      </c>
      <c r="F157" s="2182" t="s">
        <v>437</v>
      </c>
      <c r="G157" s="2183">
        <v>2.96</v>
      </c>
      <c r="H157" s="2177">
        <v>4.42</v>
      </c>
    </row>
    <row r="158" spans="1:8" ht="20.100000000000001" hidden="1" customHeight="1" x14ac:dyDescent="0.25">
      <c r="A158" s="2191">
        <v>40878</v>
      </c>
      <c r="B158" s="2173">
        <v>30</v>
      </c>
      <c r="C158" s="2174">
        <v>2125</v>
      </c>
      <c r="D158" s="2174">
        <v>30845</v>
      </c>
      <c r="E158" s="2174">
        <v>1186.3499999999999</v>
      </c>
      <c r="F158" s="2182" t="s">
        <v>3855</v>
      </c>
      <c r="G158" s="2183">
        <v>3.32</v>
      </c>
      <c r="H158" s="2177">
        <v>4.5199999999999996</v>
      </c>
    </row>
    <row r="159" spans="1:8" ht="20.100000000000001" hidden="1" customHeight="1" x14ac:dyDescent="0.25">
      <c r="A159" s="2191">
        <v>40909</v>
      </c>
      <c r="B159" s="2173">
        <v>110</v>
      </c>
      <c r="C159" s="2174">
        <v>1065</v>
      </c>
      <c r="D159" s="2174">
        <v>10195</v>
      </c>
      <c r="E159" s="2174">
        <v>407.8</v>
      </c>
      <c r="F159" s="2182" t="s">
        <v>3856</v>
      </c>
      <c r="G159" s="2183">
        <v>2.4</v>
      </c>
      <c r="H159" s="2177">
        <v>4.33</v>
      </c>
    </row>
    <row r="160" spans="1:8" ht="20.100000000000001" hidden="1" customHeight="1" x14ac:dyDescent="0.25">
      <c r="A160" s="2191">
        <v>40940</v>
      </c>
      <c r="B160" s="2173">
        <v>45</v>
      </c>
      <c r="C160" s="2174">
        <v>1485</v>
      </c>
      <c r="D160" s="2174">
        <v>17085</v>
      </c>
      <c r="E160" s="2174">
        <v>589.14</v>
      </c>
      <c r="F160" s="2182" t="s">
        <v>3857</v>
      </c>
      <c r="G160" s="2183">
        <v>2.34</v>
      </c>
      <c r="H160" s="2177">
        <v>4.22</v>
      </c>
    </row>
    <row r="161" spans="1:8" ht="20.100000000000001" hidden="1" customHeight="1" x14ac:dyDescent="0.25">
      <c r="A161" s="2191">
        <v>40969</v>
      </c>
      <c r="B161" s="2173">
        <v>40</v>
      </c>
      <c r="C161" s="2174">
        <v>1155</v>
      </c>
      <c r="D161" s="2174">
        <v>9890</v>
      </c>
      <c r="E161" s="2174">
        <v>353.21</v>
      </c>
      <c r="F161" s="2182" t="s">
        <v>3858</v>
      </c>
      <c r="G161" s="2183">
        <v>1.97</v>
      </c>
      <c r="H161" s="2177">
        <v>4.0999999999999996</v>
      </c>
    </row>
    <row r="162" spans="1:8" ht="20.100000000000001" hidden="1" customHeight="1" x14ac:dyDescent="0.25">
      <c r="A162" s="2191">
        <v>41000</v>
      </c>
      <c r="B162" s="2173">
        <v>170</v>
      </c>
      <c r="C162" s="2174">
        <v>1685</v>
      </c>
      <c r="D162" s="2174">
        <v>22085</v>
      </c>
      <c r="E162" s="2174">
        <v>736.17</v>
      </c>
      <c r="F162" s="2182" t="s">
        <v>3859</v>
      </c>
      <c r="G162" s="2183">
        <v>1.87</v>
      </c>
      <c r="H162" s="2177">
        <v>3.7</v>
      </c>
    </row>
    <row r="163" spans="1:8" ht="20.100000000000001" hidden="1" customHeight="1" x14ac:dyDescent="0.25">
      <c r="A163" s="2191">
        <v>41030</v>
      </c>
      <c r="B163" s="2173">
        <v>50</v>
      </c>
      <c r="C163" s="2174">
        <v>1680</v>
      </c>
      <c r="D163" s="2174">
        <v>15635</v>
      </c>
      <c r="E163" s="2174">
        <v>504.35</v>
      </c>
      <c r="F163" s="2182" t="s">
        <v>3860</v>
      </c>
      <c r="G163" s="2183">
        <v>1.59</v>
      </c>
      <c r="H163" s="2177">
        <v>3.64</v>
      </c>
    </row>
    <row r="164" spans="1:8" ht="20.100000000000001" hidden="1" customHeight="1" x14ac:dyDescent="0.25">
      <c r="A164" s="2191">
        <v>41061</v>
      </c>
      <c r="B164" s="2173">
        <v>140</v>
      </c>
      <c r="C164" s="2174">
        <v>2230</v>
      </c>
      <c r="D164" s="2174">
        <v>27510</v>
      </c>
      <c r="E164" s="2174">
        <v>917</v>
      </c>
      <c r="F164" s="2182" t="s">
        <v>3861</v>
      </c>
      <c r="G164" s="2183">
        <v>1.75</v>
      </c>
      <c r="H164" s="2177">
        <v>3.51</v>
      </c>
    </row>
    <row r="165" spans="1:8" ht="20.100000000000001" hidden="1" customHeight="1" x14ac:dyDescent="0.25">
      <c r="A165" s="2191">
        <v>41091</v>
      </c>
      <c r="B165" s="2173">
        <v>25</v>
      </c>
      <c r="C165" s="2174">
        <v>1625</v>
      </c>
      <c r="D165" s="2174">
        <v>15695</v>
      </c>
      <c r="E165" s="2174">
        <v>506</v>
      </c>
      <c r="F165" s="2182" t="s">
        <v>3862</v>
      </c>
      <c r="G165" s="2183">
        <v>1.91</v>
      </c>
      <c r="H165" s="2177"/>
    </row>
    <row r="166" spans="1:8" ht="20.100000000000001" hidden="1" customHeight="1" x14ac:dyDescent="0.25">
      <c r="A166" s="2191">
        <v>41122</v>
      </c>
      <c r="B166" s="2173">
        <v>65</v>
      </c>
      <c r="C166" s="2174">
        <v>1630</v>
      </c>
      <c r="D166" s="2174">
        <v>22930</v>
      </c>
      <c r="E166" s="2174">
        <v>739.68</v>
      </c>
      <c r="F166" s="2182" t="s">
        <v>3863</v>
      </c>
      <c r="G166" s="2183">
        <v>1.85</v>
      </c>
      <c r="H166" s="2177">
        <v>3.43</v>
      </c>
    </row>
    <row r="167" spans="1:8" ht="20.100000000000001" hidden="1" customHeight="1" x14ac:dyDescent="0.25">
      <c r="A167" s="2191">
        <v>41153</v>
      </c>
      <c r="B167" s="2173">
        <v>15</v>
      </c>
      <c r="C167" s="2174">
        <v>575</v>
      </c>
      <c r="D167" s="2174">
        <v>6885</v>
      </c>
      <c r="E167" s="2174">
        <v>286.88</v>
      </c>
      <c r="F167" s="2182" t="s">
        <v>3864</v>
      </c>
      <c r="G167" s="2183">
        <v>1.67</v>
      </c>
      <c r="H167" s="2177">
        <v>3.47</v>
      </c>
    </row>
    <row r="168" spans="1:8" ht="20.100000000000001" hidden="1" customHeight="1" x14ac:dyDescent="0.25">
      <c r="A168" s="2191">
        <v>41183</v>
      </c>
      <c r="B168" s="2173">
        <v>60</v>
      </c>
      <c r="C168" s="2174">
        <v>980</v>
      </c>
      <c r="D168" s="2174">
        <v>12570</v>
      </c>
      <c r="E168" s="2174">
        <v>433.45</v>
      </c>
      <c r="F168" s="2182" t="s">
        <v>3865</v>
      </c>
      <c r="G168" s="2183">
        <v>1.57</v>
      </c>
      <c r="H168" s="2177">
        <v>3.26</v>
      </c>
    </row>
    <row r="169" spans="1:8" ht="20.100000000000001" hidden="1" customHeight="1" x14ac:dyDescent="0.25">
      <c r="A169" s="2191">
        <v>41214</v>
      </c>
      <c r="B169" s="2173">
        <v>415</v>
      </c>
      <c r="C169" s="2174">
        <v>2180</v>
      </c>
      <c r="D169" s="2174">
        <v>37795</v>
      </c>
      <c r="E169" s="2174">
        <v>1259.83</v>
      </c>
      <c r="F169" s="2182" t="s">
        <v>3866</v>
      </c>
      <c r="G169" s="2183">
        <v>1.53</v>
      </c>
      <c r="H169" s="2177">
        <v>3.08</v>
      </c>
    </row>
    <row r="170" spans="1:8" ht="20.100000000000001" hidden="1" customHeight="1" x14ac:dyDescent="0.25">
      <c r="A170" s="2191">
        <v>41244</v>
      </c>
      <c r="B170" s="2173">
        <v>160</v>
      </c>
      <c r="C170" s="2174">
        <v>1650</v>
      </c>
      <c r="D170" s="2174">
        <v>26110</v>
      </c>
      <c r="E170" s="2174">
        <v>842.26</v>
      </c>
      <c r="F170" s="2182" t="s">
        <v>3867</v>
      </c>
      <c r="G170" s="2183">
        <v>1.61</v>
      </c>
      <c r="H170" s="2177">
        <v>2.95</v>
      </c>
    </row>
    <row r="171" spans="1:8" ht="20.100000000000001" hidden="1" customHeight="1" x14ac:dyDescent="0.25">
      <c r="A171" s="2191">
        <v>41275</v>
      </c>
      <c r="B171" s="2173">
        <v>75</v>
      </c>
      <c r="C171" s="2174">
        <v>1210</v>
      </c>
      <c r="D171" s="2174">
        <v>9470</v>
      </c>
      <c r="E171" s="2174">
        <v>305.48</v>
      </c>
      <c r="F171" s="2182" t="s">
        <v>3868</v>
      </c>
      <c r="G171" s="2183">
        <v>1.49</v>
      </c>
      <c r="H171" s="2177">
        <v>2.84</v>
      </c>
    </row>
    <row r="172" spans="1:8" ht="20.100000000000001" hidden="1" customHeight="1" x14ac:dyDescent="0.25">
      <c r="A172" s="2191">
        <v>41306</v>
      </c>
      <c r="B172" s="2173">
        <v>50</v>
      </c>
      <c r="C172" s="2174">
        <v>1655</v>
      </c>
      <c r="D172" s="2174">
        <v>22350</v>
      </c>
      <c r="E172" s="2174">
        <v>798.21</v>
      </c>
      <c r="F172" s="2182" t="s">
        <v>3806</v>
      </c>
      <c r="G172" s="2183">
        <v>1.42</v>
      </c>
      <c r="H172" s="2177">
        <v>2.74</v>
      </c>
    </row>
    <row r="173" spans="1:8" ht="20.100000000000001" hidden="1" customHeight="1" x14ac:dyDescent="0.25">
      <c r="A173" s="2191">
        <v>41334</v>
      </c>
      <c r="B173" s="2173">
        <v>30</v>
      </c>
      <c r="C173" s="2174">
        <v>2200</v>
      </c>
      <c r="D173" s="2174">
        <v>27940</v>
      </c>
      <c r="E173" s="2174">
        <v>901.29</v>
      </c>
      <c r="F173" s="2182" t="s">
        <v>3869</v>
      </c>
      <c r="G173" s="2183">
        <v>1.36</v>
      </c>
      <c r="H173" s="2177">
        <v>2.46</v>
      </c>
    </row>
    <row r="174" spans="1:8" ht="20.100000000000001" hidden="1" customHeight="1" x14ac:dyDescent="0.25">
      <c r="A174" s="2191">
        <v>41365</v>
      </c>
      <c r="B174" s="2173">
        <v>265</v>
      </c>
      <c r="C174" s="2174">
        <v>1855</v>
      </c>
      <c r="D174" s="2174">
        <v>28346</v>
      </c>
      <c r="E174" s="2174">
        <v>944.87</v>
      </c>
      <c r="F174" s="2182" t="s">
        <v>3870</v>
      </c>
      <c r="G174" s="2183">
        <v>1.36</v>
      </c>
      <c r="H174" s="2177">
        <v>2.33</v>
      </c>
    </row>
    <row r="175" spans="1:8" ht="20.100000000000001" hidden="1" customHeight="1" x14ac:dyDescent="0.25">
      <c r="A175" s="2191">
        <v>41395</v>
      </c>
      <c r="B175" s="2173">
        <v>70</v>
      </c>
      <c r="C175" s="2174">
        <v>1735</v>
      </c>
      <c r="D175" s="2174">
        <v>24695</v>
      </c>
      <c r="E175" s="2174">
        <v>796.61</v>
      </c>
      <c r="F175" s="2182" t="s">
        <v>3870</v>
      </c>
      <c r="G175" s="2183">
        <v>1.36</v>
      </c>
      <c r="H175" s="2177">
        <v>2.29</v>
      </c>
    </row>
    <row r="176" spans="1:8" ht="20.100000000000001" hidden="1" customHeight="1" x14ac:dyDescent="0.25">
      <c r="A176" s="2191">
        <v>41426</v>
      </c>
      <c r="B176" s="2173">
        <v>405</v>
      </c>
      <c r="C176" s="2174">
        <v>1325</v>
      </c>
      <c r="D176" s="2174">
        <v>21281.5</v>
      </c>
      <c r="E176" s="2174">
        <v>709.38</v>
      </c>
      <c r="F176" s="2182" t="s">
        <v>3871</v>
      </c>
      <c r="G176" s="2183">
        <v>1.99</v>
      </c>
      <c r="H176" s="2177">
        <v>2.52</v>
      </c>
    </row>
    <row r="177" spans="1:8" ht="20.100000000000001" hidden="1" customHeight="1" x14ac:dyDescent="0.25">
      <c r="A177" s="2191">
        <v>41456</v>
      </c>
      <c r="B177" s="2173">
        <v>125</v>
      </c>
      <c r="C177" s="2174">
        <v>1910</v>
      </c>
      <c r="D177" s="2174">
        <v>31140</v>
      </c>
      <c r="E177" s="2174">
        <v>1004.52</v>
      </c>
      <c r="F177" s="2182" t="s">
        <v>2205</v>
      </c>
      <c r="G177" s="2183">
        <v>2.0099999999999998</v>
      </c>
      <c r="H177" s="2177">
        <v>2.77</v>
      </c>
    </row>
    <row r="178" spans="1:8" ht="20.100000000000001" hidden="1" customHeight="1" x14ac:dyDescent="0.25">
      <c r="A178" s="2191">
        <v>41487</v>
      </c>
      <c r="B178" s="2173">
        <v>140</v>
      </c>
      <c r="C178" s="2174">
        <v>920</v>
      </c>
      <c r="D178" s="2174">
        <v>17510</v>
      </c>
      <c r="E178" s="2174">
        <v>564.84</v>
      </c>
      <c r="F178" s="2182" t="s">
        <v>3872</v>
      </c>
      <c r="G178" s="2183">
        <v>1.68</v>
      </c>
      <c r="H178" s="2177">
        <v>2.8</v>
      </c>
    </row>
    <row r="179" spans="1:8" ht="20.100000000000001" hidden="1" customHeight="1" x14ac:dyDescent="0.25">
      <c r="A179" s="2191">
        <v>41518</v>
      </c>
      <c r="B179" s="2173">
        <v>60</v>
      </c>
      <c r="C179" s="2174">
        <v>1625</v>
      </c>
      <c r="D179" s="2174">
        <v>23310</v>
      </c>
      <c r="E179" s="2174">
        <v>777</v>
      </c>
      <c r="F179" s="2182" t="s">
        <v>3872</v>
      </c>
      <c r="G179" s="2183">
        <v>1.64</v>
      </c>
      <c r="H179" s="2177">
        <v>2.75</v>
      </c>
    </row>
    <row r="180" spans="1:8" ht="20.100000000000001" hidden="1" customHeight="1" x14ac:dyDescent="0.25">
      <c r="A180" s="2191">
        <v>41548</v>
      </c>
      <c r="B180" s="2173">
        <v>990</v>
      </c>
      <c r="C180" s="2174">
        <v>2560</v>
      </c>
      <c r="D180" s="2174">
        <v>56785</v>
      </c>
      <c r="E180" s="2174">
        <v>1831.77</v>
      </c>
      <c r="F180" s="2182" t="s">
        <v>474</v>
      </c>
      <c r="G180" s="2183">
        <v>2.5299999999999998</v>
      </c>
      <c r="H180" s="2177">
        <v>2.87</v>
      </c>
    </row>
    <row r="181" spans="1:8" ht="20.100000000000001" hidden="1" customHeight="1" x14ac:dyDescent="0.25">
      <c r="A181" s="2191">
        <v>41579</v>
      </c>
      <c r="B181" s="2173">
        <v>225</v>
      </c>
      <c r="C181" s="2174">
        <v>2780</v>
      </c>
      <c r="D181" s="2174">
        <v>48017</v>
      </c>
      <c r="E181" s="2174">
        <v>1600.57</v>
      </c>
      <c r="F181" s="2182" t="s">
        <v>482</v>
      </c>
      <c r="G181" s="2183">
        <v>3.58</v>
      </c>
      <c r="H181" s="2177">
        <v>3.35</v>
      </c>
    </row>
    <row r="182" spans="1:8" ht="20.100000000000001" hidden="1" customHeight="1" x14ac:dyDescent="0.25">
      <c r="A182" s="2191">
        <v>41609</v>
      </c>
      <c r="B182" s="2173">
        <v>310</v>
      </c>
      <c r="C182" s="2174">
        <v>2825</v>
      </c>
      <c r="D182" s="2174">
        <v>47480</v>
      </c>
      <c r="E182" s="2174">
        <v>1531.61</v>
      </c>
      <c r="F182" s="2182" t="s">
        <v>3873</v>
      </c>
      <c r="G182" s="2183">
        <v>3.52</v>
      </c>
      <c r="H182" s="2177">
        <v>3.54</v>
      </c>
    </row>
    <row r="183" spans="1:8" ht="20.100000000000001" hidden="1" customHeight="1" x14ac:dyDescent="0.25">
      <c r="A183" s="2191">
        <v>41640</v>
      </c>
      <c r="B183" s="2173">
        <v>5</v>
      </c>
      <c r="C183" s="2174">
        <v>2000</v>
      </c>
      <c r="D183" s="2174">
        <v>12670</v>
      </c>
      <c r="E183" s="2174">
        <v>436.9</v>
      </c>
      <c r="F183" s="2182" t="s">
        <v>3874</v>
      </c>
      <c r="G183" s="2183">
        <v>3.63</v>
      </c>
      <c r="H183" s="2177">
        <v>3.54</v>
      </c>
    </row>
    <row r="184" spans="1:8" ht="20.100000000000001" hidden="1" customHeight="1" x14ac:dyDescent="0.25">
      <c r="A184" s="2191">
        <v>41671</v>
      </c>
      <c r="B184" s="2173">
        <v>30</v>
      </c>
      <c r="C184" s="2174">
        <v>520</v>
      </c>
      <c r="D184" s="2174">
        <v>6385</v>
      </c>
      <c r="E184" s="2174">
        <v>228.04</v>
      </c>
      <c r="F184" s="2182" t="s">
        <v>3875</v>
      </c>
      <c r="G184" s="2183">
        <v>2.6</v>
      </c>
      <c r="H184" s="2177">
        <v>3.36</v>
      </c>
    </row>
    <row r="185" spans="1:8" ht="20.100000000000001" hidden="1" customHeight="1" x14ac:dyDescent="0.25">
      <c r="A185" s="2191">
        <v>41699</v>
      </c>
      <c r="B185" s="2173">
        <v>10</v>
      </c>
      <c r="C185" s="2174">
        <v>260</v>
      </c>
      <c r="D185" s="2174">
        <v>1660</v>
      </c>
      <c r="E185" s="2174">
        <v>111</v>
      </c>
      <c r="F185" s="2182" t="s">
        <v>3876</v>
      </c>
      <c r="G185" s="2183">
        <v>2.35</v>
      </c>
      <c r="H185" s="2177">
        <v>3.16</v>
      </c>
    </row>
    <row r="186" spans="1:8" ht="20.100000000000001" hidden="1" customHeight="1" x14ac:dyDescent="0.25">
      <c r="A186" s="2191">
        <v>41730</v>
      </c>
      <c r="B186" s="2173">
        <v>25</v>
      </c>
      <c r="C186" s="2174">
        <v>550</v>
      </c>
      <c r="D186" s="2174">
        <v>2815</v>
      </c>
      <c r="E186" s="2174">
        <v>112.6</v>
      </c>
      <c r="F186" s="2182" t="s">
        <v>3877</v>
      </c>
      <c r="G186" s="2183">
        <v>2.0299999999999998</v>
      </c>
      <c r="H186" s="2177">
        <v>2.95</v>
      </c>
    </row>
    <row r="187" spans="1:8" ht="20.100000000000001" hidden="1" customHeight="1" x14ac:dyDescent="0.25">
      <c r="A187" s="2191">
        <v>41760</v>
      </c>
      <c r="B187" s="2173">
        <v>105</v>
      </c>
      <c r="C187" s="2174">
        <v>1100</v>
      </c>
      <c r="D187" s="2174">
        <v>9525</v>
      </c>
      <c r="E187" s="2174">
        <v>340.18</v>
      </c>
      <c r="F187" s="2182" t="s">
        <v>3878</v>
      </c>
      <c r="G187" s="2183">
        <v>1.77</v>
      </c>
      <c r="H187" s="2177">
        <v>2.83</v>
      </c>
    </row>
    <row r="188" spans="1:8" ht="20.100000000000001" hidden="1" customHeight="1" x14ac:dyDescent="0.25">
      <c r="A188" s="2191">
        <v>41791</v>
      </c>
      <c r="B188" s="2173">
        <v>100</v>
      </c>
      <c r="C188" s="2174">
        <v>1195</v>
      </c>
      <c r="D188" s="2174">
        <v>8640</v>
      </c>
      <c r="E188" s="2174">
        <v>360</v>
      </c>
      <c r="F188" s="2182" t="s">
        <v>3879</v>
      </c>
      <c r="G188" s="2183">
        <v>1.49</v>
      </c>
      <c r="H188" s="2177">
        <v>2.61</v>
      </c>
    </row>
    <row r="189" spans="1:8" ht="20.100000000000001" hidden="1" customHeight="1" x14ac:dyDescent="0.25">
      <c r="A189" s="2191">
        <v>41821</v>
      </c>
      <c r="B189" s="2173">
        <v>20</v>
      </c>
      <c r="C189" s="2174">
        <v>2385</v>
      </c>
      <c r="D189" s="2174">
        <v>20495</v>
      </c>
      <c r="E189" s="2174">
        <v>683.17</v>
      </c>
      <c r="F189" s="2182" t="s">
        <v>3880</v>
      </c>
      <c r="G189" s="2183">
        <v>1.2</v>
      </c>
      <c r="H189" s="2177"/>
    </row>
    <row r="190" spans="1:8" ht="20.100000000000001" hidden="1" customHeight="1" x14ac:dyDescent="0.25">
      <c r="A190" s="2191">
        <v>41852</v>
      </c>
      <c r="B190" s="2173">
        <v>200</v>
      </c>
      <c r="C190" s="2174">
        <v>2475</v>
      </c>
      <c r="D190" s="2174">
        <v>47715</v>
      </c>
      <c r="E190" s="2174">
        <v>1539.19</v>
      </c>
      <c r="F190" s="2182" t="s">
        <v>3881</v>
      </c>
      <c r="G190" s="2183">
        <v>0.98</v>
      </c>
      <c r="H190" s="2177"/>
    </row>
    <row r="191" spans="1:8" ht="20.100000000000001" hidden="1" customHeight="1" x14ac:dyDescent="0.25">
      <c r="A191" s="2191">
        <v>41883</v>
      </c>
      <c r="B191" s="2173">
        <v>1070</v>
      </c>
      <c r="C191" s="2174">
        <v>2840</v>
      </c>
      <c r="D191" s="2174">
        <v>57825</v>
      </c>
      <c r="E191" s="2174">
        <v>1927.5</v>
      </c>
      <c r="F191" s="2182" t="s">
        <v>3882</v>
      </c>
      <c r="G191" s="2183">
        <v>0.75</v>
      </c>
      <c r="H191" s="2177"/>
    </row>
    <row r="192" spans="1:8" ht="20.100000000000001" hidden="1" customHeight="1" x14ac:dyDescent="0.25">
      <c r="A192" s="2191">
        <v>41913</v>
      </c>
      <c r="B192" s="2173">
        <v>290</v>
      </c>
      <c r="C192" s="2174">
        <v>2710</v>
      </c>
      <c r="D192" s="2174">
        <v>53324</v>
      </c>
      <c r="E192" s="2174">
        <v>1720.13</v>
      </c>
      <c r="F192" s="2182" t="s">
        <v>3883</v>
      </c>
      <c r="G192" s="2183">
        <v>0.72</v>
      </c>
      <c r="H192" s="2177"/>
    </row>
    <row r="193" spans="1:8" ht="20.100000000000001" hidden="1" customHeight="1" x14ac:dyDescent="0.25">
      <c r="A193" s="2191">
        <v>41944</v>
      </c>
      <c r="B193" s="2173">
        <v>125</v>
      </c>
      <c r="C193" s="2174">
        <v>1800</v>
      </c>
      <c r="D193" s="2174">
        <v>30475</v>
      </c>
      <c r="E193" s="2174">
        <v>1015.83</v>
      </c>
      <c r="F193" s="2182" t="s">
        <v>3884</v>
      </c>
      <c r="G193" s="2183">
        <v>0.63</v>
      </c>
      <c r="H193" s="2177"/>
    </row>
    <row r="194" spans="1:8" ht="20.100000000000001" hidden="1" customHeight="1" x14ac:dyDescent="0.25">
      <c r="A194" s="2191">
        <v>41974</v>
      </c>
      <c r="B194" s="2173">
        <v>1105</v>
      </c>
      <c r="C194" s="2174">
        <v>2880</v>
      </c>
      <c r="D194" s="2174">
        <v>62445</v>
      </c>
      <c r="E194" s="2174">
        <v>2014.35</v>
      </c>
      <c r="F194" s="2182" t="s">
        <v>3885</v>
      </c>
      <c r="G194" s="2183">
        <v>2.2999999999999998</v>
      </c>
      <c r="H194" s="2177"/>
    </row>
    <row r="195" spans="1:8" ht="20.100000000000001" hidden="1" customHeight="1" x14ac:dyDescent="0.25">
      <c r="A195" s="2191">
        <v>42005</v>
      </c>
      <c r="B195" s="2173">
        <v>175</v>
      </c>
      <c r="C195" s="2174">
        <v>1150</v>
      </c>
      <c r="D195" s="2174">
        <v>18123</v>
      </c>
      <c r="E195" s="2174">
        <v>584.61</v>
      </c>
      <c r="F195" s="2182" t="s">
        <v>3886</v>
      </c>
      <c r="G195" s="2183">
        <v>2.5299999999999998</v>
      </c>
      <c r="H195" s="2177"/>
    </row>
    <row r="196" spans="1:8" ht="20.100000000000001" hidden="1" customHeight="1" x14ac:dyDescent="0.25">
      <c r="A196" s="2191">
        <v>42036</v>
      </c>
      <c r="B196" s="2173">
        <v>95</v>
      </c>
      <c r="C196" s="2174">
        <v>1460</v>
      </c>
      <c r="D196" s="2174">
        <v>20972</v>
      </c>
      <c r="E196" s="2174">
        <v>749</v>
      </c>
      <c r="F196" s="2182" t="s">
        <v>3887</v>
      </c>
      <c r="G196" s="2183">
        <v>2.0299999999999998</v>
      </c>
      <c r="H196" s="2177"/>
    </row>
    <row r="197" spans="1:8" ht="20.100000000000001" hidden="1" customHeight="1" x14ac:dyDescent="0.25">
      <c r="A197" s="2191">
        <v>42064</v>
      </c>
      <c r="B197" s="2173">
        <v>50</v>
      </c>
      <c r="C197" s="2174">
        <v>1175</v>
      </c>
      <c r="D197" s="2174">
        <v>10260</v>
      </c>
      <c r="E197" s="2174">
        <v>330.97</v>
      </c>
      <c r="F197" s="2182" t="s">
        <v>610</v>
      </c>
      <c r="G197" s="2183">
        <v>1.91</v>
      </c>
      <c r="H197" s="2177"/>
    </row>
    <row r="198" spans="1:8" ht="20.100000000000001" hidden="1" customHeight="1" x14ac:dyDescent="0.25">
      <c r="A198" s="2191">
        <v>42095</v>
      </c>
      <c r="B198" s="2173">
        <v>100</v>
      </c>
      <c r="C198" s="2174">
        <v>800</v>
      </c>
      <c r="D198" s="2174">
        <v>9785</v>
      </c>
      <c r="E198" s="2174">
        <v>349.46</v>
      </c>
      <c r="F198" s="2182" t="s">
        <v>3888</v>
      </c>
      <c r="G198" s="2183">
        <v>1.68</v>
      </c>
      <c r="H198" s="2177"/>
    </row>
    <row r="199" spans="1:8" ht="20.100000000000001" hidden="1" customHeight="1" x14ac:dyDescent="0.25">
      <c r="A199" s="2191">
        <v>42125</v>
      </c>
      <c r="B199" s="2173">
        <v>40</v>
      </c>
      <c r="C199" s="2174">
        <v>165</v>
      </c>
      <c r="D199" s="2174">
        <v>960</v>
      </c>
      <c r="E199" s="2174">
        <v>120</v>
      </c>
      <c r="F199" s="2182" t="s">
        <v>3889</v>
      </c>
      <c r="G199" s="2183">
        <v>1.47</v>
      </c>
      <c r="H199" s="2177"/>
    </row>
    <row r="200" spans="1:8" ht="20.100000000000001" hidden="1" customHeight="1" x14ac:dyDescent="0.25">
      <c r="A200" s="2191">
        <v>42156</v>
      </c>
      <c r="B200" s="2173">
        <v>25</v>
      </c>
      <c r="C200" s="2174">
        <v>425</v>
      </c>
      <c r="D200" s="2174">
        <v>2335</v>
      </c>
      <c r="E200" s="2174">
        <v>194.58</v>
      </c>
      <c r="F200" s="2182" t="s">
        <v>3803</v>
      </c>
      <c r="G200" s="2183">
        <v>1.06</v>
      </c>
      <c r="H200" s="2177"/>
    </row>
    <row r="201" spans="1:8" ht="20.100000000000001" hidden="1" customHeight="1" x14ac:dyDescent="0.25">
      <c r="A201" s="2191">
        <v>42186</v>
      </c>
      <c r="B201" s="2173">
        <v>25</v>
      </c>
      <c r="C201" s="2174">
        <v>100</v>
      </c>
      <c r="D201" s="2174">
        <v>445</v>
      </c>
      <c r="E201" s="2174">
        <v>55.63</v>
      </c>
      <c r="F201" s="2182" t="s">
        <v>3800</v>
      </c>
      <c r="G201" s="2183">
        <v>0.99</v>
      </c>
      <c r="H201" s="2177"/>
    </row>
    <row r="202" spans="1:8" ht="20.100000000000001" hidden="1" customHeight="1" x14ac:dyDescent="0.25">
      <c r="A202" s="2191">
        <v>42217</v>
      </c>
      <c r="B202" s="2173">
        <v>250</v>
      </c>
      <c r="C202" s="2174">
        <v>1880</v>
      </c>
      <c r="D202" s="2174">
        <v>7560</v>
      </c>
      <c r="E202" s="2174">
        <v>687.27</v>
      </c>
      <c r="F202" s="2182" t="s">
        <v>584</v>
      </c>
      <c r="G202" s="2183">
        <v>1.1000000000000001</v>
      </c>
      <c r="H202" s="2177"/>
    </row>
    <row r="203" spans="1:8" ht="20.100000000000001" hidden="1" customHeight="1" x14ac:dyDescent="0.25">
      <c r="A203" s="2191">
        <v>42248</v>
      </c>
      <c r="B203" s="2173">
        <v>16</v>
      </c>
      <c r="C203" s="2174">
        <v>530</v>
      </c>
      <c r="D203" s="2174">
        <v>5116</v>
      </c>
      <c r="E203" s="2174">
        <v>222.43</v>
      </c>
      <c r="F203" s="2182" t="s">
        <v>539</v>
      </c>
      <c r="G203" s="2183">
        <v>1.18</v>
      </c>
      <c r="H203" s="2177"/>
    </row>
    <row r="204" spans="1:8" ht="20.100000000000001" hidden="1" customHeight="1" x14ac:dyDescent="0.25">
      <c r="A204" s="2191">
        <v>42278</v>
      </c>
      <c r="B204" s="2173">
        <v>25</v>
      </c>
      <c r="C204" s="2174">
        <v>1095</v>
      </c>
      <c r="D204" s="2174">
        <v>6250</v>
      </c>
      <c r="E204" s="2174">
        <v>297.62</v>
      </c>
      <c r="F204" s="2182" t="s">
        <v>3890</v>
      </c>
      <c r="G204" s="2183">
        <v>1.1100000000000001</v>
      </c>
      <c r="H204" s="2177"/>
    </row>
    <row r="205" spans="1:8" ht="20.100000000000001" hidden="1" customHeight="1" x14ac:dyDescent="0.25">
      <c r="A205" s="2191">
        <v>42309</v>
      </c>
      <c r="B205" s="2173">
        <v>80</v>
      </c>
      <c r="C205" s="2174">
        <v>515</v>
      </c>
      <c r="D205" s="2174">
        <v>8780</v>
      </c>
      <c r="E205" s="2174">
        <v>313.57</v>
      </c>
      <c r="F205" s="2182" t="s">
        <v>3891</v>
      </c>
      <c r="G205" s="2183">
        <v>1.1100000000000001</v>
      </c>
      <c r="H205" s="2177"/>
    </row>
    <row r="206" spans="1:8" ht="20.100000000000001" hidden="1" customHeight="1" x14ac:dyDescent="0.25">
      <c r="A206" s="2200">
        <v>42339</v>
      </c>
      <c r="B206" s="2201">
        <v>100</v>
      </c>
      <c r="C206" s="2202">
        <v>555</v>
      </c>
      <c r="D206" s="2202">
        <v>9405</v>
      </c>
      <c r="E206" s="2202">
        <v>303.39</v>
      </c>
      <c r="F206" s="2203" t="s">
        <v>3799</v>
      </c>
      <c r="G206" s="2204">
        <v>1.28</v>
      </c>
      <c r="H206" s="2177"/>
    </row>
    <row r="207" spans="1:8" ht="20.100000000000001" hidden="1" customHeight="1" x14ac:dyDescent="0.25">
      <c r="A207" s="2191">
        <v>42370</v>
      </c>
      <c r="B207" s="2173">
        <v>20</v>
      </c>
      <c r="C207" s="2174">
        <v>420</v>
      </c>
      <c r="D207" s="2174">
        <v>5370</v>
      </c>
      <c r="E207" s="2174">
        <v>173.23</v>
      </c>
      <c r="F207" s="2182" t="s">
        <v>1415</v>
      </c>
      <c r="G207" s="2183">
        <v>1.6</v>
      </c>
      <c r="H207" s="2177"/>
    </row>
    <row r="208" spans="1:8" ht="20.100000000000001" hidden="1" customHeight="1" x14ac:dyDescent="0.25">
      <c r="A208" s="2191">
        <v>42401</v>
      </c>
      <c r="B208" s="2173">
        <v>105</v>
      </c>
      <c r="C208" s="2174">
        <v>1830</v>
      </c>
      <c r="D208" s="2174">
        <v>20405</v>
      </c>
      <c r="E208" s="2174">
        <v>703.62</v>
      </c>
      <c r="F208" s="2182" t="s">
        <v>3892</v>
      </c>
      <c r="G208" s="2183">
        <v>1.56</v>
      </c>
      <c r="H208" s="2177"/>
    </row>
    <row r="209" spans="1:8" ht="20.100000000000001" hidden="1" customHeight="1" x14ac:dyDescent="0.25">
      <c r="A209" s="2191">
        <v>42430</v>
      </c>
      <c r="B209" s="2173">
        <v>125</v>
      </c>
      <c r="C209" s="2174">
        <v>775</v>
      </c>
      <c r="D209" s="2174">
        <v>8305</v>
      </c>
      <c r="E209" s="2174">
        <v>319.42</v>
      </c>
      <c r="F209" s="2182" t="s">
        <v>3893</v>
      </c>
      <c r="G209" s="2183">
        <v>1.46</v>
      </c>
      <c r="H209" s="2177"/>
    </row>
    <row r="210" spans="1:8" ht="20.100000000000001" hidden="1" customHeight="1" x14ac:dyDescent="0.25">
      <c r="A210" s="2191">
        <v>42461</v>
      </c>
      <c r="B210" s="2173">
        <v>250</v>
      </c>
      <c r="C210" s="2174">
        <v>1980</v>
      </c>
      <c r="D210" s="2174">
        <v>24710</v>
      </c>
      <c r="E210" s="2174">
        <v>823.67</v>
      </c>
      <c r="F210" s="2182" t="s">
        <v>3894</v>
      </c>
      <c r="G210" s="2183">
        <v>1.45</v>
      </c>
      <c r="H210" s="2177"/>
    </row>
    <row r="211" spans="1:8" ht="20.100000000000001" hidden="1" customHeight="1" x14ac:dyDescent="0.25">
      <c r="A211" s="2191">
        <v>42491</v>
      </c>
      <c r="B211" s="2173">
        <v>30</v>
      </c>
      <c r="C211" s="2174">
        <v>1980</v>
      </c>
      <c r="D211" s="2174">
        <v>4920</v>
      </c>
      <c r="E211" s="2174">
        <v>378.46</v>
      </c>
      <c r="F211" s="2182" t="s">
        <v>3809</v>
      </c>
      <c r="G211" s="2183">
        <v>1.58</v>
      </c>
      <c r="H211" s="2177"/>
    </row>
    <row r="212" spans="1:8" ht="20.100000000000001" hidden="1" customHeight="1" x14ac:dyDescent="0.25">
      <c r="A212" s="2191">
        <v>42522</v>
      </c>
      <c r="B212" s="2173">
        <v>30</v>
      </c>
      <c r="C212" s="2174">
        <v>975</v>
      </c>
      <c r="D212" s="2174">
        <v>13740</v>
      </c>
      <c r="E212" s="2174">
        <v>528.46</v>
      </c>
      <c r="F212" s="2182" t="s">
        <v>3895</v>
      </c>
      <c r="G212" s="2183">
        <v>1.38</v>
      </c>
      <c r="H212" s="2177"/>
    </row>
    <row r="213" spans="1:8" ht="20.100000000000001" hidden="1" customHeight="1" x14ac:dyDescent="0.25">
      <c r="A213" s="2191">
        <v>42552</v>
      </c>
      <c r="B213" s="2173">
        <v>100</v>
      </c>
      <c r="C213" s="2174">
        <v>2830</v>
      </c>
      <c r="D213" s="2174">
        <v>30170</v>
      </c>
      <c r="E213" s="2174">
        <v>1005.67</v>
      </c>
      <c r="F213" s="2182" t="s">
        <v>2205</v>
      </c>
      <c r="G213" s="2183">
        <v>2.63</v>
      </c>
      <c r="H213" s="2177"/>
    </row>
    <row r="214" spans="1:8" ht="20.100000000000001" hidden="1" customHeight="1" x14ac:dyDescent="0.25">
      <c r="A214" s="2191">
        <v>42583</v>
      </c>
      <c r="B214" s="2173">
        <v>100</v>
      </c>
      <c r="C214" s="2174">
        <v>775</v>
      </c>
      <c r="D214" s="2174">
        <v>10245</v>
      </c>
      <c r="E214" s="2174">
        <v>330.48</v>
      </c>
      <c r="F214" s="2182" t="s">
        <v>3896</v>
      </c>
      <c r="G214" s="2183">
        <v>1.423</v>
      </c>
      <c r="H214" s="2177"/>
    </row>
    <row r="215" spans="1:8" ht="20.100000000000001" hidden="1" customHeight="1" x14ac:dyDescent="0.25">
      <c r="A215" s="2191">
        <v>42614</v>
      </c>
      <c r="B215" s="2173">
        <v>75</v>
      </c>
      <c r="C215" s="2174">
        <v>1005</v>
      </c>
      <c r="D215" s="2174">
        <v>13065</v>
      </c>
      <c r="E215" s="2174">
        <v>522.6</v>
      </c>
      <c r="F215" s="2182" t="s">
        <v>3897</v>
      </c>
      <c r="G215" s="2183">
        <v>1.37</v>
      </c>
      <c r="H215" s="2177"/>
    </row>
    <row r="216" spans="1:8" ht="20.100000000000001" hidden="1" customHeight="1" x14ac:dyDescent="0.25">
      <c r="A216" s="2191">
        <v>42644</v>
      </c>
      <c r="B216" s="2173">
        <v>200</v>
      </c>
      <c r="C216" s="2174">
        <v>2010</v>
      </c>
      <c r="D216" s="2174">
        <v>25120</v>
      </c>
      <c r="E216" s="2174">
        <v>810</v>
      </c>
      <c r="F216" s="2182" t="s">
        <v>3897</v>
      </c>
      <c r="G216" s="2183">
        <v>1.39</v>
      </c>
      <c r="H216" s="2177"/>
    </row>
    <row r="217" spans="1:8" ht="20.100000000000001" hidden="1" customHeight="1" x14ac:dyDescent="0.25">
      <c r="A217" s="2191">
        <v>42675</v>
      </c>
      <c r="B217" s="2173">
        <v>100</v>
      </c>
      <c r="C217" s="2174">
        <v>1780</v>
      </c>
      <c r="D217" s="2174">
        <v>16430</v>
      </c>
      <c r="E217" s="2174">
        <v>547.66999999999996</v>
      </c>
      <c r="F217" s="2182" t="s">
        <v>3898</v>
      </c>
      <c r="G217" s="2183">
        <v>1.66</v>
      </c>
      <c r="H217" s="2177"/>
    </row>
    <row r="218" spans="1:8" ht="20.100000000000001" hidden="1" customHeight="1" x14ac:dyDescent="0.25">
      <c r="A218" s="2191">
        <v>42705</v>
      </c>
      <c r="B218" s="2173">
        <v>50</v>
      </c>
      <c r="C218" s="2174">
        <v>420</v>
      </c>
      <c r="D218" s="2174">
        <v>5285</v>
      </c>
      <c r="E218" s="2174">
        <v>170.48</v>
      </c>
      <c r="F218" s="2182" t="s">
        <v>3893</v>
      </c>
      <c r="G218" s="2183">
        <v>1.52</v>
      </c>
      <c r="H218" s="2177"/>
    </row>
    <row r="219" spans="1:8" ht="20.100000000000001" hidden="1" customHeight="1" x14ac:dyDescent="0.25">
      <c r="A219" s="2205">
        <v>42736</v>
      </c>
      <c r="B219" s="2206">
        <v>50</v>
      </c>
      <c r="C219" s="2207">
        <v>250</v>
      </c>
      <c r="D219" s="2207">
        <v>3100</v>
      </c>
      <c r="E219" s="2207">
        <v>124</v>
      </c>
      <c r="F219" s="2193" t="s">
        <v>3899</v>
      </c>
      <c r="G219" s="2208">
        <v>1.31</v>
      </c>
      <c r="H219" s="2177"/>
    </row>
    <row r="220" spans="1:8" ht="20.100000000000001" hidden="1" customHeight="1" x14ac:dyDescent="0.25">
      <c r="A220" s="2191">
        <v>42767</v>
      </c>
      <c r="B220" s="2173">
        <v>50</v>
      </c>
      <c r="C220" s="2174">
        <v>600</v>
      </c>
      <c r="D220" s="2174">
        <v>4891</v>
      </c>
      <c r="E220" s="2174">
        <v>232.9</v>
      </c>
      <c r="F220" s="2182" t="s">
        <v>3900</v>
      </c>
      <c r="G220" s="2183">
        <v>1.08</v>
      </c>
      <c r="H220" s="2177"/>
    </row>
    <row r="221" spans="1:8" ht="20.100000000000001" hidden="1" customHeight="1" x14ac:dyDescent="0.25">
      <c r="A221" s="2191">
        <v>42795</v>
      </c>
      <c r="B221" s="2173">
        <v>70.5</v>
      </c>
      <c r="C221" s="2174">
        <v>1205.5</v>
      </c>
      <c r="D221" s="2174">
        <v>15525.5</v>
      </c>
      <c r="E221" s="2174">
        <v>500.82</v>
      </c>
      <c r="F221" s="2182" t="s">
        <v>3900</v>
      </c>
      <c r="G221" s="2183">
        <v>1.1499999999999999</v>
      </c>
      <c r="H221" s="2177"/>
    </row>
    <row r="222" spans="1:8" ht="20.100000000000001" hidden="1" customHeight="1" x14ac:dyDescent="0.25">
      <c r="A222" s="2191">
        <v>42826</v>
      </c>
      <c r="B222" s="2173">
        <v>20.5</v>
      </c>
      <c r="C222" s="2174">
        <v>1040.5</v>
      </c>
      <c r="D222" s="2174">
        <v>8445</v>
      </c>
      <c r="E222" s="2174">
        <v>281.5</v>
      </c>
      <c r="F222" s="2182" t="s">
        <v>3900</v>
      </c>
      <c r="G222" s="2183">
        <v>1.0900000000000001</v>
      </c>
      <c r="H222" s="2177"/>
    </row>
    <row r="223" spans="1:8" ht="20.100000000000001" hidden="1" customHeight="1" x14ac:dyDescent="0.25">
      <c r="A223" s="2191">
        <v>42856</v>
      </c>
      <c r="B223" s="2173">
        <v>20.5</v>
      </c>
      <c r="C223" s="2174">
        <v>420.5</v>
      </c>
      <c r="D223" s="2174">
        <v>3537.5</v>
      </c>
      <c r="E223" s="2174">
        <v>117.92</v>
      </c>
      <c r="F223" s="2182" t="s">
        <v>3901</v>
      </c>
      <c r="G223" s="2183">
        <v>1.23</v>
      </c>
      <c r="H223" s="2177"/>
    </row>
    <row r="224" spans="1:8" ht="20.100000000000001" hidden="1" customHeight="1" x14ac:dyDescent="0.25">
      <c r="A224" s="2191">
        <v>42887</v>
      </c>
      <c r="B224" s="2173">
        <v>50</v>
      </c>
      <c r="C224" s="2174">
        <v>450</v>
      </c>
      <c r="D224" s="2174">
        <v>3605</v>
      </c>
      <c r="E224" s="2174">
        <v>171.67</v>
      </c>
      <c r="F224" s="2182" t="s">
        <v>3902</v>
      </c>
      <c r="G224" s="2183">
        <v>1.01</v>
      </c>
      <c r="H224" s="2177"/>
    </row>
    <row r="225" spans="1:8" ht="20.100000000000001" hidden="1" customHeight="1" x14ac:dyDescent="0.25">
      <c r="A225" s="2191">
        <v>42917</v>
      </c>
      <c r="B225" s="2173">
        <v>50</v>
      </c>
      <c r="C225" s="2174">
        <v>600</v>
      </c>
      <c r="D225" s="2174">
        <v>5820</v>
      </c>
      <c r="E225" s="2174">
        <v>291</v>
      </c>
      <c r="F225" s="2182" t="s">
        <v>3903</v>
      </c>
      <c r="G225" s="2183">
        <v>0.83</v>
      </c>
      <c r="H225" s="2177"/>
    </row>
    <row r="226" spans="1:8" ht="20.100000000000001" hidden="1" customHeight="1" x14ac:dyDescent="0.25">
      <c r="A226" s="2191">
        <v>42948</v>
      </c>
      <c r="B226" s="2173">
        <v>100</v>
      </c>
      <c r="C226" s="2174">
        <v>475</v>
      </c>
      <c r="D226" s="2174">
        <v>2510</v>
      </c>
      <c r="E226" s="2174">
        <v>313.75</v>
      </c>
      <c r="F226" s="2182" t="s">
        <v>3904</v>
      </c>
      <c r="G226" s="2183">
        <v>0.8</v>
      </c>
      <c r="H226" s="2177"/>
    </row>
    <row r="227" spans="1:8" ht="20.100000000000001" hidden="1" customHeight="1" x14ac:dyDescent="0.25">
      <c r="A227" s="2191">
        <v>42979</v>
      </c>
      <c r="B227" s="2173">
        <v>150</v>
      </c>
      <c r="C227" s="2174">
        <v>750</v>
      </c>
      <c r="D227" s="2174">
        <v>7300</v>
      </c>
      <c r="E227" s="2174">
        <v>456.25</v>
      </c>
      <c r="F227" s="2182" t="s">
        <v>3905</v>
      </c>
      <c r="G227" s="2183">
        <v>1.01</v>
      </c>
      <c r="H227" s="2177"/>
    </row>
    <row r="228" spans="1:8" ht="20.100000000000001" hidden="1" customHeight="1" x14ac:dyDescent="0.25">
      <c r="A228" s="2191">
        <v>43009</v>
      </c>
      <c r="B228" s="2173">
        <v>10</v>
      </c>
      <c r="C228" s="2174">
        <v>1570</v>
      </c>
      <c r="D228" s="2174">
        <v>18570</v>
      </c>
      <c r="E228" s="2174">
        <v>599</v>
      </c>
      <c r="F228" s="2182" t="s">
        <v>3906</v>
      </c>
      <c r="G228" s="2183">
        <v>0.92</v>
      </c>
      <c r="H228" s="2177"/>
    </row>
    <row r="229" spans="1:8" ht="20.100000000000001" hidden="1" customHeight="1" x14ac:dyDescent="0.25">
      <c r="A229" s="2191">
        <v>43040</v>
      </c>
      <c r="B229" s="2173">
        <v>25</v>
      </c>
      <c r="C229" s="2174">
        <v>980</v>
      </c>
      <c r="D229" s="2174">
        <v>14235</v>
      </c>
      <c r="E229" s="2174">
        <v>508.39</v>
      </c>
      <c r="F229" s="2182" t="s">
        <v>3907</v>
      </c>
      <c r="G229" s="2183">
        <v>1.02</v>
      </c>
      <c r="H229" s="2177"/>
    </row>
    <row r="230" spans="1:8" ht="20.100000000000001" hidden="1" customHeight="1" x14ac:dyDescent="0.25">
      <c r="A230" s="2191">
        <v>43070</v>
      </c>
      <c r="B230" s="2173">
        <v>50</v>
      </c>
      <c r="C230" s="2174">
        <v>1385</v>
      </c>
      <c r="D230" s="2174">
        <v>20925</v>
      </c>
      <c r="E230" s="2174">
        <v>747</v>
      </c>
      <c r="F230" s="2182" t="s">
        <v>3908</v>
      </c>
      <c r="G230" s="2183">
        <v>1.28</v>
      </c>
      <c r="H230" s="2177"/>
    </row>
    <row r="231" spans="1:8" ht="20.100000000000001" hidden="1" customHeight="1" x14ac:dyDescent="0.25">
      <c r="A231" s="2191">
        <v>43101</v>
      </c>
      <c r="B231" s="2173">
        <v>175</v>
      </c>
      <c r="C231" s="2174">
        <v>2600</v>
      </c>
      <c r="D231" s="2174">
        <v>40265</v>
      </c>
      <c r="E231" s="2174">
        <v>1298.8699999999999</v>
      </c>
      <c r="F231" s="2182" t="s">
        <v>3909</v>
      </c>
      <c r="G231" s="2183">
        <v>1.37</v>
      </c>
      <c r="H231" s="2177"/>
    </row>
    <row r="232" spans="1:8" ht="20.100000000000001" hidden="1" customHeight="1" x14ac:dyDescent="0.25">
      <c r="A232" s="2191">
        <v>43132</v>
      </c>
      <c r="B232" s="2173">
        <v>550</v>
      </c>
      <c r="C232" s="2174">
        <v>4200</v>
      </c>
      <c r="D232" s="2174">
        <v>58260</v>
      </c>
      <c r="E232" s="2174">
        <v>2080.71</v>
      </c>
      <c r="F232" s="2182" t="s">
        <v>3910</v>
      </c>
      <c r="G232" s="2183">
        <v>2.36</v>
      </c>
      <c r="H232" s="2177"/>
    </row>
    <row r="233" spans="1:8" ht="20.100000000000001" hidden="1" customHeight="1" x14ac:dyDescent="0.25">
      <c r="A233" s="2191">
        <v>43160</v>
      </c>
      <c r="B233" s="2173">
        <v>100</v>
      </c>
      <c r="C233" s="2174">
        <v>1600</v>
      </c>
      <c r="D233" s="2174">
        <v>16760</v>
      </c>
      <c r="E233" s="2174">
        <v>540.65</v>
      </c>
      <c r="F233" s="2182" t="s">
        <v>3911</v>
      </c>
      <c r="G233" s="2183">
        <v>2.99</v>
      </c>
      <c r="H233" s="2177"/>
    </row>
    <row r="234" spans="1:8" ht="20.100000000000001" hidden="1" customHeight="1" x14ac:dyDescent="0.25">
      <c r="A234" s="2191">
        <v>43191</v>
      </c>
      <c r="B234" s="2173">
        <v>275</v>
      </c>
      <c r="C234" s="2174">
        <v>3045</v>
      </c>
      <c r="D234" s="2174">
        <v>59510</v>
      </c>
      <c r="E234" s="2174">
        <v>1983.67</v>
      </c>
      <c r="F234" s="2182" t="s">
        <v>3912</v>
      </c>
      <c r="G234" s="2183">
        <v>3.46</v>
      </c>
      <c r="H234" s="2177"/>
    </row>
    <row r="235" spans="1:8" ht="20.100000000000001" hidden="1" customHeight="1" x14ac:dyDescent="0.25">
      <c r="A235" s="2191">
        <v>43221</v>
      </c>
      <c r="B235" s="2173">
        <v>200</v>
      </c>
      <c r="C235" s="2174">
        <v>1575</v>
      </c>
      <c r="D235" s="2174">
        <v>25625</v>
      </c>
      <c r="E235" s="2174">
        <v>826.61</v>
      </c>
      <c r="F235" s="2182" t="s">
        <v>3913</v>
      </c>
      <c r="G235" s="2183">
        <v>3.41</v>
      </c>
      <c r="H235" s="2177"/>
    </row>
    <row r="236" spans="1:8" ht="20.100000000000001" hidden="1" customHeight="1" x14ac:dyDescent="0.25">
      <c r="A236" s="2191">
        <v>43252</v>
      </c>
      <c r="B236" s="2173">
        <v>400</v>
      </c>
      <c r="C236" s="2174">
        <v>2610</v>
      </c>
      <c r="D236" s="2174">
        <v>37945</v>
      </c>
      <c r="E236" s="2174">
        <v>1264.83</v>
      </c>
      <c r="F236" s="2182" t="s">
        <v>3914</v>
      </c>
      <c r="G236" s="2183">
        <v>3.38</v>
      </c>
      <c r="H236" s="2177"/>
    </row>
    <row r="237" spans="1:8" ht="20.100000000000001" hidden="1" customHeight="1" x14ac:dyDescent="0.25">
      <c r="A237" s="2191">
        <v>43282</v>
      </c>
      <c r="B237" s="2173">
        <v>75</v>
      </c>
      <c r="C237" s="2174">
        <v>2470</v>
      </c>
      <c r="D237" s="2174">
        <v>14870</v>
      </c>
      <c r="E237" s="2174">
        <v>479.67741935483872</v>
      </c>
      <c r="F237" s="2182" t="s">
        <v>3915</v>
      </c>
      <c r="G237" s="2183">
        <v>3.3753711163416278</v>
      </c>
      <c r="H237" s="2177"/>
    </row>
    <row r="238" spans="1:8" ht="20.100000000000001" hidden="1" customHeight="1" x14ac:dyDescent="0.25">
      <c r="A238" s="2191">
        <v>43313</v>
      </c>
      <c r="B238" s="2173">
        <v>50</v>
      </c>
      <c r="C238" s="2174">
        <v>1900</v>
      </c>
      <c r="D238" s="2174">
        <v>12700</v>
      </c>
      <c r="E238" s="2174">
        <v>635</v>
      </c>
      <c r="F238" s="2182" t="s">
        <v>3913</v>
      </c>
      <c r="G238" s="2183">
        <v>3.48</v>
      </c>
      <c r="H238" s="2177"/>
    </row>
    <row r="239" spans="1:8" ht="20.100000000000001" hidden="1" customHeight="1" x14ac:dyDescent="0.25">
      <c r="A239" s="2191">
        <v>43344</v>
      </c>
      <c r="B239" s="2173">
        <v>70</v>
      </c>
      <c r="C239" s="2174">
        <v>1625</v>
      </c>
      <c r="D239" s="2174">
        <v>17300</v>
      </c>
      <c r="E239" s="2174">
        <v>720.83</v>
      </c>
      <c r="F239" s="2182" t="s">
        <v>3916</v>
      </c>
      <c r="G239" s="2183">
        <v>3.34</v>
      </c>
      <c r="H239" s="2177"/>
    </row>
    <row r="240" spans="1:8" ht="20.100000000000001" hidden="1" customHeight="1" x14ac:dyDescent="0.25">
      <c r="A240" s="2191">
        <v>43374</v>
      </c>
      <c r="B240" s="2173">
        <v>75</v>
      </c>
      <c r="C240" s="2174">
        <v>1380</v>
      </c>
      <c r="D240" s="2174">
        <v>18980</v>
      </c>
      <c r="E240" s="2174">
        <v>790.83</v>
      </c>
      <c r="F240" s="2182" t="s">
        <v>3917</v>
      </c>
      <c r="G240" s="2183">
        <v>3.49</v>
      </c>
      <c r="H240" s="2177"/>
    </row>
    <row r="241" spans="1:8" ht="20.100000000000001" hidden="1" customHeight="1" x14ac:dyDescent="0.25">
      <c r="A241" s="2191">
        <v>43405</v>
      </c>
      <c r="B241" s="2173">
        <v>100</v>
      </c>
      <c r="C241" s="2174">
        <v>1550</v>
      </c>
      <c r="D241" s="2174">
        <v>25255</v>
      </c>
      <c r="E241" s="2174">
        <v>870.86</v>
      </c>
      <c r="F241" s="2182" t="s">
        <v>3918</v>
      </c>
      <c r="G241" s="2183">
        <v>3.26</v>
      </c>
      <c r="H241" s="2177"/>
    </row>
    <row r="242" spans="1:8" ht="20.100000000000001" hidden="1" customHeight="1" x14ac:dyDescent="0.25">
      <c r="A242" s="2191">
        <v>43435</v>
      </c>
      <c r="B242" s="2173">
        <v>100</v>
      </c>
      <c r="C242" s="2174">
        <v>2528</v>
      </c>
      <c r="D242" s="2174">
        <v>27474</v>
      </c>
      <c r="E242" s="2174">
        <v>1017.56</v>
      </c>
      <c r="F242" s="2182" t="s">
        <v>3919</v>
      </c>
      <c r="G242" s="2183">
        <v>3.44</v>
      </c>
      <c r="H242" s="2177"/>
    </row>
    <row r="243" spans="1:8" ht="20.100000000000001" hidden="1" customHeight="1" x14ac:dyDescent="0.25">
      <c r="A243" s="2191">
        <v>43466</v>
      </c>
      <c r="B243" s="2173">
        <v>453</v>
      </c>
      <c r="C243" s="2174">
        <v>3203</v>
      </c>
      <c r="D243" s="2174">
        <v>49388</v>
      </c>
      <c r="E243" s="2174">
        <v>1593.16</v>
      </c>
      <c r="F243" s="2182" t="s">
        <v>636</v>
      </c>
      <c r="G243" s="2183">
        <v>3.74</v>
      </c>
      <c r="H243" s="2177"/>
    </row>
    <row r="244" spans="1:8" ht="20.100000000000001" hidden="1" customHeight="1" x14ac:dyDescent="0.25">
      <c r="A244" s="2191">
        <v>43497</v>
      </c>
      <c r="B244" s="2173">
        <v>453</v>
      </c>
      <c r="C244" s="2174">
        <v>2283</v>
      </c>
      <c r="D244" s="2174">
        <v>31848</v>
      </c>
      <c r="E244" s="2174">
        <v>1137.43</v>
      </c>
      <c r="F244" s="2182" t="s">
        <v>3920</v>
      </c>
      <c r="G244" s="2183">
        <v>3.86</v>
      </c>
      <c r="H244" s="2177"/>
    </row>
    <row r="245" spans="1:8" ht="20.100000000000001" hidden="1" customHeight="1" x14ac:dyDescent="0.25">
      <c r="A245" s="2191">
        <v>43525</v>
      </c>
      <c r="B245" s="2173">
        <v>592</v>
      </c>
      <c r="C245" s="2174">
        <v>1292</v>
      </c>
      <c r="D245" s="2174">
        <v>22727</v>
      </c>
      <c r="E245" s="2174">
        <v>733.13</v>
      </c>
      <c r="F245" s="2182" t="s">
        <v>3921</v>
      </c>
      <c r="G245" s="2183">
        <v>4.29</v>
      </c>
      <c r="H245" s="2177"/>
    </row>
    <row r="246" spans="1:8" ht="20.100000000000001" hidden="1" customHeight="1" x14ac:dyDescent="0.25">
      <c r="A246" s="2191">
        <v>43556</v>
      </c>
      <c r="B246" s="2173">
        <v>154</v>
      </c>
      <c r="C246" s="2174">
        <v>1509</v>
      </c>
      <c r="D246" s="2174">
        <v>24350</v>
      </c>
      <c r="E246" s="2174">
        <v>811.67</v>
      </c>
      <c r="F246" s="2182" t="s">
        <v>3922</v>
      </c>
      <c r="G246" s="2183">
        <v>3.65</v>
      </c>
      <c r="H246" s="2177"/>
    </row>
    <row r="247" spans="1:8" ht="20.100000000000001" hidden="1" customHeight="1" x14ac:dyDescent="0.25">
      <c r="A247" s="2191">
        <v>43586</v>
      </c>
      <c r="B247" s="2173">
        <v>29</v>
      </c>
      <c r="C247" s="2174">
        <v>1350</v>
      </c>
      <c r="D247" s="2174">
        <v>11451</v>
      </c>
      <c r="E247" s="2174">
        <v>440.42</v>
      </c>
      <c r="F247" s="2182" t="s">
        <v>3923</v>
      </c>
      <c r="G247" s="2183">
        <v>2.89</v>
      </c>
      <c r="H247" s="2177"/>
    </row>
    <row r="248" spans="1:8" ht="20.100000000000001" hidden="1" customHeight="1" x14ac:dyDescent="0.25">
      <c r="A248" s="2191">
        <v>43617</v>
      </c>
      <c r="B248" s="2173">
        <v>100</v>
      </c>
      <c r="C248" s="2174">
        <v>1425</v>
      </c>
      <c r="D248" s="2174">
        <v>13735</v>
      </c>
      <c r="E248" s="2174">
        <v>528.27</v>
      </c>
      <c r="F248" s="2209" t="s">
        <v>3924</v>
      </c>
      <c r="G248" s="2183">
        <v>2.06</v>
      </c>
      <c r="H248" s="2177"/>
    </row>
    <row r="249" spans="1:8" ht="20.100000000000001" customHeight="1" thickTop="1" x14ac:dyDescent="0.25">
      <c r="A249" s="2191">
        <v>43647</v>
      </c>
      <c r="B249" s="2210">
        <v>50</v>
      </c>
      <c r="C249" s="2036">
        <v>450</v>
      </c>
      <c r="D249" s="2036">
        <v>4400</v>
      </c>
      <c r="E249" s="2036">
        <v>191</v>
      </c>
      <c r="F249" s="2211" t="s">
        <v>3925</v>
      </c>
      <c r="G249" s="2212">
        <v>2.11</v>
      </c>
      <c r="H249" s="2177"/>
    </row>
    <row r="250" spans="1:8" ht="20.100000000000001" customHeight="1" x14ac:dyDescent="0.25">
      <c r="A250" s="2191">
        <v>43678</v>
      </c>
      <c r="B250" s="2210">
        <v>70</v>
      </c>
      <c r="C250" s="2036">
        <v>1100</v>
      </c>
      <c r="D250" s="2036">
        <v>11920</v>
      </c>
      <c r="E250" s="2036">
        <v>425.71</v>
      </c>
      <c r="F250" s="2211" t="s">
        <v>3844</v>
      </c>
      <c r="G250" s="2212">
        <v>2.11</v>
      </c>
      <c r="H250" s="2177"/>
    </row>
    <row r="251" spans="1:8" ht="20.100000000000001" customHeight="1" x14ac:dyDescent="0.25">
      <c r="A251" s="2191">
        <v>43709</v>
      </c>
      <c r="B251" s="2210">
        <v>100</v>
      </c>
      <c r="C251" s="2036">
        <v>1100</v>
      </c>
      <c r="D251" s="2036">
        <v>8720</v>
      </c>
      <c r="E251" s="2036">
        <v>290.67</v>
      </c>
      <c r="F251" s="2211" t="s">
        <v>3926</v>
      </c>
      <c r="G251" s="2212">
        <v>2.0699999999999998</v>
      </c>
      <c r="H251" s="2177"/>
    </row>
    <row r="252" spans="1:8" ht="20.100000000000001" customHeight="1" x14ac:dyDescent="0.25">
      <c r="A252" s="2191">
        <v>43739</v>
      </c>
      <c r="B252" s="2210">
        <v>50</v>
      </c>
      <c r="C252" s="2036">
        <v>1500</v>
      </c>
      <c r="D252" s="2036">
        <v>12335</v>
      </c>
      <c r="E252" s="2036">
        <v>397.90322580645159</v>
      </c>
      <c r="F252" s="2211" t="s">
        <v>3927</v>
      </c>
      <c r="G252" s="2212">
        <v>1.9458229023104987</v>
      </c>
      <c r="H252" s="2177"/>
    </row>
    <row r="253" spans="1:8" ht="20.100000000000001" customHeight="1" x14ac:dyDescent="0.25">
      <c r="A253" s="2191">
        <v>43770</v>
      </c>
      <c r="B253" s="2210">
        <v>75</v>
      </c>
      <c r="C253" s="2036">
        <v>1650</v>
      </c>
      <c r="D253" s="2036">
        <v>18135</v>
      </c>
      <c r="E253" s="2036">
        <v>648</v>
      </c>
      <c r="F253" s="2211" t="s">
        <v>3928</v>
      </c>
      <c r="G253" s="2212">
        <v>2.08</v>
      </c>
      <c r="H253" s="2177"/>
    </row>
    <row r="254" spans="1:8" ht="20.100000000000001" customHeight="1" x14ac:dyDescent="0.25">
      <c r="A254" s="2191">
        <v>43800</v>
      </c>
      <c r="B254" s="2210">
        <v>25</v>
      </c>
      <c r="C254" s="2036">
        <v>1600</v>
      </c>
      <c r="D254" s="2036">
        <v>7900</v>
      </c>
      <c r="E254" s="2036">
        <v>359.09</v>
      </c>
      <c r="F254" s="2211" t="s">
        <v>3929</v>
      </c>
      <c r="G254" s="2212">
        <v>2.08</v>
      </c>
      <c r="H254" s="2177"/>
    </row>
    <row r="255" spans="1:8" ht="20.100000000000001" customHeight="1" x14ac:dyDescent="0.25">
      <c r="A255" s="2191">
        <v>43831</v>
      </c>
      <c r="B255" s="2210">
        <v>50</v>
      </c>
      <c r="C255" s="2036">
        <v>1525</v>
      </c>
      <c r="D255" s="2036">
        <v>6415</v>
      </c>
      <c r="E255" s="2036">
        <v>267.29000000000002</v>
      </c>
      <c r="F255" s="2211" t="s">
        <v>630</v>
      </c>
      <c r="G255" s="2212">
        <v>1.99</v>
      </c>
      <c r="H255" s="2177"/>
    </row>
    <row r="256" spans="1:8" ht="20.100000000000001" customHeight="1" x14ac:dyDescent="0.25">
      <c r="A256" s="2191">
        <v>43862</v>
      </c>
      <c r="B256" s="2210">
        <v>25</v>
      </c>
      <c r="C256" s="2036">
        <v>1525</v>
      </c>
      <c r="D256" s="2036">
        <v>11470</v>
      </c>
      <c r="E256" s="2036">
        <v>459</v>
      </c>
      <c r="F256" s="2211" t="s">
        <v>3930</v>
      </c>
      <c r="G256" s="2212">
        <v>2.09</v>
      </c>
      <c r="H256" s="2177"/>
    </row>
    <row r="257" spans="1:12" ht="20.100000000000001" customHeight="1" x14ac:dyDescent="0.25">
      <c r="A257" s="2191">
        <v>43891</v>
      </c>
      <c r="B257" s="2210">
        <v>35</v>
      </c>
      <c r="C257" s="2036">
        <v>320</v>
      </c>
      <c r="D257" s="2036">
        <v>6165</v>
      </c>
      <c r="E257" s="2036">
        <v>205.5</v>
      </c>
      <c r="F257" s="2211" t="s">
        <v>3931</v>
      </c>
      <c r="G257" s="2212">
        <v>1.56</v>
      </c>
      <c r="H257" s="2177"/>
    </row>
    <row r="258" spans="1:12" ht="20.100000000000001" customHeight="1" x14ac:dyDescent="0.25">
      <c r="A258" s="2191">
        <v>43922</v>
      </c>
      <c r="B258" s="2210">
        <v>100</v>
      </c>
      <c r="C258" s="2036">
        <v>315</v>
      </c>
      <c r="D258" s="2036">
        <v>4415</v>
      </c>
      <c r="E258" s="2036">
        <v>147.16999999999999</v>
      </c>
      <c r="F258" s="2211" t="s">
        <v>3932</v>
      </c>
      <c r="G258" s="2212">
        <v>1.52</v>
      </c>
      <c r="H258" s="2177"/>
    </row>
    <row r="259" spans="1:12" ht="20.100000000000001" customHeight="1" x14ac:dyDescent="0.25">
      <c r="A259" s="2191">
        <v>43952</v>
      </c>
      <c r="B259" s="2210">
        <v>100</v>
      </c>
      <c r="C259" s="2036">
        <v>410</v>
      </c>
      <c r="D259" s="2036">
        <v>2360</v>
      </c>
      <c r="E259" s="2036">
        <v>236</v>
      </c>
      <c r="F259" s="2211" t="s">
        <v>3933</v>
      </c>
      <c r="G259" s="2212">
        <v>1.1200000000000001</v>
      </c>
      <c r="H259" s="2177"/>
    </row>
    <row r="260" spans="1:12" ht="20.100000000000001" customHeight="1" x14ac:dyDescent="0.25">
      <c r="A260" s="2191">
        <v>43983</v>
      </c>
      <c r="B260" s="2210">
        <v>75</v>
      </c>
      <c r="C260" s="2036">
        <v>75</v>
      </c>
      <c r="D260" s="2036">
        <v>75</v>
      </c>
      <c r="E260" s="2036">
        <v>75</v>
      </c>
      <c r="F260" s="2213">
        <v>0.65</v>
      </c>
      <c r="G260" s="2212">
        <v>0.65</v>
      </c>
      <c r="H260" s="2177"/>
    </row>
    <row r="261" spans="1:12" ht="20.100000000000001" customHeight="1" x14ac:dyDescent="0.25">
      <c r="A261" s="2191">
        <v>44013</v>
      </c>
      <c r="B261" s="2210">
        <v>50</v>
      </c>
      <c r="C261" s="2036">
        <v>300</v>
      </c>
      <c r="D261" s="2036">
        <v>3525</v>
      </c>
      <c r="E261" s="2036">
        <v>220.31</v>
      </c>
      <c r="F261" s="2213" t="s">
        <v>3934</v>
      </c>
      <c r="G261" s="2212">
        <v>0.68</v>
      </c>
      <c r="H261" s="2177"/>
    </row>
    <row r="262" spans="1:12" ht="20.100000000000001" customHeight="1" x14ac:dyDescent="0.25">
      <c r="A262" s="2191">
        <v>44044</v>
      </c>
      <c r="B262" s="2210">
        <v>100</v>
      </c>
      <c r="C262" s="2036">
        <v>750</v>
      </c>
      <c r="D262" s="2036">
        <v>5175</v>
      </c>
      <c r="E262" s="2036">
        <v>258.75</v>
      </c>
      <c r="F262" s="2213" t="s">
        <v>3935</v>
      </c>
      <c r="G262" s="2212">
        <v>0.43</v>
      </c>
      <c r="H262" s="2177"/>
    </row>
    <row r="263" spans="1:12" ht="20.100000000000001" customHeight="1" x14ac:dyDescent="0.25">
      <c r="A263" s="2191">
        <v>44075</v>
      </c>
      <c r="B263" s="2210">
        <v>100</v>
      </c>
      <c r="C263" s="2036">
        <v>865</v>
      </c>
      <c r="D263" s="2036">
        <v>9270</v>
      </c>
      <c r="E263" s="2036">
        <v>343.33</v>
      </c>
      <c r="F263" s="2213" t="s">
        <v>3936</v>
      </c>
      <c r="G263" s="2212">
        <v>0.45</v>
      </c>
      <c r="H263" s="2177"/>
    </row>
    <row r="264" spans="1:12" ht="20.100000000000001" customHeight="1" x14ac:dyDescent="0.25">
      <c r="A264" s="2191">
        <v>44105</v>
      </c>
      <c r="B264" s="2210">
        <v>15</v>
      </c>
      <c r="C264" s="2036">
        <v>565</v>
      </c>
      <c r="D264" s="2036">
        <v>9200</v>
      </c>
      <c r="E264" s="2036">
        <v>296.77</v>
      </c>
      <c r="F264" s="2213" t="s">
        <v>3936</v>
      </c>
      <c r="G264" s="2212">
        <v>0.46</v>
      </c>
      <c r="H264" s="2177"/>
    </row>
    <row r="265" spans="1:12" ht="20.100000000000001" customHeight="1" x14ac:dyDescent="0.25">
      <c r="A265" s="2191">
        <v>44136</v>
      </c>
      <c r="B265" s="2210">
        <v>50</v>
      </c>
      <c r="C265" s="2036">
        <v>200</v>
      </c>
      <c r="D265" s="2036">
        <v>2900</v>
      </c>
      <c r="E265" s="2036">
        <v>126.09</v>
      </c>
      <c r="F265" s="2213" t="s">
        <v>3937</v>
      </c>
      <c r="G265" s="2212">
        <v>0.41</v>
      </c>
      <c r="H265" s="2177"/>
    </row>
    <row r="266" spans="1:12" ht="20.100000000000001" customHeight="1" x14ac:dyDescent="0.25">
      <c r="A266" s="2191">
        <v>44166</v>
      </c>
      <c r="B266" s="2210">
        <v>100</v>
      </c>
      <c r="C266" s="2036">
        <v>250</v>
      </c>
      <c r="D266" s="2036">
        <v>620</v>
      </c>
      <c r="E266" s="2036">
        <v>155</v>
      </c>
      <c r="F266" s="2213" t="s">
        <v>3938</v>
      </c>
      <c r="G266" s="2212">
        <v>0.3</v>
      </c>
      <c r="H266" s="2177"/>
    </row>
    <row r="267" spans="1:12" ht="20.100000000000001" customHeight="1" x14ac:dyDescent="0.25">
      <c r="A267" s="2191">
        <v>44197</v>
      </c>
      <c r="B267" s="2210">
        <v>100</v>
      </c>
      <c r="C267" s="2036">
        <v>450</v>
      </c>
      <c r="D267" s="2036">
        <v>7525</v>
      </c>
      <c r="E267" s="2036">
        <v>268.75</v>
      </c>
      <c r="F267" s="2213" t="s">
        <v>3939</v>
      </c>
      <c r="G267" s="2212">
        <v>0.18</v>
      </c>
      <c r="H267" s="2177"/>
    </row>
    <row r="268" spans="1:12" ht="20.100000000000001" customHeight="1" x14ac:dyDescent="0.25">
      <c r="A268" s="2191">
        <v>44228</v>
      </c>
      <c r="B268" s="2210">
        <v>20</v>
      </c>
      <c r="C268" s="2036">
        <v>350</v>
      </c>
      <c r="D268" s="2036">
        <v>4000</v>
      </c>
      <c r="E268" s="2036">
        <v>148.15</v>
      </c>
      <c r="F268" s="2213" t="s">
        <v>3940</v>
      </c>
      <c r="G268" s="2212">
        <v>0.14000000000000001</v>
      </c>
      <c r="H268" s="2177"/>
    </row>
    <row r="269" spans="1:12" ht="20.100000000000001" customHeight="1" thickBot="1" x14ac:dyDescent="0.3">
      <c r="A269" s="2189">
        <v>44256</v>
      </c>
      <c r="B269" s="2210">
        <v>30</v>
      </c>
      <c r="C269" s="2036">
        <v>100</v>
      </c>
      <c r="D269" s="2036">
        <v>935</v>
      </c>
      <c r="E269" s="2036">
        <v>62</v>
      </c>
      <c r="F269" s="2049">
        <v>0.12</v>
      </c>
      <c r="G269" s="2212">
        <v>0.12</v>
      </c>
      <c r="H269" s="2214"/>
    </row>
    <row r="270" spans="1:12" ht="20.100000000000001" customHeight="1" thickTop="1" thickBot="1" x14ac:dyDescent="0.3">
      <c r="A270" s="2189">
        <v>44287</v>
      </c>
      <c r="B270" s="2210">
        <v>35</v>
      </c>
      <c r="C270" s="2036">
        <v>2150</v>
      </c>
      <c r="D270" s="2036">
        <v>10590</v>
      </c>
      <c r="E270" s="2036">
        <v>814.62</v>
      </c>
      <c r="F270" s="2049" t="s">
        <v>1646</v>
      </c>
      <c r="G270" s="2212">
        <v>0.25</v>
      </c>
      <c r="H270" s="2214"/>
      <c r="L270" s="2215"/>
    </row>
    <row r="271" spans="1:12" ht="20.100000000000001" customHeight="1" thickTop="1" thickBot="1" x14ac:dyDescent="0.3">
      <c r="A271" s="2189">
        <v>44317</v>
      </c>
      <c r="B271" s="2210">
        <v>25</v>
      </c>
      <c r="C271" s="2036">
        <v>2629</v>
      </c>
      <c r="D271" s="2036">
        <v>48924</v>
      </c>
      <c r="E271" s="2036">
        <v>1578.19</v>
      </c>
      <c r="F271" s="2049">
        <v>0.25</v>
      </c>
      <c r="G271" s="2212">
        <v>0.25</v>
      </c>
      <c r="H271" s="2214"/>
    </row>
    <row r="272" spans="1:12" ht="20.100000000000001" customHeight="1" thickTop="1" thickBot="1" x14ac:dyDescent="0.3">
      <c r="A272" s="2189">
        <v>44348</v>
      </c>
      <c r="B272" s="2210">
        <v>100</v>
      </c>
      <c r="C272" s="2036">
        <v>1600</v>
      </c>
      <c r="D272" s="2036">
        <v>20540</v>
      </c>
      <c r="E272" s="2036">
        <v>684.67</v>
      </c>
      <c r="F272" s="2049" t="s">
        <v>3941</v>
      </c>
      <c r="G272" s="2212">
        <v>0.34</v>
      </c>
      <c r="H272" s="2214"/>
    </row>
    <row r="273" spans="1:8" ht="20.100000000000001" customHeight="1" thickTop="1" thickBot="1" x14ac:dyDescent="0.3">
      <c r="A273" s="2189">
        <v>44378</v>
      </c>
      <c r="B273" s="2210">
        <v>100</v>
      </c>
      <c r="C273" s="2036">
        <v>1150</v>
      </c>
      <c r="D273" s="2036">
        <v>6550</v>
      </c>
      <c r="E273" s="2036">
        <v>436.67</v>
      </c>
      <c r="F273" s="2049" t="s">
        <v>3941</v>
      </c>
      <c r="G273" s="2212">
        <v>0.32</v>
      </c>
      <c r="H273" s="2214"/>
    </row>
    <row r="274" spans="1:8" ht="20.100000000000001" customHeight="1" thickTop="1" thickBot="1" x14ac:dyDescent="0.3">
      <c r="A274" s="2216"/>
      <c r="B274" s="2217"/>
      <c r="C274" s="2218"/>
      <c r="D274" s="2218"/>
      <c r="E274" s="2218"/>
      <c r="F274" s="2219"/>
      <c r="G274" s="2220"/>
      <c r="H274" s="2214"/>
    </row>
    <row r="275" spans="1:8" s="2224" customFormat="1" ht="20.100000000000001" customHeight="1" thickTop="1" x14ac:dyDescent="0.25">
      <c r="A275" s="733" t="s">
        <v>3942</v>
      </c>
      <c r="B275" s="733"/>
      <c r="C275" s="733"/>
      <c r="D275" s="2221"/>
      <c r="E275" s="733" t="s">
        <v>3943</v>
      </c>
      <c r="F275" s="733"/>
      <c r="G275" s="2222"/>
      <c r="H275" s="2223"/>
    </row>
    <row r="276" spans="1:8" s="2224" customFormat="1" ht="20.100000000000001" customHeight="1" x14ac:dyDescent="0.25">
      <c r="A276" s="733" t="s">
        <v>172</v>
      </c>
      <c r="B276" s="733"/>
      <c r="C276" s="733"/>
      <c r="D276" s="733"/>
      <c r="E276" s="733"/>
      <c r="F276" s="733"/>
      <c r="G276" s="2222"/>
      <c r="H276" s="2223"/>
    </row>
    <row r="277" spans="1:8" s="2224" customFormat="1" ht="20.100000000000001" customHeight="1" x14ac:dyDescent="0.25">
      <c r="A277" s="733" t="s">
        <v>3553</v>
      </c>
      <c r="B277" s="733"/>
      <c r="C277" s="733"/>
      <c r="D277" s="733"/>
      <c r="E277" s="733"/>
      <c r="F277" s="733"/>
      <c r="G277" s="2222"/>
      <c r="H277" s="2223"/>
    </row>
  </sheetData>
  <mergeCells count="4">
    <mergeCell ref="A3:A6"/>
    <mergeCell ref="B3:D4"/>
    <mergeCell ref="B6:E6"/>
    <mergeCell ref="F6:G6"/>
  </mergeCells>
  <pageMargins left="0.75" right="0.75" top="0.75" bottom="0.75" header="0.31496062992125984" footer="0"/>
  <pageSetup paperSize="9" scale="88"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5"/>
  <sheetViews>
    <sheetView zoomScaleNormal="100" zoomScaleSheetLayoutView="100" workbookViewId="0">
      <pane xSplit="1" ySplit="11" topLeftCell="B12" activePane="bottomRight" state="frozen"/>
      <selection activeCell="I35" sqref="I35"/>
      <selection pane="topRight" activeCell="I35" sqref="I35"/>
      <selection pane="bottomLeft" activeCell="I35" sqref="I35"/>
      <selection pane="bottomRight"/>
    </sheetView>
  </sheetViews>
  <sheetFormatPr defaultColWidth="9.140625" defaultRowHeight="20.100000000000001" customHeight="1" x14ac:dyDescent="0.25"/>
  <cols>
    <col min="1" max="1" width="17.7109375" style="1885" customWidth="1"/>
    <col min="2" max="2" width="15.7109375" style="1885" customWidth="1"/>
    <col min="3" max="3" width="18" style="1885" customWidth="1"/>
    <col min="4" max="4" width="21.140625" style="1885" customWidth="1"/>
    <col min="5" max="5" width="20.28515625" style="1885" customWidth="1"/>
    <col min="6" max="6" width="6.28515625" style="1885" customWidth="1"/>
    <col min="7" max="7" width="9.140625" style="1885"/>
    <col min="8" max="8" width="6.28515625" style="1885" customWidth="1"/>
    <col min="9" max="9" width="4.5703125" style="1885" customWidth="1"/>
    <col min="10" max="16384" width="9.140625" style="1885"/>
  </cols>
  <sheetData>
    <row r="1" spans="1:6" ht="20.100000000000001" customHeight="1" x14ac:dyDescent="0.25">
      <c r="A1" s="2225" t="s">
        <v>3944</v>
      </c>
      <c r="B1" s="1829"/>
      <c r="C1" s="1829"/>
      <c r="D1" s="1829"/>
      <c r="E1" s="1829"/>
    </row>
    <row r="2" spans="1:6" ht="20.100000000000001" customHeight="1" thickBot="1" x14ac:dyDescent="0.3">
      <c r="A2" s="2226"/>
      <c r="B2" s="1829"/>
      <c r="C2" s="1829"/>
      <c r="D2" s="1829"/>
      <c r="E2" s="1829"/>
    </row>
    <row r="3" spans="1:6" ht="50.1" customHeight="1" thickTop="1" thickBot="1" x14ac:dyDescent="0.3">
      <c r="A3" s="2227" t="s">
        <v>1</v>
      </c>
      <c r="B3" s="2228" t="s">
        <v>173</v>
      </c>
      <c r="C3" s="2229" t="s">
        <v>3945</v>
      </c>
      <c r="D3" s="2230" t="s">
        <v>3447</v>
      </c>
      <c r="E3" s="2229" t="s">
        <v>3946</v>
      </c>
    </row>
    <row r="4" spans="1:6" ht="20.100000000000001" hidden="1" customHeight="1" x14ac:dyDescent="0.25">
      <c r="A4" s="2231">
        <v>42917</v>
      </c>
      <c r="B4" s="2232" t="s">
        <v>115</v>
      </c>
      <c r="C4" s="2233" t="s">
        <v>115</v>
      </c>
      <c r="D4" s="2234" t="s">
        <v>115</v>
      </c>
      <c r="E4" s="2235" t="s">
        <v>115</v>
      </c>
    </row>
    <row r="5" spans="1:6" ht="20.100000000000001" hidden="1" customHeight="1" x14ac:dyDescent="0.25">
      <c r="A5" s="2231">
        <v>42948</v>
      </c>
      <c r="B5" s="2232" t="s">
        <v>3947</v>
      </c>
      <c r="C5" s="2233">
        <v>50</v>
      </c>
      <c r="D5" s="2234">
        <v>182</v>
      </c>
      <c r="E5" s="2235">
        <v>1.95</v>
      </c>
    </row>
    <row r="6" spans="1:6" ht="20.100000000000001" hidden="1" customHeight="1" x14ac:dyDescent="0.25">
      <c r="A6" s="2231">
        <v>42979</v>
      </c>
      <c r="B6" s="2232" t="s">
        <v>3948</v>
      </c>
      <c r="C6" s="2233">
        <v>504</v>
      </c>
      <c r="D6" s="2234">
        <v>49</v>
      </c>
      <c r="E6" s="2235">
        <v>2.1</v>
      </c>
    </row>
    <row r="7" spans="1:6" ht="20.100000000000001" hidden="1" customHeight="1" x14ac:dyDescent="0.25">
      <c r="A7" s="2231">
        <v>43009</v>
      </c>
      <c r="B7" s="2232" t="s">
        <v>3947</v>
      </c>
      <c r="C7" s="2233">
        <v>50</v>
      </c>
      <c r="D7" s="2234">
        <v>182</v>
      </c>
      <c r="E7" s="2235">
        <v>1.9567000000000001</v>
      </c>
    </row>
    <row r="8" spans="1:6" ht="20.100000000000001" hidden="1" customHeight="1" x14ac:dyDescent="0.25">
      <c r="A8" s="2231">
        <v>43040</v>
      </c>
      <c r="B8" s="2232" t="s">
        <v>3947</v>
      </c>
      <c r="C8" s="2233">
        <v>25</v>
      </c>
      <c r="D8" s="2234">
        <v>181</v>
      </c>
      <c r="E8" s="2235">
        <v>2.0680999999999998</v>
      </c>
    </row>
    <row r="9" spans="1:6" ht="20.100000000000001" hidden="1" customHeight="1" x14ac:dyDescent="0.25">
      <c r="A9" s="2231">
        <v>43070</v>
      </c>
      <c r="B9" s="2232" t="s">
        <v>115</v>
      </c>
      <c r="C9" s="2233" t="s">
        <v>115</v>
      </c>
      <c r="D9" s="2234" t="s">
        <v>115</v>
      </c>
      <c r="E9" s="2235" t="s">
        <v>115</v>
      </c>
    </row>
    <row r="10" spans="1:6" ht="20.100000000000001" hidden="1" customHeight="1" x14ac:dyDescent="0.25">
      <c r="A10" s="2231">
        <v>43101</v>
      </c>
      <c r="B10" s="2232" t="s">
        <v>115</v>
      </c>
      <c r="C10" s="2233" t="s">
        <v>115</v>
      </c>
      <c r="D10" s="2234" t="s">
        <v>115</v>
      </c>
      <c r="E10" s="2235" t="s">
        <v>115</v>
      </c>
    </row>
    <row r="11" spans="1:6" ht="20.100000000000001" hidden="1" customHeight="1" x14ac:dyDescent="0.25">
      <c r="A11" s="2231">
        <v>43132</v>
      </c>
      <c r="B11" s="2232" t="s">
        <v>115</v>
      </c>
      <c r="C11" s="2233" t="s">
        <v>115</v>
      </c>
      <c r="D11" s="2234" t="s">
        <v>115</v>
      </c>
      <c r="E11" s="2235" t="s">
        <v>115</v>
      </c>
    </row>
    <row r="12" spans="1:6" ht="20.100000000000001" hidden="1" customHeight="1" x14ac:dyDescent="0.25">
      <c r="A12" s="2231">
        <v>43160</v>
      </c>
      <c r="B12" s="2232" t="s">
        <v>3947</v>
      </c>
      <c r="C12" s="2233">
        <v>50</v>
      </c>
      <c r="D12" s="2234">
        <v>184</v>
      </c>
      <c r="E12" s="2235">
        <v>3.2103000000000002</v>
      </c>
      <c r="F12" s="2236" t="s">
        <v>3949</v>
      </c>
    </row>
    <row r="13" spans="1:6" ht="20.100000000000001" hidden="1" customHeight="1" x14ac:dyDescent="0.25">
      <c r="A13" s="2231">
        <v>43191</v>
      </c>
      <c r="B13" s="2232" t="s">
        <v>3947</v>
      </c>
      <c r="C13" s="2233">
        <v>50</v>
      </c>
      <c r="D13" s="2234">
        <v>91</v>
      </c>
      <c r="E13" s="2235">
        <v>2.8889999999999998</v>
      </c>
    </row>
    <row r="14" spans="1:6" ht="20.100000000000001" hidden="1" customHeight="1" x14ac:dyDescent="0.25">
      <c r="A14" s="2231"/>
      <c r="B14" s="2232" t="s">
        <v>3947</v>
      </c>
      <c r="C14" s="2233">
        <v>50</v>
      </c>
      <c r="D14" s="2234">
        <v>183</v>
      </c>
      <c r="E14" s="2235">
        <v>2.94</v>
      </c>
    </row>
    <row r="15" spans="1:6" ht="20.100000000000001" hidden="1" customHeight="1" x14ac:dyDescent="0.25">
      <c r="A15" s="2231">
        <v>43221</v>
      </c>
      <c r="B15" s="2232" t="s">
        <v>3948</v>
      </c>
      <c r="C15" s="2233">
        <v>500</v>
      </c>
      <c r="D15" s="2234">
        <v>33</v>
      </c>
      <c r="E15" s="2235">
        <v>3.45</v>
      </c>
    </row>
    <row r="16" spans="1:6" ht="20.100000000000001" hidden="1" customHeight="1" x14ac:dyDescent="0.25">
      <c r="A16" s="2231">
        <v>43252</v>
      </c>
      <c r="B16" s="2232" t="s">
        <v>3947</v>
      </c>
      <c r="C16" s="2233">
        <v>50</v>
      </c>
      <c r="D16" s="2234">
        <v>183</v>
      </c>
      <c r="E16" s="2235">
        <v>2.9525000000000001</v>
      </c>
    </row>
    <row r="17" spans="1:8" ht="20.100000000000001" hidden="1" customHeight="1" x14ac:dyDescent="0.25">
      <c r="A17" s="2231">
        <v>43282</v>
      </c>
      <c r="B17" s="2232" t="s">
        <v>3948</v>
      </c>
      <c r="C17" s="2233">
        <v>500</v>
      </c>
      <c r="D17" s="2234">
        <v>14</v>
      </c>
      <c r="E17" s="2235">
        <v>3.5</v>
      </c>
      <c r="H17" s="2237"/>
    </row>
    <row r="18" spans="1:8" ht="20.100000000000001" hidden="1" customHeight="1" x14ac:dyDescent="0.25">
      <c r="A18" s="2231">
        <v>43313</v>
      </c>
      <c r="B18" s="2232" t="s">
        <v>3947</v>
      </c>
      <c r="C18" s="2233">
        <v>50</v>
      </c>
      <c r="D18" s="2234">
        <v>92</v>
      </c>
      <c r="E18" s="2235">
        <v>2.9531000000000001</v>
      </c>
      <c r="H18" s="2237"/>
    </row>
    <row r="19" spans="1:8" ht="20.100000000000001" hidden="1" customHeight="1" x14ac:dyDescent="0.25">
      <c r="A19" s="2231"/>
      <c r="B19" s="2232" t="s">
        <v>3947</v>
      </c>
      <c r="C19" s="2233">
        <v>50</v>
      </c>
      <c r="D19" s="2234">
        <v>94</v>
      </c>
      <c r="E19" s="2235">
        <v>2.9483000000000001</v>
      </c>
      <c r="H19" s="2237"/>
    </row>
    <row r="20" spans="1:8" ht="20.100000000000001" hidden="1" customHeight="1" x14ac:dyDescent="0.25">
      <c r="A20" s="2231"/>
      <c r="B20" s="2232" t="s">
        <v>3950</v>
      </c>
      <c r="C20" s="2233">
        <v>75</v>
      </c>
      <c r="D20" s="2234">
        <v>364</v>
      </c>
      <c r="E20" s="2235">
        <v>0.53900000000000003</v>
      </c>
      <c r="H20" s="2237"/>
    </row>
    <row r="21" spans="1:8" ht="20.100000000000001" hidden="1" customHeight="1" x14ac:dyDescent="0.25">
      <c r="A21" s="2231"/>
      <c r="B21" s="2232" t="s">
        <v>3948</v>
      </c>
      <c r="C21" s="2233">
        <v>505.7</v>
      </c>
      <c r="D21" s="2234">
        <v>184</v>
      </c>
      <c r="E21" s="2235">
        <v>3.6</v>
      </c>
      <c r="H21" s="2237"/>
    </row>
    <row r="22" spans="1:8" ht="20.100000000000001" hidden="1" customHeight="1" x14ac:dyDescent="0.25">
      <c r="A22" s="2231">
        <v>43344</v>
      </c>
      <c r="B22" s="2232" t="s">
        <v>3947</v>
      </c>
      <c r="C22" s="2233">
        <v>50</v>
      </c>
      <c r="D22" s="2234">
        <v>731</v>
      </c>
      <c r="E22" s="2235" t="s">
        <v>3951</v>
      </c>
      <c r="H22" s="2237"/>
    </row>
    <row r="23" spans="1:8" ht="20.100000000000001" hidden="1" customHeight="1" x14ac:dyDescent="0.25">
      <c r="A23" s="2231">
        <v>43374</v>
      </c>
      <c r="B23" s="2232" t="s">
        <v>3947</v>
      </c>
      <c r="C23" s="2233">
        <v>50</v>
      </c>
      <c r="D23" s="2234">
        <v>182</v>
      </c>
      <c r="E23" s="2235">
        <v>3.2038000000000002</v>
      </c>
      <c r="H23" s="2237"/>
    </row>
    <row r="24" spans="1:8" ht="20.100000000000001" hidden="1" customHeight="1" x14ac:dyDescent="0.25">
      <c r="A24" s="2231">
        <v>43405</v>
      </c>
      <c r="B24" s="2232" t="s">
        <v>3947</v>
      </c>
      <c r="C24" s="2233">
        <v>0.5</v>
      </c>
      <c r="D24" s="2234">
        <v>3</v>
      </c>
      <c r="E24" s="2235">
        <v>2.5</v>
      </c>
      <c r="H24" s="2237"/>
    </row>
    <row r="25" spans="1:8" ht="20.100000000000001" hidden="1" customHeight="1" x14ac:dyDescent="0.25">
      <c r="A25" s="2231">
        <v>43435</v>
      </c>
      <c r="B25" s="2232" t="s">
        <v>3948</v>
      </c>
      <c r="C25" s="2233">
        <v>400</v>
      </c>
      <c r="D25" s="2234">
        <v>31</v>
      </c>
      <c r="E25" s="2235">
        <v>3.37</v>
      </c>
      <c r="H25" s="2237"/>
    </row>
    <row r="26" spans="1:8" ht="20.100000000000001" hidden="1" customHeight="1" x14ac:dyDescent="0.25">
      <c r="A26" s="2231">
        <v>43466</v>
      </c>
      <c r="B26" s="2232" t="s">
        <v>3947</v>
      </c>
      <c r="C26" s="2233">
        <v>50</v>
      </c>
      <c r="D26" s="2234">
        <v>181</v>
      </c>
      <c r="E26" s="2235">
        <v>3.25</v>
      </c>
      <c r="H26" s="2237"/>
    </row>
    <row r="27" spans="1:8" ht="20.100000000000001" hidden="1" customHeight="1" x14ac:dyDescent="0.25">
      <c r="A27" s="2231"/>
      <c r="B27" s="2232" t="s">
        <v>3948</v>
      </c>
      <c r="C27" s="2233">
        <v>1000</v>
      </c>
      <c r="D27" s="2234">
        <v>31</v>
      </c>
      <c r="E27" s="2235">
        <v>3.05</v>
      </c>
      <c r="H27" s="2237"/>
    </row>
    <row r="28" spans="1:8" ht="20.100000000000001" hidden="1" customHeight="1" x14ac:dyDescent="0.25">
      <c r="A28" s="2231">
        <v>43497</v>
      </c>
      <c r="B28" s="2232" t="s">
        <v>115</v>
      </c>
      <c r="C28" s="2233" t="s">
        <v>115</v>
      </c>
      <c r="D28" s="2234" t="s">
        <v>115</v>
      </c>
      <c r="E28" s="2235" t="s">
        <v>115</v>
      </c>
      <c r="H28" s="2237"/>
    </row>
    <row r="29" spans="1:8" ht="20.100000000000001" hidden="1" customHeight="1" x14ac:dyDescent="0.25">
      <c r="A29" s="2231">
        <v>43525</v>
      </c>
      <c r="B29" s="2232" t="s">
        <v>115</v>
      </c>
      <c r="C29" s="2233" t="s">
        <v>115</v>
      </c>
      <c r="D29" s="2234" t="s">
        <v>115</v>
      </c>
      <c r="E29" s="2235" t="s">
        <v>115</v>
      </c>
      <c r="H29" s="2237"/>
    </row>
    <row r="30" spans="1:8" ht="20.100000000000001" hidden="1" customHeight="1" x14ac:dyDescent="0.25">
      <c r="A30" s="2231">
        <v>43556</v>
      </c>
      <c r="B30" s="2232" t="s">
        <v>115</v>
      </c>
      <c r="C30" s="2233" t="s">
        <v>115</v>
      </c>
      <c r="D30" s="2234" t="s">
        <v>115</v>
      </c>
      <c r="E30" s="2235" t="s">
        <v>115</v>
      </c>
      <c r="H30" s="2237"/>
    </row>
    <row r="31" spans="1:8" ht="20.100000000000001" hidden="1" customHeight="1" x14ac:dyDescent="0.25">
      <c r="A31" s="2231">
        <v>43586</v>
      </c>
      <c r="B31" s="2232" t="s">
        <v>115</v>
      </c>
      <c r="C31" s="2233" t="s">
        <v>115</v>
      </c>
      <c r="D31" s="2234" t="s">
        <v>115</v>
      </c>
      <c r="E31" s="2235" t="s">
        <v>115</v>
      </c>
      <c r="H31" s="2237"/>
    </row>
    <row r="32" spans="1:8" ht="20.100000000000001" hidden="1" customHeight="1" x14ac:dyDescent="0.25">
      <c r="A32" s="2231">
        <v>43617</v>
      </c>
      <c r="B32" s="2232" t="s">
        <v>3947</v>
      </c>
      <c r="C32" s="2233">
        <v>50</v>
      </c>
      <c r="D32" s="2234">
        <v>180</v>
      </c>
      <c r="E32" s="2235">
        <v>3.15</v>
      </c>
      <c r="H32" s="2237"/>
    </row>
    <row r="33" spans="1:8" ht="20.100000000000001" hidden="1" customHeight="1" x14ac:dyDescent="0.25">
      <c r="A33" s="2231"/>
      <c r="B33" s="2232" t="s">
        <v>3947</v>
      </c>
      <c r="C33" s="2233">
        <v>100</v>
      </c>
      <c r="D33" s="2234">
        <v>183</v>
      </c>
      <c r="E33" s="2235">
        <v>3.05</v>
      </c>
      <c r="H33" s="2237"/>
    </row>
    <row r="34" spans="1:8" ht="20.100000000000001" hidden="1" customHeight="1" x14ac:dyDescent="0.25">
      <c r="A34" s="2231"/>
      <c r="B34" s="2232" t="s">
        <v>3950</v>
      </c>
      <c r="C34" s="2233">
        <v>20</v>
      </c>
      <c r="D34" s="2234">
        <v>91</v>
      </c>
      <c r="E34" s="2235">
        <v>0.22</v>
      </c>
      <c r="H34" s="2237"/>
    </row>
    <row r="35" spans="1:8" ht="20.100000000000001" customHeight="1" x14ac:dyDescent="0.25">
      <c r="A35" s="2231">
        <v>43647</v>
      </c>
      <c r="B35" s="2232" t="s">
        <v>115</v>
      </c>
      <c r="C35" s="2233" t="s">
        <v>115</v>
      </c>
      <c r="D35" s="2234" t="s">
        <v>115</v>
      </c>
      <c r="E35" s="2235" t="s">
        <v>115</v>
      </c>
      <c r="H35" s="2237"/>
    </row>
    <row r="36" spans="1:8" ht="20.100000000000001" customHeight="1" x14ac:dyDescent="0.25">
      <c r="A36" s="2231">
        <v>43678</v>
      </c>
      <c r="B36" s="2232" t="s">
        <v>115</v>
      </c>
      <c r="C36" s="2233" t="s">
        <v>115</v>
      </c>
      <c r="D36" s="2234" t="s">
        <v>115</v>
      </c>
      <c r="E36" s="2235" t="s">
        <v>115</v>
      </c>
      <c r="H36" s="2237"/>
    </row>
    <row r="37" spans="1:8" ht="20.100000000000001" customHeight="1" x14ac:dyDescent="0.25">
      <c r="A37" s="2231">
        <v>43709</v>
      </c>
      <c r="B37" s="2232" t="s">
        <v>3950</v>
      </c>
      <c r="C37" s="2233">
        <v>50</v>
      </c>
      <c r="D37" s="2234">
        <v>123</v>
      </c>
      <c r="E37" s="2235">
        <v>0.15</v>
      </c>
      <c r="H37" s="2237"/>
    </row>
    <row r="38" spans="1:8" ht="20.100000000000001" customHeight="1" x14ac:dyDescent="0.25">
      <c r="A38" s="2231">
        <v>43739</v>
      </c>
      <c r="B38" s="2238" t="s">
        <v>3948</v>
      </c>
      <c r="C38" s="2239">
        <v>1000</v>
      </c>
      <c r="D38" s="2240">
        <v>94</v>
      </c>
      <c r="E38" s="2241">
        <v>2.85</v>
      </c>
      <c r="H38" s="2237"/>
    </row>
    <row r="39" spans="1:8" ht="20.100000000000001" customHeight="1" x14ac:dyDescent="0.25">
      <c r="A39" s="2231">
        <v>43770</v>
      </c>
      <c r="B39" s="2238" t="s">
        <v>3948</v>
      </c>
      <c r="C39" s="2239">
        <v>4.5</v>
      </c>
      <c r="D39" s="2240">
        <v>91</v>
      </c>
      <c r="E39" s="2241">
        <v>2.59</v>
      </c>
      <c r="H39" s="2237"/>
    </row>
    <row r="40" spans="1:8" ht="20.100000000000001" customHeight="1" x14ac:dyDescent="0.25">
      <c r="A40" s="2231"/>
      <c r="B40" s="2238" t="s">
        <v>3948</v>
      </c>
      <c r="C40" s="2239">
        <v>4.5</v>
      </c>
      <c r="D40" s="2240">
        <v>91</v>
      </c>
      <c r="E40" s="2241">
        <v>2.75</v>
      </c>
      <c r="H40" s="2237"/>
    </row>
    <row r="41" spans="1:8" ht="20.100000000000001" customHeight="1" x14ac:dyDescent="0.25">
      <c r="A41" s="2231">
        <v>43800</v>
      </c>
      <c r="B41" s="2238" t="s">
        <v>115</v>
      </c>
      <c r="C41" s="2239" t="s">
        <v>115</v>
      </c>
      <c r="D41" s="2240" t="s">
        <v>115</v>
      </c>
      <c r="E41" s="2241" t="s">
        <v>115</v>
      </c>
      <c r="H41" s="2237"/>
    </row>
    <row r="42" spans="1:8" ht="20.100000000000001" customHeight="1" x14ac:dyDescent="0.25">
      <c r="A42" s="2231">
        <v>43831</v>
      </c>
      <c r="B42" s="2238" t="s">
        <v>3948</v>
      </c>
      <c r="C42" s="2239">
        <v>1000</v>
      </c>
      <c r="D42" s="2240">
        <v>182</v>
      </c>
      <c r="E42" s="2241">
        <v>2.8</v>
      </c>
      <c r="H42" s="2237"/>
    </row>
    <row r="43" spans="1:8" ht="20.100000000000001" customHeight="1" x14ac:dyDescent="0.25">
      <c r="A43" s="2231"/>
      <c r="B43" s="2238" t="s">
        <v>3950</v>
      </c>
      <c r="C43" s="2239">
        <v>50</v>
      </c>
      <c r="D43" s="2240">
        <v>182</v>
      </c>
      <c r="E43" s="2241">
        <v>0.2</v>
      </c>
      <c r="H43" s="2237"/>
    </row>
    <row r="44" spans="1:8" ht="20.100000000000001" customHeight="1" x14ac:dyDescent="0.25">
      <c r="A44" s="2231">
        <v>43862</v>
      </c>
      <c r="B44" s="2238" t="s">
        <v>115</v>
      </c>
      <c r="C44" s="2239" t="s">
        <v>115</v>
      </c>
      <c r="D44" s="2240" t="s">
        <v>115</v>
      </c>
      <c r="E44" s="2241" t="s">
        <v>115</v>
      </c>
      <c r="H44" s="2237"/>
    </row>
    <row r="45" spans="1:8" ht="20.100000000000001" customHeight="1" x14ac:dyDescent="0.25">
      <c r="A45" s="2231">
        <v>43891</v>
      </c>
      <c r="B45" s="2238" t="s">
        <v>3947</v>
      </c>
      <c r="C45" s="2239">
        <v>30</v>
      </c>
      <c r="D45" s="2240">
        <v>96</v>
      </c>
      <c r="E45" s="2241">
        <v>1.8158000000000001</v>
      </c>
      <c r="H45" s="2237"/>
    </row>
    <row r="46" spans="1:8" ht="20.100000000000001" customHeight="1" x14ac:dyDescent="0.25">
      <c r="A46" s="2231"/>
      <c r="B46" s="2238" t="s">
        <v>3947</v>
      </c>
      <c r="C46" s="2239">
        <v>100</v>
      </c>
      <c r="D46" s="2240">
        <v>184</v>
      </c>
      <c r="E46" s="2241">
        <v>1.4</v>
      </c>
      <c r="H46" s="2237"/>
    </row>
    <row r="47" spans="1:8" ht="20.100000000000001" customHeight="1" x14ac:dyDescent="0.25">
      <c r="A47" s="2231"/>
      <c r="B47" s="2238" t="s">
        <v>3947</v>
      </c>
      <c r="C47" s="2239">
        <v>100</v>
      </c>
      <c r="D47" s="2240">
        <v>365</v>
      </c>
      <c r="E47" s="2241">
        <v>1.8</v>
      </c>
      <c r="H47" s="2237"/>
    </row>
    <row r="48" spans="1:8" ht="20.100000000000001" customHeight="1" x14ac:dyDescent="0.25">
      <c r="A48" s="2231"/>
      <c r="B48" s="2238" t="s">
        <v>3947</v>
      </c>
      <c r="C48" s="2239">
        <v>50</v>
      </c>
      <c r="D48" s="2240">
        <v>365</v>
      </c>
      <c r="E48" s="2241">
        <v>1.7</v>
      </c>
      <c r="H48" s="2237"/>
    </row>
    <row r="49" spans="1:8" ht="20.100000000000001" customHeight="1" x14ac:dyDescent="0.25">
      <c r="A49" s="2231"/>
      <c r="B49" s="2238" t="s">
        <v>3947</v>
      </c>
      <c r="C49" s="2239">
        <v>100</v>
      </c>
      <c r="D49" s="2240">
        <v>728</v>
      </c>
      <c r="E49" s="2241">
        <v>1.8225</v>
      </c>
      <c r="H49" s="2237"/>
    </row>
    <row r="50" spans="1:8" ht="20.100000000000001" customHeight="1" x14ac:dyDescent="0.25">
      <c r="A50" s="2231"/>
      <c r="B50" s="2238" t="s">
        <v>3947</v>
      </c>
      <c r="C50" s="2239">
        <v>100</v>
      </c>
      <c r="D50" s="2240">
        <v>728</v>
      </c>
      <c r="E50" s="2241">
        <v>1.3646</v>
      </c>
      <c r="H50" s="2237"/>
    </row>
    <row r="51" spans="1:8" ht="20.100000000000001" customHeight="1" x14ac:dyDescent="0.25">
      <c r="A51" s="2231"/>
      <c r="B51" s="2238" t="s">
        <v>3947</v>
      </c>
      <c r="C51" s="2239">
        <v>50</v>
      </c>
      <c r="D51" s="2240">
        <v>14</v>
      </c>
      <c r="E51" s="2241">
        <v>2</v>
      </c>
      <c r="H51" s="2237"/>
    </row>
    <row r="52" spans="1:8" ht="20.100000000000001" customHeight="1" x14ac:dyDescent="0.25">
      <c r="A52" s="2231">
        <v>43922</v>
      </c>
      <c r="B52" s="2238" t="s">
        <v>3947</v>
      </c>
      <c r="C52" s="2239">
        <v>25</v>
      </c>
      <c r="D52" s="2240">
        <v>91</v>
      </c>
      <c r="E52" s="2241">
        <v>2.7</v>
      </c>
      <c r="H52" s="2237"/>
    </row>
    <row r="53" spans="1:8" ht="20.100000000000001" customHeight="1" x14ac:dyDescent="0.25">
      <c r="A53" s="2231"/>
      <c r="B53" s="2238" t="s">
        <v>3947</v>
      </c>
      <c r="C53" s="2239">
        <v>30</v>
      </c>
      <c r="D53" s="2240">
        <v>84</v>
      </c>
      <c r="E53" s="2241">
        <v>3</v>
      </c>
      <c r="H53" s="2237"/>
    </row>
    <row r="54" spans="1:8" ht="20.100000000000001" customHeight="1" x14ac:dyDescent="0.25">
      <c r="A54" s="2231"/>
      <c r="B54" s="2238" t="s">
        <v>3947</v>
      </c>
      <c r="C54" s="2239">
        <v>50</v>
      </c>
      <c r="D54" s="2240">
        <v>91</v>
      </c>
      <c r="E54" s="2241">
        <v>2.75</v>
      </c>
      <c r="H54" s="2237"/>
    </row>
    <row r="55" spans="1:8" ht="20.100000000000001" customHeight="1" x14ac:dyDescent="0.25">
      <c r="A55" s="2231">
        <v>43952</v>
      </c>
      <c r="B55" s="2238" t="s">
        <v>115</v>
      </c>
      <c r="C55" s="2239" t="s">
        <v>115</v>
      </c>
      <c r="D55" s="2240" t="s">
        <v>115</v>
      </c>
      <c r="E55" s="2241" t="s">
        <v>115</v>
      </c>
      <c r="H55" s="2237"/>
    </row>
    <row r="56" spans="1:8" ht="20.100000000000001" customHeight="1" x14ac:dyDescent="0.25">
      <c r="A56" s="2231">
        <v>43983</v>
      </c>
      <c r="B56" s="2238" t="s">
        <v>3947</v>
      </c>
      <c r="C56" s="2239">
        <v>25</v>
      </c>
      <c r="D56" s="2240">
        <v>183</v>
      </c>
      <c r="E56" s="2241">
        <v>1.35</v>
      </c>
      <c r="H56" s="2237"/>
    </row>
    <row r="57" spans="1:8" ht="20.100000000000001" customHeight="1" x14ac:dyDescent="0.25">
      <c r="A57" s="2231"/>
      <c r="B57" s="2238" t="s">
        <v>3947</v>
      </c>
      <c r="C57" s="2239">
        <v>25</v>
      </c>
      <c r="D57" s="2240">
        <v>365</v>
      </c>
      <c r="E57" s="2241">
        <v>1.7</v>
      </c>
      <c r="H57" s="2237"/>
    </row>
    <row r="58" spans="1:8" ht="20.100000000000001" customHeight="1" x14ac:dyDescent="0.25">
      <c r="A58" s="2231">
        <v>44013</v>
      </c>
      <c r="B58" s="2238" t="s">
        <v>3947</v>
      </c>
      <c r="C58" s="2239">
        <v>50</v>
      </c>
      <c r="D58" s="2240">
        <v>365</v>
      </c>
      <c r="E58" s="2241">
        <v>1.5255000000000001</v>
      </c>
      <c r="H58" s="2237"/>
    </row>
    <row r="59" spans="1:8" ht="20.100000000000001" customHeight="1" x14ac:dyDescent="0.25">
      <c r="A59" s="2231"/>
      <c r="B59" s="2238" t="s">
        <v>3948</v>
      </c>
      <c r="C59" s="2239">
        <v>250</v>
      </c>
      <c r="D59" s="2240">
        <v>130</v>
      </c>
      <c r="E59" s="2241">
        <v>0.95</v>
      </c>
      <c r="H59" s="2237"/>
    </row>
    <row r="60" spans="1:8" ht="20.100000000000001" customHeight="1" x14ac:dyDescent="0.25">
      <c r="A60" s="2231"/>
      <c r="B60" s="2238" t="s">
        <v>3948</v>
      </c>
      <c r="C60" s="2239">
        <v>250</v>
      </c>
      <c r="D60" s="2240">
        <v>163</v>
      </c>
      <c r="E60" s="2241">
        <v>1.1000000000000001</v>
      </c>
      <c r="H60" s="2237"/>
    </row>
    <row r="61" spans="1:8" ht="20.100000000000001" customHeight="1" x14ac:dyDescent="0.25">
      <c r="A61" s="2231"/>
      <c r="B61" s="2238" t="s">
        <v>3948</v>
      </c>
      <c r="C61" s="2239">
        <v>250</v>
      </c>
      <c r="D61" s="2240">
        <v>35</v>
      </c>
      <c r="E61" s="2241">
        <v>0.75</v>
      </c>
      <c r="H61" s="2237"/>
    </row>
    <row r="62" spans="1:8" ht="20.100000000000001" customHeight="1" x14ac:dyDescent="0.25">
      <c r="A62" s="2231"/>
      <c r="B62" s="2238" t="s">
        <v>3948</v>
      </c>
      <c r="C62" s="2239">
        <v>250</v>
      </c>
      <c r="D62" s="2240">
        <v>67</v>
      </c>
      <c r="E62" s="2241">
        <v>0.85</v>
      </c>
      <c r="H62" s="2237"/>
    </row>
    <row r="63" spans="1:8" ht="20.100000000000001" customHeight="1" x14ac:dyDescent="0.25">
      <c r="A63" s="2231">
        <v>44044</v>
      </c>
      <c r="B63" s="2238" t="s">
        <v>3947</v>
      </c>
      <c r="C63" s="2239">
        <v>50</v>
      </c>
      <c r="D63" s="2240">
        <v>730</v>
      </c>
      <c r="E63" s="2241">
        <v>1.0825</v>
      </c>
      <c r="H63" s="2237"/>
    </row>
    <row r="64" spans="1:8" ht="20.100000000000001" customHeight="1" x14ac:dyDescent="0.25">
      <c r="A64" s="2231"/>
      <c r="B64" s="2238" t="s">
        <v>3947</v>
      </c>
      <c r="C64" s="2239">
        <v>50</v>
      </c>
      <c r="D64" s="2240">
        <v>1095</v>
      </c>
      <c r="E64" s="2241">
        <v>1.3325</v>
      </c>
      <c r="H64" s="2237"/>
    </row>
    <row r="65" spans="1:8" ht="20.100000000000001" customHeight="1" x14ac:dyDescent="0.25">
      <c r="A65" s="2231">
        <v>44075</v>
      </c>
      <c r="B65" s="2238" t="s">
        <v>115</v>
      </c>
      <c r="C65" s="2239" t="s">
        <v>115</v>
      </c>
      <c r="D65" s="2240" t="s">
        <v>115</v>
      </c>
      <c r="E65" s="2241" t="s">
        <v>115</v>
      </c>
      <c r="H65" s="2237"/>
    </row>
    <row r="66" spans="1:8" ht="20.100000000000001" customHeight="1" x14ac:dyDescent="0.25">
      <c r="A66" s="2231">
        <v>44105</v>
      </c>
      <c r="B66" s="2238" t="s">
        <v>115</v>
      </c>
      <c r="C66" s="2239" t="s">
        <v>115</v>
      </c>
      <c r="D66" s="2240" t="s">
        <v>115</v>
      </c>
      <c r="E66" s="2241" t="s">
        <v>115</v>
      </c>
      <c r="H66" s="2237"/>
    </row>
    <row r="67" spans="1:8" ht="20.100000000000001" customHeight="1" x14ac:dyDescent="0.25">
      <c r="A67" s="2231">
        <v>44136</v>
      </c>
      <c r="B67" s="2238" t="s">
        <v>3947</v>
      </c>
      <c r="C67" s="2239">
        <v>25</v>
      </c>
      <c r="D67" s="2240">
        <v>181</v>
      </c>
      <c r="E67" s="2241">
        <v>0.95</v>
      </c>
      <c r="H67" s="2237"/>
    </row>
    <row r="68" spans="1:8" ht="20.100000000000001" customHeight="1" x14ac:dyDescent="0.25">
      <c r="A68" s="2231">
        <v>44166</v>
      </c>
      <c r="B68" s="2238" t="s">
        <v>3947</v>
      </c>
      <c r="C68" s="2239">
        <v>100</v>
      </c>
      <c r="D68" s="2240">
        <v>1095</v>
      </c>
      <c r="E68" s="2241">
        <v>1.5364</v>
      </c>
      <c r="H68" s="2237"/>
    </row>
    <row r="69" spans="1:8" ht="20.100000000000001" customHeight="1" x14ac:dyDescent="0.25">
      <c r="A69" s="2231">
        <v>44197</v>
      </c>
      <c r="B69" s="2238" t="s">
        <v>3947</v>
      </c>
      <c r="C69" s="2239">
        <v>150</v>
      </c>
      <c r="D69" s="2240">
        <v>365</v>
      </c>
      <c r="E69" s="2241">
        <v>1.1975</v>
      </c>
      <c r="H69" s="2237"/>
    </row>
    <row r="70" spans="1:8" ht="20.100000000000001" customHeight="1" x14ac:dyDescent="0.25">
      <c r="A70" s="2231">
        <v>44228</v>
      </c>
      <c r="B70" s="2238" t="s">
        <v>115</v>
      </c>
      <c r="C70" s="2239" t="s">
        <v>115</v>
      </c>
      <c r="D70" s="2240" t="s">
        <v>115</v>
      </c>
      <c r="E70" s="2241" t="s">
        <v>115</v>
      </c>
      <c r="H70" s="2237"/>
    </row>
    <row r="71" spans="1:8" ht="20.100000000000001" customHeight="1" x14ac:dyDescent="0.25">
      <c r="A71" s="2231">
        <v>44256</v>
      </c>
      <c r="B71" s="2238" t="s">
        <v>3947</v>
      </c>
      <c r="C71" s="2239">
        <v>100</v>
      </c>
      <c r="D71" s="2240">
        <v>365</v>
      </c>
      <c r="E71" s="2241">
        <v>0.8</v>
      </c>
      <c r="H71" s="2237"/>
    </row>
    <row r="72" spans="1:8" ht="20.100000000000001" customHeight="1" x14ac:dyDescent="0.25">
      <c r="A72" s="2231"/>
      <c r="B72" s="2238" t="s">
        <v>3947</v>
      </c>
      <c r="C72" s="2239">
        <v>50</v>
      </c>
      <c r="D72" s="2240">
        <v>365</v>
      </c>
      <c r="E72" s="2241">
        <v>0.75</v>
      </c>
      <c r="H72" s="2237"/>
    </row>
    <row r="73" spans="1:8" ht="20.100000000000001" customHeight="1" x14ac:dyDescent="0.25">
      <c r="A73" s="2231">
        <v>44287</v>
      </c>
      <c r="B73" s="2238" t="s">
        <v>3950</v>
      </c>
      <c r="C73" s="2239">
        <v>20</v>
      </c>
      <c r="D73" s="2240">
        <v>183</v>
      </c>
      <c r="E73" s="2241">
        <v>0.09</v>
      </c>
      <c r="H73" s="2237"/>
    </row>
    <row r="74" spans="1:8" ht="20.100000000000001" customHeight="1" x14ac:dyDescent="0.25">
      <c r="A74" s="2231">
        <v>44317</v>
      </c>
      <c r="B74" s="2238" t="s">
        <v>3950</v>
      </c>
      <c r="C74" s="2239">
        <v>50</v>
      </c>
      <c r="D74" s="2240">
        <v>184</v>
      </c>
      <c r="E74" s="2241">
        <v>7.0000000000000007E-2</v>
      </c>
      <c r="H74" s="2237"/>
    </row>
    <row r="75" spans="1:8" ht="20.100000000000001" customHeight="1" x14ac:dyDescent="0.25">
      <c r="A75" s="2231"/>
      <c r="B75" s="2238" t="s">
        <v>3948</v>
      </c>
      <c r="C75" s="2239">
        <v>1000</v>
      </c>
      <c r="D75" s="2240">
        <v>14</v>
      </c>
      <c r="E75" s="2241">
        <v>0.35</v>
      </c>
      <c r="H75" s="2237"/>
    </row>
    <row r="76" spans="1:8" ht="20.100000000000001" customHeight="1" x14ac:dyDescent="0.25">
      <c r="A76" s="2231"/>
      <c r="B76" s="2238" t="s">
        <v>3947</v>
      </c>
      <c r="C76" s="2239">
        <v>7</v>
      </c>
      <c r="D76" s="2240">
        <v>7</v>
      </c>
      <c r="E76" s="2241">
        <v>0</v>
      </c>
      <c r="H76" s="2237"/>
    </row>
    <row r="77" spans="1:8" ht="20.100000000000001" customHeight="1" x14ac:dyDescent="0.25">
      <c r="A77" s="2231">
        <v>44348</v>
      </c>
      <c r="B77" s="2238" t="s">
        <v>3948</v>
      </c>
      <c r="C77" s="2239">
        <v>1000</v>
      </c>
      <c r="D77" s="2240">
        <v>14</v>
      </c>
      <c r="E77" s="2241">
        <v>0.35</v>
      </c>
      <c r="H77" s="2237"/>
    </row>
    <row r="78" spans="1:8" ht="20.100000000000001" customHeight="1" x14ac:dyDescent="0.25">
      <c r="A78" s="2231"/>
      <c r="B78" s="2238" t="s">
        <v>3948</v>
      </c>
      <c r="C78" s="2239">
        <v>1000</v>
      </c>
      <c r="D78" s="2240">
        <v>14</v>
      </c>
      <c r="E78" s="2241">
        <v>0.45</v>
      </c>
      <c r="H78" s="2237"/>
    </row>
    <row r="79" spans="1:8" ht="20.100000000000001" customHeight="1" x14ac:dyDescent="0.25">
      <c r="A79" s="2231"/>
      <c r="B79" s="2238" t="s">
        <v>3948</v>
      </c>
      <c r="C79" s="2239">
        <v>1000</v>
      </c>
      <c r="D79" s="2240">
        <v>30</v>
      </c>
      <c r="E79" s="2241">
        <v>0.75</v>
      </c>
      <c r="H79" s="2237"/>
    </row>
    <row r="80" spans="1:8" ht="20.100000000000001" customHeight="1" x14ac:dyDescent="0.25">
      <c r="A80" s="2231">
        <v>44378</v>
      </c>
      <c r="B80" s="2238" t="s">
        <v>3950</v>
      </c>
      <c r="C80" s="2239">
        <v>25</v>
      </c>
      <c r="D80" s="2240">
        <v>184</v>
      </c>
      <c r="E80" s="2241">
        <v>0.1</v>
      </c>
      <c r="H80" s="2237"/>
    </row>
    <row r="81" spans="1:8" ht="20.100000000000001" customHeight="1" thickBot="1" x14ac:dyDescent="0.3">
      <c r="A81" s="2242"/>
      <c r="B81" s="2243"/>
      <c r="C81" s="2244"/>
      <c r="D81" s="2245"/>
      <c r="E81" s="2246"/>
      <c r="H81" s="2237"/>
    </row>
    <row r="82" spans="1:8" s="1915" customFormat="1" ht="20.100000000000001" customHeight="1" thickTop="1" x14ac:dyDescent="0.25">
      <c r="A82" s="733" t="s">
        <v>3952</v>
      </c>
      <c r="B82" s="2224"/>
    </row>
    <row r="83" spans="1:8" s="1915" customFormat="1" ht="20.100000000000001" hidden="1" customHeight="1" x14ac:dyDescent="0.25">
      <c r="A83" s="733" t="s">
        <v>3953</v>
      </c>
      <c r="B83" s="2224"/>
    </row>
    <row r="84" spans="1:8" s="1915" customFormat="1" ht="20.100000000000001" customHeight="1" x14ac:dyDescent="0.25">
      <c r="A84" s="2002" t="s">
        <v>3553</v>
      </c>
      <c r="B84" s="2247"/>
      <c r="C84" s="2247"/>
      <c r="D84" s="2247"/>
      <c r="E84" s="2247"/>
    </row>
    <row r="89" spans="1:8" ht="20.100000000000001" customHeight="1" x14ac:dyDescent="0.25">
      <c r="C89" s="2237"/>
    </row>
    <row r="90" spans="1:8" ht="20.100000000000001" customHeight="1" x14ac:dyDescent="0.25">
      <c r="C90" s="2237"/>
    </row>
    <row r="94" spans="1:8" ht="20.100000000000001" customHeight="1" x14ac:dyDescent="0.25">
      <c r="C94" s="2237"/>
    </row>
    <row r="95" spans="1:8" ht="20.100000000000001" customHeight="1" x14ac:dyDescent="0.25">
      <c r="C95" s="2237"/>
    </row>
  </sheetData>
  <printOptions horizontalCentered="1"/>
  <pageMargins left="0.75" right="0.75" top="0.75" bottom="0.75" header="0.31496062992126" footer="0"/>
  <pageSetup paperSize="9" scale="7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W242"/>
  <sheetViews>
    <sheetView zoomScale="90" zoomScaleNormal="90" zoomScaleSheetLayoutView="100" workbookViewId="0">
      <pane xSplit="1" ySplit="7" topLeftCell="B8" activePane="bottomRight" state="frozen"/>
      <selection activeCell="A150" sqref="A150"/>
      <selection pane="topRight" activeCell="A150" sqref="A150"/>
      <selection pane="bottomLeft" activeCell="A150" sqref="A150"/>
      <selection pane="bottomRight"/>
    </sheetView>
  </sheetViews>
  <sheetFormatPr defaultRowHeight="14.25" x14ac:dyDescent="0.25"/>
  <cols>
    <col min="1" max="1" width="20.28515625" style="2248" customWidth="1"/>
    <col min="2" max="2" width="16.7109375" style="127" customWidth="1"/>
    <col min="3" max="3" width="16.42578125" style="127" bestFit="1" customWidth="1"/>
    <col min="4" max="4" width="15.140625" style="127" bestFit="1" customWidth="1"/>
    <col min="5" max="5" width="13.140625" style="127" bestFit="1" customWidth="1"/>
    <col min="6" max="6" width="10.85546875" style="127" customWidth="1"/>
    <col min="7" max="7" width="19.85546875" style="127" customWidth="1"/>
    <col min="8" max="8" width="2" style="127" customWidth="1"/>
    <col min="9" max="9" width="3.7109375" style="127" customWidth="1"/>
    <col min="10" max="12" width="9.140625" style="127"/>
    <col min="13" max="13" width="10.42578125" style="127" bestFit="1" customWidth="1"/>
    <col min="14" max="14" width="14.5703125" style="127" bestFit="1" customWidth="1"/>
    <col min="15" max="15" width="13.5703125" style="127" bestFit="1" customWidth="1"/>
    <col min="16" max="18" width="12.42578125" style="127" bestFit="1" customWidth="1"/>
    <col min="19" max="19" width="13.5703125" style="127" bestFit="1" customWidth="1"/>
    <col min="20" max="233" width="9.140625" style="127"/>
    <col min="234" max="234" width="16.5703125" style="127" customWidth="1"/>
    <col min="235" max="235" width="10.42578125" style="127" customWidth="1"/>
    <col min="236" max="236" width="11.85546875" style="127" customWidth="1"/>
    <col min="237" max="237" width="10.42578125" style="127" customWidth="1"/>
    <col min="238" max="238" width="10.28515625" style="127" customWidth="1"/>
    <col min="239" max="239" width="8.28515625" style="127" customWidth="1"/>
    <col min="240" max="240" width="11" style="127" customWidth="1"/>
    <col min="241" max="241" width="8.7109375" style="127" customWidth="1"/>
    <col min="242" max="242" width="9.7109375" style="127" customWidth="1"/>
    <col min="243" max="243" width="12.85546875" style="127" customWidth="1"/>
    <col min="244" max="244" width="9.85546875" style="127" customWidth="1"/>
    <col min="245" max="245" width="8.7109375" style="127" customWidth="1"/>
    <col min="246" max="489" width="9.140625" style="127"/>
    <col min="490" max="490" width="16.5703125" style="127" customWidth="1"/>
    <col min="491" max="491" width="10.42578125" style="127" customWidth="1"/>
    <col min="492" max="492" width="11.85546875" style="127" customWidth="1"/>
    <col min="493" max="493" width="10.42578125" style="127" customWidth="1"/>
    <col min="494" max="494" width="10.28515625" style="127" customWidth="1"/>
    <col min="495" max="495" width="8.28515625" style="127" customWidth="1"/>
    <col min="496" max="496" width="11" style="127" customWidth="1"/>
    <col min="497" max="497" width="8.7109375" style="127" customWidth="1"/>
    <col min="498" max="498" width="9.7109375" style="127" customWidth="1"/>
    <col min="499" max="499" width="12.85546875" style="127" customWidth="1"/>
    <col min="500" max="500" width="9.85546875" style="127" customWidth="1"/>
    <col min="501" max="501" width="8.7109375" style="127" customWidth="1"/>
    <col min="502" max="745" width="9.140625" style="127"/>
    <col min="746" max="746" width="16.5703125" style="127" customWidth="1"/>
    <col min="747" max="747" width="10.42578125" style="127" customWidth="1"/>
    <col min="748" max="748" width="11.85546875" style="127" customWidth="1"/>
    <col min="749" max="749" width="10.42578125" style="127" customWidth="1"/>
    <col min="750" max="750" width="10.28515625" style="127" customWidth="1"/>
    <col min="751" max="751" width="8.28515625" style="127" customWidth="1"/>
    <col min="752" max="752" width="11" style="127" customWidth="1"/>
    <col min="753" max="753" width="8.7109375" style="127" customWidth="1"/>
    <col min="754" max="754" width="9.7109375" style="127" customWidth="1"/>
    <col min="755" max="755" width="12.85546875" style="127" customWidth="1"/>
    <col min="756" max="756" width="9.85546875" style="127" customWidth="1"/>
    <col min="757" max="757" width="8.7109375" style="127" customWidth="1"/>
    <col min="758" max="1001" width="9.140625" style="127"/>
    <col min="1002" max="1002" width="16.5703125" style="127" customWidth="1"/>
    <col min="1003" max="1003" width="10.42578125" style="127" customWidth="1"/>
    <col min="1004" max="1004" width="11.85546875" style="127" customWidth="1"/>
    <col min="1005" max="1005" width="10.42578125" style="127" customWidth="1"/>
    <col min="1006" max="1006" width="10.28515625" style="127" customWidth="1"/>
    <col min="1007" max="1007" width="8.28515625" style="127" customWidth="1"/>
    <col min="1008" max="1008" width="11" style="127" customWidth="1"/>
    <col min="1009" max="1009" width="8.7109375" style="127" customWidth="1"/>
    <col min="1010" max="1010" width="9.7109375" style="127" customWidth="1"/>
    <col min="1011" max="1011" width="12.85546875" style="127" customWidth="1"/>
    <col min="1012" max="1012" width="9.85546875" style="127" customWidth="1"/>
    <col min="1013" max="1013" width="8.7109375" style="127" customWidth="1"/>
    <col min="1014" max="1257" width="9.140625" style="127"/>
    <col min="1258" max="1258" width="16.5703125" style="127" customWidth="1"/>
    <col min="1259" max="1259" width="10.42578125" style="127" customWidth="1"/>
    <col min="1260" max="1260" width="11.85546875" style="127" customWidth="1"/>
    <col min="1261" max="1261" width="10.42578125" style="127" customWidth="1"/>
    <col min="1262" max="1262" width="10.28515625" style="127" customWidth="1"/>
    <col min="1263" max="1263" width="8.28515625" style="127" customWidth="1"/>
    <col min="1264" max="1264" width="11" style="127" customWidth="1"/>
    <col min="1265" max="1265" width="8.7109375" style="127" customWidth="1"/>
    <col min="1266" max="1266" width="9.7109375" style="127" customWidth="1"/>
    <col min="1267" max="1267" width="12.85546875" style="127" customWidth="1"/>
    <col min="1268" max="1268" width="9.85546875" style="127" customWidth="1"/>
    <col min="1269" max="1269" width="8.7109375" style="127" customWidth="1"/>
    <col min="1270" max="1513" width="9.140625" style="127"/>
    <col min="1514" max="1514" width="16.5703125" style="127" customWidth="1"/>
    <col min="1515" max="1515" width="10.42578125" style="127" customWidth="1"/>
    <col min="1516" max="1516" width="11.85546875" style="127" customWidth="1"/>
    <col min="1517" max="1517" width="10.42578125" style="127" customWidth="1"/>
    <col min="1518" max="1518" width="10.28515625" style="127" customWidth="1"/>
    <col min="1519" max="1519" width="8.28515625" style="127" customWidth="1"/>
    <col min="1520" max="1520" width="11" style="127" customWidth="1"/>
    <col min="1521" max="1521" width="8.7109375" style="127" customWidth="1"/>
    <col min="1522" max="1522" width="9.7109375" style="127" customWidth="1"/>
    <col min="1523" max="1523" width="12.85546875" style="127" customWidth="1"/>
    <col min="1524" max="1524" width="9.85546875" style="127" customWidth="1"/>
    <col min="1525" max="1525" width="8.7109375" style="127" customWidth="1"/>
    <col min="1526" max="1769" width="9.140625" style="127"/>
    <col min="1770" max="1770" width="16.5703125" style="127" customWidth="1"/>
    <col min="1771" max="1771" width="10.42578125" style="127" customWidth="1"/>
    <col min="1772" max="1772" width="11.85546875" style="127" customWidth="1"/>
    <col min="1773" max="1773" width="10.42578125" style="127" customWidth="1"/>
    <col min="1774" max="1774" width="10.28515625" style="127" customWidth="1"/>
    <col min="1775" max="1775" width="8.28515625" style="127" customWidth="1"/>
    <col min="1776" max="1776" width="11" style="127" customWidth="1"/>
    <col min="1777" max="1777" width="8.7109375" style="127" customWidth="1"/>
    <col min="1778" max="1778" width="9.7109375" style="127" customWidth="1"/>
    <col min="1779" max="1779" width="12.85546875" style="127" customWidth="1"/>
    <col min="1780" max="1780" width="9.85546875" style="127" customWidth="1"/>
    <col min="1781" max="1781" width="8.7109375" style="127" customWidth="1"/>
    <col min="1782" max="2025" width="9.140625" style="127"/>
    <col min="2026" max="2026" width="16.5703125" style="127" customWidth="1"/>
    <col min="2027" max="2027" width="10.42578125" style="127" customWidth="1"/>
    <col min="2028" max="2028" width="11.85546875" style="127" customWidth="1"/>
    <col min="2029" max="2029" width="10.42578125" style="127" customWidth="1"/>
    <col min="2030" max="2030" width="10.28515625" style="127" customWidth="1"/>
    <col min="2031" max="2031" width="8.28515625" style="127" customWidth="1"/>
    <col min="2032" max="2032" width="11" style="127" customWidth="1"/>
    <col min="2033" max="2033" width="8.7109375" style="127" customWidth="1"/>
    <col min="2034" max="2034" width="9.7109375" style="127" customWidth="1"/>
    <col min="2035" max="2035" width="12.85546875" style="127" customWidth="1"/>
    <col min="2036" max="2036" width="9.85546875" style="127" customWidth="1"/>
    <col min="2037" max="2037" width="8.7109375" style="127" customWidth="1"/>
    <col min="2038" max="2281" width="9.140625" style="127"/>
    <col min="2282" max="2282" width="16.5703125" style="127" customWidth="1"/>
    <col min="2283" max="2283" width="10.42578125" style="127" customWidth="1"/>
    <col min="2284" max="2284" width="11.85546875" style="127" customWidth="1"/>
    <col min="2285" max="2285" width="10.42578125" style="127" customWidth="1"/>
    <col min="2286" max="2286" width="10.28515625" style="127" customWidth="1"/>
    <col min="2287" max="2287" width="8.28515625" style="127" customWidth="1"/>
    <col min="2288" max="2288" width="11" style="127" customWidth="1"/>
    <col min="2289" max="2289" width="8.7109375" style="127" customWidth="1"/>
    <col min="2290" max="2290" width="9.7109375" style="127" customWidth="1"/>
    <col min="2291" max="2291" width="12.85546875" style="127" customWidth="1"/>
    <col min="2292" max="2292" width="9.85546875" style="127" customWidth="1"/>
    <col min="2293" max="2293" width="8.7109375" style="127" customWidth="1"/>
    <col min="2294" max="2537" width="9.140625" style="127"/>
    <col min="2538" max="2538" width="16.5703125" style="127" customWidth="1"/>
    <col min="2539" max="2539" width="10.42578125" style="127" customWidth="1"/>
    <col min="2540" max="2540" width="11.85546875" style="127" customWidth="1"/>
    <col min="2541" max="2541" width="10.42578125" style="127" customWidth="1"/>
    <col min="2542" max="2542" width="10.28515625" style="127" customWidth="1"/>
    <col min="2543" max="2543" width="8.28515625" style="127" customWidth="1"/>
    <col min="2544" max="2544" width="11" style="127" customWidth="1"/>
    <col min="2545" max="2545" width="8.7109375" style="127" customWidth="1"/>
    <col min="2546" max="2546" width="9.7109375" style="127" customWidth="1"/>
    <col min="2547" max="2547" width="12.85546875" style="127" customWidth="1"/>
    <col min="2548" max="2548" width="9.85546875" style="127" customWidth="1"/>
    <col min="2549" max="2549" width="8.7109375" style="127" customWidth="1"/>
    <col min="2550" max="2793" width="9.140625" style="127"/>
    <col min="2794" max="2794" width="16.5703125" style="127" customWidth="1"/>
    <col min="2795" max="2795" width="10.42578125" style="127" customWidth="1"/>
    <col min="2796" max="2796" width="11.85546875" style="127" customWidth="1"/>
    <col min="2797" max="2797" width="10.42578125" style="127" customWidth="1"/>
    <col min="2798" max="2798" width="10.28515625" style="127" customWidth="1"/>
    <col min="2799" max="2799" width="8.28515625" style="127" customWidth="1"/>
    <col min="2800" max="2800" width="11" style="127" customWidth="1"/>
    <col min="2801" max="2801" width="8.7109375" style="127" customWidth="1"/>
    <col min="2802" max="2802" width="9.7109375" style="127" customWidth="1"/>
    <col min="2803" max="2803" width="12.85546875" style="127" customWidth="1"/>
    <col min="2804" max="2804" width="9.85546875" style="127" customWidth="1"/>
    <col min="2805" max="2805" width="8.7109375" style="127" customWidth="1"/>
    <col min="2806" max="3049" width="9.140625" style="127"/>
    <col min="3050" max="3050" width="16.5703125" style="127" customWidth="1"/>
    <col min="3051" max="3051" width="10.42578125" style="127" customWidth="1"/>
    <col min="3052" max="3052" width="11.85546875" style="127" customWidth="1"/>
    <col min="3053" max="3053" width="10.42578125" style="127" customWidth="1"/>
    <col min="3054" max="3054" width="10.28515625" style="127" customWidth="1"/>
    <col min="3055" max="3055" width="8.28515625" style="127" customWidth="1"/>
    <col min="3056" max="3056" width="11" style="127" customWidth="1"/>
    <col min="3057" max="3057" width="8.7109375" style="127" customWidth="1"/>
    <col min="3058" max="3058" width="9.7109375" style="127" customWidth="1"/>
    <col min="3059" max="3059" width="12.85546875" style="127" customWidth="1"/>
    <col min="3060" max="3060" width="9.85546875" style="127" customWidth="1"/>
    <col min="3061" max="3061" width="8.7109375" style="127" customWidth="1"/>
    <col min="3062" max="3305" width="9.140625" style="127"/>
    <col min="3306" max="3306" width="16.5703125" style="127" customWidth="1"/>
    <col min="3307" max="3307" width="10.42578125" style="127" customWidth="1"/>
    <col min="3308" max="3308" width="11.85546875" style="127" customWidth="1"/>
    <col min="3309" max="3309" width="10.42578125" style="127" customWidth="1"/>
    <col min="3310" max="3310" width="10.28515625" style="127" customWidth="1"/>
    <col min="3311" max="3311" width="8.28515625" style="127" customWidth="1"/>
    <col min="3312" max="3312" width="11" style="127" customWidth="1"/>
    <col min="3313" max="3313" width="8.7109375" style="127" customWidth="1"/>
    <col min="3314" max="3314" width="9.7109375" style="127" customWidth="1"/>
    <col min="3315" max="3315" width="12.85546875" style="127" customWidth="1"/>
    <col min="3316" max="3316" width="9.85546875" style="127" customWidth="1"/>
    <col min="3317" max="3317" width="8.7109375" style="127" customWidth="1"/>
    <col min="3318" max="3561" width="9.140625" style="127"/>
    <col min="3562" max="3562" width="16.5703125" style="127" customWidth="1"/>
    <col min="3563" max="3563" width="10.42578125" style="127" customWidth="1"/>
    <col min="3564" max="3564" width="11.85546875" style="127" customWidth="1"/>
    <col min="3565" max="3565" width="10.42578125" style="127" customWidth="1"/>
    <col min="3566" max="3566" width="10.28515625" style="127" customWidth="1"/>
    <col min="3567" max="3567" width="8.28515625" style="127" customWidth="1"/>
    <col min="3568" max="3568" width="11" style="127" customWidth="1"/>
    <col min="3569" max="3569" width="8.7109375" style="127" customWidth="1"/>
    <col min="3570" max="3570" width="9.7109375" style="127" customWidth="1"/>
    <col min="3571" max="3571" width="12.85546875" style="127" customWidth="1"/>
    <col min="3572" max="3572" width="9.85546875" style="127" customWidth="1"/>
    <col min="3573" max="3573" width="8.7109375" style="127" customWidth="1"/>
    <col min="3574" max="3817" width="9.140625" style="127"/>
    <col min="3818" max="3818" width="16.5703125" style="127" customWidth="1"/>
    <col min="3819" max="3819" width="10.42578125" style="127" customWidth="1"/>
    <col min="3820" max="3820" width="11.85546875" style="127" customWidth="1"/>
    <col min="3821" max="3821" width="10.42578125" style="127" customWidth="1"/>
    <col min="3822" max="3822" width="10.28515625" style="127" customWidth="1"/>
    <col min="3823" max="3823" width="8.28515625" style="127" customWidth="1"/>
    <col min="3824" max="3824" width="11" style="127" customWidth="1"/>
    <col min="3825" max="3825" width="8.7109375" style="127" customWidth="1"/>
    <col min="3826" max="3826" width="9.7109375" style="127" customWidth="1"/>
    <col min="3827" max="3827" width="12.85546875" style="127" customWidth="1"/>
    <col min="3828" max="3828" width="9.85546875" style="127" customWidth="1"/>
    <col min="3829" max="3829" width="8.7109375" style="127" customWidth="1"/>
    <col min="3830" max="4073" width="9.140625" style="127"/>
    <col min="4074" max="4074" width="16.5703125" style="127" customWidth="1"/>
    <col min="4075" max="4075" width="10.42578125" style="127" customWidth="1"/>
    <col min="4076" max="4076" width="11.85546875" style="127" customWidth="1"/>
    <col min="4077" max="4077" width="10.42578125" style="127" customWidth="1"/>
    <col min="4078" max="4078" width="10.28515625" style="127" customWidth="1"/>
    <col min="4079" max="4079" width="8.28515625" style="127" customWidth="1"/>
    <col min="4080" max="4080" width="11" style="127" customWidth="1"/>
    <col min="4081" max="4081" width="8.7109375" style="127" customWidth="1"/>
    <col min="4082" max="4082" width="9.7109375" style="127" customWidth="1"/>
    <col min="4083" max="4083" width="12.85546875" style="127" customWidth="1"/>
    <col min="4084" max="4084" width="9.85546875" style="127" customWidth="1"/>
    <col min="4085" max="4085" width="8.7109375" style="127" customWidth="1"/>
    <col min="4086" max="4329" width="9.140625" style="127"/>
    <col min="4330" max="4330" width="16.5703125" style="127" customWidth="1"/>
    <col min="4331" max="4331" width="10.42578125" style="127" customWidth="1"/>
    <col min="4332" max="4332" width="11.85546875" style="127" customWidth="1"/>
    <col min="4333" max="4333" width="10.42578125" style="127" customWidth="1"/>
    <col min="4334" max="4334" width="10.28515625" style="127" customWidth="1"/>
    <col min="4335" max="4335" width="8.28515625" style="127" customWidth="1"/>
    <col min="4336" max="4336" width="11" style="127" customWidth="1"/>
    <col min="4337" max="4337" width="8.7109375" style="127" customWidth="1"/>
    <col min="4338" max="4338" width="9.7109375" style="127" customWidth="1"/>
    <col min="4339" max="4339" width="12.85546875" style="127" customWidth="1"/>
    <col min="4340" max="4340" width="9.85546875" style="127" customWidth="1"/>
    <col min="4341" max="4341" width="8.7109375" style="127" customWidth="1"/>
    <col min="4342" max="4585" width="9.140625" style="127"/>
    <col min="4586" max="4586" width="16.5703125" style="127" customWidth="1"/>
    <col min="4587" max="4587" width="10.42578125" style="127" customWidth="1"/>
    <col min="4588" max="4588" width="11.85546875" style="127" customWidth="1"/>
    <col min="4589" max="4589" width="10.42578125" style="127" customWidth="1"/>
    <col min="4590" max="4590" width="10.28515625" style="127" customWidth="1"/>
    <col min="4591" max="4591" width="8.28515625" style="127" customWidth="1"/>
    <col min="4592" max="4592" width="11" style="127" customWidth="1"/>
    <col min="4593" max="4593" width="8.7109375" style="127" customWidth="1"/>
    <col min="4594" max="4594" width="9.7109375" style="127" customWidth="1"/>
    <col min="4595" max="4595" width="12.85546875" style="127" customWidth="1"/>
    <col min="4596" max="4596" width="9.85546875" style="127" customWidth="1"/>
    <col min="4597" max="4597" width="8.7109375" style="127" customWidth="1"/>
    <col min="4598" max="4841" width="9.140625" style="127"/>
    <col min="4842" max="4842" width="16.5703125" style="127" customWidth="1"/>
    <col min="4843" max="4843" width="10.42578125" style="127" customWidth="1"/>
    <col min="4844" max="4844" width="11.85546875" style="127" customWidth="1"/>
    <col min="4845" max="4845" width="10.42578125" style="127" customWidth="1"/>
    <col min="4846" max="4846" width="10.28515625" style="127" customWidth="1"/>
    <col min="4847" max="4847" width="8.28515625" style="127" customWidth="1"/>
    <col min="4848" max="4848" width="11" style="127" customWidth="1"/>
    <col min="4849" max="4849" width="8.7109375" style="127" customWidth="1"/>
    <col min="4850" max="4850" width="9.7109375" style="127" customWidth="1"/>
    <col min="4851" max="4851" width="12.85546875" style="127" customWidth="1"/>
    <col min="4852" max="4852" width="9.85546875" style="127" customWidth="1"/>
    <col min="4853" max="4853" width="8.7109375" style="127" customWidth="1"/>
    <col min="4854" max="5097" width="9.140625" style="127"/>
    <col min="5098" max="5098" width="16.5703125" style="127" customWidth="1"/>
    <col min="5099" max="5099" width="10.42578125" style="127" customWidth="1"/>
    <col min="5100" max="5100" width="11.85546875" style="127" customWidth="1"/>
    <col min="5101" max="5101" width="10.42578125" style="127" customWidth="1"/>
    <col min="5102" max="5102" width="10.28515625" style="127" customWidth="1"/>
    <col min="5103" max="5103" width="8.28515625" style="127" customWidth="1"/>
    <col min="5104" max="5104" width="11" style="127" customWidth="1"/>
    <col min="5105" max="5105" width="8.7109375" style="127" customWidth="1"/>
    <col min="5106" max="5106" width="9.7109375" style="127" customWidth="1"/>
    <col min="5107" max="5107" width="12.85546875" style="127" customWidth="1"/>
    <col min="5108" max="5108" width="9.85546875" style="127" customWidth="1"/>
    <col min="5109" max="5109" width="8.7109375" style="127" customWidth="1"/>
    <col min="5110" max="5353" width="9.140625" style="127"/>
    <col min="5354" max="5354" width="16.5703125" style="127" customWidth="1"/>
    <col min="5355" max="5355" width="10.42578125" style="127" customWidth="1"/>
    <col min="5356" max="5356" width="11.85546875" style="127" customWidth="1"/>
    <col min="5357" max="5357" width="10.42578125" style="127" customWidth="1"/>
    <col min="5358" max="5358" width="10.28515625" style="127" customWidth="1"/>
    <col min="5359" max="5359" width="8.28515625" style="127" customWidth="1"/>
    <col min="5360" max="5360" width="11" style="127" customWidth="1"/>
    <col min="5361" max="5361" width="8.7109375" style="127" customWidth="1"/>
    <col min="5362" max="5362" width="9.7109375" style="127" customWidth="1"/>
    <col min="5363" max="5363" width="12.85546875" style="127" customWidth="1"/>
    <col min="5364" max="5364" width="9.85546875" style="127" customWidth="1"/>
    <col min="5365" max="5365" width="8.7109375" style="127" customWidth="1"/>
    <col min="5366" max="5609" width="9.140625" style="127"/>
    <col min="5610" max="5610" width="16.5703125" style="127" customWidth="1"/>
    <col min="5611" max="5611" width="10.42578125" style="127" customWidth="1"/>
    <col min="5612" max="5612" width="11.85546875" style="127" customWidth="1"/>
    <col min="5613" max="5613" width="10.42578125" style="127" customWidth="1"/>
    <col min="5614" max="5614" width="10.28515625" style="127" customWidth="1"/>
    <col min="5615" max="5615" width="8.28515625" style="127" customWidth="1"/>
    <col min="5616" max="5616" width="11" style="127" customWidth="1"/>
    <col min="5617" max="5617" width="8.7109375" style="127" customWidth="1"/>
    <col min="5618" max="5618" width="9.7109375" style="127" customWidth="1"/>
    <col min="5619" max="5619" width="12.85546875" style="127" customWidth="1"/>
    <col min="5620" max="5620" width="9.85546875" style="127" customWidth="1"/>
    <col min="5621" max="5621" width="8.7109375" style="127" customWidth="1"/>
    <col min="5622" max="5865" width="9.140625" style="127"/>
    <col min="5866" max="5866" width="16.5703125" style="127" customWidth="1"/>
    <col min="5867" max="5867" width="10.42578125" style="127" customWidth="1"/>
    <col min="5868" max="5868" width="11.85546875" style="127" customWidth="1"/>
    <col min="5869" max="5869" width="10.42578125" style="127" customWidth="1"/>
    <col min="5870" max="5870" width="10.28515625" style="127" customWidth="1"/>
    <col min="5871" max="5871" width="8.28515625" style="127" customWidth="1"/>
    <col min="5872" max="5872" width="11" style="127" customWidth="1"/>
    <col min="5873" max="5873" width="8.7109375" style="127" customWidth="1"/>
    <col min="5874" max="5874" width="9.7109375" style="127" customWidth="1"/>
    <col min="5875" max="5875" width="12.85546875" style="127" customWidth="1"/>
    <col min="5876" max="5876" width="9.85546875" style="127" customWidth="1"/>
    <col min="5877" max="5877" width="8.7109375" style="127" customWidth="1"/>
    <col min="5878" max="6121" width="9.140625" style="127"/>
    <col min="6122" max="6122" width="16.5703125" style="127" customWidth="1"/>
    <col min="6123" max="6123" width="10.42578125" style="127" customWidth="1"/>
    <col min="6124" max="6124" width="11.85546875" style="127" customWidth="1"/>
    <col min="6125" max="6125" width="10.42578125" style="127" customWidth="1"/>
    <col min="6126" max="6126" width="10.28515625" style="127" customWidth="1"/>
    <col min="6127" max="6127" width="8.28515625" style="127" customWidth="1"/>
    <col min="6128" max="6128" width="11" style="127" customWidth="1"/>
    <col min="6129" max="6129" width="8.7109375" style="127" customWidth="1"/>
    <col min="6130" max="6130" width="9.7109375" style="127" customWidth="1"/>
    <col min="6131" max="6131" width="12.85546875" style="127" customWidth="1"/>
    <col min="6132" max="6132" width="9.85546875" style="127" customWidth="1"/>
    <col min="6133" max="6133" width="8.7109375" style="127" customWidth="1"/>
    <col min="6134" max="6377" width="9.140625" style="127"/>
    <col min="6378" max="6378" width="16.5703125" style="127" customWidth="1"/>
    <col min="6379" max="6379" width="10.42578125" style="127" customWidth="1"/>
    <col min="6380" max="6380" width="11.85546875" style="127" customWidth="1"/>
    <col min="6381" max="6381" width="10.42578125" style="127" customWidth="1"/>
    <col min="6382" max="6382" width="10.28515625" style="127" customWidth="1"/>
    <col min="6383" max="6383" width="8.28515625" style="127" customWidth="1"/>
    <col min="6384" max="6384" width="11" style="127" customWidth="1"/>
    <col min="6385" max="6385" width="8.7109375" style="127" customWidth="1"/>
    <col min="6386" max="6386" width="9.7109375" style="127" customWidth="1"/>
    <col min="6387" max="6387" width="12.85546875" style="127" customWidth="1"/>
    <col min="6388" max="6388" width="9.85546875" style="127" customWidth="1"/>
    <col min="6389" max="6389" width="8.7109375" style="127" customWidth="1"/>
    <col min="6390" max="6633" width="9.140625" style="127"/>
    <col min="6634" max="6634" width="16.5703125" style="127" customWidth="1"/>
    <col min="6635" max="6635" width="10.42578125" style="127" customWidth="1"/>
    <col min="6636" max="6636" width="11.85546875" style="127" customWidth="1"/>
    <col min="6637" max="6637" width="10.42578125" style="127" customWidth="1"/>
    <col min="6638" max="6638" width="10.28515625" style="127" customWidth="1"/>
    <col min="6639" max="6639" width="8.28515625" style="127" customWidth="1"/>
    <col min="6640" max="6640" width="11" style="127" customWidth="1"/>
    <col min="6641" max="6641" width="8.7109375" style="127" customWidth="1"/>
    <col min="6642" max="6642" width="9.7109375" style="127" customWidth="1"/>
    <col min="6643" max="6643" width="12.85546875" style="127" customWidth="1"/>
    <col min="6644" max="6644" width="9.85546875" style="127" customWidth="1"/>
    <col min="6645" max="6645" width="8.7109375" style="127" customWidth="1"/>
    <col min="6646" max="6889" width="9.140625" style="127"/>
    <col min="6890" max="6890" width="16.5703125" style="127" customWidth="1"/>
    <col min="6891" max="6891" width="10.42578125" style="127" customWidth="1"/>
    <col min="6892" max="6892" width="11.85546875" style="127" customWidth="1"/>
    <col min="6893" max="6893" width="10.42578125" style="127" customWidth="1"/>
    <col min="6894" max="6894" width="10.28515625" style="127" customWidth="1"/>
    <col min="6895" max="6895" width="8.28515625" style="127" customWidth="1"/>
    <col min="6896" max="6896" width="11" style="127" customWidth="1"/>
    <col min="6897" max="6897" width="8.7109375" style="127" customWidth="1"/>
    <col min="6898" max="6898" width="9.7109375" style="127" customWidth="1"/>
    <col min="6899" max="6899" width="12.85546875" style="127" customWidth="1"/>
    <col min="6900" max="6900" width="9.85546875" style="127" customWidth="1"/>
    <col min="6901" max="6901" width="8.7109375" style="127" customWidth="1"/>
    <col min="6902" max="7145" width="9.140625" style="127"/>
    <col min="7146" max="7146" width="16.5703125" style="127" customWidth="1"/>
    <col min="7147" max="7147" width="10.42578125" style="127" customWidth="1"/>
    <col min="7148" max="7148" width="11.85546875" style="127" customWidth="1"/>
    <col min="7149" max="7149" width="10.42578125" style="127" customWidth="1"/>
    <col min="7150" max="7150" width="10.28515625" style="127" customWidth="1"/>
    <col min="7151" max="7151" width="8.28515625" style="127" customWidth="1"/>
    <col min="7152" max="7152" width="11" style="127" customWidth="1"/>
    <col min="7153" max="7153" width="8.7109375" style="127" customWidth="1"/>
    <col min="7154" max="7154" width="9.7109375" style="127" customWidth="1"/>
    <col min="7155" max="7155" width="12.85546875" style="127" customWidth="1"/>
    <col min="7156" max="7156" width="9.85546875" style="127" customWidth="1"/>
    <col min="7157" max="7157" width="8.7109375" style="127" customWidth="1"/>
    <col min="7158" max="7401" width="9.140625" style="127"/>
    <col min="7402" max="7402" width="16.5703125" style="127" customWidth="1"/>
    <col min="7403" max="7403" width="10.42578125" style="127" customWidth="1"/>
    <col min="7404" max="7404" width="11.85546875" style="127" customWidth="1"/>
    <col min="7405" max="7405" width="10.42578125" style="127" customWidth="1"/>
    <col min="7406" max="7406" width="10.28515625" style="127" customWidth="1"/>
    <col min="7407" max="7407" width="8.28515625" style="127" customWidth="1"/>
    <col min="7408" max="7408" width="11" style="127" customWidth="1"/>
    <col min="7409" max="7409" width="8.7109375" style="127" customWidth="1"/>
    <col min="7410" max="7410" width="9.7109375" style="127" customWidth="1"/>
    <col min="7411" max="7411" width="12.85546875" style="127" customWidth="1"/>
    <col min="7412" max="7412" width="9.85546875" style="127" customWidth="1"/>
    <col min="7413" max="7413" width="8.7109375" style="127" customWidth="1"/>
    <col min="7414" max="7657" width="9.140625" style="127"/>
    <col min="7658" max="7658" width="16.5703125" style="127" customWidth="1"/>
    <col min="7659" max="7659" width="10.42578125" style="127" customWidth="1"/>
    <col min="7660" max="7660" width="11.85546875" style="127" customWidth="1"/>
    <col min="7661" max="7661" width="10.42578125" style="127" customWidth="1"/>
    <col min="7662" max="7662" width="10.28515625" style="127" customWidth="1"/>
    <col min="7663" max="7663" width="8.28515625" style="127" customWidth="1"/>
    <col min="7664" max="7664" width="11" style="127" customWidth="1"/>
    <col min="7665" max="7665" width="8.7109375" style="127" customWidth="1"/>
    <col min="7666" max="7666" width="9.7109375" style="127" customWidth="1"/>
    <col min="7667" max="7667" width="12.85546875" style="127" customWidth="1"/>
    <col min="7668" max="7668" width="9.85546875" style="127" customWidth="1"/>
    <col min="7669" max="7669" width="8.7109375" style="127" customWidth="1"/>
    <col min="7670" max="7913" width="9.140625" style="127"/>
    <col min="7914" max="7914" width="16.5703125" style="127" customWidth="1"/>
    <col min="7915" max="7915" width="10.42578125" style="127" customWidth="1"/>
    <col min="7916" max="7916" width="11.85546875" style="127" customWidth="1"/>
    <col min="7917" max="7917" width="10.42578125" style="127" customWidth="1"/>
    <col min="7918" max="7918" width="10.28515625" style="127" customWidth="1"/>
    <col min="7919" max="7919" width="8.28515625" style="127" customWidth="1"/>
    <col min="7920" max="7920" width="11" style="127" customWidth="1"/>
    <col min="7921" max="7921" width="8.7109375" style="127" customWidth="1"/>
    <col min="7922" max="7922" width="9.7109375" style="127" customWidth="1"/>
    <col min="7923" max="7923" width="12.85546875" style="127" customWidth="1"/>
    <col min="7924" max="7924" width="9.85546875" style="127" customWidth="1"/>
    <col min="7925" max="7925" width="8.7109375" style="127" customWidth="1"/>
    <col min="7926" max="8169" width="9.140625" style="127"/>
    <col min="8170" max="8170" width="16.5703125" style="127" customWidth="1"/>
    <col min="8171" max="8171" width="10.42578125" style="127" customWidth="1"/>
    <col min="8172" max="8172" width="11.85546875" style="127" customWidth="1"/>
    <col min="8173" max="8173" width="10.42578125" style="127" customWidth="1"/>
    <col min="8174" max="8174" width="10.28515625" style="127" customWidth="1"/>
    <col min="8175" max="8175" width="8.28515625" style="127" customWidth="1"/>
    <col min="8176" max="8176" width="11" style="127" customWidth="1"/>
    <col min="8177" max="8177" width="8.7109375" style="127" customWidth="1"/>
    <col min="8178" max="8178" width="9.7109375" style="127" customWidth="1"/>
    <col min="8179" max="8179" width="12.85546875" style="127" customWidth="1"/>
    <col min="8180" max="8180" width="9.85546875" style="127" customWidth="1"/>
    <col min="8181" max="8181" width="8.7109375" style="127" customWidth="1"/>
    <col min="8182" max="8425" width="9.140625" style="127"/>
    <col min="8426" max="8426" width="16.5703125" style="127" customWidth="1"/>
    <col min="8427" max="8427" width="10.42578125" style="127" customWidth="1"/>
    <col min="8428" max="8428" width="11.85546875" style="127" customWidth="1"/>
    <col min="8429" max="8429" width="10.42578125" style="127" customWidth="1"/>
    <col min="8430" max="8430" width="10.28515625" style="127" customWidth="1"/>
    <col min="8431" max="8431" width="8.28515625" style="127" customWidth="1"/>
    <col min="8432" max="8432" width="11" style="127" customWidth="1"/>
    <col min="8433" max="8433" width="8.7109375" style="127" customWidth="1"/>
    <col min="8434" max="8434" width="9.7109375" style="127" customWidth="1"/>
    <col min="8435" max="8435" width="12.85546875" style="127" customWidth="1"/>
    <col min="8436" max="8436" width="9.85546875" style="127" customWidth="1"/>
    <col min="8437" max="8437" width="8.7109375" style="127" customWidth="1"/>
    <col min="8438" max="8681" width="9.140625" style="127"/>
    <col min="8682" max="8682" width="16.5703125" style="127" customWidth="1"/>
    <col min="8683" max="8683" width="10.42578125" style="127" customWidth="1"/>
    <col min="8684" max="8684" width="11.85546875" style="127" customWidth="1"/>
    <col min="8685" max="8685" width="10.42578125" style="127" customWidth="1"/>
    <col min="8686" max="8686" width="10.28515625" style="127" customWidth="1"/>
    <col min="8687" max="8687" width="8.28515625" style="127" customWidth="1"/>
    <col min="8688" max="8688" width="11" style="127" customWidth="1"/>
    <col min="8689" max="8689" width="8.7109375" style="127" customWidth="1"/>
    <col min="8690" max="8690" width="9.7109375" style="127" customWidth="1"/>
    <col min="8691" max="8691" width="12.85546875" style="127" customWidth="1"/>
    <col min="8692" max="8692" width="9.85546875" style="127" customWidth="1"/>
    <col min="8693" max="8693" width="8.7109375" style="127" customWidth="1"/>
    <col min="8694" max="8937" width="9.140625" style="127"/>
    <col min="8938" max="8938" width="16.5703125" style="127" customWidth="1"/>
    <col min="8939" max="8939" width="10.42578125" style="127" customWidth="1"/>
    <col min="8940" max="8940" width="11.85546875" style="127" customWidth="1"/>
    <col min="8941" max="8941" width="10.42578125" style="127" customWidth="1"/>
    <col min="8942" max="8942" width="10.28515625" style="127" customWidth="1"/>
    <col min="8943" max="8943" width="8.28515625" style="127" customWidth="1"/>
    <col min="8944" max="8944" width="11" style="127" customWidth="1"/>
    <col min="8945" max="8945" width="8.7109375" style="127" customWidth="1"/>
    <col min="8946" max="8946" width="9.7109375" style="127" customWidth="1"/>
    <col min="8947" max="8947" width="12.85546875" style="127" customWidth="1"/>
    <col min="8948" max="8948" width="9.85546875" style="127" customWidth="1"/>
    <col min="8949" max="8949" width="8.7109375" style="127" customWidth="1"/>
    <col min="8950" max="9193" width="9.140625" style="127"/>
    <col min="9194" max="9194" width="16.5703125" style="127" customWidth="1"/>
    <col min="9195" max="9195" width="10.42578125" style="127" customWidth="1"/>
    <col min="9196" max="9196" width="11.85546875" style="127" customWidth="1"/>
    <col min="9197" max="9197" width="10.42578125" style="127" customWidth="1"/>
    <col min="9198" max="9198" width="10.28515625" style="127" customWidth="1"/>
    <col min="9199" max="9199" width="8.28515625" style="127" customWidth="1"/>
    <col min="9200" max="9200" width="11" style="127" customWidth="1"/>
    <col min="9201" max="9201" width="8.7109375" style="127" customWidth="1"/>
    <col min="9202" max="9202" width="9.7109375" style="127" customWidth="1"/>
    <col min="9203" max="9203" width="12.85546875" style="127" customWidth="1"/>
    <col min="9204" max="9204" width="9.85546875" style="127" customWidth="1"/>
    <col min="9205" max="9205" width="8.7109375" style="127" customWidth="1"/>
    <col min="9206" max="9449" width="9.140625" style="127"/>
    <col min="9450" max="9450" width="16.5703125" style="127" customWidth="1"/>
    <col min="9451" max="9451" width="10.42578125" style="127" customWidth="1"/>
    <col min="9452" max="9452" width="11.85546875" style="127" customWidth="1"/>
    <col min="9453" max="9453" width="10.42578125" style="127" customWidth="1"/>
    <col min="9454" max="9454" width="10.28515625" style="127" customWidth="1"/>
    <col min="9455" max="9455" width="8.28515625" style="127" customWidth="1"/>
    <col min="9456" max="9456" width="11" style="127" customWidth="1"/>
    <col min="9457" max="9457" width="8.7109375" style="127" customWidth="1"/>
    <col min="9458" max="9458" width="9.7109375" style="127" customWidth="1"/>
    <col min="9459" max="9459" width="12.85546875" style="127" customWidth="1"/>
    <col min="9460" max="9460" width="9.85546875" style="127" customWidth="1"/>
    <col min="9461" max="9461" width="8.7109375" style="127" customWidth="1"/>
    <col min="9462" max="9705" width="9.140625" style="127"/>
    <col min="9706" max="9706" width="16.5703125" style="127" customWidth="1"/>
    <col min="9707" max="9707" width="10.42578125" style="127" customWidth="1"/>
    <col min="9708" max="9708" width="11.85546875" style="127" customWidth="1"/>
    <col min="9709" max="9709" width="10.42578125" style="127" customWidth="1"/>
    <col min="9710" max="9710" width="10.28515625" style="127" customWidth="1"/>
    <col min="9711" max="9711" width="8.28515625" style="127" customWidth="1"/>
    <col min="9712" max="9712" width="11" style="127" customWidth="1"/>
    <col min="9713" max="9713" width="8.7109375" style="127" customWidth="1"/>
    <col min="9714" max="9714" width="9.7109375" style="127" customWidth="1"/>
    <col min="9715" max="9715" width="12.85546875" style="127" customWidth="1"/>
    <col min="9716" max="9716" width="9.85546875" style="127" customWidth="1"/>
    <col min="9717" max="9717" width="8.7109375" style="127" customWidth="1"/>
    <col min="9718" max="9961" width="9.140625" style="127"/>
    <col min="9962" max="9962" width="16.5703125" style="127" customWidth="1"/>
    <col min="9963" max="9963" width="10.42578125" style="127" customWidth="1"/>
    <col min="9964" max="9964" width="11.85546875" style="127" customWidth="1"/>
    <col min="9965" max="9965" width="10.42578125" style="127" customWidth="1"/>
    <col min="9966" max="9966" width="10.28515625" style="127" customWidth="1"/>
    <col min="9967" max="9967" width="8.28515625" style="127" customWidth="1"/>
    <col min="9968" max="9968" width="11" style="127" customWidth="1"/>
    <col min="9969" max="9969" width="8.7109375" style="127" customWidth="1"/>
    <col min="9970" max="9970" width="9.7109375" style="127" customWidth="1"/>
    <col min="9971" max="9971" width="12.85546875" style="127" customWidth="1"/>
    <col min="9972" max="9972" width="9.85546875" style="127" customWidth="1"/>
    <col min="9973" max="9973" width="8.7109375" style="127" customWidth="1"/>
    <col min="9974" max="10217" width="9.140625" style="127"/>
    <col min="10218" max="10218" width="16.5703125" style="127" customWidth="1"/>
    <col min="10219" max="10219" width="10.42578125" style="127" customWidth="1"/>
    <col min="10220" max="10220" width="11.85546875" style="127" customWidth="1"/>
    <col min="10221" max="10221" width="10.42578125" style="127" customWidth="1"/>
    <col min="10222" max="10222" width="10.28515625" style="127" customWidth="1"/>
    <col min="10223" max="10223" width="8.28515625" style="127" customWidth="1"/>
    <col min="10224" max="10224" width="11" style="127" customWidth="1"/>
    <col min="10225" max="10225" width="8.7109375" style="127" customWidth="1"/>
    <col min="10226" max="10226" width="9.7109375" style="127" customWidth="1"/>
    <col min="10227" max="10227" width="12.85546875" style="127" customWidth="1"/>
    <col min="10228" max="10228" width="9.85546875" style="127" customWidth="1"/>
    <col min="10229" max="10229" width="8.7109375" style="127" customWidth="1"/>
    <col min="10230" max="10473" width="9.140625" style="127"/>
    <col min="10474" max="10474" width="16.5703125" style="127" customWidth="1"/>
    <col min="10475" max="10475" width="10.42578125" style="127" customWidth="1"/>
    <col min="10476" max="10476" width="11.85546875" style="127" customWidth="1"/>
    <col min="10477" max="10477" width="10.42578125" style="127" customWidth="1"/>
    <col min="10478" max="10478" width="10.28515625" style="127" customWidth="1"/>
    <col min="10479" max="10479" width="8.28515625" style="127" customWidth="1"/>
    <col min="10480" max="10480" width="11" style="127" customWidth="1"/>
    <col min="10481" max="10481" width="8.7109375" style="127" customWidth="1"/>
    <col min="10482" max="10482" width="9.7109375" style="127" customWidth="1"/>
    <col min="10483" max="10483" width="12.85546875" style="127" customWidth="1"/>
    <col min="10484" max="10484" width="9.85546875" style="127" customWidth="1"/>
    <col min="10485" max="10485" width="8.7109375" style="127" customWidth="1"/>
    <col min="10486" max="10729" width="9.140625" style="127"/>
    <col min="10730" max="10730" width="16.5703125" style="127" customWidth="1"/>
    <col min="10731" max="10731" width="10.42578125" style="127" customWidth="1"/>
    <col min="10732" max="10732" width="11.85546875" style="127" customWidth="1"/>
    <col min="10733" max="10733" width="10.42578125" style="127" customWidth="1"/>
    <col min="10734" max="10734" width="10.28515625" style="127" customWidth="1"/>
    <col min="10735" max="10735" width="8.28515625" style="127" customWidth="1"/>
    <col min="10736" max="10736" width="11" style="127" customWidth="1"/>
    <col min="10737" max="10737" width="8.7109375" style="127" customWidth="1"/>
    <col min="10738" max="10738" width="9.7109375" style="127" customWidth="1"/>
    <col min="10739" max="10739" width="12.85546875" style="127" customWidth="1"/>
    <col min="10740" max="10740" width="9.85546875" style="127" customWidth="1"/>
    <col min="10741" max="10741" width="8.7109375" style="127" customWidth="1"/>
    <col min="10742" max="10985" width="9.140625" style="127"/>
    <col min="10986" max="10986" width="16.5703125" style="127" customWidth="1"/>
    <col min="10987" max="10987" width="10.42578125" style="127" customWidth="1"/>
    <col min="10988" max="10988" width="11.85546875" style="127" customWidth="1"/>
    <col min="10989" max="10989" width="10.42578125" style="127" customWidth="1"/>
    <col min="10990" max="10990" width="10.28515625" style="127" customWidth="1"/>
    <col min="10991" max="10991" width="8.28515625" style="127" customWidth="1"/>
    <col min="10992" max="10992" width="11" style="127" customWidth="1"/>
    <col min="10993" max="10993" width="8.7109375" style="127" customWidth="1"/>
    <col min="10994" max="10994" width="9.7109375" style="127" customWidth="1"/>
    <col min="10995" max="10995" width="12.85546875" style="127" customWidth="1"/>
    <col min="10996" max="10996" width="9.85546875" style="127" customWidth="1"/>
    <col min="10997" max="10997" width="8.7109375" style="127" customWidth="1"/>
    <col min="10998" max="11241" width="9.140625" style="127"/>
    <col min="11242" max="11242" width="16.5703125" style="127" customWidth="1"/>
    <col min="11243" max="11243" width="10.42578125" style="127" customWidth="1"/>
    <col min="11244" max="11244" width="11.85546875" style="127" customWidth="1"/>
    <col min="11245" max="11245" width="10.42578125" style="127" customWidth="1"/>
    <col min="11246" max="11246" width="10.28515625" style="127" customWidth="1"/>
    <col min="11247" max="11247" width="8.28515625" style="127" customWidth="1"/>
    <col min="11248" max="11248" width="11" style="127" customWidth="1"/>
    <col min="11249" max="11249" width="8.7109375" style="127" customWidth="1"/>
    <col min="11250" max="11250" width="9.7109375" style="127" customWidth="1"/>
    <col min="11251" max="11251" width="12.85546875" style="127" customWidth="1"/>
    <col min="11252" max="11252" width="9.85546875" style="127" customWidth="1"/>
    <col min="11253" max="11253" width="8.7109375" style="127" customWidth="1"/>
    <col min="11254" max="11497" width="9.140625" style="127"/>
    <col min="11498" max="11498" width="16.5703125" style="127" customWidth="1"/>
    <col min="11499" max="11499" width="10.42578125" style="127" customWidth="1"/>
    <col min="11500" max="11500" width="11.85546875" style="127" customWidth="1"/>
    <col min="11501" max="11501" width="10.42578125" style="127" customWidth="1"/>
    <col min="11502" max="11502" width="10.28515625" style="127" customWidth="1"/>
    <col min="11503" max="11503" width="8.28515625" style="127" customWidth="1"/>
    <col min="11504" max="11504" width="11" style="127" customWidth="1"/>
    <col min="11505" max="11505" width="8.7109375" style="127" customWidth="1"/>
    <col min="11506" max="11506" width="9.7109375" style="127" customWidth="1"/>
    <col min="11507" max="11507" width="12.85546875" style="127" customWidth="1"/>
    <col min="11508" max="11508" width="9.85546875" style="127" customWidth="1"/>
    <col min="11509" max="11509" width="8.7109375" style="127" customWidth="1"/>
    <col min="11510" max="11753" width="9.140625" style="127"/>
    <col min="11754" max="11754" width="16.5703125" style="127" customWidth="1"/>
    <col min="11755" max="11755" width="10.42578125" style="127" customWidth="1"/>
    <col min="11756" max="11756" width="11.85546875" style="127" customWidth="1"/>
    <col min="11757" max="11757" width="10.42578125" style="127" customWidth="1"/>
    <col min="11758" max="11758" width="10.28515625" style="127" customWidth="1"/>
    <col min="11759" max="11759" width="8.28515625" style="127" customWidth="1"/>
    <col min="11760" max="11760" width="11" style="127" customWidth="1"/>
    <col min="11761" max="11761" width="8.7109375" style="127" customWidth="1"/>
    <col min="11762" max="11762" width="9.7109375" style="127" customWidth="1"/>
    <col min="11763" max="11763" width="12.85546875" style="127" customWidth="1"/>
    <col min="11764" max="11764" width="9.85546875" style="127" customWidth="1"/>
    <col min="11765" max="11765" width="8.7109375" style="127" customWidth="1"/>
    <col min="11766" max="12009" width="9.140625" style="127"/>
    <col min="12010" max="12010" width="16.5703125" style="127" customWidth="1"/>
    <col min="12011" max="12011" width="10.42578125" style="127" customWidth="1"/>
    <col min="12012" max="12012" width="11.85546875" style="127" customWidth="1"/>
    <col min="12013" max="12013" width="10.42578125" style="127" customWidth="1"/>
    <col min="12014" max="12014" width="10.28515625" style="127" customWidth="1"/>
    <col min="12015" max="12015" width="8.28515625" style="127" customWidth="1"/>
    <col min="12016" max="12016" width="11" style="127" customWidth="1"/>
    <col min="12017" max="12017" width="8.7109375" style="127" customWidth="1"/>
    <col min="12018" max="12018" width="9.7109375" style="127" customWidth="1"/>
    <col min="12019" max="12019" width="12.85546875" style="127" customWidth="1"/>
    <col min="12020" max="12020" width="9.85546875" style="127" customWidth="1"/>
    <col min="12021" max="12021" width="8.7109375" style="127" customWidth="1"/>
    <col min="12022" max="12265" width="9.140625" style="127"/>
    <col min="12266" max="12266" width="16.5703125" style="127" customWidth="1"/>
    <col min="12267" max="12267" width="10.42578125" style="127" customWidth="1"/>
    <col min="12268" max="12268" width="11.85546875" style="127" customWidth="1"/>
    <col min="12269" max="12269" width="10.42578125" style="127" customWidth="1"/>
    <col min="12270" max="12270" width="10.28515625" style="127" customWidth="1"/>
    <col min="12271" max="12271" width="8.28515625" style="127" customWidth="1"/>
    <col min="12272" max="12272" width="11" style="127" customWidth="1"/>
    <col min="12273" max="12273" width="8.7109375" style="127" customWidth="1"/>
    <col min="12274" max="12274" width="9.7109375" style="127" customWidth="1"/>
    <col min="12275" max="12275" width="12.85546875" style="127" customWidth="1"/>
    <col min="12276" max="12276" width="9.85546875" style="127" customWidth="1"/>
    <col min="12277" max="12277" width="8.7109375" style="127" customWidth="1"/>
    <col min="12278" max="12521" width="9.140625" style="127"/>
    <col min="12522" max="12522" width="16.5703125" style="127" customWidth="1"/>
    <col min="12523" max="12523" width="10.42578125" style="127" customWidth="1"/>
    <col min="12524" max="12524" width="11.85546875" style="127" customWidth="1"/>
    <col min="12525" max="12525" width="10.42578125" style="127" customWidth="1"/>
    <col min="12526" max="12526" width="10.28515625" style="127" customWidth="1"/>
    <col min="12527" max="12527" width="8.28515625" style="127" customWidth="1"/>
    <col min="12528" max="12528" width="11" style="127" customWidth="1"/>
    <col min="12529" max="12529" width="8.7109375" style="127" customWidth="1"/>
    <col min="12530" max="12530" width="9.7109375" style="127" customWidth="1"/>
    <col min="12531" max="12531" width="12.85546875" style="127" customWidth="1"/>
    <col min="12532" max="12532" width="9.85546875" style="127" customWidth="1"/>
    <col min="12533" max="12533" width="8.7109375" style="127" customWidth="1"/>
    <col min="12534" max="12777" width="9.140625" style="127"/>
    <col min="12778" max="12778" width="16.5703125" style="127" customWidth="1"/>
    <col min="12779" max="12779" width="10.42578125" style="127" customWidth="1"/>
    <col min="12780" max="12780" width="11.85546875" style="127" customWidth="1"/>
    <col min="12781" max="12781" width="10.42578125" style="127" customWidth="1"/>
    <col min="12782" max="12782" width="10.28515625" style="127" customWidth="1"/>
    <col min="12783" max="12783" width="8.28515625" style="127" customWidth="1"/>
    <col min="12784" max="12784" width="11" style="127" customWidth="1"/>
    <col min="12785" max="12785" width="8.7109375" style="127" customWidth="1"/>
    <col min="12786" max="12786" width="9.7109375" style="127" customWidth="1"/>
    <col min="12787" max="12787" width="12.85546875" style="127" customWidth="1"/>
    <col min="12788" max="12788" width="9.85546875" style="127" customWidth="1"/>
    <col min="12789" max="12789" width="8.7109375" style="127" customWidth="1"/>
    <col min="12790" max="13033" width="9.140625" style="127"/>
    <col min="13034" max="13034" width="16.5703125" style="127" customWidth="1"/>
    <col min="13035" max="13035" width="10.42578125" style="127" customWidth="1"/>
    <col min="13036" max="13036" width="11.85546875" style="127" customWidth="1"/>
    <col min="13037" max="13037" width="10.42578125" style="127" customWidth="1"/>
    <col min="13038" max="13038" width="10.28515625" style="127" customWidth="1"/>
    <col min="13039" max="13039" width="8.28515625" style="127" customWidth="1"/>
    <col min="13040" max="13040" width="11" style="127" customWidth="1"/>
    <col min="13041" max="13041" width="8.7109375" style="127" customWidth="1"/>
    <col min="13042" max="13042" width="9.7109375" style="127" customWidth="1"/>
    <col min="13043" max="13043" width="12.85546875" style="127" customWidth="1"/>
    <col min="13044" max="13044" width="9.85546875" style="127" customWidth="1"/>
    <col min="13045" max="13045" width="8.7109375" style="127" customWidth="1"/>
    <col min="13046" max="13289" width="9.140625" style="127"/>
    <col min="13290" max="13290" width="16.5703125" style="127" customWidth="1"/>
    <col min="13291" max="13291" width="10.42578125" style="127" customWidth="1"/>
    <col min="13292" max="13292" width="11.85546875" style="127" customWidth="1"/>
    <col min="13293" max="13293" width="10.42578125" style="127" customWidth="1"/>
    <col min="13294" max="13294" width="10.28515625" style="127" customWidth="1"/>
    <col min="13295" max="13295" width="8.28515625" style="127" customWidth="1"/>
    <col min="13296" max="13296" width="11" style="127" customWidth="1"/>
    <col min="13297" max="13297" width="8.7109375" style="127" customWidth="1"/>
    <col min="13298" max="13298" width="9.7109375" style="127" customWidth="1"/>
    <col min="13299" max="13299" width="12.85546875" style="127" customWidth="1"/>
    <col min="13300" max="13300" width="9.85546875" style="127" customWidth="1"/>
    <col min="13301" max="13301" width="8.7109375" style="127" customWidth="1"/>
    <col min="13302" max="13545" width="9.140625" style="127"/>
    <col min="13546" max="13546" width="16.5703125" style="127" customWidth="1"/>
    <col min="13547" max="13547" width="10.42578125" style="127" customWidth="1"/>
    <col min="13548" max="13548" width="11.85546875" style="127" customWidth="1"/>
    <col min="13549" max="13549" width="10.42578125" style="127" customWidth="1"/>
    <col min="13550" max="13550" width="10.28515625" style="127" customWidth="1"/>
    <col min="13551" max="13551" width="8.28515625" style="127" customWidth="1"/>
    <col min="13552" max="13552" width="11" style="127" customWidth="1"/>
    <col min="13553" max="13553" width="8.7109375" style="127" customWidth="1"/>
    <col min="13554" max="13554" width="9.7109375" style="127" customWidth="1"/>
    <col min="13555" max="13555" width="12.85546875" style="127" customWidth="1"/>
    <col min="13556" max="13556" width="9.85546875" style="127" customWidth="1"/>
    <col min="13557" max="13557" width="8.7109375" style="127" customWidth="1"/>
    <col min="13558" max="13801" width="9.140625" style="127"/>
    <col min="13802" max="13802" width="16.5703125" style="127" customWidth="1"/>
    <col min="13803" max="13803" width="10.42578125" style="127" customWidth="1"/>
    <col min="13804" max="13804" width="11.85546875" style="127" customWidth="1"/>
    <col min="13805" max="13805" width="10.42578125" style="127" customWidth="1"/>
    <col min="13806" max="13806" width="10.28515625" style="127" customWidth="1"/>
    <col min="13807" max="13807" width="8.28515625" style="127" customWidth="1"/>
    <col min="13808" max="13808" width="11" style="127" customWidth="1"/>
    <col min="13809" max="13809" width="8.7109375" style="127" customWidth="1"/>
    <col min="13810" max="13810" width="9.7109375" style="127" customWidth="1"/>
    <col min="13811" max="13811" width="12.85546875" style="127" customWidth="1"/>
    <col min="13812" max="13812" width="9.85546875" style="127" customWidth="1"/>
    <col min="13813" max="13813" width="8.7109375" style="127" customWidth="1"/>
    <col min="13814" max="14057" width="9.140625" style="127"/>
    <col min="14058" max="14058" width="16.5703125" style="127" customWidth="1"/>
    <col min="14059" max="14059" width="10.42578125" style="127" customWidth="1"/>
    <col min="14060" max="14060" width="11.85546875" style="127" customWidth="1"/>
    <col min="14061" max="14061" width="10.42578125" style="127" customWidth="1"/>
    <col min="14062" max="14062" width="10.28515625" style="127" customWidth="1"/>
    <col min="14063" max="14063" width="8.28515625" style="127" customWidth="1"/>
    <col min="14064" max="14064" width="11" style="127" customWidth="1"/>
    <col min="14065" max="14065" width="8.7109375" style="127" customWidth="1"/>
    <col min="14066" max="14066" width="9.7109375" style="127" customWidth="1"/>
    <col min="14067" max="14067" width="12.85546875" style="127" customWidth="1"/>
    <col min="14068" max="14068" width="9.85546875" style="127" customWidth="1"/>
    <col min="14069" max="14069" width="8.7109375" style="127" customWidth="1"/>
    <col min="14070" max="14313" width="9.140625" style="127"/>
    <col min="14314" max="14314" width="16.5703125" style="127" customWidth="1"/>
    <col min="14315" max="14315" width="10.42578125" style="127" customWidth="1"/>
    <col min="14316" max="14316" width="11.85546875" style="127" customWidth="1"/>
    <col min="14317" max="14317" width="10.42578125" style="127" customWidth="1"/>
    <col min="14318" max="14318" width="10.28515625" style="127" customWidth="1"/>
    <col min="14319" max="14319" width="8.28515625" style="127" customWidth="1"/>
    <col min="14320" max="14320" width="11" style="127" customWidth="1"/>
    <col min="14321" max="14321" width="8.7109375" style="127" customWidth="1"/>
    <col min="14322" max="14322" width="9.7109375" style="127" customWidth="1"/>
    <col min="14323" max="14323" width="12.85546875" style="127" customWidth="1"/>
    <col min="14324" max="14324" width="9.85546875" style="127" customWidth="1"/>
    <col min="14325" max="14325" width="8.7109375" style="127" customWidth="1"/>
    <col min="14326" max="14569" width="9.140625" style="127"/>
    <col min="14570" max="14570" width="16.5703125" style="127" customWidth="1"/>
    <col min="14571" max="14571" width="10.42578125" style="127" customWidth="1"/>
    <col min="14572" max="14572" width="11.85546875" style="127" customWidth="1"/>
    <col min="14573" max="14573" width="10.42578125" style="127" customWidth="1"/>
    <col min="14574" max="14574" width="10.28515625" style="127" customWidth="1"/>
    <col min="14575" max="14575" width="8.28515625" style="127" customWidth="1"/>
    <col min="14576" max="14576" width="11" style="127" customWidth="1"/>
    <col min="14577" max="14577" width="8.7109375" style="127" customWidth="1"/>
    <col min="14578" max="14578" width="9.7109375" style="127" customWidth="1"/>
    <col min="14579" max="14579" width="12.85546875" style="127" customWidth="1"/>
    <col min="14580" max="14580" width="9.85546875" style="127" customWidth="1"/>
    <col min="14581" max="14581" width="8.7109375" style="127" customWidth="1"/>
    <col min="14582" max="14825" width="9.140625" style="127"/>
    <col min="14826" max="14826" width="16.5703125" style="127" customWidth="1"/>
    <col min="14827" max="14827" width="10.42578125" style="127" customWidth="1"/>
    <col min="14828" max="14828" width="11.85546875" style="127" customWidth="1"/>
    <col min="14829" max="14829" width="10.42578125" style="127" customWidth="1"/>
    <col min="14830" max="14830" width="10.28515625" style="127" customWidth="1"/>
    <col min="14831" max="14831" width="8.28515625" style="127" customWidth="1"/>
    <col min="14832" max="14832" width="11" style="127" customWidth="1"/>
    <col min="14833" max="14833" width="8.7109375" style="127" customWidth="1"/>
    <col min="14834" max="14834" width="9.7109375" style="127" customWidth="1"/>
    <col min="14835" max="14835" width="12.85546875" style="127" customWidth="1"/>
    <col min="14836" max="14836" width="9.85546875" style="127" customWidth="1"/>
    <col min="14837" max="14837" width="8.7109375" style="127" customWidth="1"/>
    <col min="14838" max="15081" width="9.140625" style="127"/>
    <col min="15082" max="15082" width="16.5703125" style="127" customWidth="1"/>
    <col min="15083" max="15083" width="10.42578125" style="127" customWidth="1"/>
    <col min="15084" max="15084" width="11.85546875" style="127" customWidth="1"/>
    <col min="15085" max="15085" width="10.42578125" style="127" customWidth="1"/>
    <col min="15086" max="15086" width="10.28515625" style="127" customWidth="1"/>
    <col min="15087" max="15087" width="8.28515625" style="127" customWidth="1"/>
    <col min="15088" max="15088" width="11" style="127" customWidth="1"/>
    <col min="15089" max="15089" width="8.7109375" style="127" customWidth="1"/>
    <col min="15090" max="15090" width="9.7109375" style="127" customWidth="1"/>
    <col min="15091" max="15091" width="12.85546875" style="127" customWidth="1"/>
    <col min="15092" max="15092" width="9.85546875" style="127" customWidth="1"/>
    <col min="15093" max="15093" width="8.7109375" style="127" customWidth="1"/>
    <col min="15094" max="15337" width="9.140625" style="127"/>
    <col min="15338" max="15338" width="16.5703125" style="127" customWidth="1"/>
    <col min="15339" max="15339" width="10.42578125" style="127" customWidth="1"/>
    <col min="15340" max="15340" width="11.85546875" style="127" customWidth="1"/>
    <col min="15341" max="15341" width="10.42578125" style="127" customWidth="1"/>
    <col min="15342" max="15342" width="10.28515625" style="127" customWidth="1"/>
    <col min="15343" max="15343" width="8.28515625" style="127" customWidth="1"/>
    <col min="15344" max="15344" width="11" style="127" customWidth="1"/>
    <col min="15345" max="15345" width="8.7109375" style="127" customWidth="1"/>
    <col min="15346" max="15346" width="9.7109375" style="127" customWidth="1"/>
    <col min="15347" max="15347" width="12.85546875" style="127" customWidth="1"/>
    <col min="15348" max="15348" width="9.85546875" style="127" customWidth="1"/>
    <col min="15349" max="15349" width="8.7109375" style="127" customWidth="1"/>
    <col min="15350" max="15593" width="9.140625" style="127"/>
    <col min="15594" max="15594" width="16.5703125" style="127" customWidth="1"/>
    <col min="15595" max="15595" width="10.42578125" style="127" customWidth="1"/>
    <col min="15596" max="15596" width="11.85546875" style="127" customWidth="1"/>
    <col min="15597" max="15597" width="10.42578125" style="127" customWidth="1"/>
    <col min="15598" max="15598" width="10.28515625" style="127" customWidth="1"/>
    <col min="15599" max="15599" width="8.28515625" style="127" customWidth="1"/>
    <col min="15600" max="15600" width="11" style="127" customWidth="1"/>
    <col min="15601" max="15601" width="8.7109375" style="127" customWidth="1"/>
    <col min="15602" max="15602" width="9.7109375" style="127" customWidth="1"/>
    <col min="15603" max="15603" width="12.85546875" style="127" customWidth="1"/>
    <col min="15604" max="15604" width="9.85546875" style="127" customWidth="1"/>
    <col min="15605" max="15605" width="8.7109375" style="127" customWidth="1"/>
    <col min="15606" max="15849" width="9.140625" style="127"/>
    <col min="15850" max="15850" width="16.5703125" style="127" customWidth="1"/>
    <col min="15851" max="15851" width="10.42578125" style="127" customWidth="1"/>
    <col min="15852" max="15852" width="11.85546875" style="127" customWidth="1"/>
    <col min="15853" max="15853" width="10.42578125" style="127" customWidth="1"/>
    <col min="15854" max="15854" width="10.28515625" style="127" customWidth="1"/>
    <col min="15855" max="15855" width="8.28515625" style="127" customWidth="1"/>
    <col min="15856" max="15856" width="11" style="127" customWidth="1"/>
    <col min="15857" max="15857" width="8.7109375" style="127" customWidth="1"/>
    <col min="15858" max="15858" width="9.7109375" style="127" customWidth="1"/>
    <col min="15859" max="15859" width="12.85546875" style="127" customWidth="1"/>
    <col min="15860" max="15860" width="9.85546875" style="127" customWidth="1"/>
    <col min="15861" max="15861" width="8.7109375" style="127" customWidth="1"/>
    <col min="15862" max="16105" width="9.140625" style="127"/>
    <col min="16106" max="16106" width="16.5703125" style="127" customWidth="1"/>
    <col min="16107" max="16107" width="10.42578125" style="127" customWidth="1"/>
    <col min="16108" max="16108" width="11.85546875" style="127" customWidth="1"/>
    <col min="16109" max="16109" width="10.42578125" style="127" customWidth="1"/>
    <col min="16110" max="16110" width="10.28515625" style="127" customWidth="1"/>
    <col min="16111" max="16111" width="8.28515625" style="127" customWidth="1"/>
    <col min="16112" max="16112" width="11" style="127" customWidth="1"/>
    <col min="16113" max="16113" width="8.7109375" style="127" customWidth="1"/>
    <col min="16114" max="16114" width="9.7109375" style="127" customWidth="1"/>
    <col min="16115" max="16115" width="12.85546875" style="127" customWidth="1"/>
    <col min="16116" max="16116" width="9.85546875" style="127" customWidth="1"/>
    <col min="16117" max="16117" width="8.7109375" style="127" customWidth="1"/>
    <col min="16118" max="16384" width="9.140625" style="127"/>
  </cols>
  <sheetData>
    <row r="1" spans="1:23" s="1434" customFormat="1" ht="18" customHeight="1" x14ac:dyDescent="0.25">
      <c r="A1" s="1373" t="s">
        <v>3954</v>
      </c>
      <c r="E1" s="699"/>
      <c r="F1" s="699"/>
    </row>
    <row r="2" spans="1:23" ht="9.75" customHeight="1" thickBot="1" x14ac:dyDescent="0.3">
      <c r="G2" s="2249"/>
    </row>
    <row r="3" spans="1:23" s="147" customFormat="1" ht="24" customHeight="1" thickTop="1" thickBot="1" x14ac:dyDescent="0.3">
      <c r="A3" s="2250"/>
      <c r="B3" s="2251" t="s">
        <v>3955</v>
      </c>
      <c r="C3" s="2252" t="s">
        <v>3956</v>
      </c>
      <c r="D3" s="3829" t="s">
        <v>3957</v>
      </c>
      <c r="E3" s="3830"/>
      <c r="F3" s="3829" t="s">
        <v>3958</v>
      </c>
      <c r="G3" s="3831"/>
    </row>
    <row r="4" spans="1:23" s="147" customFormat="1" ht="21.75" customHeight="1" x14ac:dyDescent="0.25">
      <c r="A4" s="2253"/>
      <c r="B4" s="2254" t="s">
        <v>3959</v>
      </c>
      <c r="C4" s="2255" t="s">
        <v>3960</v>
      </c>
      <c r="D4" s="2256" t="s">
        <v>3961</v>
      </c>
      <c r="E4" s="2256" t="s">
        <v>3010</v>
      </c>
      <c r="F4" s="3832" t="s">
        <v>3962</v>
      </c>
      <c r="G4" s="3833"/>
    </row>
    <row r="5" spans="1:23" s="147" customFormat="1" ht="17.25" x14ac:dyDescent="0.25">
      <c r="A5" s="2253"/>
      <c r="B5" s="2254" t="s">
        <v>3963</v>
      </c>
      <c r="C5" s="2255" t="s">
        <v>3964</v>
      </c>
      <c r="D5" s="2255" t="s">
        <v>3965</v>
      </c>
      <c r="E5" s="2255" t="s">
        <v>3966</v>
      </c>
      <c r="F5" s="3832"/>
      <c r="G5" s="3833"/>
    </row>
    <row r="6" spans="1:23" s="147" customFormat="1" ht="16.5" x14ac:dyDescent="0.25">
      <c r="A6" s="2253"/>
      <c r="B6" s="2257"/>
      <c r="C6" s="2255" t="s">
        <v>3967</v>
      </c>
      <c r="D6" s="2255"/>
      <c r="E6" s="2255"/>
      <c r="F6" s="3832"/>
      <c r="G6" s="3833"/>
      <c r="J6" s="127"/>
      <c r="K6" s="127"/>
      <c r="L6" s="127"/>
      <c r="M6" s="127"/>
      <c r="N6" s="127"/>
      <c r="O6" s="127"/>
      <c r="P6" s="127"/>
      <c r="Q6" s="127"/>
      <c r="R6" s="127"/>
      <c r="S6" s="127"/>
      <c r="T6" s="127"/>
      <c r="U6" s="127"/>
      <c r="V6" s="127"/>
      <c r="W6" s="127"/>
    </row>
    <row r="7" spans="1:23" s="2261" customFormat="1" ht="16.5" thickBot="1" x14ac:dyDescent="0.3">
      <c r="A7" s="2258"/>
      <c r="B7" s="2259" t="s">
        <v>3968</v>
      </c>
      <c r="C7" s="2260" t="s">
        <v>3968</v>
      </c>
      <c r="D7" s="2260" t="s">
        <v>3968</v>
      </c>
      <c r="E7" s="2260" t="s">
        <v>8</v>
      </c>
      <c r="F7" s="3834" t="s">
        <v>3969</v>
      </c>
      <c r="G7" s="3835"/>
      <c r="J7" s="127"/>
      <c r="K7" s="127"/>
      <c r="L7" s="127"/>
      <c r="M7" s="127"/>
      <c r="N7" s="127"/>
      <c r="O7" s="127"/>
      <c r="P7" s="127"/>
      <c r="Q7" s="127"/>
      <c r="R7" s="127"/>
      <c r="S7" s="127"/>
      <c r="T7" s="127"/>
      <c r="U7" s="127"/>
      <c r="V7" s="127"/>
      <c r="W7" s="127"/>
    </row>
    <row r="8" spans="1:23" ht="16.5" x14ac:dyDescent="0.25">
      <c r="A8" s="2262">
        <v>44378</v>
      </c>
      <c r="B8" s="2263"/>
      <c r="C8" s="2213"/>
      <c r="D8" s="2213"/>
      <c r="E8" s="2213"/>
      <c r="F8" s="2264"/>
      <c r="G8" s="2265"/>
    </row>
    <row r="9" spans="1:23" ht="16.5" x14ac:dyDescent="0.25">
      <c r="A9" s="2266" t="s">
        <v>3720</v>
      </c>
      <c r="B9" s="2267">
        <v>0.66151585999999996</v>
      </c>
      <c r="C9" s="2213">
        <v>0.21277392000000001</v>
      </c>
      <c r="D9" s="2213">
        <v>0.96</v>
      </c>
      <c r="E9" s="2213">
        <v>40.57</v>
      </c>
      <c r="F9" s="3842" t="s">
        <v>3970</v>
      </c>
      <c r="G9" s="3843"/>
      <c r="K9" s="2038"/>
      <c r="L9" s="2038"/>
      <c r="M9" s="2268"/>
      <c r="N9" s="2269"/>
      <c r="O9" s="2270"/>
      <c r="P9" s="2271"/>
    </row>
    <row r="10" spans="1:23" ht="16.5" x14ac:dyDescent="0.25">
      <c r="A10" s="2266" t="s">
        <v>3721</v>
      </c>
      <c r="B10" s="2267">
        <v>3.2864835000000001</v>
      </c>
      <c r="C10" s="2213">
        <v>0.35898974</v>
      </c>
      <c r="D10" s="2213">
        <v>4.01</v>
      </c>
      <c r="E10" s="2213">
        <v>172.5</v>
      </c>
      <c r="F10" s="3842" t="s">
        <v>3971</v>
      </c>
      <c r="G10" s="3843"/>
      <c r="K10" s="2038"/>
      <c r="M10" s="2268"/>
      <c r="N10" s="2269"/>
      <c r="O10" s="2270"/>
      <c r="P10" s="2271"/>
    </row>
    <row r="11" spans="1:23" ht="16.5" x14ac:dyDescent="0.25">
      <c r="A11" s="2266" t="s">
        <v>3722</v>
      </c>
      <c r="B11" s="2267">
        <v>3.5567158400000003</v>
      </c>
      <c r="C11" s="2213">
        <v>0.22416946000000001</v>
      </c>
      <c r="D11" s="2213">
        <v>4.05</v>
      </c>
      <c r="E11" s="2213">
        <v>173.89</v>
      </c>
      <c r="F11" s="3842" t="s">
        <v>3972</v>
      </c>
      <c r="G11" s="3843"/>
      <c r="K11" s="2038"/>
      <c r="M11" s="2268"/>
      <c r="N11" s="2269"/>
      <c r="O11" s="2270"/>
      <c r="P11" s="2271"/>
    </row>
    <row r="12" spans="1:23" ht="16.5" x14ac:dyDescent="0.25">
      <c r="A12" s="2266" t="s">
        <v>3723</v>
      </c>
      <c r="B12" s="2267">
        <v>2.5423679299999997</v>
      </c>
      <c r="C12" s="2213">
        <v>0.72</v>
      </c>
      <c r="D12" s="2213">
        <v>3.91</v>
      </c>
      <c r="E12" s="2213">
        <v>167.77</v>
      </c>
      <c r="F12" s="3842" t="s">
        <v>3973</v>
      </c>
      <c r="G12" s="3843"/>
      <c r="K12" s="2038"/>
      <c r="M12" s="2268"/>
      <c r="N12" s="2269"/>
      <c r="O12" s="2270"/>
      <c r="P12" s="2271"/>
    </row>
    <row r="13" spans="1:23" ht="16.5" hidden="1" x14ac:dyDescent="0.25">
      <c r="A13" s="2266"/>
      <c r="B13" s="2267">
        <v>0.34838192999999995</v>
      </c>
      <c r="C13" s="2213">
        <v>5.8874999999999997E-2</v>
      </c>
      <c r="D13" s="2213">
        <v>0.56947505927499997</v>
      </c>
      <c r="E13">
        <v>25.94</v>
      </c>
      <c r="F13" s="3842"/>
      <c r="G13" s="3843"/>
      <c r="K13" s="2038"/>
      <c r="M13" s="2268"/>
      <c r="N13" s="2269"/>
      <c r="O13" s="2270"/>
    </row>
    <row r="14" spans="1:23" ht="16.5" x14ac:dyDescent="0.25">
      <c r="A14" s="2266" t="s">
        <v>3724</v>
      </c>
      <c r="B14" s="2267">
        <v>2.3142973900000001</v>
      </c>
      <c r="C14" s="2213">
        <v>0.28311132</v>
      </c>
      <c r="D14" s="2213">
        <v>3.41</v>
      </c>
      <c r="E14" s="2272">
        <v>146.31</v>
      </c>
      <c r="F14" s="3842" t="s">
        <v>3974</v>
      </c>
      <c r="G14" s="3843"/>
      <c r="K14" s="2038"/>
      <c r="M14" s="2268"/>
      <c r="N14" s="2269"/>
      <c r="O14" s="2270"/>
    </row>
    <row r="15" spans="1:23" ht="14.25" customHeight="1" thickBot="1" x14ac:dyDescent="0.3">
      <c r="A15" s="2273"/>
      <c r="B15" s="2274"/>
      <c r="C15" s="2275"/>
      <c r="D15" s="2275"/>
      <c r="E15" s="2275"/>
      <c r="F15" s="3836"/>
      <c r="G15" s="3837"/>
      <c r="M15" s="2268"/>
      <c r="N15" s="2269"/>
      <c r="O15" s="2270"/>
      <c r="P15" s="2269"/>
    </row>
    <row r="16" spans="1:23" ht="17.25" hidden="1" customHeight="1" thickTop="1" x14ac:dyDescent="0.25">
      <c r="A16" s="2276">
        <v>37073</v>
      </c>
      <c r="B16" s="2267">
        <v>0</v>
      </c>
      <c r="C16" s="2213">
        <v>1.98</v>
      </c>
      <c r="D16" s="2213">
        <v>1.98</v>
      </c>
      <c r="E16" s="2213">
        <v>58.15</v>
      </c>
      <c r="F16" s="3838" t="s">
        <v>3975</v>
      </c>
      <c r="G16" s="3839"/>
      <c r="M16" s="2268"/>
      <c r="O16" s="2270"/>
    </row>
    <row r="17" spans="1:15" ht="17.25" hidden="1" customHeight="1" x14ac:dyDescent="0.25">
      <c r="A17" s="2276">
        <v>37104</v>
      </c>
      <c r="B17" s="2267">
        <v>0</v>
      </c>
      <c r="C17" s="2213">
        <v>0</v>
      </c>
      <c r="D17" s="2213">
        <v>0</v>
      </c>
      <c r="E17" s="2213">
        <v>0</v>
      </c>
      <c r="F17" s="3840" t="s">
        <v>3976</v>
      </c>
      <c r="G17" s="3841"/>
      <c r="M17" s="2268"/>
      <c r="O17" s="2270"/>
    </row>
    <row r="18" spans="1:15" ht="17.25" hidden="1" customHeight="1" x14ac:dyDescent="0.25">
      <c r="A18" s="2276">
        <v>37135</v>
      </c>
      <c r="B18" s="2267">
        <v>0</v>
      </c>
      <c r="C18" s="2213">
        <v>1.56</v>
      </c>
      <c r="D18" s="2213">
        <v>1.56</v>
      </c>
      <c r="E18" s="2213">
        <v>46.53</v>
      </c>
      <c r="F18" s="3840" t="s">
        <v>3977</v>
      </c>
      <c r="G18" s="3841"/>
      <c r="M18" s="2268"/>
      <c r="O18" s="2270"/>
    </row>
    <row r="19" spans="1:15" ht="17.25" hidden="1" customHeight="1" x14ac:dyDescent="0.25">
      <c r="A19" s="2276">
        <v>37165</v>
      </c>
      <c r="B19" s="2267">
        <v>0.1</v>
      </c>
      <c r="C19" s="2213">
        <v>0.46</v>
      </c>
      <c r="D19" s="2213">
        <v>0.56000000000000005</v>
      </c>
      <c r="E19" s="2213">
        <v>16.829999999999998</v>
      </c>
      <c r="F19" s="3840" t="s">
        <v>3978</v>
      </c>
      <c r="G19" s="3841"/>
      <c r="M19" s="2268"/>
      <c r="O19" s="2270"/>
    </row>
    <row r="20" spans="1:15" ht="17.25" hidden="1" customHeight="1" x14ac:dyDescent="0.25">
      <c r="A20" s="2276">
        <v>37196</v>
      </c>
      <c r="B20" s="2267">
        <v>0</v>
      </c>
      <c r="C20" s="2213">
        <v>0</v>
      </c>
      <c r="D20" s="2213" t="s">
        <v>3979</v>
      </c>
      <c r="E20" s="2213">
        <v>5.18</v>
      </c>
      <c r="F20" s="3840" t="s">
        <v>3980</v>
      </c>
      <c r="G20" s="3841"/>
      <c r="M20" s="2268"/>
      <c r="O20" s="2270"/>
    </row>
    <row r="21" spans="1:15" ht="17.25" hidden="1" customHeight="1" x14ac:dyDescent="0.25">
      <c r="A21" s="2276">
        <v>37226</v>
      </c>
      <c r="B21" s="2267">
        <v>0.3</v>
      </c>
      <c r="C21" s="2213">
        <v>0.06</v>
      </c>
      <c r="D21" s="2213" t="s">
        <v>3981</v>
      </c>
      <c r="E21" s="2213">
        <v>19.14</v>
      </c>
      <c r="F21" s="3840" t="s">
        <v>3982</v>
      </c>
      <c r="G21" s="3841"/>
      <c r="M21" s="2268"/>
      <c r="O21" s="2270"/>
    </row>
    <row r="22" spans="1:15" ht="17.25" hidden="1" customHeight="1" x14ac:dyDescent="0.25">
      <c r="A22" s="2276">
        <v>37530</v>
      </c>
      <c r="B22" s="2267">
        <v>3.89</v>
      </c>
      <c r="C22" s="2213">
        <v>0</v>
      </c>
      <c r="D22" s="2213" t="s">
        <v>3983</v>
      </c>
      <c r="E22" s="2213">
        <v>115.74</v>
      </c>
      <c r="F22" s="3840" t="s">
        <v>3984</v>
      </c>
      <c r="G22" s="3841"/>
      <c r="M22" s="2268"/>
      <c r="O22" s="2270"/>
    </row>
    <row r="23" spans="1:15" ht="17.25" hidden="1" customHeight="1" x14ac:dyDescent="0.25">
      <c r="A23" s="2276">
        <v>37895</v>
      </c>
      <c r="B23" s="2267">
        <v>1.75</v>
      </c>
      <c r="C23" s="2213">
        <v>1.99</v>
      </c>
      <c r="D23" s="2213" t="s">
        <v>3985</v>
      </c>
      <c r="E23" s="2213">
        <v>106.74</v>
      </c>
      <c r="F23" s="3840" t="s">
        <v>3986</v>
      </c>
      <c r="G23" s="3841"/>
      <c r="M23" s="2268"/>
      <c r="O23" s="2270"/>
    </row>
    <row r="24" spans="1:15" ht="17.25" hidden="1" customHeight="1" thickBot="1" x14ac:dyDescent="0.3">
      <c r="A24" s="2276">
        <v>38534</v>
      </c>
      <c r="B24" s="2267">
        <v>2.0299999999999998</v>
      </c>
      <c r="C24" s="2213">
        <v>1</v>
      </c>
      <c r="D24" s="2213" t="s">
        <v>3987</v>
      </c>
      <c r="E24" s="2213">
        <v>100.76</v>
      </c>
      <c r="F24" s="3840" t="s">
        <v>3988</v>
      </c>
      <c r="G24" s="3841"/>
      <c r="M24" s="2268"/>
      <c r="O24" s="2270"/>
    </row>
    <row r="25" spans="1:15" ht="17.25" hidden="1" customHeight="1" thickTop="1" x14ac:dyDescent="0.25">
      <c r="A25" s="2277">
        <v>38596</v>
      </c>
      <c r="B25" s="2267">
        <v>5.1100000000000003</v>
      </c>
      <c r="C25" s="2213">
        <v>0.66</v>
      </c>
      <c r="D25" s="2213" t="s">
        <v>3989</v>
      </c>
      <c r="E25" s="2213">
        <v>210.7</v>
      </c>
      <c r="F25" s="3840" t="s">
        <v>3990</v>
      </c>
      <c r="G25" s="3841"/>
      <c r="M25" s="2268"/>
      <c r="O25" s="2270"/>
    </row>
    <row r="26" spans="1:15" ht="17.25" hidden="1" customHeight="1" x14ac:dyDescent="0.25">
      <c r="A26" s="2276">
        <v>38626</v>
      </c>
      <c r="B26" s="2267"/>
      <c r="C26" s="2213"/>
      <c r="D26" s="2213"/>
      <c r="E26" s="2213"/>
      <c r="F26" s="2278"/>
      <c r="G26" s="2279"/>
      <c r="M26" s="2268"/>
      <c r="O26" s="2270"/>
    </row>
    <row r="27" spans="1:15" ht="17.25" hidden="1" customHeight="1" x14ac:dyDescent="0.25">
      <c r="A27" s="2276">
        <v>38657</v>
      </c>
      <c r="B27" s="2267">
        <v>0.4</v>
      </c>
      <c r="C27" s="2213">
        <v>1.36</v>
      </c>
      <c r="D27" s="2213" t="s">
        <v>3991</v>
      </c>
      <c r="E27" s="2213">
        <v>68.89</v>
      </c>
      <c r="F27" s="3840" t="s">
        <v>3992</v>
      </c>
      <c r="G27" s="3841"/>
      <c r="M27" s="2268"/>
      <c r="O27" s="2270"/>
    </row>
    <row r="28" spans="1:15" ht="17.25" hidden="1" customHeight="1" x14ac:dyDescent="0.25">
      <c r="A28" s="2276">
        <v>38687</v>
      </c>
      <c r="B28" s="2267">
        <v>5.91</v>
      </c>
      <c r="C28" s="2213">
        <v>0.7</v>
      </c>
      <c r="D28" s="2213" t="s">
        <v>3993</v>
      </c>
      <c r="E28" s="2213">
        <v>540.69000000000005</v>
      </c>
      <c r="F28" s="3840" t="s">
        <v>3994</v>
      </c>
      <c r="G28" s="3841"/>
      <c r="M28" s="2268"/>
      <c r="O28" s="2270"/>
    </row>
    <row r="29" spans="1:15" ht="17.25" hidden="1" customHeight="1" x14ac:dyDescent="0.25">
      <c r="A29" s="2276">
        <v>38718</v>
      </c>
      <c r="B29" s="2267">
        <v>1.66</v>
      </c>
      <c r="C29" s="2213">
        <v>1.57</v>
      </c>
      <c r="D29" s="2213" t="s">
        <v>3995</v>
      </c>
      <c r="E29" s="2213">
        <v>148.76</v>
      </c>
      <c r="F29" s="3840" t="s">
        <v>3996</v>
      </c>
      <c r="G29" s="3841"/>
      <c r="M29" s="2268"/>
      <c r="O29" s="2270"/>
    </row>
    <row r="30" spans="1:15" ht="17.25" hidden="1" customHeight="1" x14ac:dyDescent="0.25">
      <c r="A30" s="2276">
        <v>38749</v>
      </c>
      <c r="B30" s="2267">
        <v>0.17</v>
      </c>
      <c r="C30" s="2213">
        <v>0.26</v>
      </c>
      <c r="D30" s="2213" t="s">
        <v>3997</v>
      </c>
      <c r="E30" s="2213">
        <v>53.89</v>
      </c>
      <c r="F30" s="3840" t="s">
        <v>3998</v>
      </c>
      <c r="G30" s="3841"/>
      <c r="M30" s="2268"/>
      <c r="O30" s="2270"/>
    </row>
    <row r="31" spans="1:15" ht="17.25" hidden="1" customHeight="1" x14ac:dyDescent="0.25">
      <c r="A31" s="2276">
        <v>38777</v>
      </c>
      <c r="B31" s="2267">
        <v>0.36</v>
      </c>
      <c r="C31" s="2213">
        <v>0.67</v>
      </c>
      <c r="D31" s="2213" t="s">
        <v>3999</v>
      </c>
      <c r="E31" s="2213">
        <v>414.24</v>
      </c>
      <c r="F31" s="3840" t="s">
        <v>4000</v>
      </c>
      <c r="G31" s="3841"/>
      <c r="M31" s="2268"/>
      <c r="O31" s="2270"/>
    </row>
    <row r="32" spans="1:15" ht="17.25" hidden="1" customHeight="1" x14ac:dyDescent="0.25">
      <c r="A32" s="2276">
        <v>38808</v>
      </c>
      <c r="B32" s="2267">
        <v>0.74</v>
      </c>
      <c r="C32" s="2213">
        <v>0.25</v>
      </c>
      <c r="D32" s="2213" t="s">
        <v>4001</v>
      </c>
      <c r="E32" s="2213">
        <v>116.01</v>
      </c>
      <c r="F32" s="3840" t="s">
        <v>4002</v>
      </c>
      <c r="G32" s="3841"/>
      <c r="M32" s="2268"/>
      <c r="O32" s="2270"/>
    </row>
    <row r="33" spans="1:15" ht="17.25" hidden="1" customHeight="1" x14ac:dyDescent="0.25">
      <c r="A33" s="2276">
        <v>38838</v>
      </c>
      <c r="B33" s="2267">
        <v>0.23</v>
      </c>
      <c r="C33" s="2213">
        <v>0.94</v>
      </c>
      <c r="D33" s="2213" t="s">
        <v>4003</v>
      </c>
      <c r="E33" s="2213">
        <v>50.61</v>
      </c>
      <c r="F33" s="3842">
        <v>30.922499999999999</v>
      </c>
      <c r="G33" s="3843"/>
      <c r="M33" s="2268"/>
      <c r="O33" s="2270"/>
    </row>
    <row r="34" spans="1:15" ht="17.25" hidden="1" customHeight="1" x14ac:dyDescent="0.25">
      <c r="A34" s="2276">
        <v>38869</v>
      </c>
      <c r="B34" s="2267">
        <v>0.49</v>
      </c>
      <c r="C34" s="2213">
        <v>0.76</v>
      </c>
      <c r="D34" s="2213" t="s">
        <v>4004</v>
      </c>
      <c r="E34" s="2213">
        <v>52.15</v>
      </c>
      <c r="F34" s="3842" t="s">
        <v>4005</v>
      </c>
      <c r="G34" s="3843"/>
      <c r="M34" s="2268"/>
      <c r="O34" s="2270"/>
    </row>
    <row r="35" spans="1:15" ht="17.25" hidden="1" customHeight="1" x14ac:dyDescent="0.25">
      <c r="A35" s="2276">
        <v>38899</v>
      </c>
      <c r="B35" s="2267">
        <v>0.44</v>
      </c>
      <c r="C35" s="2213">
        <v>4.05</v>
      </c>
      <c r="D35" s="2213" t="s">
        <v>4006</v>
      </c>
      <c r="E35" s="2213">
        <v>155.75</v>
      </c>
      <c r="F35" s="3842" t="s">
        <v>4007</v>
      </c>
      <c r="G35" s="3843"/>
      <c r="M35" s="2268"/>
      <c r="O35" s="2270"/>
    </row>
    <row r="36" spans="1:15" ht="17.25" hidden="1" customHeight="1" x14ac:dyDescent="0.25">
      <c r="A36" s="2276">
        <v>38930</v>
      </c>
      <c r="B36" s="2267">
        <v>1.01</v>
      </c>
      <c r="C36" s="2213">
        <v>2.2000000000000002</v>
      </c>
      <c r="D36" s="2213" t="s">
        <v>4008</v>
      </c>
      <c r="E36" s="2213">
        <v>115.01</v>
      </c>
      <c r="F36" s="3842" t="s">
        <v>4009</v>
      </c>
      <c r="G36" s="3843"/>
      <c r="M36" s="2268"/>
      <c r="O36" s="2270"/>
    </row>
    <row r="37" spans="1:15" ht="17.25" hidden="1" customHeight="1" x14ac:dyDescent="0.25">
      <c r="A37" s="2276">
        <v>38961</v>
      </c>
      <c r="B37" s="2267">
        <v>1.93</v>
      </c>
      <c r="C37" s="2213">
        <v>2.31</v>
      </c>
      <c r="D37" s="2213" t="s">
        <v>4010</v>
      </c>
      <c r="E37" s="2213">
        <v>456.78</v>
      </c>
      <c r="F37" s="3842" t="s">
        <v>4011</v>
      </c>
      <c r="G37" s="3843"/>
      <c r="M37" s="2268"/>
      <c r="O37" s="2270"/>
    </row>
    <row r="38" spans="1:15" ht="17.25" hidden="1" customHeight="1" x14ac:dyDescent="0.25">
      <c r="A38" s="2276">
        <v>38991</v>
      </c>
      <c r="B38" s="2267">
        <v>0.4</v>
      </c>
      <c r="C38" s="2213">
        <v>0.75</v>
      </c>
      <c r="D38" s="2213" t="s">
        <v>4012</v>
      </c>
      <c r="E38" s="2213">
        <v>49.98</v>
      </c>
      <c r="F38" s="3842" t="s">
        <v>4013</v>
      </c>
      <c r="G38" s="3843"/>
      <c r="M38" s="2268"/>
      <c r="O38" s="2270"/>
    </row>
    <row r="39" spans="1:15" ht="17.25" hidden="1" customHeight="1" x14ac:dyDescent="0.25">
      <c r="A39" s="2276">
        <v>39022</v>
      </c>
      <c r="B39" s="2267">
        <v>0.56000000000000005</v>
      </c>
      <c r="C39" s="2213">
        <v>1.94</v>
      </c>
      <c r="D39" s="2213" t="s">
        <v>4014</v>
      </c>
      <c r="E39" s="2213">
        <v>112.75</v>
      </c>
      <c r="F39" s="3842" t="s">
        <v>4015</v>
      </c>
      <c r="G39" s="3843"/>
      <c r="M39" s="2268"/>
      <c r="O39" s="2270"/>
    </row>
    <row r="40" spans="1:15" ht="17.25" hidden="1" customHeight="1" x14ac:dyDescent="0.25">
      <c r="A40" s="2276">
        <v>39052</v>
      </c>
      <c r="B40" s="2267">
        <v>0.5</v>
      </c>
      <c r="C40" s="2213">
        <v>1.61</v>
      </c>
      <c r="D40" s="2213" t="s">
        <v>4016</v>
      </c>
      <c r="E40" s="2213">
        <v>83.33</v>
      </c>
      <c r="F40" s="3842" t="s">
        <v>4017</v>
      </c>
      <c r="G40" s="3843"/>
      <c r="M40" s="2268"/>
      <c r="O40" s="2270"/>
    </row>
    <row r="41" spans="1:15" ht="17.25" hidden="1" customHeight="1" x14ac:dyDescent="0.25">
      <c r="A41" s="2276">
        <v>39083</v>
      </c>
      <c r="B41" s="2267">
        <v>0.25</v>
      </c>
      <c r="C41" s="2213">
        <v>0.81</v>
      </c>
      <c r="D41" s="2213" t="s">
        <v>4018</v>
      </c>
      <c r="E41" s="2213">
        <v>46.62</v>
      </c>
      <c r="F41" s="3842" t="s">
        <v>4019</v>
      </c>
      <c r="G41" s="3843"/>
      <c r="M41" s="2268"/>
      <c r="O41" s="2270"/>
    </row>
    <row r="42" spans="1:15" ht="17.25" hidden="1" customHeight="1" x14ac:dyDescent="0.25">
      <c r="A42" s="2276">
        <v>39114</v>
      </c>
      <c r="B42" s="2267">
        <v>16.86</v>
      </c>
      <c r="C42" s="2213">
        <v>2.95</v>
      </c>
      <c r="D42" s="2213" t="s">
        <v>4020</v>
      </c>
      <c r="E42" s="2213">
        <v>666.46</v>
      </c>
      <c r="F42" s="3842" t="s">
        <v>4021</v>
      </c>
      <c r="G42" s="3843"/>
      <c r="M42" s="2268"/>
      <c r="O42" s="2270"/>
    </row>
    <row r="43" spans="1:15" ht="17.25" hidden="1" customHeight="1" x14ac:dyDescent="0.25">
      <c r="A43" s="2276">
        <v>39142</v>
      </c>
      <c r="B43" s="2267">
        <v>4.4000000000000004</v>
      </c>
      <c r="C43" s="2213">
        <v>1.45</v>
      </c>
      <c r="D43" s="2213" t="s">
        <v>4022</v>
      </c>
      <c r="E43" s="2213">
        <v>226.42</v>
      </c>
      <c r="F43" s="3842" t="s">
        <v>4023</v>
      </c>
      <c r="G43" s="3843"/>
      <c r="M43" s="2268"/>
      <c r="O43" s="2270"/>
    </row>
    <row r="44" spans="1:15" ht="17.25" hidden="1" customHeight="1" x14ac:dyDescent="0.25">
      <c r="A44" s="2276">
        <v>39173</v>
      </c>
      <c r="B44" s="2267">
        <v>5.85</v>
      </c>
      <c r="C44" s="2213">
        <v>0.64</v>
      </c>
      <c r="D44" s="2213" t="s">
        <v>4024</v>
      </c>
      <c r="E44" s="2213">
        <v>244.12</v>
      </c>
      <c r="F44" s="3842" t="s">
        <v>4025</v>
      </c>
      <c r="G44" s="3843"/>
      <c r="M44" s="2268"/>
      <c r="O44" s="2270"/>
    </row>
    <row r="45" spans="1:15" ht="17.25" hidden="1" customHeight="1" x14ac:dyDescent="0.25">
      <c r="A45" s="2276">
        <v>39203</v>
      </c>
      <c r="B45" s="2267">
        <v>8.9600000000000009</v>
      </c>
      <c r="C45" s="2213">
        <v>1.31</v>
      </c>
      <c r="D45" s="2213" t="s">
        <v>4026</v>
      </c>
      <c r="E45" s="2213">
        <v>342.3</v>
      </c>
      <c r="F45" s="3842" t="s">
        <v>4027</v>
      </c>
      <c r="G45" s="3843"/>
      <c r="M45" s="2268"/>
      <c r="O45" s="2270"/>
    </row>
    <row r="46" spans="1:15" ht="17.25" hidden="1" customHeight="1" x14ac:dyDescent="0.25">
      <c r="A46" s="2276">
        <v>39234</v>
      </c>
      <c r="B46" s="2267">
        <v>4.5599999999999996</v>
      </c>
      <c r="C46" s="2213">
        <v>1.66</v>
      </c>
      <c r="D46" s="2213" t="s">
        <v>4028</v>
      </c>
      <c r="E46" s="2213">
        <v>209.69</v>
      </c>
      <c r="F46" s="3842" t="s">
        <v>4029</v>
      </c>
      <c r="G46" s="3843"/>
      <c r="M46" s="2268"/>
      <c r="O46" s="2270"/>
    </row>
    <row r="47" spans="1:15" ht="17.25" hidden="1" customHeight="1" x14ac:dyDescent="0.25">
      <c r="A47" s="2276">
        <v>39264</v>
      </c>
      <c r="B47" s="2267">
        <v>7.6</v>
      </c>
      <c r="C47" s="2213">
        <v>1.08</v>
      </c>
      <c r="D47" s="2213" t="s">
        <v>4030</v>
      </c>
      <c r="E47" s="2213">
        <v>288.64999999999998</v>
      </c>
      <c r="F47" s="3842" t="s">
        <v>4031</v>
      </c>
      <c r="G47" s="3843"/>
      <c r="M47" s="2268"/>
      <c r="O47" s="2270"/>
    </row>
    <row r="48" spans="1:15" ht="17.25" hidden="1" customHeight="1" x14ac:dyDescent="0.25">
      <c r="A48" s="2276">
        <v>39295</v>
      </c>
      <c r="B48" s="2267">
        <v>2.38</v>
      </c>
      <c r="C48" s="2213">
        <v>0.96</v>
      </c>
      <c r="D48" s="2213" t="s">
        <v>4032</v>
      </c>
      <c r="E48" s="2213">
        <v>124.61</v>
      </c>
      <c r="F48" s="3842" t="s">
        <v>4033</v>
      </c>
      <c r="G48" s="3843"/>
      <c r="M48" s="2268"/>
      <c r="O48" s="2270"/>
    </row>
    <row r="49" spans="1:15" ht="17.25" hidden="1" customHeight="1" x14ac:dyDescent="0.25">
      <c r="A49" s="2276">
        <v>39326</v>
      </c>
      <c r="B49" s="2267">
        <v>8.48</v>
      </c>
      <c r="C49" s="2213">
        <v>1.53</v>
      </c>
      <c r="D49" s="2213" t="s">
        <v>4034</v>
      </c>
      <c r="E49" s="2213">
        <v>335.52</v>
      </c>
      <c r="F49" s="3842" t="s">
        <v>4035</v>
      </c>
      <c r="G49" s="3843"/>
      <c r="M49" s="2268"/>
      <c r="O49" s="2270"/>
    </row>
    <row r="50" spans="1:15" ht="17.25" hidden="1" customHeight="1" x14ac:dyDescent="0.25">
      <c r="A50" s="2276">
        <v>39387</v>
      </c>
      <c r="B50" s="2267">
        <v>3.45</v>
      </c>
      <c r="C50" s="2213">
        <v>5.52</v>
      </c>
      <c r="D50" s="2213" t="s">
        <v>4036</v>
      </c>
      <c r="E50" s="2213">
        <v>290.58</v>
      </c>
      <c r="F50" s="3842" t="s">
        <v>4037</v>
      </c>
      <c r="G50" s="3843"/>
      <c r="M50" s="2268"/>
      <c r="O50" s="2270"/>
    </row>
    <row r="51" spans="1:15" ht="17.25" hidden="1" customHeight="1" x14ac:dyDescent="0.25">
      <c r="A51" s="2276">
        <v>39417</v>
      </c>
      <c r="B51" s="2267">
        <v>3.96</v>
      </c>
      <c r="C51" s="2213">
        <v>3.16</v>
      </c>
      <c r="D51" s="2213" t="s">
        <v>4038</v>
      </c>
      <c r="E51" s="2213">
        <v>264.17</v>
      </c>
      <c r="F51" s="3842" t="s">
        <v>4039</v>
      </c>
      <c r="G51" s="3843"/>
      <c r="M51" s="2268"/>
      <c r="O51" s="2270"/>
    </row>
    <row r="52" spans="1:15" ht="17.25" hidden="1" customHeight="1" x14ac:dyDescent="0.25">
      <c r="A52" s="2276">
        <v>39448</v>
      </c>
      <c r="B52" s="2267">
        <v>5.99</v>
      </c>
      <c r="C52" s="2213">
        <v>2.34</v>
      </c>
      <c r="D52" s="2213" t="s">
        <v>4040</v>
      </c>
      <c r="E52" s="2213">
        <v>274.18</v>
      </c>
      <c r="F52" s="3842" t="s">
        <v>4041</v>
      </c>
      <c r="G52" s="3843"/>
      <c r="M52" s="2268"/>
      <c r="O52" s="2270"/>
    </row>
    <row r="53" spans="1:15" ht="17.25" hidden="1" customHeight="1" x14ac:dyDescent="0.25">
      <c r="A53" s="2276">
        <v>39479</v>
      </c>
      <c r="B53" s="2267">
        <v>8.43</v>
      </c>
      <c r="C53" s="2213">
        <v>13.15</v>
      </c>
      <c r="D53" s="2213" t="s">
        <v>4042</v>
      </c>
      <c r="E53" s="2213">
        <v>665.18</v>
      </c>
      <c r="F53" s="3842" t="s">
        <v>4043</v>
      </c>
      <c r="G53" s="3843"/>
      <c r="M53" s="2268"/>
      <c r="O53" s="2270"/>
    </row>
    <row r="54" spans="1:15" ht="17.25" hidden="1" customHeight="1" x14ac:dyDescent="0.25">
      <c r="A54" s="2276">
        <v>39508</v>
      </c>
      <c r="B54" s="2267">
        <v>3.91</v>
      </c>
      <c r="C54" s="2213">
        <v>18.399999999999999</v>
      </c>
      <c r="D54" s="2213" t="s">
        <v>4044</v>
      </c>
      <c r="E54" s="2213">
        <v>621.45000000000005</v>
      </c>
      <c r="F54" s="3842" t="s">
        <v>4045</v>
      </c>
      <c r="G54" s="3843"/>
      <c r="M54" s="2268"/>
      <c r="O54" s="2270"/>
    </row>
    <row r="55" spans="1:15" ht="17.25" hidden="1" customHeight="1" x14ac:dyDescent="0.25">
      <c r="A55" s="2276">
        <v>39539</v>
      </c>
      <c r="B55" s="2267">
        <v>4.55</v>
      </c>
      <c r="C55" s="2213">
        <v>6.63</v>
      </c>
      <c r="D55" s="2213" t="s">
        <v>4046</v>
      </c>
      <c r="E55" s="2213">
        <v>354.72</v>
      </c>
      <c r="F55" s="3842" t="s">
        <v>4047</v>
      </c>
      <c r="G55" s="3843"/>
      <c r="M55" s="2268"/>
      <c r="O55" s="2270"/>
    </row>
    <row r="56" spans="1:15" ht="17.25" hidden="1" customHeight="1" x14ac:dyDescent="0.25">
      <c r="A56" s="2276">
        <v>39569</v>
      </c>
      <c r="B56" s="2267">
        <v>11.79</v>
      </c>
      <c r="C56" s="2213">
        <v>7.15</v>
      </c>
      <c r="D56" s="2213" t="s">
        <v>4048</v>
      </c>
      <c r="E56" s="2213">
        <v>567.78</v>
      </c>
      <c r="F56" s="3842" t="s">
        <v>4049</v>
      </c>
      <c r="G56" s="3843"/>
      <c r="M56" s="2268"/>
      <c r="O56" s="2270"/>
    </row>
    <row r="57" spans="1:15" ht="17.25" hidden="1" customHeight="1" x14ac:dyDescent="0.25">
      <c r="A57" s="2276">
        <v>39600</v>
      </c>
      <c r="B57" s="2267">
        <v>4.1100000000000003</v>
      </c>
      <c r="C57" s="2213">
        <v>16.68</v>
      </c>
      <c r="D57" s="2213" t="s">
        <v>4050</v>
      </c>
      <c r="E57" s="2213">
        <v>579.89</v>
      </c>
      <c r="F57" s="3842" t="s">
        <v>4051</v>
      </c>
      <c r="G57" s="3843"/>
      <c r="M57" s="2268"/>
      <c r="O57" s="2270"/>
    </row>
    <row r="58" spans="1:15" ht="17.25" hidden="1" customHeight="1" x14ac:dyDescent="0.25">
      <c r="A58" s="2276">
        <v>39630</v>
      </c>
      <c r="B58" s="2267">
        <v>5.43</v>
      </c>
      <c r="C58" s="2213">
        <v>13.57</v>
      </c>
      <c r="D58" s="2213" t="s">
        <v>4052</v>
      </c>
      <c r="E58" s="2213">
        <v>537.29</v>
      </c>
      <c r="F58" s="3842" t="s">
        <v>4053</v>
      </c>
      <c r="G58" s="3843"/>
      <c r="M58" s="2268"/>
      <c r="O58" s="2270"/>
    </row>
    <row r="59" spans="1:15" ht="17.25" hidden="1" customHeight="1" x14ac:dyDescent="0.25">
      <c r="A59" s="2276">
        <v>39661</v>
      </c>
      <c r="B59" s="2267">
        <v>1.95</v>
      </c>
      <c r="C59" s="2213">
        <v>1.71</v>
      </c>
      <c r="D59" s="2213" t="s">
        <v>4054</v>
      </c>
      <c r="E59" s="2213">
        <v>165.77</v>
      </c>
      <c r="F59" s="3842" t="s">
        <v>4055</v>
      </c>
      <c r="G59" s="3843"/>
      <c r="M59" s="2268"/>
      <c r="O59" s="2270"/>
    </row>
    <row r="60" spans="1:15" ht="17.25" hidden="1" customHeight="1" x14ac:dyDescent="0.25">
      <c r="A60" s="2276">
        <v>39692</v>
      </c>
      <c r="B60" s="2267">
        <v>10.93</v>
      </c>
      <c r="C60" s="2213">
        <v>9.76</v>
      </c>
      <c r="D60" s="2213" t="s">
        <v>4056</v>
      </c>
      <c r="E60" s="2213">
        <v>669.09</v>
      </c>
      <c r="F60" s="3842" t="s">
        <v>4057</v>
      </c>
      <c r="G60" s="3843"/>
      <c r="M60" s="2268"/>
      <c r="O60" s="2270"/>
    </row>
    <row r="61" spans="1:15" ht="17.25" hidden="1" customHeight="1" x14ac:dyDescent="0.25">
      <c r="A61" s="2276">
        <v>39722</v>
      </c>
      <c r="B61" s="2267">
        <v>1.3</v>
      </c>
      <c r="C61" s="2213">
        <v>12.87</v>
      </c>
      <c r="D61" s="2213" t="s">
        <v>4058</v>
      </c>
      <c r="E61" s="2213">
        <v>464.44</v>
      </c>
      <c r="F61" s="3842" t="s">
        <v>4059</v>
      </c>
      <c r="G61" s="3843"/>
      <c r="M61" s="2268"/>
      <c r="O61" s="2270"/>
    </row>
    <row r="62" spans="1:15" ht="17.25" hidden="1" customHeight="1" x14ac:dyDescent="0.25">
      <c r="A62" s="2276">
        <v>39753</v>
      </c>
      <c r="B62" s="2267">
        <v>2.66</v>
      </c>
      <c r="C62" s="2213">
        <v>6.73</v>
      </c>
      <c r="D62" s="2213" t="s">
        <v>4060</v>
      </c>
      <c r="E62" s="2213">
        <v>326.2</v>
      </c>
      <c r="F62" s="3842" t="s">
        <v>4061</v>
      </c>
      <c r="G62" s="3843"/>
      <c r="M62" s="2268"/>
      <c r="O62" s="2270"/>
    </row>
    <row r="63" spans="1:15" ht="17.25" hidden="1" customHeight="1" x14ac:dyDescent="0.25">
      <c r="A63" s="2276">
        <v>39783</v>
      </c>
      <c r="B63" s="2267">
        <v>4.08</v>
      </c>
      <c r="C63" s="2213">
        <v>11.7</v>
      </c>
      <c r="D63" s="2213" t="s">
        <v>4062</v>
      </c>
      <c r="E63" s="2213">
        <v>558.11</v>
      </c>
      <c r="F63" s="3842" t="s">
        <v>4063</v>
      </c>
      <c r="G63" s="3843"/>
      <c r="M63" s="2268"/>
      <c r="O63" s="2270"/>
    </row>
    <row r="64" spans="1:15" ht="17.25" hidden="1" customHeight="1" x14ac:dyDescent="0.25">
      <c r="A64" s="2276">
        <v>39814</v>
      </c>
      <c r="B64" s="2267">
        <v>3.52</v>
      </c>
      <c r="C64" s="2213">
        <v>3.45</v>
      </c>
      <c r="D64" s="2213" t="s">
        <v>4064</v>
      </c>
      <c r="E64" s="2213">
        <v>261.17</v>
      </c>
      <c r="F64" s="3842" t="s">
        <v>4065</v>
      </c>
      <c r="G64" s="3843"/>
      <c r="M64" s="2268"/>
      <c r="O64" s="2270"/>
    </row>
    <row r="65" spans="1:15" ht="17.25" hidden="1" customHeight="1" x14ac:dyDescent="0.25">
      <c r="A65" s="2276">
        <v>39845</v>
      </c>
      <c r="B65" s="2267">
        <v>6.68</v>
      </c>
      <c r="C65" s="2213">
        <v>3.28</v>
      </c>
      <c r="D65" s="2213" t="s">
        <v>4066</v>
      </c>
      <c r="E65" s="2213">
        <v>437.05</v>
      </c>
      <c r="F65" s="3842" t="s">
        <v>4067</v>
      </c>
      <c r="G65" s="3843"/>
      <c r="M65" s="2268"/>
      <c r="O65" s="2270"/>
    </row>
    <row r="66" spans="1:15" ht="17.25" hidden="1" customHeight="1" x14ac:dyDescent="0.25">
      <c r="A66" s="2276">
        <v>39873</v>
      </c>
      <c r="B66" s="2267">
        <v>4.8099999999999996</v>
      </c>
      <c r="C66" s="2213">
        <v>7.3</v>
      </c>
      <c r="D66" s="2213" t="s">
        <v>4068</v>
      </c>
      <c r="E66" s="2213">
        <v>488.8</v>
      </c>
      <c r="F66" s="3842" t="s">
        <v>4069</v>
      </c>
      <c r="G66" s="3843"/>
      <c r="M66" s="2268"/>
      <c r="O66" s="2270"/>
    </row>
    <row r="67" spans="1:15" ht="17.25" hidden="1" customHeight="1" x14ac:dyDescent="0.25">
      <c r="A67" s="2276">
        <v>39904</v>
      </c>
      <c r="B67" s="2267">
        <v>4.34</v>
      </c>
      <c r="C67" s="2213">
        <v>7.63</v>
      </c>
      <c r="D67" s="2213" t="s">
        <v>4070</v>
      </c>
      <c r="E67" s="2213">
        <v>429.09</v>
      </c>
      <c r="F67" s="3842" t="s">
        <v>4071</v>
      </c>
      <c r="G67" s="3843"/>
      <c r="M67" s="2268"/>
      <c r="O67" s="2270"/>
    </row>
    <row r="68" spans="1:15" ht="17.25" hidden="1" customHeight="1" x14ac:dyDescent="0.25">
      <c r="A68" s="2276">
        <v>39934</v>
      </c>
      <c r="B68" s="2267">
        <v>2.41</v>
      </c>
      <c r="C68" s="2213">
        <v>5.57</v>
      </c>
      <c r="D68" s="2213" t="s">
        <v>4072</v>
      </c>
      <c r="E68" s="2213">
        <v>304.04000000000002</v>
      </c>
      <c r="F68" s="3842" t="s">
        <v>4073</v>
      </c>
      <c r="G68" s="3843"/>
      <c r="M68" s="2268"/>
      <c r="O68" s="2270"/>
    </row>
    <row r="69" spans="1:15" ht="17.25" hidden="1" customHeight="1" x14ac:dyDescent="0.25">
      <c r="A69" s="2276">
        <v>39965</v>
      </c>
      <c r="B69" s="2267">
        <v>3.08</v>
      </c>
      <c r="C69" s="2213">
        <v>6.08</v>
      </c>
      <c r="D69" s="2213" t="s">
        <v>4074</v>
      </c>
      <c r="E69" s="2213">
        <v>374.1</v>
      </c>
      <c r="F69" s="3842" t="s">
        <v>4075</v>
      </c>
      <c r="G69" s="3843"/>
      <c r="M69" s="2268"/>
      <c r="O69" s="2270"/>
    </row>
    <row r="70" spans="1:15" ht="17.25" hidden="1" customHeight="1" x14ac:dyDescent="0.25">
      <c r="A70" s="2276">
        <v>39995</v>
      </c>
      <c r="B70" s="2267">
        <v>3.62</v>
      </c>
      <c r="C70" s="2213">
        <v>3.56</v>
      </c>
      <c r="D70" s="2213" t="s">
        <v>4076</v>
      </c>
      <c r="E70" s="2213">
        <v>289.12</v>
      </c>
      <c r="F70" s="3842" t="s">
        <v>4077</v>
      </c>
      <c r="G70" s="3843"/>
      <c r="M70" s="2268"/>
      <c r="O70" s="2270"/>
    </row>
    <row r="71" spans="1:15" ht="17.25" hidden="1" customHeight="1" x14ac:dyDescent="0.25">
      <c r="A71" s="2276">
        <v>40026</v>
      </c>
      <c r="B71" s="2267">
        <v>6.85</v>
      </c>
      <c r="C71" s="2213">
        <v>1.93</v>
      </c>
      <c r="D71" s="2213" t="s">
        <v>4078</v>
      </c>
      <c r="E71" s="2213">
        <v>582.69000000000005</v>
      </c>
      <c r="F71" s="3842" t="s">
        <v>4079</v>
      </c>
      <c r="G71" s="3843"/>
      <c r="M71" s="2268"/>
      <c r="O71" s="2270"/>
    </row>
    <row r="72" spans="1:15" ht="17.25" hidden="1" customHeight="1" x14ac:dyDescent="0.25">
      <c r="A72" s="2276">
        <v>40057</v>
      </c>
      <c r="B72" s="2267">
        <v>22.08</v>
      </c>
      <c r="C72" s="2213">
        <v>1.18</v>
      </c>
      <c r="D72" s="2213" t="s">
        <v>4080</v>
      </c>
      <c r="E72" s="2272">
        <v>1111.92</v>
      </c>
      <c r="F72" s="3842" t="s">
        <v>4081</v>
      </c>
      <c r="G72" s="3843"/>
      <c r="M72" s="2268"/>
      <c r="O72" s="2270"/>
    </row>
    <row r="73" spans="1:15" ht="17.25" hidden="1" customHeight="1" x14ac:dyDescent="0.25">
      <c r="A73" s="2276">
        <v>40087</v>
      </c>
      <c r="B73" s="2267">
        <v>24.84</v>
      </c>
      <c r="C73" s="2213">
        <v>6.38</v>
      </c>
      <c r="D73" s="2213" t="s">
        <v>4082</v>
      </c>
      <c r="E73" s="2272">
        <v>1261</v>
      </c>
      <c r="F73" s="3842" t="s">
        <v>4083</v>
      </c>
      <c r="G73" s="3843"/>
      <c r="M73" s="2268"/>
      <c r="O73" s="2270"/>
    </row>
    <row r="74" spans="1:15" ht="17.25" hidden="1" customHeight="1" x14ac:dyDescent="0.25">
      <c r="A74" s="2276">
        <v>40118</v>
      </c>
      <c r="B74" s="2267">
        <v>21.1</v>
      </c>
      <c r="C74" s="2213">
        <v>3.05</v>
      </c>
      <c r="D74" s="2213" t="s">
        <v>4084</v>
      </c>
      <c r="E74" s="2272">
        <v>1456.85</v>
      </c>
      <c r="F74" s="3842" t="s">
        <v>4085</v>
      </c>
      <c r="G74" s="3843"/>
      <c r="M74" s="2268"/>
      <c r="O74" s="2270"/>
    </row>
    <row r="75" spans="1:15" ht="17.25" hidden="1" customHeight="1" x14ac:dyDescent="0.25">
      <c r="A75" s="2276">
        <v>40148</v>
      </c>
      <c r="B75" s="2267">
        <v>11.45</v>
      </c>
      <c r="C75" s="2213">
        <v>4</v>
      </c>
      <c r="D75" s="2213" t="s">
        <v>4086</v>
      </c>
      <c r="E75" s="2272">
        <v>1080.6500000000001</v>
      </c>
      <c r="F75" s="3842" t="s">
        <v>4087</v>
      </c>
      <c r="G75" s="3843"/>
      <c r="M75" s="2268"/>
      <c r="O75" s="2270"/>
    </row>
    <row r="76" spans="1:15" ht="17.25" hidden="1" customHeight="1" x14ac:dyDescent="0.25">
      <c r="A76" s="2276">
        <v>40179</v>
      </c>
      <c r="B76" s="2267">
        <v>27.21</v>
      </c>
      <c r="C76" s="2213">
        <v>3.38</v>
      </c>
      <c r="D76" s="2213" t="s">
        <v>4088</v>
      </c>
      <c r="E76" s="2272">
        <v>1222.32</v>
      </c>
      <c r="F76" s="3842" t="s">
        <v>4089</v>
      </c>
      <c r="G76" s="3843"/>
      <c r="M76" s="2268"/>
      <c r="O76" s="2270"/>
    </row>
    <row r="77" spans="1:15" ht="17.25" hidden="1" customHeight="1" x14ac:dyDescent="0.25">
      <c r="A77" s="2276">
        <v>40210</v>
      </c>
      <c r="B77" s="2267">
        <v>19.239999999999998</v>
      </c>
      <c r="C77" s="2213">
        <v>3.63</v>
      </c>
      <c r="D77" s="2213" t="s">
        <v>4090</v>
      </c>
      <c r="E77" s="2272">
        <v>951.84</v>
      </c>
      <c r="F77" s="3842" t="s">
        <v>4091</v>
      </c>
      <c r="G77" s="3843"/>
      <c r="M77" s="2268"/>
      <c r="O77" s="2270"/>
    </row>
    <row r="78" spans="1:15" ht="17.25" hidden="1" customHeight="1" x14ac:dyDescent="0.25">
      <c r="A78" s="2276">
        <v>40238</v>
      </c>
      <c r="B78" s="2267">
        <v>23.2</v>
      </c>
      <c r="C78" s="2213">
        <v>12.02</v>
      </c>
      <c r="D78" s="2213" t="s">
        <v>4092</v>
      </c>
      <c r="E78" s="2272">
        <v>1425.47</v>
      </c>
      <c r="F78" s="3842" t="s">
        <v>4093</v>
      </c>
      <c r="G78" s="3843"/>
      <c r="M78" s="2268"/>
      <c r="O78" s="2270"/>
    </row>
    <row r="79" spans="1:15" ht="17.25" hidden="1" customHeight="1" x14ac:dyDescent="0.25">
      <c r="A79" s="2276">
        <v>40269</v>
      </c>
      <c r="B79" s="2267">
        <v>16.72</v>
      </c>
      <c r="C79" s="2213">
        <v>8</v>
      </c>
      <c r="D79" s="2213" t="s">
        <v>4094</v>
      </c>
      <c r="E79" s="2272">
        <v>947.83</v>
      </c>
      <c r="F79" s="3842" t="s">
        <v>4095</v>
      </c>
      <c r="G79" s="3843"/>
      <c r="M79" s="2268"/>
      <c r="O79" s="2270"/>
    </row>
    <row r="80" spans="1:15" ht="17.25" hidden="1" customHeight="1" x14ac:dyDescent="0.25">
      <c r="A80" s="2276">
        <v>40299</v>
      </c>
      <c r="B80" s="2267">
        <v>18.41</v>
      </c>
      <c r="C80" s="2213">
        <v>12.21</v>
      </c>
      <c r="D80" s="2213" t="s">
        <v>4096</v>
      </c>
      <c r="E80" s="2272">
        <v>1336.56</v>
      </c>
      <c r="F80" s="3842" t="s">
        <v>4097</v>
      </c>
      <c r="G80" s="3843"/>
      <c r="M80" s="2268"/>
      <c r="O80" s="2270"/>
    </row>
    <row r="81" spans="1:15" ht="17.25" hidden="1" customHeight="1" x14ac:dyDescent="0.25">
      <c r="A81" s="2276">
        <v>40330</v>
      </c>
      <c r="B81" s="2267">
        <v>21.85</v>
      </c>
      <c r="C81" s="2213">
        <v>9.68</v>
      </c>
      <c r="D81" s="2213" t="s">
        <v>4098</v>
      </c>
      <c r="E81" s="2272">
        <v>1227.8</v>
      </c>
      <c r="F81" s="3842" t="s">
        <v>4099</v>
      </c>
      <c r="G81" s="3843"/>
      <c r="M81" s="2268"/>
      <c r="O81" s="2270"/>
    </row>
    <row r="82" spans="1:15" ht="17.25" hidden="1" customHeight="1" x14ac:dyDescent="0.25">
      <c r="A82" s="2276">
        <v>40360</v>
      </c>
      <c r="B82" s="2267">
        <v>16.600000000000001</v>
      </c>
      <c r="C82" s="2213">
        <v>28.12</v>
      </c>
      <c r="D82" s="2213" t="s">
        <v>4100</v>
      </c>
      <c r="E82" s="2272">
        <v>1714.26</v>
      </c>
      <c r="F82" s="3842" t="s">
        <v>4101</v>
      </c>
      <c r="G82" s="3843"/>
      <c r="M82" s="2268"/>
      <c r="O82" s="2270"/>
    </row>
    <row r="83" spans="1:15" ht="17.25" hidden="1" customHeight="1" x14ac:dyDescent="0.25">
      <c r="A83" s="2276">
        <v>40391</v>
      </c>
      <c r="B83" s="2267">
        <v>13.24</v>
      </c>
      <c r="C83" s="2213">
        <v>11.83</v>
      </c>
      <c r="D83" s="2213" t="s">
        <v>4102</v>
      </c>
      <c r="E83" s="2272">
        <v>939.88</v>
      </c>
      <c r="F83" s="3842" t="s">
        <v>4103</v>
      </c>
      <c r="G83" s="3843"/>
      <c r="M83" s="2268"/>
      <c r="O83" s="2270"/>
    </row>
    <row r="84" spans="1:15" ht="17.25" hidden="1" customHeight="1" x14ac:dyDescent="0.25">
      <c r="A84" s="2276">
        <v>40422</v>
      </c>
      <c r="B84" s="2267">
        <v>20.89</v>
      </c>
      <c r="C84" s="2213">
        <v>6.03</v>
      </c>
      <c r="D84" s="2213" t="s">
        <v>4104</v>
      </c>
      <c r="E84" s="2272">
        <v>1097.56</v>
      </c>
      <c r="F84" s="3842" t="s">
        <v>4105</v>
      </c>
      <c r="G84" s="3843"/>
      <c r="M84" s="2268"/>
      <c r="O84" s="2270"/>
    </row>
    <row r="85" spans="1:15" ht="17.25" hidden="1" customHeight="1" x14ac:dyDescent="0.25">
      <c r="A85" s="2276">
        <v>40452</v>
      </c>
      <c r="B85" s="2267">
        <v>18.71</v>
      </c>
      <c r="C85" s="2213">
        <v>5.26</v>
      </c>
      <c r="D85" s="2213" t="s">
        <v>4106</v>
      </c>
      <c r="E85" s="2272">
        <v>1046.9100000000001</v>
      </c>
      <c r="F85" s="3842" t="s">
        <v>4107</v>
      </c>
      <c r="G85" s="3843"/>
      <c r="M85" s="2268"/>
      <c r="O85" s="2270"/>
    </row>
    <row r="86" spans="1:15" ht="17.25" hidden="1" customHeight="1" x14ac:dyDescent="0.25">
      <c r="A86" s="2276">
        <v>40483</v>
      </c>
      <c r="B86" s="2267">
        <v>29.44</v>
      </c>
      <c r="C86" s="2213">
        <v>5.84</v>
      </c>
      <c r="D86" s="2213" t="s">
        <v>4108</v>
      </c>
      <c r="E86" s="2272">
        <v>1280.3800000000001</v>
      </c>
      <c r="F86" s="3842" t="s">
        <v>4109</v>
      </c>
      <c r="G86" s="3843"/>
      <c r="M86" s="2268"/>
      <c r="O86" s="2270"/>
    </row>
    <row r="87" spans="1:15" ht="17.25" hidden="1" customHeight="1" x14ac:dyDescent="0.25">
      <c r="A87" s="2276">
        <v>40513</v>
      </c>
      <c r="B87" s="2267">
        <v>35.69</v>
      </c>
      <c r="C87" s="2213">
        <v>5.16</v>
      </c>
      <c r="D87" s="2213" t="s">
        <v>4110</v>
      </c>
      <c r="E87" s="2272">
        <v>1728.3</v>
      </c>
      <c r="F87" s="3842" t="s">
        <v>4111</v>
      </c>
      <c r="G87" s="3843"/>
      <c r="M87" s="2268"/>
      <c r="O87" s="2270"/>
    </row>
    <row r="88" spans="1:15" ht="17.25" hidden="1" customHeight="1" x14ac:dyDescent="0.25">
      <c r="A88" s="2276">
        <v>40544</v>
      </c>
      <c r="B88" s="2267">
        <v>23.73</v>
      </c>
      <c r="C88" s="2213">
        <v>7.69</v>
      </c>
      <c r="D88" s="2213" t="s">
        <v>4112</v>
      </c>
      <c r="E88" s="2272">
        <v>1204.47</v>
      </c>
      <c r="F88" s="3842" t="s">
        <v>4113</v>
      </c>
      <c r="G88" s="3843"/>
      <c r="M88" s="2268"/>
      <c r="O88" s="2270"/>
    </row>
    <row r="89" spans="1:15" ht="17.25" hidden="1" customHeight="1" x14ac:dyDescent="0.25">
      <c r="A89" s="2276">
        <v>40575</v>
      </c>
      <c r="B89" s="2267">
        <v>24.14</v>
      </c>
      <c r="C89" s="2213">
        <v>6.37</v>
      </c>
      <c r="D89" s="2213" t="s">
        <v>4114</v>
      </c>
      <c r="E89" s="2272">
        <v>1096.3599999999999</v>
      </c>
      <c r="F89" s="3842" t="s">
        <v>4115</v>
      </c>
      <c r="G89" s="3843"/>
      <c r="M89" s="2268"/>
      <c r="O89" s="2270"/>
    </row>
    <row r="90" spans="1:15" ht="17.25" hidden="1" customHeight="1" x14ac:dyDescent="0.25">
      <c r="A90" s="2276">
        <v>40603</v>
      </c>
      <c r="B90" s="2267">
        <v>24.19</v>
      </c>
      <c r="C90" s="2213">
        <v>13.15</v>
      </c>
      <c r="D90" s="2213" t="s">
        <v>4116</v>
      </c>
      <c r="E90" s="2272">
        <v>1310.5</v>
      </c>
      <c r="F90" s="3842" t="s">
        <v>4117</v>
      </c>
      <c r="G90" s="3843"/>
      <c r="M90" s="2268"/>
      <c r="O90" s="2270"/>
    </row>
    <row r="91" spans="1:15" ht="17.25" hidden="1" customHeight="1" x14ac:dyDescent="0.25">
      <c r="A91" s="2276">
        <v>40634</v>
      </c>
      <c r="B91" s="2267">
        <v>21.19</v>
      </c>
      <c r="C91" s="2213">
        <v>6.92</v>
      </c>
      <c r="D91" s="2213" t="s">
        <v>4118</v>
      </c>
      <c r="E91" s="2272">
        <v>929.43</v>
      </c>
      <c r="F91" s="3842" t="s">
        <v>4119</v>
      </c>
      <c r="G91" s="3843"/>
      <c r="M91" s="2268"/>
      <c r="O91" s="2270"/>
    </row>
    <row r="92" spans="1:15" ht="17.25" hidden="1" customHeight="1" x14ac:dyDescent="0.25">
      <c r="A92" s="2276">
        <v>40664</v>
      </c>
      <c r="B92" s="2267">
        <v>23.22</v>
      </c>
      <c r="C92" s="2213">
        <v>7.6</v>
      </c>
      <c r="D92" s="2213" t="s">
        <v>4120</v>
      </c>
      <c r="E92" s="2272">
        <v>1014.25</v>
      </c>
      <c r="F92" s="3842" t="s">
        <v>4121</v>
      </c>
      <c r="G92" s="3843"/>
      <c r="M92" s="2268"/>
      <c r="O92" s="2270"/>
    </row>
    <row r="93" spans="1:15" ht="17.25" hidden="1" customHeight="1" x14ac:dyDescent="0.25">
      <c r="A93" s="2276">
        <v>40695</v>
      </c>
      <c r="B93" s="2267">
        <v>30.73</v>
      </c>
      <c r="C93" s="2213">
        <v>6.97</v>
      </c>
      <c r="D93" s="2213" t="s">
        <v>4122</v>
      </c>
      <c r="E93" s="2272">
        <v>1273.55</v>
      </c>
      <c r="F93" s="3842" t="s">
        <v>4123</v>
      </c>
      <c r="G93" s="3843"/>
      <c r="M93" s="2268"/>
      <c r="O93" s="2270"/>
    </row>
    <row r="94" spans="1:15" ht="17.25" hidden="1" customHeight="1" x14ac:dyDescent="0.25">
      <c r="A94" s="2276">
        <v>40725</v>
      </c>
      <c r="B94" s="2267">
        <v>24.62</v>
      </c>
      <c r="C94" s="2213">
        <v>14.9</v>
      </c>
      <c r="D94" s="2213" t="s">
        <v>4124</v>
      </c>
      <c r="E94" s="2272">
        <v>1280.47</v>
      </c>
      <c r="F94" s="3842" t="s">
        <v>4125</v>
      </c>
      <c r="G94" s="3843"/>
      <c r="M94" s="2268"/>
      <c r="O94" s="2270"/>
    </row>
    <row r="95" spans="1:15" ht="17.25" hidden="1" customHeight="1" x14ac:dyDescent="0.25">
      <c r="A95" s="2276">
        <v>40756</v>
      </c>
      <c r="B95" s="2267">
        <v>26.96</v>
      </c>
      <c r="C95" s="2213">
        <v>16.64</v>
      </c>
      <c r="D95" s="2213" t="s">
        <v>4126</v>
      </c>
      <c r="E95" s="2272">
        <v>1478.06</v>
      </c>
      <c r="F95" s="3842" t="s">
        <v>4127</v>
      </c>
      <c r="G95" s="3843"/>
      <c r="M95" s="2268"/>
      <c r="O95" s="2270"/>
    </row>
    <row r="96" spans="1:15" ht="17.25" hidden="1" customHeight="1" x14ac:dyDescent="0.25">
      <c r="A96" s="2276">
        <v>40787</v>
      </c>
      <c r="B96" s="2267">
        <v>41.07</v>
      </c>
      <c r="C96" s="2213">
        <v>20.440000000000001</v>
      </c>
      <c r="D96" s="2213" t="s">
        <v>4128</v>
      </c>
      <c r="E96" s="2272">
        <v>1888.03</v>
      </c>
      <c r="F96" s="3842" t="s">
        <v>4129</v>
      </c>
      <c r="G96" s="3843"/>
      <c r="M96" s="2268"/>
      <c r="O96" s="2270"/>
    </row>
    <row r="97" spans="1:15" ht="17.25" hidden="1" customHeight="1" x14ac:dyDescent="0.25">
      <c r="A97" s="2276">
        <v>40817</v>
      </c>
      <c r="B97" s="2267">
        <v>40.25</v>
      </c>
      <c r="C97" s="2213">
        <v>11.88</v>
      </c>
      <c r="D97" s="2213" t="s">
        <v>4130</v>
      </c>
      <c r="E97" s="2272">
        <v>1679.33</v>
      </c>
      <c r="F97" s="3842" t="s">
        <v>4131</v>
      </c>
      <c r="G97" s="3843"/>
      <c r="M97" s="2268"/>
      <c r="O97" s="2270"/>
    </row>
    <row r="98" spans="1:15" ht="17.25" hidden="1" customHeight="1" x14ac:dyDescent="0.25">
      <c r="A98" s="2276">
        <v>40848</v>
      </c>
      <c r="B98" s="2267">
        <v>26.19</v>
      </c>
      <c r="C98" s="2213">
        <v>13.3</v>
      </c>
      <c r="D98" s="2213" t="s">
        <v>4132</v>
      </c>
      <c r="E98" s="2272">
        <v>1310.44</v>
      </c>
      <c r="F98" s="3842" t="s">
        <v>4133</v>
      </c>
      <c r="G98" s="3843"/>
      <c r="M98" s="2268"/>
      <c r="O98" s="2270"/>
    </row>
    <row r="99" spans="1:15" ht="17.25" hidden="1" customHeight="1" x14ac:dyDescent="0.25">
      <c r="A99" s="2276">
        <v>40878</v>
      </c>
      <c r="B99" s="2267">
        <v>28.96</v>
      </c>
      <c r="C99" s="2213">
        <v>10.96</v>
      </c>
      <c r="D99" s="2213" t="s">
        <v>4134</v>
      </c>
      <c r="E99" s="2272">
        <v>1374.71</v>
      </c>
      <c r="F99" s="3842" t="s">
        <v>4135</v>
      </c>
      <c r="G99" s="3843"/>
      <c r="M99" s="2268"/>
      <c r="O99" s="2270"/>
    </row>
    <row r="100" spans="1:15" ht="17.25" hidden="1" customHeight="1" x14ac:dyDescent="0.25">
      <c r="A100" s="2276">
        <v>40909</v>
      </c>
      <c r="B100" s="2267">
        <v>43.62</v>
      </c>
      <c r="C100" s="2213">
        <v>11.42</v>
      </c>
      <c r="D100" s="2213" t="s">
        <v>4136</v>
      </c>
      <c r="E100" s="2272">
        <v>1757.35</v>
      </c>
      <c r="F100" s="3842" t="s">
        <v>4137</v>
      </c>
      <c r="G100" s="3843"/>
      <c r="M100" s="2268"/>
      <c r="O100" s="2270"/>
    </row>
    <row r="101" spans="1:15" ht="17.25" hidden="1" customHeight="1" x14ac:dyDescent="0.25">
      <c r="A101" s="2276">
        <v>40940</v>
      </c>
      <c r="B101" s="2267">
        <v>34.33</v>
      </c>
      <c r="C101" s="2213">
        <v>13.84</v>
      </c>
      <c r="D101" s="2213" t="s">
        <v>4138</v>
      </c>
      <c r="E101" s="2272">
        <v>1529.15</v>
      </c>
      <c r="F101" s="3842" t="s">
        <v>4139</v>
      </c>
      <c r="G101" s="3843"/>
      <c r="M101" s="2268"/>
      <c r="O101" s="2270"/>
    </row>
    <row r="102" spans="1:15" ht="17.25" hidden="1" customHeight="1" x14ac:dyDescent="0.25">
      <c r="A102" s="2276">
        <v>40969</v>
      </c>
      <c r="B102" s="2267">
        <v>36.18</v>
      </c>
      <c r="C102" s="2213">
        <v>10.08</v>
      </c>
      <c r="D102" s="2213">
        <v>51.65</v>
      </c>
      <c r="E102" s="2272">
        <v>1511.19</v>
      </c>
      <c r="F102" s="3842" t="s">
        <v>4140</v>
      </c>
      <c r="G102" s="3843"/>
      <c r="M102" s="2268"/>
      <c r="O102" s="2270"/>
    </row>
    <row r="103" spans="1:15" ht="17.25" hidden="1" customHeight="1" x14ac:dyDescent="0.25">
      <c r="A103" s="2276">
        <v>41000</v>
      </c>
      <c r="B103" s="2267">
        <v>43.08</v>
      </c>
      <c r="C103" s="2213">
        <v>11.34</v>
      </c>
      <c r="D103" s="2213">
        <v>58.45</v>
      </c>
      <c r="E103" s="2272">
        <v>1713.55</v>
      </c>
      <c r="F103" s="3842" t="s">
        <v>4141</v>
      </c>
      <c r="G103" s="3843"/>
      <c r="M103" s="2268"/>
      <c r="O103" s="2270"/>
    </row>
    <row r="104" spans="1:15" ht="17.25" hidden="1" customHeight="1" x14ac:dyDescent="0.25">
      <c r="A104" s="2276">
        <v>41030</v>
      </c>
      <c r="B104" s="2267">
        <v>25.34</v>
      </c>
      <c r="C104" s="2213">
        <v>8.5500000000000007</v>
      </c>
      <c r="D104" s="2213">
        <v>37.869999999999997</v>
      </c>
      <c r="E104" s="2272">
        <v>1124.6199999999999</v>
      </c>
      <c r="F104" s="3842" t="s">
        <v>4142</v>
      </c>
      <c r="G104" s="3843"/>
      <c r="M104" s="2268"/>
      <c r="O104" s="2270"/>
    </row>
    <row r="105" spans="1:15" ht="17.25" hidden="1" customHeight="1" x14ac:dyDescent="0.25">
      <c r="A105" s="2276">
        <v>41061</v>
      </c>
      <c r="B105" s="2267">
        <v>134.1</v>
      </c>
      <c r="C105" s="2213">
        <v>10.27</v>
      </c>
      <c r="D105" s="2213">
        <v>161.47999999999999</v>
      </c>
      <c r="E105" s="2272">
        <v>4958.6400000000003</v>
      </c>
      <c r="F105" s="3842" t="s">
        <v>4143</v>
      </c>
      <c r="G105" s="3843"/>
      <c r="M105" s="2268"/>
      <c r="O105" s="2270"/>
    </row>
    <row r="106" spans="1:15" ht="17.25" hidden="1" customHeight="1" x14ac:dyDescent="0.25">
      <c r="A106" s="2276">
        <v>41091</v>
      </c>
      <c r="B106" s="2267">
        <v>67.73</v>
      </c>
      <c r="C106" s="2213">
        <v>10.91</v>
      </c>
      <c r="D106" s="2213">
        <v>92.16</v>
      </c>
      <c r="E106" s="2272">
        <v>2888.91</v>
      </c>
      <c r="F106" s="3842" t="s">
        <v>4144</v>
      </c>
      <c r="G106" s="3843"/>
      <c r="M106" s="2268"/>
      <c r="O106" s="2270"/>
    </row>
    <row r="107" spans="1:15" ht="17.25" hidden="1" customHeight="1" x14ac:dyDescent="0.25">
      <c r="A107" s="2276">
        <v>41122</v>
      </c>
      <c r="B107" s="2267">
        <v>69.150000000000006</v>
      </c>
      <c r="C107" s="2213">
        <v>5.58</v>
      </c>
      <c r="D107" s="2213">
        <v>73.48</v>
      </c>
      <c r="E107" s="2272">
        <v>3172.96</v>
      </c>
      <c r="F107" s="3842" t="s">
        <v>4145</v>
      </c>
      <c r="G107" s="3843"/>
      <c r="M107" s="2268"/>
      <c r="O107" s="2270"/>
    </row>
    <row r="108" spans="1:15" ht="17.25" hidden="1" customHeight="1" x14ac:dyDescent="0.25">
      <c r="A108" s="2276">
        <v>41153</v>
      </c>
      <c r="B108" s="2267">
        <v>37.659999999999997</v>
      </c>
      <c r="C108" s="2213">
        <v>16.37</v>
      </c>
      <c r="D108" s="2213">
        <v>95.18</v>
      </c>
      <c r="E108" s="2272">
        <v>2899.88</v>
      </c>
      <c r="F108" s="3842" t="s">
        <v>4146</v>
      </c>
      <c r="G108" s="3843"/>
      <c r="M108" s="2268"/>
      <c r="O108" s="2270"/>
    </row>
    <row r="109" spans="1:15" ht="17.25" hidden="1" customHeight="1" x14ac:dyDescent="0.25">
      <c r="A109" s="2276">
        <v>41183</v>
      </c>
      <c r="B109" s="2267">
        <v>51.55</v>
      </c>
      <c r="C109" s="2213">
        <v>13.34</v>
      </c>
      <c r="D109" s="2213">
        <v>79.239999999999995</v>
      </c>
      <c r="E109" s="2272">
        <v>2457.33</v>
      </c>
      <c r="F109" s="3842" t="s">
        <v>4147</v>
      </c>
      <c r="G109" s="3843"/>
      <c r="M109" s="2268"/>
      <c r="O109" s="2270"/>
    </row>
    <row r="110" spans="1:15" ht="17.25" hidden="1" customHeight="1" x14ac:dyDescent="0.25">
      <c r="A110" s="2276">
        <v>41214</v>
      </c>
      <c r="B110" s="2267">
        <v>47.28</v>
      </c>
      <c r="C110" s="2213">
        <v>8.08</v>
      </c>
      <c r="D110" s="2213">
        <v>68.89</v>
      </c>
      <c r="E110" s="2272">
        <v>2150.52</v>
      </c>
      <c r="F110" s="3842" t="s">
        <v>4148</v>
      </c>
      <c r="G110" s="3843"/>
      <c r="M110" s="2268"/>
      <c r="O110" s="2270"/>
    </row>
    <row r="111" spans="1:15" ht="17.25" hidden="1" customHeight="1" x14ac:dyDescent="0.25">
      <c r="A111" s="2276">
        <v>41244</v>
      </c>
      <c r="B111" s="2267">
        <v>90.51</v>
      </c>
      <c r="C111" s="2213">
        <v>9.85</v>
      </c>
      <c r="D111" s="2213">
        <v>126.57</v>
      </c>
      <c r="E111" s="2272">
        <v>3910.75</v>
      </c>
      <c r="F111" s="3842" t="s">
        <v>4149</v>
      </c>
      <c r="G111" s="3843"/>
      <c r="M111" s="2268"/>
      <c r="O111" s="2270"/>
    </row>
    <row r="112" spans="1:15" ht="17.25" hidden="1" customHeight="1" x14ac:dyDescent="0.25">
      <c r="A112" s="2276">
        <v>41275</v>
      </c>
      <c r="B112" s="2267">
        <v>97.06</v>
      </c>
      <c r="C112" s="2213">
        <v>14.61</v>
      </c>
      <c r="D112" s="2213">
        <v>148.71</v>
      </c>
      <c r="E112" s="2272">
        <v>4557.99</v>
      </c>
      <c r="F112" s="3842" t="s">
        <v>4150</v>
      </c>
      <c r="G112" s="3843"/>
      <c r="M112" s="2268"/>
      <c r="O112" s="2270"/>
    </row>
    <row r="113" spans="1:15" ht="17.25" hidden="1" customHeight="1" x14ac:dyDescent="0.25">
      <c r="A113" s="2276">
        <v>41306</v>
      </c>
      <c r="B113" s="2267">
        <v>72.33</v>
      </c>
      <c r="C113" s="2213">
        <v>8.5</v>
      </c>
      <c r="D113" s="2213">
        <v>116.56</v>
      </c>
      <c r="E113" s="2272">
        <v>3580.41</v>
      </c>
      <c r="F113" s="3842" t="s">
        <v>4151</v>
      </c>
      <c r="G113" s="3843"/>
      <c r="M113" s="2268"/>
      <c r="O113" s="2270"/>
    </row>
    <row r="114" spans="1:15" ht="17.25" hidden="1" customHeight="1" x14ac:dyDescent="0.25">
      <c r="A114" s="2276">
        <v>41334</v>
      </c>
      <c r="B114" s="2267">
        <v>32.83</v>
      </c>
      <c r="C114" s="2213">
        <v>8.01</v>
      </c>
      <c r="D114" s="2213">
        <v>104.06</v>
      </c>
      <c r="E114" s="2272">
        <v>3245.21</v>
      </c>
      <c r="F114" s="3842" t="s">
        <v>4152</v>
      </c>
      <c r="G114" s="3843"/>
      <c r="M114" s="2268"/>
      <c r="O114" s="2270"/>
    </row>
    <row r="115" spans="1:15" ht="17.25" hidden="1" customHeight="1" x14ac:dyDescent="0.25">
      <c r="A115" s="2276">
        <v>41365</v>
      </c>
      <c r="B115" s="2267">
        <v>31.14</v>
      </c>
      <c r="C115" s="2213">
        <v>6.42</v>
      </c>
      <c r="D115" s="2213">
        <v>94.44</v>
      </c>
      <c r="E115" s="2272">
        <v>2949.84</v>
      </c>
      <c r="F115" s="3842" t="s">
        <v>4153</v>
      </c>
      <c r="G115" s="3843"/>
      <c r="M115" s="2268"/>
      <c r="O115" s="2270"/>
    </row>
    <row r="116" spans="1:15" ht="17.25" hidden="1" customHeight="1" x14ac:dyDescent="0.25">
      <c r="A116" s="2276">
        <v>41395</v>
      </c>
      <c r="B116" s="2267">
        <v>37.270000000000003</v>
      </c>
      <c r="C116" s="2213">
        <v>8.11</v>
      </c>
      <c r="D116" s="2213">
        <v>67.290000000000006</v>
      </c>
      <c r="E116" s="2272">
        <v>3522.92</v>
      </c>
      <c r="F116" s="3842" t="s">
        <v>4154</v>
      </c>
      <c r="G116" s="3843"/>
      <c r="M116" s="2268"/>
      <c r="O116" s="2270"/>
    </row>
    <row r="117" spans="1:15" ht="17.25" hidden="1" customHeight="1" x14ac:dyDescent="0.25">
      <c r="A117" s="2276">
        <v>41426</v>
      </c>
      <c r="B117" s="2267">
        <v>24.57</v>
      </c>
      <c r="C117" s="2213">
        <v>6.94</v>
      </c>
      <c r="D117" s="2213">
        <v>78.48</v>
      </c>
      <c r="E117" s="2272">
        <v>2440.63</v>
      </c>
      <c r="F117" s="3842" t="s">
        <v>4155</v>
      </c>
      <c r="G117" s="3843"/>
      <c r="M117" s="2268"/>
      <c r="O117" s="2270"/>
    </row>
    <row r="118" spans="1:15" ht="17.25" hidden="1" customHeight="1" x14ac:dyDescent="0.25">
      <c r="A118" s="2276">
        <v>41456</v>
      </c>
      <c r="B118" s="2267">
        <v>38.03</v>
      </c>
      <c r="C118" s="2213">
        <v>10.35</v>
      </c>
      <c r="D118" s="2213">
        <v>120.38</v>
      </c>
      <c r="E118" s="2272">
        <v>3739.79</v>
      </c>
      <c r="F118" s="3842" t="s">
        <v>4156</v>
      </c>
      <c r="G118" s="3843"/>
      <c r="M118" s="2268"/>
      <c r="O118" s="2270"/>
    </row>
    <row r="119" spans="1:15" ht="17.25" hidden="1" customHeight="1" x14ac:dyDescent="0.25">
      <c r="A119" s="2276">
        <v>41487</v>
      </c>
      <c r="B119" s="2267">
        <v>24.08</v>
      </c>
      <c r="C119" s="2213">
        <v>6.38</v>
      </c>
      <c r="D119" s="2213">
        <v>48.17</v>
      </c>
      <c r="E119" s="2272">
        <v>1492.87</v>
      </c>
      <c r="F119" s="3842" t="s">
        <v>4157</v>
      </c>
      <c r="G119" s="3843"/>
      <c r="M119" s="2268"/>
      <c r="O119" s="2270"/>
    </row>
    <row r="120" spans="1:15" ht="17.25" hidden="1" customHeight="1" x14ac:dyDescent="0.25">
      <c r="A120" s="2276">
        <v>41518</v>
      </c>
      <c r="B120" s="2267">
        <v>23.82</v>
      </c>
      <c r="C120" s="2213">
        <v>8.5</v>
      </c>
      <c r="D120" s="2213">
        <v>41.91</v>
      </c>
      <c r="E120" s="2272">
        <v>1297.1099999999999</v>
      </c>
      <c r="F120" s="3842" t="s">
        <v>4158</v>
      </c>
      <c r="G120" s="3843"/>
      <c r="M120" s="2268"/>
      <c r="O120" s="2270"/>
    </row>
    <row r="121" spans="1:15" ht="17.25" hidden="1" customHeight="1" x14ac:dyDescent="0.25">
      <c r="A121" s="2276">
        <v>41548</v>
      </c>
      <c r="B121" s="2267">
        <v>37.909999999999997</v>
      </c>
      <c r="C121" s="2213">
        <v>13.13</v>
      </c>
      <c r="D121" s="2213">
        <v>89.72</v>
      </c>
      <c r="E121" s="2272">
        <v>2724.34</v>
      </c>
      <c r="F121" s="3842" t="s">
        <v>4159</v>
      </c>
      <c r="G121" s="3843"/>
      <c r="M121" s="2268"/>
      <c r="O121" s="2270"/>
    </row>
    <row r="122" spans="1:15" ht="17.25" hidden="1" customHeight="1" x14ac:dyDescent="0.25">
      <c r="A122" s="2276">
        <v>41579</v>
      </c>
      <c r="B122" s="2267">
        <v>19.329999999999998</v>
      </c>
      <c r="C122" s="2213">
        <v>9.5</v>
      </c>
      <c r="D122" s="2213">
        <v>93.5</v>
      </c>
      <c r="E122" s="2272">
        <v>2861.6</v>
      </c>
      <c r="F122" s="3842" t="s">
        <v>4160</v>
      </c>
      <c r="G122" s="3843"/>
      <c r="M122" s="2268"/>
      <c r="O122" s="2270"/>
    </row>
    <row r="123" spans="1:15" ht="17.25" hidden="1" customHeight="1" x14ac:dyDescent="0.25">
      <c r="A123" s="2276">
        <v>41609</v>
      </c>
      <c r="B123" s="2267">
        <v>88.1</v>
      </c>
      <c r="C123" s="2213">
        <v>16.989999999999998</v>
      </c>
      <c r="D123" s="2213">
        <v>153.71</v>
      </c>
      <c r="E123" s="2272">
        <v>4662.2299999999996</v>
      </c>
      <c r="F123" s="3842" t="s">
        <v>4161</v>
      </c>
      <c r="G123" s="3843"/>
      <c r="M123" s="2268"/>
      <c r="O123" s="2270"/>
    </row>
    <row r="124" spans="1:15" ht="17.25" hidden="1" customHeight="1" x14ac:dyDescent="0.25">
      <c r="A124" s="2276">
        <v>41640</v>
      </c>
      <c r="B124" s="2267">
        <v>67.38</v>
      </c>
      <c r="C124" s="2213">
        <v>5.07</v>
      </c>
      <c r="D124" s="2213">
        <v>136.83000000000001</v>
      </c>
      <c r="E124" s="2272">
        <v>4159.8999999999996</v>
      </c>
      <c r="F124" s="3842" t="s">
        <v>4162</v>
      </c>
      <c r="G124" s="3843"/>
      <c r="M124" s="2268"/>
      <c r="O124" s="2270"/>
    </row>
    <row r="125" spans="1:15" ht="17.25" hidden="1" customHeight="1" x14ac:dyDescent="0.25">
      <c r="A125" s="2276">
        <v>41671</v>
      </c>
      <c r="B125" s="2267">
        <v>51.98</v>
      </c>
      <c r="C125" s="2213">
        <v>6.99</v>
      </c>
      <c r="D125" s="2213">
        <v>151.44999999999999</v>
      </c>
      <c r="E125" s="2272">
        <v>4603.47</v>
      </c>
      <c r="F125" s="3842" t="s">
        <v>4163</v>
      </c>
      <c r="G125" s="3843"/>
      <c r="M125" s="2268"/>
      <c r="O125" s="2270"/>
    </row>
    <row r="126" spans="1:15" ht="17.25" hidden="1" customHeight="1" x14ac:dyDescent="0.25">
      <c r="A126" s="2276">
        <v>41699</v>
      </c>
      <c r="B126" s="2267">
        <v>62.26</v>
      </c>
      <c r="C126" s="2213">
        <v>9.14</v>
      </c>
      <c r="D126" s="2213">
        <v>123.72</v>
      </c>
      <c r="E126" s="2272">
        <v>3736.8</v>
      </c>
      <c r="F126" s="3842" t="s">
        <v>4164</v>
      </c>
      <c r="G126" s="3843"/>
      <c r="M126" s="2268"/>
      <c r="O126" s="2270"/>
    </row>
    <row r="127" spans="1:15" ht="17.25" hidden="1" customHeight="1" x14ac:dyDescent="0.25">
      <c r="A127" s="2276">
        <v>41730</v>
      </c>
      <c r="B127" s="2267">
        <v>78.150000000000006</v>
      </c>
      <c r="C127" s="2213">
        <v>12.89</v>
      </c>
      <c r="D127" s="2213">
        <v>169.02</v>
      </c>
      <c r="E127" s="2272">
        <v>5100.54</v>
      </c>
      <c r="F127" s="3842" t="s">
        <v>4165</v>
      </c>
      <c r="G127" s="3843"/>
      <c r="M127" s="2268"/>
      <c r="O127" s="2270"/>
    </row>
    <row r="128" spans="1:15" ht="17.25" hidden="1" customHeight="1" x14ac:dyDescent="0.25">
      <c r="A128" s="2276">
        <v>41760</v>
      </c>
      <c r="B128" s="2267">
        <v>58.18</v>
      </c>
      <c r="C128" s="2213">
        <v>40.369999999999997</v>
      </c>
      <c r="D128" s="2213">
        <v>161.15</v>
      </c>
      <c r="E128" s="2272">
        <v>4867.96</v>
      </c>
      <c r="F128" s="3842" t="s">
        <v>4166</v>
      </c>
      <c r="G128" s="3843"/>
      <c r="M128" s="2268"/>
      <c r="O128" s="2270"/>
    </row>
    <row r="129" spans="1:15" ht="17.25" hidden="1" customHeight="1" x14ac:dyDescent="0.25">
      <c r="A129" s="2276">
        <v>41791</v>
      </c>
      <c r="B129" s="2267">
        <v>47.57</v>
      </c>
      <c r="C129" s="2213">
        <v>10.68</v>
      </c>
      <c r="D129" s="2213">
        <v>132.34</v>
      </c>
      <c r="E129" s="2272">
        <v>4029.02</v>
      </c>
      <c r="F129" s="3842" t="s">
        <v>4167</v>
      </c>
      <c r="G129" s="3843"/>
      <c r="M129" s="2268"/>
      <c r="O129" s="2270"/>
    </row>
    <row r="130" spans="1:15" ht="17.25" hidden="1" customHeight="1" x14ac:dyDescent="0.25">
      <c r="A130" s="2276">
        <v>41821</v>
      </c>
      <c r="B130" s="2267">
        <v>59.9</v>
      </c>
      <c r="C130" s="2213">
        <v>15.14</v>
      </c>
      <c r="D130" s="2213">
        <v>124.94</v>
      </c>
      <c r="E130" s="2272">
        <v>3805.36</v>
      </c>
      <c r="F130" s="3842" t="s">
        <v>4168</v>
      </c>
      <c r="G130" s="3843"/>
      <c r="M130" s="2268"/>
      <c r="O130" s="2270"/>
    </row>
    <row r="131" spans="1:15" ht="17.25" hidden="1" customHeight="1" x14ac:dyDescent="0.25">
      <c r="A131" s="2276">
        <v>41852</v>
      </c>
      <c r="B131" s="2267">
        <v>45.89</v>
      </c>
      <c r="C131" s="2213">
        <v>12.53</v>
      </c>
      <c r="D131" s="2213">
        <v>63.82</v>
      </c>
      <c r="E131" s="2272">
        <v>1962.38</v>
      </c>
      <c r="F131" s="3842" t="s">
        <v>4169</v>
      </c>
      <c r="G131" s="3843"/>
      <c r="M131" s="2268"/>
      <c r="O131" s="2270"/>
    </row>
    <row r="132" spans="1:15" ht="17.25" hidden="1" customHeight="1" x14ac:dyDescent="0.25">
      <c r="A132" s="2276">
        <v>41883</v>
      </c>
      <c r="B132" s="2267">
        <v>46.91</v>
      </c>
      <c r="C132" s="2213">
        <v>8.64</v>
      </c>
      <c r="D132" s="2213">
        <v>104.53</v>
      </c>
      <c r="E132" s="2272">
        <v>3278.6</v>
      </c>
      <c r="F132" s="3842" t="s">
        <v>4170</v>
      </c>
      <c r="G132" s="3843"/>
      <c r="M132" s="2268"/>
      <c r="O132" s="2270"/>
    </row>
    <row r="133" spans="1:15" ht="17.25" hidden="1" customHeight="1" x14ac:dyDescent="0.25">
      <c r="A133" s="2276">
        <v>41913</v>
      </c>
      <c r="B133" s="2267">
        <v>63.45</v>
      </c>
      <c r="C133" s="2213">
        <v>10.41</v>
      </c>
      <c r="D133" s="2213">
        <v>78.709999999999994</v>
      </c>
      <c r="E133" s="2272">
        <v>2477.8000000000002</v>
      </c>
      <c r="F133" s="3842" t="s">
        <v>4171</v>
      </c>
      <c r="G133" s="3843"/>
      <c r="M133" s="2268"/>
      <c r="O133" s="2270"/>
    </row>
    <row r="134" spans="1:15" ht="17.25" hidden="1" customHeight="1" x14ac:dyDescent="0.25">
      <c r="A134" s="2276">
        <v>41944</v>
      </c>
      <c r="B134" s="2267">
        <v>84.59</v>
      </c>
      <c r="C134" s="2213">
        <v>15.48</v>
      </c>
      <c r="D134" s="2213">
        <v>106.93</v>
      </c>
      <c r="E134" s="2272">
        <v>3379.67</v>
      </c>
      <c r="F134" s="3842" t="s">
        <v>4172</v>
      </c>
      <c r="G134" s="3843"/>
      <c r="M134" s="2268"/>
      <c r="O134" s="2270"/>
    </row>
    <row r="135" spans="1:15" ht="17.25" hidden="1" customHeight="1" x14ac:dyDescent="0.25">
      <c r="A135" s="2276">
        <v>41974</v>
      </c>
      <c r="B135" s="2267">
        <v>150.36000000000001</v>
      </c>
      <c r="C135" s="2213">
        <v>12.23</v>
      </c>
      <c r="D135" s="2213">
        <v>181.06</v>
      </c>
      <c r="E135" s="2272">
        <v>5739.8</v>
      </c>
      <c r="F135" s="3842" t="s">
        <v>4173</v>
      </c>
      <c r="G135" s="3843"/>
      <c r="M135" s="2268"/>
      <c r="O135" s="2270"/>
    </row>
    <row r="136" spans="1:15" ht="17.25" hidden="1" customHeight="1" x14ac:dyDescent="0.25">
      <c r="A136" s="2276">
        <v>42005</v>
      </c>
      <c r="B136" s="2267">
        <v>76.5</v>
      </c>
      <c r="C136" s="2213">
        <v>13.11</v>
      </c>
      <c r="D136" s="2213">
        <v>96.61</v>
      </c>
      <c r="E136" s="2272">
        <v>3132.72</v>
      </c>
      <c r="F136" s="3842" t="s">
        <v>4174</v>
      </c>
      <c r="G136" s="3843"/>
      <c r="M136" s="2268"/>
      <c r="O136" s="2270"/>
    </row>
    <row r="137" spans="1:15" ht="17.25" hidden="1" customHeight="1" x14ac:dyDescent="0.25">
      <c r="A137" s="2276">
        <v>42036</v>
      </c>
      <c r="B137" s="2267">
        <v>126.07</v>
      </c>
      <c r="C137" s="2213">
        <v>15.69</v>
      </c>
      <c r="D137" s="2213">
        <v>145.72</v>
      </c>
      <c r="E137" s="2272">
        <v>4827.0600000000004</v>
      </c>
      <c r="F137" s="3842" t="s">
        <v>4175</v>
      </c>
      <c r="G137" s="3843"/>
      <c r="M137" s="2268"/>
      <c r="O137" s="2270"/>
    </row>
    <row r="138" spans="1:15" ht="17.25" hidden="1" customHeight="1" x14ac:dyDescent="0.25">
      <c r="A138" s="2276">
        <v>42064</v>
      </c>
      <c r="B138" s="2267">
        <v>117.91</v>
      </c>
      <c r="C138" s="2213">
        <v>13.34</v>
      </c>
      <c r="D138" s="2213">
        <v>135.36000000000001</v>
      </c>
      <c r="E138" s="2272">
        <v>4815.3900000000003</v>
      </c>
      <c r="F138" s="3842" t="s">
        <v>4176</v>
      </c>
      <c r="G138" s="3843"/>
      <c r="M138" s="2268"/>
      <c r="O138" s="2270"/>
    </row>
    <row r="139" spans="1:15" ht="17.25" hidden="1" customHeight="1" x14ac:dyDescent="0.25">
      <c r="A139" s="2276">
        <v>42095</v>
      </c>
      <c r="B139" s="2267">
        <v>54.83</v>
      </c>
      <c r="C139" s="2213">
        <v>8.0299999999999994</v>
      </c>
      <c r="D139" s="2213">
        <v>67.709999999999994</v>
      </c>
      <c r="E139" s="2272">
        <v>2452.87</v>
      </c>
      <c r="F139" s="3842" t="s">
        <v>4177</v>
      </c>
      <c r="G139" s="3843"/>
      <c r="M139" s="2268"/>
      <c r="O139" s="2270"/>
    </row>
    <row r="140" spans="1:15" ht="17.25" hidden="1" customHeight="1" x14ac:dyDescent="0.25">
      <c r="A140" s="2276">
        <v>42125</v>
      </c>
      <c r="B140" s="2267">
        <v>114.69</v>
      </c>
      <c r="C140" s="2213">
        <v>7.39</v>
      </c>
      <c r="D140" s="2213">
        <v>127.34</v>
      </c>
      <c r="E140" s="2272">
        <v>4462.5</v>
      </c>
      <c r="F140" s="3842" t="s">
        <v>4178</v>
      </c>
      <c r="G140" s="3843"/>
      <c r="M140" s="2268"/>
      <c r="O140" s="2270"/>
    </row>
    <row r="141" spans="1:15" ht="17.25" hidden="1" customHeight="1" x14ac:dyDescent="0.25">
      <c r="A141" s="2276">
        <v>42156</v>
      </c>
      <c r="B141" s="2267">
        <v>98.34</v>
      </c>
      <c r="C141" s="2213">
        <v>15.01</v>
      </c>
      <c r="D141" s="2213">
        <v>119.64</v>
      </c>
      <c r="E141" s="2272">
        <v>4216.55</v>
      </c>
      <c r="F141" s="3842" t="s">
        <v>4179</v>
      </c>
      <c r="G141" s="3843"/>
      <c r="M141" s="2268"/>
      <c r="O141" s="2270"/>
    </row>
    <row r="142" spans="1:15" ht="17.25" hidden="1" customHeight="1" x14ac:dyDescent="0.25">
      <c r="A142" s="2276">
        <v>42186</v>
      </c>
      <c r="B142" s="2267">
        <v>67.58</v>
      </c>
      <c r="C142" s="2213">
        <v>7.24</v>
      </c>
      <c r="D142" s="2213">
        <v>82.99</v>
      </c>
      <c r="E142" s="2272">
        <v>2951.84</v>
      </c>
      <c r="F142" s="3842" t="s">
        <v>4180</v>
      </c>
      <c r="G142" s="3843"/>
      <c r="M142" s="2268"/>
      <c r="O142" s="2270"/>
    </row>
    <row r="143" spans="1:15" ht="17.25" hidden="1" customHeight="1" x14ac:dyDescent="0.25">
      <c r="A143" s="2276">
        <v>42217</v>
      </c>
      <c r="B143" s="2267">
        <v>48.67</v>
      </c>
      <c r="C143" s="2213">
        <v>13.26</v>
      </c>
      <c r="D143" s="2213">
        <v>75.52</v>
      </c>
      <c r="E143" s="2272">
        <v>2682.6</v>
      </c>
      <c r="F143" s="3842" t="s">
        <v>4181</v>
      </c>
      <c r="G143" s="3843"/>
      <c r="M143" s="2268"/>
      <c r="O143" s="2270"/>
    </row>
    <row r="144" spans="1:15" ht="17.25" hidden="1" customHeight="1" x14ac:dyDescent="0.25">
      <c r="A144" s="2276">
        <v>42248</v>
      </c>
      <c r="B144" s="2267">
        <v>101.52</v>
      </c>
      <c r="C144" s="2213">
        <v>9.01</v>
      </c>
      <c r="D144" s="2213">
        <v>116.81</v>
      </c>
      <c r="E144" s="2272">
        <v>4143.67</v>
      </c>
      <c r="F144" s="3842" t="s">
        <v>4182</v>
      </c>
      <c r="G144" s="3843"/>
      <c r="M144" s="2268"/>
      <c r="O144" s="2270"/>
    </row>
    <row r="145" spans="1:15" ht="17.25" hidden="1" customHeight="1" x14ac:dyDescent="0.25">
      <c r="A145" s="2276">
        <v>42278</v>
      </c>
      <c r="B145" s="2267">
        <v>129.46</v>
      </c>
      <c r="C145" s="2213">
        <v>11.96</v>
      </c>
      <c r="D145" s="2213">
        <v>151.30000000000001</v>
      </c>
      <c r="E145" s="2272">
        <v>5394.74</v>
      </c>
      <c r="F145" s="3842" t="s">
        <v>4183</v>
      </c>
      <c r="G145" s="3843"/>
      <c r="M145" s="2268"/>
      <c r="O145" s="2270"/>
    </row>
    <row r="146" spans="1:15" ht="17.25" hidden="1" customHeight="1" x14ac:dyDescent="0.25">
      <c r="A146" s="2276">
        <v>42309</v>
      </c>
      <c r="B146" s="2267">
        <v>92.13</v>
      </c>
      <c r="C146" s="2213">
        <v>12.51</v>
      </c>
      <c r="D146" s="2213">
        <v>112.64</v>
      </c>
      <c r="E146" s="2272">
        <v>4081.54</v>
      </c>
      <c r="F146" s="3842" t="s">
        <v>4184</v>
      </c>
      <c r="G146" s="3843"/>
      <c r="M146" s="2268"/>
      <c r="O146" s="2270"/>
    </row>
    <row r="147" spans="1:15" ht="17.25" hidden="1" customHeight="1" x14ac:dyDescent="0.25">
      <c r="A147" s="2276">
        <v>42339</v>
      </c>
      <c r="B147" s="2267">
        <v>78.27</v>
      </c>
      <c r="C147" s="2213">
        <v>12.06</v>
      </c>
      <c r="D147" s="2213">
        <v>109.05</v>
      </c>
      <c r="E147" s="2272">
        <v>3948.94</v>
      </c>
      <c r="F147" s="3842" t="s">
        <v>4185</v>
      </c>
      <c r="G147" s="3843"/>
      <c r="M147" s="2268"/>
      <c r="O147" s="2270"/>
    </row>
    <row r="148" spans="1:15" ht="17.25" hidden="1" customHeight="1" x14ac:dyDescent="0.25">
      <c r="A148" s="2276">
        <v>42370</v>
      </c>
      <c r="B148" s="2267">
        <v>106.08</v>
      </c>
      <c r="C148" s="2213">
        <v>7.79</v>
      </c>
      <c r="D148" s="2213">
        <v>122.96</v>
      </c>
      <c r="E148" s="2272">
        <v>4453.17</v>
      </c>
      <c r="F148" s="3842" t="s">
        <v>4186</v>
      </c>
      <c r="G148" s="3843"/>
      <c r="M148" s="2268"/>
      <c r="O148" s="2270"/>
    </row>
    <row r="149" spans="1:15" ht="17.25" hidden="1" customHeight="1" x14ac:dyDescent="0.25">
      <c r="A149" s="2276">
        <v>42401</v>
      </c>
      <c r="B149" s="2267">
        <v>131.71</v>
      </c>
      <c r="C149" s="2213">
        <v>7.38</v>
      </c>
      <c r="D149" s="2213">
        <v>149.55000000000001</v>
      </c>
      <c r="E149" s="2272">
        <v>5356.33</v>
      </c>
      <c r="F149" s="3842" t="s">
        <v>4187</v>
      </c>
      <c r="G149" s="3843"/>
      <c r="M149" s="2268"/>
      <c r="O149" s="2270"/>
    </row>
    <row r="150" spans="1:15" ht="17.25" hidden="1" customHeight="1" x14ac:dyDescent="0.25">
      <c r="A150" s="2276">
        <v>42430</v>
      </c>
      <c r="B150" s="2267">
        <v>100.72</v>
      </c>
      <c r="C150" s="2213">
        <v>9.75</v>
      </c>
      <c r="D150" s="2213">
        <v>117.25</v>
      </c>
      <c r="E150" s="2272">
        <v>4179.8500000000004</v>
      </c>
      <c r="F150" s="3842" t="s">
        <v>4188</v>
      </c>
      <c r="G150" s="3843"/>
      <c r="M150" s="2268"/>
      <c r="O150" s="2270"/>
    </row>
    <row r="151" spans="1:15" ht="17.25" hidden="1" customHeight="1" x14ac:dyDescent="0.25">
      <c r="A151" s="2276">
        <v>42461</v>
      </c>
      <c r="B151" s="2267">
        <v>46.22</v>
      </c>
      <c r="C151" s="2213">
        <v>8.5299999999999994</v>
      </c>
      <c r="D151" s="2213">
        <v>59.55</v>
      </c>
      <c r="E151" s="2272">
        <v>2100.6999999999998</v>
      </c>
      <c r="F151" s="3842" t="s">
        <v>4189</v>
      </c>
      <c r="G151" s="3843"/>
      <c r="M151" s="2268"/>
      <c r="O151" s="2270"/>
    </row>
    <row r="152" spans="1:15" ht="17.25" hidden="1" customHeight="1" x14ac:dyDescent="0.25">
      <c r="A152" s="2276">
        <v>42491</v>
      </c>
      <c r="B152" s="2267">
        <v>105.6</v>
      </c>
      <c r="C152" s="2213">
        <v>10.31</v>
      </c>
      <c r="D152" s="2213">
        <v>123.15</v>
      </c>
      <c r="E152" s="2272">
        <v>4335.43</v>
      </c>
      <c r="F152" s="3842" t="s">
        <v>4190</v>
      </c>
      <c r="G152" s="3843"/>
      <c r="M152" s="2268"/>
      <c r="O152" s="2270"/>
    </row>
    <row r="153" spans="1:15" ht="17.25" hidden="1" customHeight="1" x14ac:dyDescent="0.25">
      <c r="A153" s="2276">
        <v>42522</v>
      </c>
      <c r="B153" s="2267">
        <v>138.33000000000001</v>
      </c>
      <c r="C153" s="2213">
        <v>13.91</v>
      </c>
      <c r="D153" s="2213">
        <v>164.03</v>
      </c>
      <c r="E153" s="2272">
        <v>5826.27</v>
      </c>
      <c r="F153" s="3842" t="s">
        <v>4191</v>
      </c>
      <c r="G153" s="3843"/>
      <c r="M153" s="2268"/>
      <c r="O153" s="2270"/>
    </row>
    <row r="154" spans="1:15" ht="17.25" hidden="1" customHeight="1" x14ac:dyDescent="0.25">
      <c r="A154" s="2276">
        <v>42552</v>
      </c>
      <c r="B154" s="2267">
        <v>26.16</v>
      </c>
      <c r="C154" s="2213">
        <v>6.72</v>
      </c>
      <c r="D154" s="2213">
        <v>36.159999999999997</v>
      </c>
      <c r="E154" s="2272">
        <v>1286.73</v>
      </c>
      <c r="F154" s="3842" t="s">
        <v>4192</v>
      </c>
      <c r="G154" s="3843"/>
      <c r="M154" s="2268"/>
      <c r="O154" s="2270"/>
    </row>
    <row r="155" spans="1:15" ht="17.25" hidden="1" customHeight="1" x14ac:dyDescent="0.25">
      <c r="A155" s="2276">
        <v>42583</v>
      </c>
      <c r="B155" s="2267">
        <v>50.3</v>
      </c>
      <c r="C155" s="2213">
        <v>6.46</v>
      </c>
      <c r="D155" s="2213">
        <v>64.23</v>
      </c>
      <c r="E155" s="2272">
        <v>2265.6999999999998</v>
      </c>
      <c r="F155" s="3842" t="s">
        <v>4193</v>
      </c>
      <c r="G155" s="3843"/>
      <c r="M155" s="2268"/>
      <c r="O155" s="2270"/>
    </row>
    <row r="156" spans="1:15" ht="17.25" hidden="1" customHeight="1" x14ac:dyDescent="0.25">
      <c r="A156" s="2276">
        <v>42614</v>
      </c>
      <c r="B156" s="2267">
        <v>78.010000000000005</v>
      </c>
      <c r="C156" s="2213">
        <v>7.78</v>
      </c>
      <c r="D156" s="2213">
        <v>90.43</v>
      </c>
      <c r="E156" s="2272">
        <v>3205.96</v>
      </c>
      <c r="F156" s="3842" t="s">
        <v>4194</v>
      </c>
      <c r="G156" s="3843"/>
      <c r="M156" s="2268"/>
      <c r="O156" s="2270"/>
    </row>
    <row r="157" spans="1:15" ht="17.25" hidden="1" customHeight="1" x14ac:dyDescent="0.25">
      <c r="A157" s="2276">
        <v>42644</v>
      </c>
      <c r="B157" s="2267">
        <v>42.3</v>
      </c>
      <c r="C157" s="2213">
        <v>8.91</v>
      </c>
      <c r="D157" s="2213">
        <v>55.29</v>
      </c>
      <c r="E157" s="2272">
        <v>1976.62</v>
      </c>
      <c r="F157" s="3842" t="s">
        <v>4195</v>
      </c>
      <c r="G157" s="3843"/>
      <c r="M157" s="2268"/>
      <c r="O157" s="2270"/>
    </row>
    <row r="158" spans="1:15" ht="17.25" hidden="1" customHeight="1" x14ac:dyDescent="0.25">
      <c r="A158" s="2276">
        <v>42675</v>
      </c>
      <c r="B158" s="2267">
        <v>85.56</v>
      </c>
      <c r="C158" s="2213">
        <v>11.36</v>
      </c>
      <c r="D158" s="2213">
        <v>103.1</v>
      </c>
      <c r="E158" s="2272">
        <v>3710.62</v>
      </c>
      <c r="F158" s="3842" t="s">
        <v>4196</v>
      </c>
      <c r="G158" s="3843"/>
      <c r="M158" s="2268"/>
      <c r="O158" s="2270"/>
    </row>
    <row r="159" spans="1:15" ht="17.25" hidden="1" customHeight="1" x14ac:dyDescent="0.25">
      <c r="A159" s="2276">
        <v>42705</v>
      </c>
      <c r="B159" s="2267">
        <v>90.38</v>
      </c>
      <c r="C159" s="2213">
        <v>9</v>
      </c>
      <c r="D159" s="2213">
        <v>121.39</v>
      </c>
      <c r="E159" s="2272">
        <v>4384.13</v>
      </c>
      <c r="F159" s="3842" t="s">
        <v>4197</v>
      </c>
      <c r="G159" s="3843"/>
      <c r="M159" s="2268"/>
      <c r="O159" s="2270"/>
    </row>
    <row r="160" spans="1:15" ht="17.25" hidden="1" customHeight="1" x14ac:dyDescent="0.25">
      <c r="A160" s="2276">
        <v>42736</v>
      </c>
      <c r="B160" s="2267">
        <v>103.41</v>
      </c>
      <c r="C160" s="2213">
        <v>8.66</v>
      </c>
      <c r="D160" s="2213">
        <v>121.95</v>
      </c>
      <c r="E160" s="2272">
        <v>4375.96</v>
      </c>
      <c r="F160" s="3842" t="s">
        <v>4198</v>
      </c>
      <c r="G160" s="3843"/>
      <c r="M160" s="2268"/>
      <c r="O160" s="2270"/>
    </row>
    <row r="161" spans="1:15" ht="17.25" hidden="1" customHeight="1" x14ac:dyDescent="0.25">
      <c r="A161" s="2276">
        <v>42767</v>
      </c>
      <c r="B161" s="2267">
        <v>27.85</v>
      </c>
      <c r="C161" s="2213">
        <v>10.119999999999999</v>
      </c>
      <c r="D161" s="2213">
        <v>42.78</v>
      </c>
      <c r="E161" s="2272">
        <v>1527.41</v>
      </c>
      <c r="F161" s="3842" t="s">
        <v>4199</v>
      </c>
      <c r="G161" s="3843"/>
      <c r="M161" s="2268"/>
      <c r="O161" s="2270"/>
    </row>
    <row r="162" spans="1:15" ht="17.25" hidden="1" customHeight="1" x14ac:dyDescent="0.25">
      <c r="A162" s="2276">
        <v>42795</v>
      </c>
      <c r="B162" s="2267">
        <v>97.44</v>
      </c>
      <c r="C162" s="2213">
        <v>18.11</v>
      </c>
      <c r="D162" s="2213">
        <v>124.15</v>
      </c>
      <c r="E162" s="2272">
        <v>4412.17</v>
      </c>
      <c r="F162" s="3842" t="s">
        <v>4200</v>
      </c>
      <c r="G162" s="3843"/>
      <c r="M162" s="2268"/>
      <c r="O162" s="2270"/>
    </row>
    <row r="163" spans="1:15" ht="17.25" hidden="1" customHeight="1" x14ac:dyDescent="0.25">
      <c r="A163" s="2276">
        <v>42826</v>
      </c>
      <c r="B163" s="2267">
        <v>184.65</v>
      </c>
      <c r="C163" s="2213">
        <v>10.43</v>
      </c>
      <c r="D163" s="2213">
        <v>198.43</v>
      </c>
      <c r="E163" s="2272">
        <v>6987.93</v>
      </c>
      <c r="F163" s="3842" t="s">
        <v>4201</v>
      </c>
      <c r="G163" s="3843"/>
      <c r="M163" s="2268"/>
      <c r="O163" s="2270"/>
    </row>
    <row r="164" spans="1:15" ht="17.25" hidden="1" customHeight="1" x14ac:dyDescent="0.25">
      <c r="A164" s="2276">
        <v>42856</v>
      </c>
      <c r="B164" s="2267">
        <v>121.05</v>
      </c>
      <c r="C164" s="2213">
        <v>10.67</v>
      </c>
      <c r="D164" s="2213">
        <v>137.61000000000001</v>
      </c>
      <c r="E164" s="2272">
        <v>4812.5600000000004</v>
      </c>
      <c r="F164" s="3842" t="s">
        <v>4202</v>
      </c>
      <c r="G164" s="3843"/>
      <c r="M164" s="2268"/>
      <c r="O164" s="2270"/>
    </row>
    <row r="165" spans="1:15" ht="17.25" hidden="1" customHeight="1" x14ac:dyDescent="0.25">
      <c r="A165" s="2276">
        <v>42887</v>
      </c>
      <c r="B165" s="2267">
        <v>74.2</v>
      </c>
      <c r="C165" s="2213">
        <v>19.73</v>
      </c>
      <c r="D165" s="2213">
        <v>99.16</v>
      </c>
      <c r="E165" s="2272">
        <v>3460.36</v>
      </c>
      <c r="F165" s="3842" t="s">
        <v>4203</v>
      </c>
      <c r="G165" s="3843"/>
      <c r="M165" s="2268"/>
      <c r="O165" s="2270"/>
    </row>
    <row r="166" spans="1:15" ht="17.25" hidden="1" customHeight="1" x14ac:dyDescent="0.25">
      <c r="A166" s="2276">
        <v>42917</v>
      </c>
      <c r="B166" s="2267">
        <v>51.58</v>
      </c>
      <c r="C166" s="2213">
        <v>3.85</v>
      </c>
      <c r="D166" s="2213">
        <v>59.74</v>
      </c>
      <c r="E166" s="2272">
        <v>2042.27</v>
      </c>
      <c r="F166" s="3842" t="s">
        <v>4204</v>
      </c>
      <c r="G166" s="3843"/>
      <c r="M166" s="2268"/>
      <c r="O166" s="2270"/>
    </row>
    <row r="167" spans="1:15" ht="17.25" hidden="1" customHeight="1" x14ac:dyDescent="0.25">
      <c r="A167" s="2276">
        <v>42948</v>
      </c>
      <c r="B167" s="2267">
        <v>170.71</v>
      </c>
      <c r="C167" s="2213">
        <v>5.64</v>
      </c>
      <c r="D167" s="2213">
        <v>179.28</v>
      </c>
      <c r="E167" s="2272">
        <v>5979.07</v>
      </c>
      <c r="F167" s="3842" t="s">
        <v>4205</v>
      </c>
      <c r="G167" s="3843"/>
      <c r="M167" s="2268"/>
      <c r="O167" s="2270"/>
    </row>
    <row r="168" spans="1:15" ht="17.25" hidden="1" customHeight="1" x14ac:dyDescent="0.25">
      <c r="A168" s="2276">
        <v>42979</v>
      </c>
      <c r="B168" s="2267">
        <v>97.2</v>
      </c>
      <c r="C168" s="2213">
        <v>5.48</v>
      </c>
      <c r="D168" s="2213">
        <v>110.62</v>
      </c>
      <c r="E168" s="2272">
        <v>3708.58</v>
      </c>
      <c r="F168" s="3842" t="s">
        <v>4206</v>
      </c>
      <c r="G168" s="3843"/>
      <c r="M168" s="2268"/>
      <c r="O168" s="2270"/>
    </row>
    <row r="169" spans="1:15" ht="17.25" hidden="1" customHeight="1" x14ac:dyDescent="0.25">
      <c r="A169" s="2276">
        <v>43009</v>
      </c>
      <c r="B169" s="2267">
        <v>54.12</v>
      </c>
      <c r="C169" s="2213">
        <v>6.43</v>
      </c>
      <c r="D169" s="2213">
        <v>68.89</v>
      </c>
      <c r="E169" s="2272">
        <v>2361.08</v>
      </c>
      <c r="F169" s="3842" t="s">
        <v>4207</v>
      </c>
      <c r="G169" s="3843"/>
      <c r="M169" s="2268"/>
      <c r="O169" s="2270"/>
    </row>
    <row r="170" spans="1:15" ht="17.25" hidden="1" customHeight="1" x14ac:dyDescent="0.25">
      <c r="A170" s="2276">
        <v>43040</v>
      </c>
      <c r="B170" s="2267">
        <v>52.82</v>
      </c>
      <c r="C170" s="2213">
        <v>6.38</v>
      </c>
      <c r="D170" s="2213">
        <v>68.400000000000006</v>
      </c>
      <c r="E170" s="2272">
        <v>2345</v>
      </c>
      <c r="F170" s="3842" t="s">
        <v>4208</v>
      </c>
      <c r="G170" s="3843"/>
      <c r="M170" s="2268"/>
      <c r="O170" s="2270"/>
    </row>
    <row r="171" spans="1:15" ht="17.25" hidden="1" customHeight="1" x14ac:dyDescent="0.25">
      <c r="A171" s="2276">
        <v>43070</v>
      </c>
      <c r="B171" s="2267">
        <v>85.12</v>
      </c>
      <c r="C171" s="2213">
        <v>4.24</v>
      </c>
      <c r="D171" s="2213">
        <v>105.67</v>
      </c>
      <c r="E171" s="2272">
        <v>3595.71</v>
      </c>
      <c r="F171" s="3842" t="s">
        <v>4209</v>
      </c>
      <c r="G171" s="3843"/>
      <c r="M171" s="2268"/>
      <c r="O171" s="2270"/>
    </row>
    <row r="172" spans="1:15" ht="17.25" hidden="1" customHeight="1" x14ac:dyDescent="0.25">
      <c r="A172" s="2276">
        <v>43101</v>
      </c>
      <c r="B172" s="2267">
        <v>72.290000000000006</v>
      </c>
      <c r="C172" s="2213">
        <v>1.08</v>
      </c>
      <c r="D172" s="2213">
        <v>88.08</v>
      </c>
      <c r="E172" s="2272">
        <v>2942.7</v>
      </c>
      <c r="F172" s="3842" t="s">
        <v>4210</v>
      </c>
      <c r="G172" s="3843"/>
      <c r="M172" s="2268"/>
      <c r="O172" s="2270"/>
    </row>
    <row r="173" spans="1:15" ht="17.25" hidden="1" customHeight="1" x14ac:dyDescent="0.25">
      <c r="A173" s="2276">
        <v>43132</v>
      </c>
      <c r="B173" s="2267">
        <v>122.15</v>
      </c>
      <c r="C173" s="2213">
        <v>6.6</v>
      </c>
      <c r="D173" s="2213">
        <v>141.04</v>
      </c>
      <c r="E173" s="2272">
        <v>4651.05</v>
      </c>
      <c r="F173" s="3842" t="s">
        <v>4211</v>
      </c>
      <c r="G173" s="3843"/>
      <c r="M173" s="2268"/>
      <c r="O173" s="2270"/>
    </row>
    <row r="174" spans="1:15" ht="17.25" hidden="1" customHeight="1" x14ac:dyDescent="0.25">
      <c r="A174" s="2276">
        <v>43160</v>
      </c>
      <c r="B174" s="2267">
        <v>155.85</v>
      </c>
      <c r="C174" s="2213">
        <v>3.55</v>
      </c>
      <c r="D174" s="2213">
        <v>168.12</v>
      </c>
      <c r="E174" s="2272">
        <v>5619.62</v>
      </c>
      <c r="F174" s="3842" t="s">
        <v>4212</v>
      </c>
      <c r="G174" s="3843"/>
      <c r="M174" s="2268"/>
      <c r="O174" s="2270"/>
    </row>
    <row r="175" spans="1:15" ht="17.25" hidden="1" customHeight="1" x14ac:dyDescent="0.25">
      <c r="A175" s="2276">
        <v>43191</v>
      </c>
      <c r="B175" s="2267">
        <v>105.05</v>
      </c>
      <c r="C175" s="2213">
        <v>4.49</v>
      </c>
      <c r="D175" s="2213">
        <v>117.41</v>
      </c>
      <c r="E175" s="2272">
        <v>4012.87</v>
      </c>
      <c r="F175" s="3842" t="s">
        <v>4213</v>
      </c>
      <c r="G175" s="3843"/>
      <c r="M175" s="2268"/>
      <c r="O175" s="2270"/>
    </row>
    <row r="176" spans="1:15" ht="17.25" hidden="1" customHeight="1" x14ac:dyDescent="0.25">
      <c r="A176" s="2276">
        <v>43221</v>
      </c>
      <c r="B176" s="2267">
        <v>176.65</v>
      </c>
      <c r="C176" s="2213">
        <v>16.84</v>
      </c>
      <c r="D176" s="2213">
        <v>201.57</v>
      </c>
      <c r="E176" s="2272">
        <v>7035.45</v>
      </c>
      <c r="F176" s="3842" t="s">
        <v>4214</v>
      </c>
      <c r="G176" s="3843"/>
      <c r="M176" s="2268"/>
      <c r="O176" s="2270"/>
    </row>
    <row r="177" spans="1:16" ht="17.25" hidden="1" customHeight="1" x14ac:dyDescent="0.25">
      <c r="A177" s="2276">
        <v>43252</v>
      </c>
      <c r="B177" s="2267">
        <v>44.99</v>
      </c>
      <c r="C177" s="2213">
        <v>2.74</v>
      </c>
      <c r="D177" s="2213">
        <v>54.07</v>
      </c>
      <c r="E177" s="2272">
        <v>1873.44</v>
      </c>
      <c r="F177" s="3842" t="s">
        <v>4215</v>
      </c>
      <c r="G177" s="3843"/>
      <c r="M177" s="2268"/>
      <c r="O177" s="2270"/>
    </row>
    <row r="178" spans="1:16" ht="17.25" hidden="1" thickTop="1" x14ac:dyDescent="0.25">
      <c r="A178" s="2276">
        <v>43282</v>
      </c>
      <c r="B178" s="2267">
        <v>43.98</v>
      </c>
      <c r="C178" s="2213">
        <v>2.46</v>
      </c>
      <c r="D178" s="2213">
        <v>54.96</v>
      </c>
      <c r="E178" s="2272">
        <v>1902.97</v>
      </c>
      <c r="F178" s="3842" t="s">
        <v>4216</v>
      </c>
      <c r="G178" s="3843"/>
      <c r="M178" s="2268"/>
      <c r="O178" s="2270"/>
    </row>
    <row r="179" spans="1:16" ht="17.25" hidden="1" thickTop="1" x14ac:dyDescent="0.25">
      <c r="A179" s="2276">
        <v>43313</v>
      </c>
      <c r="B179" s="2267">
        <v>42.19</v>
      </c>
      <c r="C179" s="2213">
        <v>2.1</v>
      </c>
      <c r="D179" s="2213">
        <v>51.35</v>
      </c>
      <c r="E179" s="2272">
        <v>1781.03</v>
      </c>
      <c r="F179" s="3842" t="s">
        <v>4217</v>
      </c>
      <c r="G179" s="3843"/>
      <c r="M179" s="2268"/>
      <c r="O179" s="2270"/>
    </row>
    <row r="180" spans="1:16" ht="17.25" hidden="1" thickTop="1" x14ac:dyDescent="0.25">
      <c r="A180" s="2276">
        <v>43344</v>
      </c>
      <c r="B180" s="2267">
        <v>40.659999999999997</v>
      </c>
      <c r="C180" s="2213">
        <v>4.5</v>
      </c>
      <c r="D180" s="2213">
        <v>51.61</v>
      </c>
      <c r="E180" s="2272">
        <v>1781.98</v>
      </c>
      <c r="F180" s="3842" t="s">
        <v>4218</v>
      </c>
      <c r="G180" s="3843"/>
      <c r="M180" s="2268"/>
      <c r="O180" s="2270"/>
    </row>
    <row r="181" spans="1:16" ht="17.25" hidden="1" thickTop="1" x14ac:dyDescent="0.25">
      <c r="A181" s="2276">
        <v>43374</v>
      </c>
      <c r="B181" s="2267">
        <v>33.909999999999997</v>
      </c>
      <c r="C181" s="2213">
        <v>6.27</v>
      </c>
      <c r="D181" s="2213">
        <v>47.23</v>
      </c>
      <c r="E181" s="2272">
        <v>1640.59</v>
      </c>
      <c r="F181" s="3842" t="s">
        <v>4219</v>
      </c>
      <c r="G181" s="3843"/>
      <c r="M181" s="2268"/>
      <c r="O181" s="2270"/>
    </row>
    <row r="182" spans="1:16" ht="17.25" hidden="1" thickTop="1" x14ac:dyDescent="0.25">
      <c r="A182" s="2276">
        <v>43405</v>
      </c>
      <c r="B182" s="2267">
        <v>40.18</v>
      </c>
      <c r="C182" s="2213">
        <v>2.09</v>
      </c>
      <c r="D182" s="2213">
        <v>52.58</v>
      </c>
      <c r="E182" s="2272">
        <v>1828.88</v>
      </c>
      <c r="F182" s="3842" t="s">
        <v>4220</v>
      </c>
      <c r="G182" s="3843"/>
      <c r="M182" s="2268"/>
      <c r="O182" s="2270"/>
    </row>
    <row r="183" spans="1:16" ht="17.25" hidden="1" thickTop="1" x14ac:dyDescent="0.25">
      <c r="A183" s="2276">
        <v>43435</v>
      </c>
      <c r="B183" s="2267">
        <v>41.61</v>
      </c>
      <c r="C183" s="2213">
        <v>1.93</v>
      </c>
      <c r="D183" s="2213">
        <v>55.73</v>
      </c>
      <c r="E183" s="2272">
        <v>1925.79</v>
      </c>
      <c r="F183" s="3842" t="s">
        <v>4221</v>
      </c>
      <c r="G183" s="3843"/>
      <c r="M183" s="2268"/>
      <c r="O183" s="2270"/>
    </row>
    <row r="184" spans="1:16" ht="17.25" hidden="1" thickTop="1" x14ac:dyDescent="0.25">
      <c r="A184" s="2276">
        <v>43466</v>
      </c>
      <c r="B184" s="2267">
        <v>38.33</v>
      </c>
      <c r="C184" s="2213">
        <v>2.76</v>
      </c>
      <c r="D184" s="2213">
        <v>51.1</v>
      </c>
      <c r="E184" s="2272">
        <v>1760.4</v>
      </c>
      <c r="F184" s="3842" t="s">
        <v>4222</v>
      </c>
      <c r="G184" s="3843"/>
      <c r="M184" s="2268"/>
      <c r="O184" s="2270"/>
      <c r="P184" s="2271"/>
    </row>
    <row r="185" spans="1:16" ht="17.25" hidden="1" thickTop="1" x14ac:dyDescent="0.25">
      <c r="A185" s="2276">
        <v>43497</v>
      </c>
      <c r="B185" s="2267">
        <v>29.27</v>
      </c>
      <c r="C185" s="2213">
        <v>10.95</v>
      </c>
      <c r="D185" s="2213">
        <v>46.39</v>
      </c>
      <c r="E185" s="2272">
        <v>1599.61</v>
      </c>
      <c r="F185" s="3842" t="s">
        <v>4223</v>
      </c>
      <c r="G185" s="3843"/>
      <c r="M185" s="2268"/>
      <c r="N185" s="2268"/>
    </row>
    <row r="186" spans="1:16" ht="17.25" hidden="1" thickTop="1" x14ac:dyDescent="0.25">
      <c r="A186" s="2276">
        <v>43525</v>
      </c>
      <c r="B186" s="2267">
        <v>19.47</v>
      </c>
      <c r="C186" s="2213">
        <v>7.5</v>
      </c>
      <c r="D186" s="2213">
        <v>34.35</v>
      </c>
      <c r="E186" s="2272">
        <v>1196.19</v>
      </c>
      <c r="F186" s="3842" t="s">
        <v>4224</v>
      </c>
      <c r="G186" s="3843"/>
      <c r="M186" s="2268"/>
    </row>
    <row r="187" spans="1:16" ht="17.25" hidden="1" thickTop="1" x14ac:dyDescent="0.25">
      <c r="A187" s="2276">
        <v>43556</v>
      </c>
      <c r="B187" s="2267">
        <v>19.61</v>
      </c>
      <c r="C187" s="2213">
        <v>1.63</v>
      </c>
      <c r="D187" s="2213">
        <v>31.46</v>
      </c>
      <c r="E187" s="2272">
        <v>1105.1099999999999</v>
      </c>
      <c r="F187" s="3842" t="s">
        <v>4225</v>
      </c>
      <c r="G187" s="3843"/>
    </row>
    <row r="188" spans="1:16" ht="17.25" hidden="1" thickTop="1" x14ac:dyDescent="0.25">
      <c r="A188" s="2276">
        <v>43586</v>
      </c>
      <c r="B188" s="2267">
        <v>22.46</v>
      </c>
      <c r="C188" s="2213">
        <v>202.75</v>
      </c>
      <c r="D188" s="2213">
        <v>237.92</v>
      </c>
      <c r="E188" s="2272">
        <v>8457.9</v>
      </c>
      <c r="F188" s="3842" t="s">
        <v>4226</v>
      </c>
      <c r="G188" s="3843"/>
    </row>
    <row r="189" spans="1:16" ht="17.25" hidden="1" thickTop="1" x14ac:dyDescent="0.25">
      <c r="A189" s="2276">
        <v>43617</v>
      </c>
      <c r="B189" s="2267">
        <v>22.63</v>
      </c>
      <c r="C189" s="2213">
        <v>1.58</v>
      </c>
      <c r="D189" s="2213">
        <v>31.53</v>
      </c>
      <c r="E189" s="2272">
        <v>1121.2326229999999</v>
      </c>
      <c r="F189" s="3842" t="s">
        <v>4227</v>
      </c>
      <c r="G189" s="3843"/>
    </row>
    <row r="190" spans="1:16" ht="17.25" thickTop="1" x14ac:dyDescent="0.25">
      <c r="A190" s="2276">
        <v>43647</v>
      </c>
      <c r="B190" s="2267">
        <v>55.946874080000001</v>
      </c>
      <c r="C190" s="2213">
        <v>137.66948097</v>
      </c>
      <c r="D190" s="2213">
        <v>202.67218257348588</v>
      </c>
      <c r="E190" s="2272">
        <v>7313.11</v>
      </c>
      <c r="F190" s="3842" t="s">
        <v>4228</v>
      </c>
      <c r="G190" s="3843"/>
    </row>
    <row r="191" spans="1:16" ht="16.5" x14ac:dyDescent="0.25">
      <c r="A191" s="2276">
        <v>43678</v>
      </c>
      <c r="B191" s="2267">
        <v>44.98</v>
      </c>
      <c r="C191" s="2213">
        <v>2.4900000000000002</v>
      </c>
      <c r="D191" s="2213">
        <v>58.713999999999999</v>
      </c>
      <c r="E191" s="2272">
        <v>2110.56</v>
      </c>
      <c r="F191" s="3842" t="s">
        <v>4229</v>
      </c>
      <c r="G191" s="3843"/>
    </row>
    <row r="192" spans="1:16" ht="16.5" x14ac:dyDescent="0.25">
      <c r="A192" s="2276">
        <v>43709</v>
      </c>
      <c r="B192" s="2267">
        <v>55.97</v>
      </c>
      <c r="C192" s="2213">
        <v>3.19</v>
      </c>
      <c r="D192" s="2213">
        <v>65.3</v>
      </c>
      <c r="E192" s="2272">
        <v>2370.0500000000002</v>
      </c>
      <c r="F192" s="3842" t="s">
        <v>4230</v>
      </c>
      <c r="G192" s="3843"/>
    </row>
    <row r="193" spans="1:7" ht="16.5" x14ac:dyDescent="0.25">
      <c r="A193" s="2276">
        <v>43739</v>
      </c>
      <c r="B193" s="2267">
        <v>28.74</v>
      </c>
      <c r="C193" s="2213">
        <v>2.54</v>
      </c>
      <c r="D193" s="2213">
        <v>39.340000000000003</v>
      </c>
      <c r="E193" s="2272">
        <v>1434.05</v>
      </c>
      <c r="F193" s="3842" t="s">
        <v>4231</v>
      </c>
      <c r="G193" s="3843"/>
    </row>
    <row r="194" spans="1:7" ht="16.5" x14ac:dyDescent="0.25">
      <c r="A194" s="2276">
        <v>43770</v>
      </c>
      <c r="B194" s="2267">
        <v>34.598112699999994</v>
      </c>
      <c r="C194" s="2213">
        <v>7.9434623839885505</v>
      </c>
      <c r="D194" s="2213">
        <v>42.541575083988548</v>
      </c>
      <c r="E194" s="2272">
        <v>1556.91</v>
      </c>
      <c r="F194" s="3842" t="s">
        <v>4232</v>
      </c>
      <c r="G194" s="3843"/>
    </row>
    <row r="195" spans="1:7" ht="16.5" x14ac:dyDescent="0.25">
      <c r="A195" s="2276">
        <v>43800</v>
      </c>
      <c r="B195" s="2267">
        <v>36.317514300000006</v>
      </c>
      <c r="C195" s="2213">
        <v>1.3479330199999999</v>
      </c>
      <c r="D195" s="2213">
        <v>47.383884382333058</v>
      </c>
      <c r="E195" s="2272">
        <v>1736.05</v>
      </c>
      <c r="F195" s="3842" t="s">
        <v>4233</v>
      </c>
      <c r="G195" s="3843"/>
    </row>
    <row r="196" spans="1:7" ht="16.5" x14ac:dyDescent="0.25">
      <c r="A196" s="2276">
        <v>43831</v>
      </c>
      <c r="B196" s="2267">
        <v>39.72</v>
      </c>
      <c r="C196" s="2213">
        <v>2.4300000000000002</v>
      </c>
      <c r="D196" s="2213">
        <v>57.52</v>
      </c>
      <c r="E196" s="2272">
        <v>2108.19</v>
      </c>
      <c r="F196" s="3842" t="s">
        <v>4234</v>
      </c>
      <c r="G196" s="3843"/>
    </row>
    <row r="197" spans="1:7" ht="16.5" x14ac:dyDescent="0.25">
      <c r="A197" s="2276">
        <v>43862</v>
      </c>
      <c r="B197" s="2267">
        <v>55.02</v>
      </c>
      <c r="C197" s="2213">
        <v>2.33</v>
      </c>
      <c r="D197" s="2213">
        <v>64.23</v>
      </c>
      <c r="E197" s="2272">
        <v>2406.65</v>
      </c>
      <c r="F197" s="3842" t="s">
        <v>4235</v>
      </c>
      <c r="G197" s="3843"/>
    </row>
    <row r="198" spans="1:7" ht="16.5" x14ac:dyDescent="0.25">
      <c r="A198" s="2276">
        <v>43891</v>
      </c>
      <c r="B198" s="2267">
        <v>32.83</v>
      </c>
      <c r="C198" s="2213">
        <v>1.18</v>
      </c>
      <c r="D198" s="2213">
        <v>42.51</v>
      </c>
      <c r="E198" s="2272">
        <v>1620.33</v>
      </c>
      <c r="F198" s="3842" t="s">
        <v>4236</v>
      </c>
      <c r="G198" s="3843"/>
    </row>
    <row r="199" spans="1:7" ht="16.5" x14ac:dyDescent="0.25">
      <c r="A199" s="2276">
        <v>43922</v>
      </c>
      <c r="B199" s="2267">
        <v>19.77</v>
      </c>
      <c r="C199" s="2213">
        <v>5.9</v>
      </c>
      <c r="D199" s="2213">
        <v>32.94</v>
      </c>
      <c r="E199" s="2272">
        <v>1318.44</v>
      </c>
      <c r="F199" s="3842" t="s">
        <v>4237</v>
      </c>
      <c r="G199" s="3843"/>
    </row>
    <row r="200" spans="1:7" ht="16.5" x14ac:dyDescent="0.25">
      <c r="A200" s="2276">
        <v>43952</v>
      </c>
      <c r="B200" s="2267">
        <v>7.99</v>
      </c>
      <c r="C200" s="2213">
        <v>67.2</v>
      </c>
      <c r="D200" s="2213">
        <v>77.3</v>
      </c>
      <c r="E200" s="2272">
        <v>3112.19</v>
      </c>
      <c r="F200" s="3842" t="s">
        <v>4238</v>
      </c>
      <c r="G200" s="3843"/>
    </row>
    <row r="201" spans="1:7" ht="16.5" x14ac:dyDescent="0.25">
      <c r="A201" s="2276">
        <v>43983</v>
      </c>
      <c r="B201" s="2267">
        <v>13.37</v>
      </c>
      <c r="C201" s="2213">
        <v>1.8</v>
      </c>
      <c r="D201" s="2213">
        <v>18.440000000000001</v>
      </c>
      <c r="E201" s="2272">
        <v>742.63</v>
      </c>
      <c r="F201" s="3842" t="s">
        <v>4239</v>
      </c>
      <c r="G201" s="3843"/>
    </row>
    <row r="202" spans="1:7" ht="16.5" x14ac:dyDescent="0.25">
      <c r="A202" s="2276">
        <v>44013</v>
      </c>
      <c r="B202" s="2267">
        <v>8.9499999999999993</v>
      </c>
      <c r="C202" s="2213">
        <v>1.78</v>
      </c>
      <c r="D202" s="2213">
        <v>14.06</v>
      </c>
      <c r="E202" s="2272">
        <v>566.14</v>
      </c>
      <c r="F202" s="3842" t="s">
        <v>4240</v>
      </c>
      <c r="G202" s="3843"/>
    </row>
    <row r="203" spans="1:7" ht="16.5" x14ac:dyDescent="0.25">
      <c r="A203" s="2276">
        <v>44044</v>
      </c>
      <c r="B203" s="2267">
        <v>17.43</v>
      </c>
      <c r="C203" s="2213">
        <v>1.27</v>
      </c>
      <c r="D203" s="2213">
        <v>21.76</v>
      </c>
      <c r="E203" s="2272">
        <v>866.72</v>
      </c>
      <c r="F203" s="3842" t="s">
        <v>4241</v>
      </c>
      <c r="G203" s="3843"/>
    </row>
    <row r="204" spans="1:7" ht="16.5" x14ac:dyDescent="0.25">
      <c r="A204" s="2276">
        <v>44075</v>
      </c>
      <c r="B204" s="2267">
        <v>10.78</v>
      </c>
      <c r="C204" s="2213">
        <v>6.33</v>
      </c>
      <c r="D204" s="2213">
        <v>20.34</v>
      </c>
      <c r="E204" s="2272">
        <v>810.35</v>
      </c>
      <c r="F204" s="3842" t="s">
        <v>4242</v>
      </c>
      <c r="G204" s="3843"/>
    </row>
    <row r="205" spans="1:7" ht="16.5" x14ac:dyDescent="0.25">
      <c r="A205" s="2276">
        <v>44105</v>
      </c>
      <c r="B205" s="2267">
        <v>13.19</v>
      </c>
      <c r="C205" s="2213">
        <v>1.86</v>
      </c>
      <c r="D205" s="2213">
        <v>19.02</v>
      </c>
      <c r="E205" s="2272">
        <v>761.8</v>
      </c>
      <c r="F205" s="3842" t="s">
        <v>4243</v>
      </c>
      <c r="G205" s="3843"/>
    </row>
    <row r="206" spans="1:7" ht="16.5" x14ac:dyDescent="0.25">
      <c r="A206" s="2276">
        <v>44136</v>
      </c>
      <c r="B206" s="2267">
        <v>15.88</v>
      </c>
      <c r="C206" s="2213">
        <v>2.2400000000000002</v>
      </c>
      <c r="D206" s="2213">
        <v>21.12</v>
      </c>
      <c r="E206" s="2272">
        <v>848.25</v>
      </c>
      <c r="F206" s="3842" t="s">
        <v>4244</v>
      </c>
      <c r="G206" s="3843"/>
    </row>
    <row r="207" spans="1:7" ht="16.5" x14ac:dyDescent="0.25">
      <c r="A207" s="2276">
        <v>44166</v>
      </c>
      <c r="B207" s="2267">
        <v>42.410464060000002</v>
      </c>
      <c r="C207" s="2213">
        <v>1.68349628</v>
      </c>
      <c r="D207" s="2213">
        <v>48.768692449974566</v>
      </c>
      <c r="E207" s="2272">
        <v>1942.59</v>
      </c>
      <c r="F207" s="3842" t="s">
        <v>4245</v>
      </c>
      <c r="G207" s="3843"/>
    </row>
    <row r="208" spans="1:7" ht="16.5" x14ac:dyDescent="0.25">
      <c r="A208" s="2276">
        <v>44197</v>
      </c>
      <c r="B208" s="2267">
        <v>13.77</v>
      </c>
      <c r="C208" s="2213">
        <v>3.58</v>
      </c>
      <c r="D208" s="2213">
        <v>20.47</v>
      </c>
      <c r="E208" s="2272">
        <v>811.64</v>
      </c>
      <c r="F208" s="3842" t="s">
        <v>4246</v>
      </c>
      <c r="G208" s="3843"/>
    </row>
    <row r="209" spans="1:7" ht="16.5" x14ac:dyDescent="0.25">
      <c r="A209" s="2276">
        <v>44228</v>
      </c>
      <c r="B209" s="2267">
        <v>10.5</v>
      </c>
      <c r="C209" s="2213">
        <v>1.7</v>
      </c>
      <c r="D209" s="2213">
        <v>15.45</v>
      </c>
      <c r="E209" s="2272">
        <v>618.22</v>
      </c>
      <c r="F209" s="3842" t="s">
        <v>4247</v>
      </c>
      <c r="G209" s="3843"/>
    </row>
    <row r="210" spans="1:7" s="102" customFormat="1" ht="18" customHeight="1" x14ac:dyDescent="0.25">
      <c r="A210" s="2276">
        <v>44256</v>
      </c>
      <c r="B210" s="2267">
        <v>9.0459417700000007</v>
      </c>
      <c r="C210" s="2213">
        <v>0.91555689000000018</v>
      </c>
      <c r="D210" s="2213">
        <v>11.68</v>
      </c>
      <c r="E210" s="2272">
        <v>471.8</v>
      </c>
      <c r="F210" s="3842" t="s">
        <v>4248</v>
      </c>
      <c r="G210" s="3843"/>
    </row>
    <row r="211" spans="1:7" s="102" customFormat="1" ht="18" customHeight="1" x14ac:dyDescent="0.25">
      <c r="A211" s="2276">
        <v>44287</v>
      </c>
      <c r="B211" s="2267">
        <v>8.8699999999999992</v>
      </c>
      <c r="C211" s="2213">
        <v>1.7833556700000002</v>
      </c>
      <c r="D211" s="2213">
        <v>12.86</v>
      </c>
      <c r="E211" s="2272">
        <v>524.52</v>
      </c>
      <c r="F211" s="3842" t="s">
        <v>4249</v>
      </c>
      <c r="G211" s="3843"/>
    </row>
    <row r="212" spans="1:7" s="102" customFormat="1" ht="18" customHeight="1" x14ac:dyDescent="0.25">
      <c r="A212" s="2276">
        <v>44317</v>
      </c>
      <c r="B212" s="2267">
        <v>7.0565552900000004</v>
      </c>
      <c r="C212" s="2213">
        <v>10.96272037</v>
      </c>
      <c r="D212" s="2213">
        <v>21.69</v>
      </c>
      <c r="E212" s="2272">
        <v>884.25</v>
      </c>
      <c r="F212" s="3842" t="s">
        <v>4250</v>
      </c>
      <c r="G212" s="3843"/>
    </row>
    <row r="213" spans="1:7" s="102" customFormat="1" ht="18" customHeight="1" x14ac:dyDescent="0.25">
      <c r="A213" s="2276">
        <v>44348</v>
      </c>
      <c r="B213" s="2267">
        <v>51.269436660000004</v>
      </c>
      <c r="C213" s="2213">
        <v>8.11</v>
      </c>
      <c r="D213" s="2213">
        <v>61.07</v>
      </c>
      <c r="E213" s="2272">
        <v>2522.6999999999998</v>
      </c>
      <c r="F213" s="3842" t="s">
        <v>4251</v>
      </c>
      <c r="G213" s="3843"/>
    </row>
    <row r="214" spans="1:7" s="102" customFormat="1" ht="18" customHeight="1" thickBot="1" x14ac:dyDescent="0.3">
      <c r="A214" s="2280">
        <v>44378</v>
      </c>
      <c r="B214" s="2281">
        <v>12.361380519999999</v>
      </c>
      <c r="C214" s="2282">
        <v>1.7925805800000001</v>
      </c>
      <c r="D214" s="2282">
        <v>16.34</v>
      </c>
      <c r="E214" s="2283">
        <v>701.04</v>
      </c>
      <c r="F214" s="3844" t="s">
        <v>3971</v>
      </c>
      <c r="G214" s="3845"/>
    </row>
    <row r="215" spans="1:7" s="102" customFormat="1" ht="18" customHeight="1" thickTop="1" x14ac:dyDescent="0.25">
      <c r="A215" s="103" t="s">
        <v>4252</v>
      </c>
      <c r="B215" s="2284"/>
      <c r="C215" s="2284"/>
      <c r="D215" s="2284"/>
      <c r="E215" s="2284"/>
      <c r="F215" s="87"/>
    </row>
    <row r="216" spans="1:7" s="102" customFormat="1" ht="18" customHeight="1" x14ac:dyDescent="0.25">
      <c r="A216" s="103" t="s">
        <v>4253</v>
      </c>
      <c r="B216" s="2284"/>
      <c r="C216" s="2284"/>
      <c r="D216" s="2284"/>
      <c r="E216" s="2284"/>
      <c r="F216" s="87"/>
    </row>
    <row r="217" spans="1:7" s="102" customFormat="1" ht="18" customHeight="1" x14ac:dyDescent="0.25">
      <c r="A217" s="102" t="s">
        <v>172</v>
      </c>
      <c r="B217" s="2284"/>
      <c r="C217" s="2284"/>
      <c r="D217" s="2284"/>
      <c r="E217" s="2284"/>
      <c r="F217" s="87"/>
    </row>
    <row r="218" spans="1:7" s="123" customFormat="1" ht="17.25" customHeight="1" x14ac:dyDescent="0.25">
      <c r="A218" s="2285" t="s">
        <v>3553</v>
      </c>
      <c r="B218" s="2284"/>
      <c r="C218" s="2284"/>
      <c r="D218" s="2284"/>
      <c r="E218" s="2284"/>
      <c r="F218" s="87"/>
      <c r="G218" s="102"/>
    </row>
    <row r="219" spans="1:7" x14ac:dyDescent="0.25">
      <c r="A219" s="127"/>
      <c r="C219" s="2286"/>
      <c r="D219" s="2287"/>
      <c r="G219" s="123"/>
    </row>
    <row r="220" spans="1:7" ht="15" customHeight="1" x14ac:dyDescent="0.25">
      <c r="A220" s="733"/>
      <c r="B220" s="2268"/>
      <c r="C220" s="2268"/>
      <c r="D220" s="2288"/>
      <c r="F220" s="2286"/>
    </row>
    <row r="221" spans="1:7" s="123" customFormat="1" ht="17.25" customHeight="1" x14ac:dyDescent="0.25">
      <c r="A221" s="2289"/>
      <c r="B221" s="127"/>
      <c r="C221" s="127"/>
      <c r="D221" s="127"/>
      <c r="E221" s="127"/>
      <c r="F221" s="127"/>
      <c r="G221" s="2249"/>
    </row>
    <row r="222" spans="1:7" s="123" customFormat="1" ht="17.25" customHeight="1" x14ac:dyDescent="0.25">
      <c r="A222" s="2290"/>
      <c r="C222" s="130"/>
      <c r="D222" s="2291"/>
    </row>
    <row r="223" spans="1:7" s="123" customFormat="1" x14ac:dyDescent="0.25">
      <c r="A223" s="2290"/>
      <c r="C223" s="130"/>
      <c r="D223" s="2291"/>
    </row>
    <row r="224" spans="1:7" x14ac:dyDescent="0.25">
      <c r="A224" s="2290"/>
      <c r="B224" s="123"/>
      <c r="C224" s="130"/>
      <c r="D224" s="2291"/>
      <c r="E224" s="123"/>
      <c r="F224" s="123"/>
      <c r="G224" s="123"/>
    </row>
    <row r="226" spans="1:6" x14ac:dyDescent="0.25">
      <c r="A226" s="2292"/>
    </row>
    <row r="229" spans="1:6" x14ac:dyDescent="0.25">
      <c r="F229" s="127" t="s">
        <v>3430</v>
      </c>
    </row>
    <row r="242" spans="1:4" x14ac:dyDescent="0.25">
      <c r="A242" s="127"/>
      <c r="D242" s="2293"/>
    </row>
  </sheetData>
  <mergeCells count="211">
    <mergeCell ref="F214:G214"/>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 ref="F15:G15"/>
    <mergeCell ref="F16:G16"/>
    <mergeCell ref="F17:G17"/>
  </mergeCells>
  <printOptions horizontalCentered="1"/>
  <pageMargins left="0.75" right="0.75" top="0.75" bottom="0.75" header="0.31496062992126" footer="0"/>
  <pageSetup paperSize="9"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L77"/>
  <sheetViews>
    <sheetView showGridLines="0" zoomScaleNormal="100" zoomScaleSheetLayoutView="100" workbookViewId="0">
      <pane xSplit="1" ySplit="6" topLeftCell="B7" activePane="bottomRight" state="frozen"/>
      <selection activeCell="K39" sqref="K39"/>
      <selection pane="topRight" activeCell="K39" sqref="K39"/>
      <selection pane="bottomLeft" activeCell="K39" sqref="K39"/>
      <selection pane="bottomRight" activeCell="G79" sqref="G79"/>
    </sheetView>
  </sheetViews>
  <sheetFormatPr defaultColWidth="9.140625" defaultRowHeight="15.75" x14ac:dyDescent="0.3"/>
  <cols>
    <col min="1" max="1" width="12.28515625" style="610" customWidth="1"/>
    <col min="2" max="2" width="14.28515625" style="610" customWidth="1"/>
    <col min="3" max="3" width="11.28515625" style="610" customWidth="1"/>
    <col min="4" max="5" width="16.42578125" style="610" customWidth="1"/>
    <col min="6" max="6" width="9.28515625" style="610" customWidth="1"/>
    <col min="7" max="7" width="20.42578125" style="610" bestFit="1" customWidth="1"/>
    <col min="8" max="8" width="16.28515625" style="610" bestFit="1" customWidth="1"/>
    <col min="9" max="9" width="15.42578125" style="610" customWidth="1"/>
    <col min="10" max="10" width="20.28515625" style="610" customWidth="1"/>
    <col min="11" max="12" width="12.7109375" style="610" customWidth="1"/>
    <col min="13" max="13" width="3.7109375" style="610" customWidth="1"/>
    <col min="14" max="16384" width="9.140625" style="610"/>
  </cols>
  <sheetData>
    <row r="1" spans="1:12" s="562" customFormat="1" ht="23.25" customHeight="1" x14ac:dyDescent="0.3">
      <c r="A1" s="514" t="s">
        <v>1105</v>
      </c>
      <c r="B1" s="561"/>
      <c r="C1" s="561"/>
      <c r="D1" s="561"/>
      <c r="E1" s="561"/>
      <c r="F1" s="561"/>
    </row>
    <row r="2" spans="1:12" s="562" customFormat="1" ht="13.5" customHeight="1" thickBot="1" x14ac:dyDescent="0.35">
      <c r="A2" s="514"/>
      <c r="B2" s="561"/>
      <c r="C2" s="561"/>
      <c r="D2" s="561"/>
      <c r="E2" s="561"/>
      <c r="F2" s="561"/>
      <c r="L2" s="563"/>
    </row>
    <row r="3" spans="1:12" s="517" customFormat="1" ht="24" customHeight="1" thickTop="1" thickBot="1" x14ac:dyDescent="0.35">
      <c r="A3" s="3608" t="s">
        <v>1</v>
      </c>
      <c r="B3" s="3611" t="s">
        <v>1106</v>
      </c>
      <c r="C3" s="3611"/>
      <c r="D3" s="3611"/>
      <c r="E3" s="3611"/>
      <c r="F3" s="3611"/>
      <c r="G3" s="3611"/>
      <c r="H3" s="3611"/>
      <c r="I3" s="3611"/>
      <c r="J3" s="3611"/>
      <c r="K3" s="3611"/>
      <c r="L3" s="3602"/>
    </row>
    <row r="4" spans="1:12" s="517" customFormat="1" ht="17.25" thickBot="1" x14ac:dyDescent="0.35">
      <c r="A4" s="3609"/>
      <c r="B4" s="3612" t="s">
        <v>114</v>
      </c>
      <c r="C4" s="3614" t="s">
        <v>1107</v>
      </c>
      <c r="D4" s="3614"/>
      <c r="E4" s="3614"/>
      <c r="F4" s="3614"/>
      <c r="G4" s="3614"/>
      <c r="H4" s="3614"/>
      <c r="I4" s="3614"/>
      <c r="J4" s="3614"/>
      <c r="K4" s="3615" t="s">
        <v>1108</v>
      </c>
      <c r="L4" s="3616"/>
    </row>
    <row r="5" spans="1:12" s="517" customFormat="1" ht="25.5" customHeight="1" thickBot="1" x14ac:dyDescent="0.35">
      <c r="A5" s="3609"/>
      <c r="B5" s="3613"/>
      <c r="C5" s="3617" t="s">
        <v>1109</v>
      </c>
      <c r="D5" s="3618"/>
      <c r="E5" s="3619"/>
      <c r="F5" s="3620" t="s">
        <v>1110</v>
      </c>
      <c r="G5" s="3621"/>
      <c r="H5" s="3622"/>
      <c r="I5" s="3623" t="s">
        <v>1111</v>
      </c>
      <c r="J5" s="3625" t="s">
        <v>1112</v>
      </c>
      <c r="K5" s="3625" t="s">
        <v>1113</v>
      </c>
      <c r="L5" s="3603" t="s">
        <v>1114</v>
      </c>
    </row>
    <row r="6" spans="1:12" s="517" customFormat="1" ht="45.75" customHeight="1" thickBot="1" x14ac:dyDescent="0.35">
      <c r="A6" s="3610"/>
      <c r="B6" s="564"/>
      <c r="C6" s="565" t="s">
        <v>114</v>
      </c>
      <c r="D6" s="566" t="s">
        <v>1115</v>
      </c>
      <c r="E6" s="567" t="s">
        <v>1116</v>
      </c>
      <c r="F6" s="568" t="s">
        <v>114</v>
      </c>
      <c r="G6" s="569" t="s">
        <v>1117</v>
      </c>
      <c r="H6" s="567" t="s">
        <v>1118</v>
      </c>
      <c r="I6" s="3624"/>
      <c r="J6" s="3626"/>
      <c r="K6" s="3626"/>
      <c r="L6" s="3604"/>
    </row>
    <row r="7" spans="1:12" s="574" customFormat="1" ht="16.5" hidden="1" x14ac:dyDescent="0.3">
      <c r="A7" s="570">
        <v>2013</v>
      </c>
      <c r="B7" s="571">
        <v>372397</v>
      </c>
      <c r="C7" s="572">
        <v>330896</v>
      </c>
      <c r="D7" s="572">
        <v>276507</v>
      </c>
      <c r="E7" s="572">
        <v>54388</v>
      </c>
      <c r="F7" s="572">
        <v>77618</v>
      </c>
      <c r="G7" s="572">
        <v>50111.245028985504</v>
      </c>
      <c r="H7" s="572">
        <v>27507</v>
      </c>
      <c r="I7" s="572">
        <v>4429</v>
      </c>
      <c r="J7" s="572">
        <v>8367</v>
      </c>
      <c r="K7" s="572">
        <v>180305</v>
      </c>
      <c r="L7" s="573">
        <v>229219</v>
      </c>
    </row>
    <row r="8" spans="1:12" s="574" customFormat="1" ht="16.5" hidden="1" x14ac:dyDescent="0.3">
      <c r="A8" s="575">
        <v>2014</v>
      </c>
      <c r="B8" s="576">
        <v>392062</v>
      </c>
      <c r="C8" s="577">
        <v>350457</v>
      </c>
      <c r="D8" s="577">
        <v>292343</v>
      </c>
      <c r="E8" s="577">
        <v>58114</v>
      </c>
      <c r="F8" s="577">
        <v>73989</v>
      </c>
      <c r="G8" s="577">
        <v>47016.002028985509</v>
      </c>
      <c r="H8" s="577">
        <v>26973.047999999999</v>
      </c>
      <c r="I8" s="577">
        <v>3152</v>
      </c>
      <c r="J8" s="577">
        <v>5421</v>
      </c>
      <c r="K8" s="577">
        <v>191507</v>
      </c>
      <c r="L8" s="578">
        <v>232464</v>
      </c>
    </row>
    <row r="9" spans="1:12" s="574" customFormat="1" ht="16.5" hidden="1" x14ac:dyDescent="0.3">
      <c r="A9" s="575">
        <v>2015</v>
      </c>
      <c r="B9" s="576">
        <v>409893</v>
      </c>
      <c r="C9" s="577">
        <v>367417</v>
      </c>
      <c r="D9" s="577">
        <v>306206</v>
      </c>
      <c r="E9" s="577">
        <v>61211</v>
      </c>
      <c r="F9" s="577">
        <v>71155</v>
      </c>
      <c r="G9" s="577">
        <v>45717</v>
      </c>
      <c r="H9" s="577">
        <v>25438</v>
      </c>
      <c r="I9" s="577">
        <v>2999</v>
      </c>
      <c r="J9" s="577">
        <v>6381</v>
      </c>
      <c r="K9" s="577">
        <v>196184</v>
      </c>
      <c r="L9" s="578">
        <v>234243</v>
      </c>
    </row>
    <row r="10" spans="1:12" s="574" customFormat="1" ht="16.5" hidden="1" x14ac:dyDescent="0.3">
      <c r="A10" s="579">
        <v>2016</v>
      </c>
      <c r="B10" s="576">
        <v>434765</v>
      </c>
      <c r="C10" s="577">
        <v>386956</v>
      </c>
      <c r="D10" s="577">
        <v>319809</v>
      </c>
      <c r="E10" s="577">
        <v>67147</v>
      </c>
      <c r="F10" s="577">
        <v>74990</v>
      </c>
      <c r="G10" s="577">
        <v>46408</v>
      </c>
      <c r="H10" s="577">
        <v>28582</v>
      </c>
      <c r="I10" s="580">
        <v>2837</v>
      </c>
      <c r="J10" s="580">
        <v>9504</v>
      </c>
      <c r="K10" s="577">
        <v>192385</v>
      </c>
      <c r="L10" s="578">
        <v>233622</v>
      </c>
    </row>
    <row r="11" spans="1:12" s="574" customFormat="1" ht="16.5" x14ac:dyDescent="0.3">
      <c r="A11" s="579">
        <v>2017</v>
      </c>
      <c r="B11" s="576">
        <v>457201</v>
      </c>
      <c r="C11" s="577">
        <v>411463</v>
      </c>
      <c r="D11" s="577">
        <v>342146</v>
      </c>
      <c r="E11" s="577">
        <v>69317</v>
      </c>
      <c r="F11" s="577">
        <v>79499</v>
      </c>
      <c r="G11" s="577">
        <v>49977</v>
      </c>
      <c r="H11" s="577">
        <v>29522</v>
      </c>
      <c r="I11" s="580">
        <v>4055</v>
      </c>
      <c r="J11" s="580">
        <v>19160</v>
      </c>
      <c r="K11" s="577">
        <v>194090</v>
      </c>
      <c r="L11" s="578">
        <v>251066</v>
      </c>
    </row>
    <row r="12" spans="1:12" s="574" customFormat="1" ht="16.5" x14ac:dyDescent="0.3">
      <c r="A12" s="579">
        <v>2018</v>
      </c>
      <c r="B12" s="576">
        <v>481256</v>
      </c>
      <c r="C12" s="577">
        <v>438178</v>
      </c>
      <c r="D12" s="577">
        <v>364500</v>
      </c>
      <c r="E12" s="577">
        <v>73678</v>
      </c>
      <c r="F12" s="577">
        <v>90242</v>
      </c>
      <c r="G12" s="577">
        <v>56900</v>
      </c>
      <c r="H12" s="577">
        <v>33342</v>
      </c>
      <c r="I12" s="580">
        <v>3145</v>
      </c>
      <c r="J12" s="580">
        <v>12529</v>
      </c>
      <c r="K12" s="577">
        <v>197139</v>
      </c>
      <c r="L12" s="578">
        <v>259978</v>
      </c>
    </row>
    <row r="13" spans="1:12" s="574" customFormat="1" ht="17.25" x14ac:dyDescent="0.3">
      <c r="A13" s="579" t="s">
        <v>1119</v>
      </c>
      <c r="B13" s="576">
        <v>498254</v>
      </c>
      <c r="C13" s="577">
        <v>454380</v>
      </c>
      <c r="D13" s="577">
        <v>378047</v>
      </c>
      <c r="E13" s="577">
        <v>76333</v>
      </c>
      <c r="F13" s="577">
        <v>97745</v>
      </c>
      <c r="G13" s="577">
        <v>62797</v>
      </c>
      <c r="H13" s="577">
        <v>34948</v>
      </c>
      <c r="I13" s="580">
        <v>905</v>
      </c>
      <c r="J13" s="580">
        <v>20952</v>
      </c>
      <c r="K13" s="577">
        <v>191680</v>
      </c>
      <c r="L13" s="578">
        <v>267408</v>
      </c>
    </row>
    <row r="14" spans="1:12" s="574" customFormat="1" ht="17.25" x14ac:dyDescent="0.3">
      <c r="A14" s="579" t="s">
        <v>1120</v>
      </c>
      <c r="B14" s="576">
        <v>429692</v>
      </c>
      <c r="C14" s="577">
        <v>394301</v>
      </c>
      <c r="D14" s="577">
        <v>315109</v>
      </c>
      <c r="E14" s="577">
        <v>79193</v>
      </c>
      <c r="F14" s="577">
        <v>76916</v>
      </c>
      <c r="G14" s="577">
        <v>48877</v>
      </c>
      <c r="H14" s="577">
        <v>28039</v>
      </c>
      <c r="I14" s="580">
        <v>1305</v>
      </c>
      <c r="J14" s="580">
        <v>37473</v>
      </c>
      <c r="K14" s="577">
        <v>128925</v>
      </c>
      <c r="L14" s="578">
        <v>209228</v>
      </c>
    </row>
    <row r="15" spans="1:12" s="574" customFormat="1" ht="18" thickBot="1" x14ac:dyDescent="0.35">
      <c r="A15" s="581" t="s">
        <v>1121</v>
      </c>
      <c r="B15" s="582">
        <v>463692</v>
      </c>
      <c r="C15" s="583">
        <v>411003</v>
      </c>
      <c r="D15" s="583">
        <v>328729</v>
      </c>
      <c r="E15" s="583">
        <v>82274</v>
      </c>
      <c r="F15" s="583">
        <v>89517</v>
      </c>
      <c r="G15" s="583">
        <v>59261</v>
      </c>
      <c r="H15" s="583">
        <v>30255.5</v>
      </c>
      <c r="I15" s="584">
        <v>-400</v>
      </c>
      <c r="J15" s="584">
        <v>47430</v>
      </c>
      <c r="K15" s="583">
        <v>136731</v>
      </c>
      <c r="L15" s="585">
        <v>220588</v>
      </c>
    </row>
    <row r="16" spans="1:12" s="574" customFormat="1" ht="16.5" hidden="1" x14ac:dyDescent="0.3">
      <c r="A16" s="586" t="s">
        <v>1122</v>
      </c>
      <c r="B16" s="571">
        <v>90515</v>
      </c>
      <c r="C16" s="572">
        <v>80899</v>
      </c>
      <c r="D16" s="572">
        <v>67240</v>
      </c>
      <c r="E16" s="572">
        <v>13659</v>
      </c>
      <c r="F16" s="572">
        <v>17419</v>
      </c>
      <c r="G16" s="572">
        <v>11760</v>
      </c>
      <c r="H16" s="572">
        <v>5659</v>
      </c>
      <c r="I16" s="572">
        <v>363</v>
      </c>
      <c r="J16" s="572">
        <v>-319</v>
      </c>
      <c r="K16" s="572">
        <v>42969</v>
      </c>
      <c r="L16" s="573">
        <v>50816</v>
      </c>
    </row>
    <row r="17" spans="1:12" s="574" customFormat="1" ht="16.5" hidden="1" x14ac:dyDescent="0.3">
      <c r="A17" s="586" t="s">
        <v>1123</v>
      </c>
      <c r="B17" s="576">
        <v>96802</v>
      </c>
      <c r="C17" s="577">
        <v>84439</v>
      </c>
      <c r="D17" s="577">
        <v>69871</v>
      </c>
      <c r="E17" s="577">
        <v>14568</v>
      </c>
      <c r="F17" s="577">
        <v>17857</v>
      </c>
      <c r="G17" s="577">
        <v>11667</v>
      </c>
      <c r="H17" s="577">
        <v>6190</v>
      </c>
      <c r="I17" s="587">
        <v>915</v>
      </c>
      <c r="J17" s="587">
        <v>2582</v>
      </c>
      <c r="K17" s="577">
        <v>47575</v>
      </c>
      <c r="L17" s="578">
        <v>56566</v>
      </c>
    </row>
    <row r="18" spans="1:12" s="574" customFormat="1" ht="16.5" hidden="1" x14ac:dyDescent="0.3">
      <c r="A18" s="586" t="s">
        <v>1124</v>
      </c>
      <c r="B18" s="576">
        <v>97155</v>
      </c>
      <c r="C18" s="577">
        <v>87508</v>
      </c>
      <c r="D18" s="577">
        <v>73232</v>
      </c>
      <c r="E18" s="577">
        <v>14276</v>
      </c>
      <c r="F18" s="577">
        <v>17925</v>
      </c>
      <c r="G18" s="577">
        <v>11788</v>
      </c>
      <c r="H18" s="577">
        <v>6137</v>
      </c>
      <c r="I18" s="587">
        <v>978</v>
      </c>
      <c r="J18" s="587">
        <v>2333</v>
      </c>
      <c r="K18" s="577">
        <v>48824</v>
      </c>
      <c r="L18" s="578">
        <v>60413</v>
      </c>
    </row>
    <row r="19" spans="1:12" s="574" customFormat="1" ht="16.5" hidden="1" x14ac:dyDescent="0.3">
      <c r="A19" s="586" t="s">
        <v>1125</v>
      </c>
      <c r="B19" s="576">
        <v>107590</v>
      </c>
      <c r="C19" s="577">
        <v>97611</v>
      </c>
      <c r="D19" s="577">
        <v>82000</v>
      </c>
      <c r="E19" s="577">
        <v>15611</v>
      </c>
      <c r="F19" s="577">
        <v>20790</v>
      </c>
      <c r="G19" s="577">
        <v>11803</v>
      </c>
      <c r="H19" s="577">
        <v>8987</v>
      </c>
      <c r="I19" s="587">
        <v>895</v>
      </c>
      <c r="J19" s="587">
        <v>823</v>
      </c>
      <c r="K19" s="577">
        <v>52140</v>
      </c>
      <c r="L19" s="578">
        <v>64670</v>
      </c>
    </row>
    <row r="20" spans="1:12" s="574" customFormat="1" ht="16.5" hidden="1" x14ac:dyDescent="0.3">
      <c r="A20" s="586" t="s">
        <v>1126</v>
      </c>
      <c r="B20" s="576">
        <v>95623</v>
      </c>
      <c r="C20" s="577">
        <v>85171</v>
      </c>
      <c r="D20" s="577">
        <v>70717</v>
      </c>
      <c r="E20" s="577">
        <v>14454</v>
      </c>
      <c r="F20" s="577">
        <v>17518</v>
      </c>
      <c r="G20" s="577">
        <v>11146</v>
      </c>
      <c r="H20" s="577">
        <v>6372</v>
      </c>
      <c r="I20" s="587">
        <v>486</v>
      </c>
      <c r="J20" s="587">
        <v>-864</v>
      </c>
      <c r="K20" s="577">
        <v>47683</v>
      </c>
      <c r="L20" s="578">
        <v>54370</v>
      </c>
    </row>
    <row r="21" spans="1:12" s="574" customFormat="1" ht="16.5" hidden="1" x14ac:dyDescent="0.3">
      <c r="A21" s="586" t="s">
        <v>1127</v>
      </c>
      <c r="B21" s="576">
        <v>100197</v>
      </c>
      <c r="C21" s="577">
        <v>89270</v>
      </c>
      <c r="D21" s="577">
        <v>73493</v>
      </c>
      <c r="E21" s="577">
        <v>15777</v>
      </c>
      <c r="F21" s="577">
        <v>17769</v>
      </c>
      <c r="G21" s="577">
        <v>11350</v>
      </c>
      <c r="H21" s="577">
        <v>6420</v>
      </c>
      <c r="I21" s="587">
        <v>1683</v>
      </c>
      <c r="J21" s="587">
        <v>598</v>
      </c>
      <c r="K21" s="577">
        <v>48922</v>
      </c>
      <c r="L21" s="578">
        <v>58045</v>
      </c>
    </row>
    <row r="22" spans="1:12" s="574" customFormat="1" ht="16.5" hidden="1" x14ac:dyDescent="0.3">
      <c r="A22" s="586" t="s">
        <v>1128</v>
      </c>
      <c r="B22" s="576">
        <v>102148</v>
      </c>
      <c r="C22" s="577">
        <v>93078</v>
      </c>
      <c r="D22" s="577">
        <v>77790</v>
      </c>
      <c r="E22" s="577">
        <v>15287</v>
      </c>
      <c r="F22" s="577">
        <v>17724</v>
      </c>
      <c r="G22" s="577">
        <v>11542</v>
      </c>
      <c r="H22" s="577">
        <v>6182</v>
      </c>
      <c r="I22" s="587">
        <v>260</v>
      </c>
      <c r="J22" s="587">
        <v>2265</v>
      </c>
      <c r="K22" s="577">
        <v>48148</v>
      </c>
      <c r="L22" s="578">
        <v>59326</v>
      </c>
    </row>
    <row r="23" spans="1:12" s="574" customFormat="1" ht="16.5" hidden="1" x14ac:dyDescent="0.3">
      <c r="A23" s="586" t="s">
        <v>1129</v>
      </c>
      <c r="B23" s="576">
        <v>111924</v>
      </c>
      <c r="C23" s="577">
        <v>99898</v>
      </c>
      <c r="D23" s="577">
        <v>84206</v>
      </c>
      <c r="E23" s="577">
        <v>15693</v>
      </c>
      <c r="F23" s="577">
        <v>18144</v>
      </c>
      <c r="G23" s="577">
        <v>11680</v>
      </c>
      <c r="H23" s="577">
        <v>6464</v>
      </c>
      <c r="I23" s="587">
        <v>571</v>
      </c>
      <c r="J23" s="587">
        <v>4382</v>
      </c>
      <c r="K23" s="577">
        <v>51432</v>
      </c>
      <c r="L23" s="578">
        <v>62502</v>
      </c>
    </row>
    <row r="24" spans="1:12" s="574" customFormat="1" ht="16.5" hidden="1" x14ac:dyDescent="0.3">
      <c r="A24" s="586" t="s">
        <v>1130</v>
      </c>
      <c r="B24" s="576">
        <v>101639</v>
      </c>
      <c r="C24" s="577">
        <v>89552</v>
      </c>
      <c r="D24" s="577">
        <v>73741</v>
      </c>
      <c r="E24" s="577">
        <v>15812</v>
      </c>
      <c r="F24" s="577">
        <v>18477</v>
      </c>
      <c r="G24" s="577">
        <v>10745</v>
      </c>
      <c r="H24" s="577">
        <v>7732</v>
      </c>
      <c r="I24" s="587">
        <v>1440</v>
      </c>
      <c r="J24" s="587">
        <v>-2985</v>
      </c>
      <c r="K24" s="577">
        <v>49323</v>
      </c>
      <c r="L24" s="578">
        <v>54169</v>
      </c>
    </row>
    <row r="25" spans="1:12" s="574" customFormat="1" ht="16.5" hidden="1" x14ac:dyDescent="0.3">
      <c r="A25" s="586" t="s">
        <v>1127</v>
      </c>
      <c r="B25" s="576">
        <v>106372</v>
      </c>
      <c r="C25" s="577">
        <v>93906</v>
      </c>
      <c r="D25" s="577">
        <v>76363</v>
      </c>
      <c r="E25" s="577">
        <v>17543</v>
      </c>
      <c r="F25" s="577">
        <v>17667</v>
      </c>
      <c r="G25" s="577">
        <v>10621</v>
      </c>
      <c r="H25" s="577">
        <v>7046</v>
      </c>
      <c r="I25" s="587">
        <v>475</v>
      </c>
      <c r="J25" s="587">
        <v>5149</v>
      </c>
      <c r="K25" s="577">
        <v>45631</v>
      </c>
      <c r="L25" s="578">
        <v>56455</v>
      </c>
    </row>
    <row r="26" spans="1:12" s="574" customFormat="1" ht="16.5" hidden="1" x14ac:dyDescent="0.3">
      <c r="A26" s="586" t="s">
        <v>1128</v>
      </c>
      <c r="B26" s="576">
        <v>108007</v>
      </c>
      <c r="C26" s="577">
        <v>97247</v>
      </c>
      <c r="D26" s="577">
        <v>80689</v>
      </c>
      <c r="E26" s="577">
        <v>16559</v>
      </c>
      <c r="F26" s="577">
        <v>19769</v>
      </c>
      <c r="G26" s="577">
        <v>12602</v>
      </c>
      <c r="H26" s="577">
        <v>7167</v>
      </c>
      <c r="I26" s="587">
        <v>981</v>
      </c>
      <c r="J26" s="587">
        <v>3517</v>
      </c>
      <c r="K26" s="577">
        <v>46235</v>
      </c>
      <c r="L26" s="578">
        <v>59741</v>
      </c>
    </row>
    <row r="27" spans="1:12" s="574" customFormat="1" ht="16.5" hidden="1" x14ac:dyDescent="0.3">
      <c r="A27" s="586" t="s">
        <v>1129</v>
      </c>
      <c r="B27" s="576">
        <v>118747</v>
      </c>
      <c r="C27" s="577">
        <v>106251</v>
      </c>
      <c r="D27" s="577">
        <v>89017</v>
      </c>
      <c r="E27" s="577">
        <v>17234</v>
      </c>
      <c r="F27" s="577">
        <v>19077</v>
      </c>
      <c r="G27" s="577">
        <v>12440</v>
      </c>
      <c r="H27" s="577">
        <v>6637</v>
      </c>
      <c r="I27" s="587">
        <v>-59</v>
      </c>
      <c r="J27" s="587">
        <v>5538</v>
      </c>
      <c r="K27" s="577">
        <v>51196</v>
      </c>
      <c r="L27" s="578">
        <v>63257</v>
      </c>
    </row>
    <row r="28" spans="1:12" s="574" customFormat="1" ht="16.5" x14ac:dyDescent="0.3">
      <c r="A28" s="586" t="s">
        <v>1131</v>
      </c>
      <c r="B28" s="576">
        <v>106751</v>
      </c>
      <c r="C28" s="577">
        <v>94929</v>
      </c>
      <c r="D28" s="577">
        <v>78351</v>
      </c>
      <c r="E28" s="577">
        <v>16577</v>
      </c>
      <c r="F28" s="577">
        <v>18735</v>
      </c>
      <c r="G28" s="577">
        <v>11415</v>
      </c>
      <c r="H28" s="577">
        <v>7320</v>
      </c>
      <c r="I28" s="587">
        <v>1125</v>
      </c>
      <c r="J28" s="587">
        <v>2699</v>
      </c>
      <c r="K28" s="577">
        <v>48025</v>
      </c>
      <c r="L28" s="578">
        <v>58762</v>
      </c>
    </row>
    <row r="29" spans="1:12" s="574" customFormat="1" ht="16.5" x14ac:dyDescent="0.3">
      <c r="A29" s="586" t="s">
        <v>1127</v>
      </c>
      <c r="B29" s="576">
        <v>112896</v>
      </c>
      <c r="C29" s="577">
        <v>100296</v>
      </c>
      <c r="D29" s="577">
        <v>81944</v>
      </c>
      <c r="E29" s="577">
        <v>18352</v>
      </c>
      <c r="F29" s="577">
        <v>19380</v>
      </c>
      <c r="G29" s="577">
        <v>11537</v>
      </c>
      <c r="H29" s="577">
        <v>7843</v>
      </c>
      <c r="I29" s="587">
        <v>225</v>
      </c>
      <c r="J29" s="587">
        <v>6786</v>
      </c>
      <c r="K29" s="577">
        <v>47301</v>
      </c>
      <c r="L29" s="578">
        <v>61091</v>
      </c>
    </row>
    <row r="30" spans="1:12" s="574" customFormat="1" ht="17.25" x14ac:dyDescent="0.3">
      <c r="A30" s="586" t="s">
        <v>1132</v>
      </c>
      <c r="B30" s="576">
        <v>112745</v>
      </c>
      <c r="C30" s="577">
        <v>103959</v>
      </c>
      <c r="D30" s="577">
        <v>87076</v>
      </c>
      <c r="E30" s="577">
        <v>16883</v>
      </c>
      <c r="F30" s="577">
        <v>21231</v>
      </c>
      <c r="G30" s="577">
        <v>13672</v>
      </c>
      <c r="H30" s="577">
        <v>7559</v>
      </c>
      <c r="I30" s="587">
        <v>1319</v>
      </c>
      <c r="J30" s="587">
        <v>18</v>
      </c>
      <c r="K30" s="577">
        <v>47515</v>
      </c>
      <c r="L30" s="578">
        <v>61296</v>
      </c>
    </row>
    <row r="31" spans="1:12" s="574" customFormat="1" ht="17.25" x14ac:dyDescent="0.3">
      <c r="A31" s="586" t="s">
        <v>1133</v>
      </c>
      <c r="B31" s="576">
        <v>124809</v>
      </c>
      <c r="C31" s="577">
        <v>112279</v>
      </c>
      <c r="D31" s="577">
        <v>94775</v>
      </c>
      <c r="E31" s="577">
        <v>17505</v>
      </c>
      <c r="F31" s="577">
        <v>20154</v>
      </c>
      <c r="G31" s="577">
        <v>13354</v>
      </c>
      <c r="H31" s="577">
        <v>6800</v>
      </c>
      <c r="I31" s="587">
        <v>1386</v>
      </c>
      <c r="J31" s="587">
        <v>9657</v>
      </c>
      <c r="K31" s="577">
        <v>51249</v>
      </c>
      <c r="L31" s="578">
        <v>69916</v>
      </c>
    </row>
    <row r="32" spans="1:12" s="574" customFormat="1" ht="17.25" x14ac:dyDescent="0.3">
      <c r="A32" s="586" t="s">
        <v>1134</v>
      </c>
      <c r="B32" s="576">
        <v>112264</v>
      </c>
      <c r="C32" s="577">
        <v>101049</v>
      </c>
      <c r="D32" s="577">
        <v>83471</v>
      </c>
      <c r="E32" s="577">
        <v>17579</v>
      </c>
      <c r="F32" s="577">
        <v>19670</v>
      </c>
      <c r="G32" s="577">
        <v>12972</v>
      </c>
      <c r="H32" s="577">
        <v>6699</v>
      </c>
      <c r="I32" s="587">
        <v>854</v>
      </c>
      <c r="J32" s="587">
        <v>-2261</v>
      </c>
      <c r="K32" s="577">
        <v>49263</v>
      </c>
      <c r="L32" s="578">
        <v>56312</v>
      </c>
    </row>
    <row r="33" spans="1:12" s="574" customFormat="1" ht="17.25" x14ac:dyDescent="0.3">
      <c r="A33" s="586" t="s">
        <v>1135</v>
      </c>
      <c r="B33" s="576">
        <v>119926</v>
      </c>
      <c r="C33" s="577">
        <v>106802</v>
      </c>
      <c r="D33" s="577">
        <v>87116</v>
      </c>
      <c r="E33" s="577">
        <v>19687</v>
      </c>
      <c r="F33" s="577">
        <v>22250</v>
      </c>
      <c r="G33" s="577">
        <v>13312</v>
      </c>
      <c r="H33" s="577">
        <v>8938</v>
      </c>
      <c r="I33" s="587">
        <v>927</v>
      </c>
      <c r="J33" s="587">
        <v>6160</v>
      </c>
      <c r="K33" s="577">
        <v>47609</v>
      </c>
      <c r="L33" s="578">
        <v>63823</v>
      </c>
    </row>
    <row r="34" spans="1:12" s="574" customFormat="1" ht="17.25" x14ac:dyDescent="0.3">
      <c r="A34" s="586" t="s">
        <v>1132</v>
      </c>
      <c r="B34" s="576">
        <v>117969</v>
      </c>
      <c r="C34" s="577">
        <v>110582</v>
      </c>
      <c r="D34" s="577">
        <v>92765</v>
      </c>
      <c r="E34" s="577">
        <v>17817</v>
      </c>
      <c r="F34" s="577">
        <v>23939</v>
      </c>
      <c r="G34" s="577">
        <v>15340</v>
      </c>
      <c r="H34" s="577">
        <v>8599</v>
      </c>
      <c r="I34" s="587">
        <v>740</v>
      </c>
      <c r="J34" s="587">
        <v>2722</v>
      </c>
      <c r="K34" s="577">
        <v>46816</v>
      </c>
      <c r="L34" s="578">
        <v>66830</v>
      </c>
    </row>
    <row r="35" spans="1:12" s="574" customFormat="1" ht="17.25" x14ac:dyDescent="0.3">
      <c r="A35" s="586" t="s">
        <v>1133</v>
      </c>
      <c r="B35" s="576">
        <v>131097</v>
      </c>
      <c r="C35" s="577">
        <v>119745</v>
      </c>
      <c r="D35" s="577">
        <v>101149</v>
      </c>
      <c r="E35" s="577">
        <v>18596</v>
      </c>
      <c r="F35" s="577">
        <v>24383</v>
      </c>
      <c r="G35" s="577">
        <v>15276</v>
      </c>
      <c r="H35" s="577">
        <v>9107</v>
      </c>
      <c r="I35" s="587">
        <v>625</v>
      </c>
      <c r="J35" s="587">
        <v>5908</v>
      </c>
      <c r="K35" s="577">
        <v>53451</v>
      </c>
      <c r="L35" s="578">
        <v>73014</v>
      </c>
    </row>
    <row r="36" spans="1:12" s="574" customFormat="1" ht="17.25" x14ac:dyDescent="0.3">
      <c r="A36" s="586" t="s">
        <v>1136</v>
      </c>
      <c r="B36" s="576">
        <v>117179</v>
      </c>
      <c r="C36" s="577">
        <v>104381</v>
      </c>
      <c r="D36" s="577">
        <v>86195</v>
      </c>
      <c r="E36" s="577">
        <v>18186</v>
      </c>
      <c r="F36" s="577">
        <v>22209</v>
      </c>
      <c r="G36" s="577">
        <v>14642</v>
      </c>
      <c r="H36" s="577">
        <v>7568</v>
      </c>
      <c r="I36" s="587">
        <v>386</v>
      </c>
      <c r="J36" s="587">
        <v>5870</v>
      </c>
      <c r="K36" s="577">
        <v>47289</v>
      </c>
      <c r="L36" s="578">
        <v>62957</v>
      </c>
    </row>
    <row r="37" spans="1:12" s="574" customFormat="1" ht="17.25" x14ac:dyDescent="0.3">
      <c r="A37" s="586" t="s">
        <v>1137</v>
      </c>
      <c r="B37" s="576">
        <v>124165</v>
      </c>
      <c r="C37" s="577">
        <v>110498</v>
      </c>
      <c r="D37" s="577">
        <v>90353</v>
      </c>
      <c r="E37" s="577">
        <v>20145</v>
      </c>
      <c r="F37" s="577">
        <v>22976</v>
      </c>
      <c r="G37" s="577">
        <v>14786</v>
      </c>
      <c r="H37" s="577">
        <v>8191</v>
      </c>
      <c r="I37" s="587">
        <v>258</v>
      </c>
      <c r="J37" s="587">
        <v>7811</v>
      </c>
      <c r="K37" s="577">
        <v>47623</v>
      </c>
      <c r="L37" s="578">
        <v>65002</v>
      </c>
    </row>
    <row r="38" spans="1:12" s="574" customFormat="1" ht="17.25" x14ac:dyDescent="0.3">
      <c r="A38" s="586" t="s">
        <v>1138</v>
      </c>
      <c r="B38" s="576">
        <v>123209</v>
      </c>
      <c r="C38" s="577">
        <v>115155</v>
      </c>
      <c r="D38" s="577">
        <v>96591</v>
      </c>
      <c r="E38" s="577">
        <v>18564</v>
      </c>
      <c r="F38" s="577">
        <v>26920</v>
      </c>
      <c r="G38" s="577">
        <v>16587</v>
      </c>
      <c r="H38" s="577">
        <v>10333</v>
      </c>
      <c r="I38" s="587">
        <v>150</v>
      </c>
      <c r="J38" s="587">
        <v>2420</v>
      </c>
      <c r="K38" s="577">
        <v>46574</v>
      </c>
      <c r="L38" s="578">
        <v>68010</v>
      </c>
    </row>
    <row r="39" spans="1:12" s="574" customFormat="1" ht="17.25" x14ac:dyDescent="0.3">
      <c r="A39" s="586" t="s">
        <v>1139</v>
      </c>
      <c r="B39" s="576">
        <v>133701</v>
      </c>
      <c r="C39" s="577">
        <v>124346</v>
      </c>
      <c r="D39" s="577">
        <v>104908</v>
      </c>
      <c r="E39" s="577">
        <v>19437</v>
      </c>
      <c r="F39" s="577">
        <v>25640</v>
      </c>
      <c r="G39" s="577">
        <v>16783</v>
      </c>
      <c r="H39" s="577">
        <v>8857</v>
      </c>
      <c r="I39" s="587">
        <v>110</v>
      </c>
      <c r="J39" s="587">
        <v>4850</v>
      </c>
      <c r="K39" s="577">
        <v>50194</v>
      </c>
      <c r="L39" s="578">
        <v>71439</v>
      </c>
    </row>
    <row r="40" spans="1:12" s="574" customFormat="1" ht="17.25" x14ac:dyDescent="0.3">
      <c r="A40" s="586" t="s">
        <v>1140</v>
      </c>
      <c r="B40" s="576">
        <v>116930</v>
      </c>
      <c r="C40" s="577">
        <v>102664</v>
      </c>
      <c r="D40" s="577">
        <v>83850</v>
      </c>
      <c r="E40" s="577">
        <v>18814</v>
      </c>
      <c r="F40" s="577">
        <v>21621</v>
      </c>
      <c r="G40" s="577">
        <v>14020</v>
      </c>
      <c r="H40" s="577">
        <v>7601</v>
      </c>
      <c r="I40" s="587">
        <v>-350</v>
      </c>
      <c r="J40" s="587">
        <v>8120</v>
      </c>
      <c r="K40" s="577">
        <v>45556</v>
      </c>
      <c r="L40" s="578">
        <v>60681</v>
      </c>
    </row>
    <row r="41" spans="1:12" s="574" customFormat="1" ht="17.25" x14ac:dyDescent="0.3">
      <c r="A41" s="586" t="s">
        <v>1137</v>
      </c>
      <c r="B41" s="576">
        <v>83681</v>
      </c>
      <c r="C41" s="577">
        <v>70447</v>
      </c>
      <c r="D41" s="577">
        <v>48318</v>
      </c>
      <c r="E41" s="577">
        <v>22128</v>
      </c>
      <c r="F41" s="577">
        <v>7597</v>
      </c>
      <c r="G41" s="577">
        <v>2242</v>
      </c>
      <c r="H41" s="577">
        <v>5355</v>
      </c>
      <c r="I41" s="587">
        <v>2133</v>
      </c>
      <c r="J41" s="587">
        <v>23026</v>
      </c>
      <c r="K41" s="577">
        <v>22348</v>
      </c>
      <c r="L41" s="578">
        <v>41870</v>
      </c>
    </row>
    <row r="42" spans="1:12" s="574" customFormat="1" ht="17.25" x14ac:dyDescent="0.3">
      <c r="A42" s="586" t="s">
        <v>1138</v>
      </c>
      <c r="B42" s="576">
        <v>107937</v>
      </c>
      <c r="C42" s="577">
        <v>102573</v>
      </c>
      <c r="D42" s="577">
        <v>84420</v>
      </c>
      <c r="E42" s="577">
        <v>18153</v>
      </c>
      <c r="F42" s="577">
        <v>22728</v>
      </c>
      <c r="G42" s="577">
        <v>15540</v>
      </c>
      <c r="H42" s="577">
        <v>7188</v>
      </c>
      <c r="I42" s="587">
        <v>-700</v>
      </c>
      <c r="J42" s="587">
        <v>2424</v>
      </c>
      <c r="K42" s="577">
        <v>30636</v>
      </c>
      <c r="L42" s="578">
        <v>49724</v>
      </c>
    </row>
    <row r="43" spans="1:12" s="574" customFormat="1" ht="17.25" x14ac:dyDescent="0.3">
      <c r="A43" s="586" t="s">
        <v>1139</v>
      </c>
      <c r="B43" s="576">
        <v>121144</v>
      </c>
      <c r="C43" s="577">
        <v>118617</v>
      </c>
      <c r="D43" s="577">
        <v>98520</v>
      </c>
      <c r="E43" s="577">
        <v>20097</v>
      </c>
      <c r="F43" s="577">
        <v>24970</v>
      </c>
      <c r="G43" s="577">
        <v>17074</v>
      </c>
      <c r="H43" s="577">
        <v>7896</v>
      </c>
      <c r="I43" s="587">
        <v>222</v>
      </c>
      <c r="J43" s="587">
        <v>3902</v>
      </c>
      <c r="K43" s="577">
        <v>30387</v>
      </c>
      <c r="L43" s="578">
        <v>56954</v>
      </c>
    </row>
    <row r="44" spans="1:12" s="574" customFormat="1" ht="18" thickBot="1" x14ac:dyDescent="0.35">
      <c r="A44" s="586" t="s">
        <v>1141</v>
      </c>
      <c r="B44" s="582">
        <v>106591</v>
      </c>
      <c r="C44" s="583">
        <v>99726</v>
      </c>
      <c r="D44" s="583">
        <v>81152</v>
      </c>
      <c r="E44" s="583">
        <v>18575</v>
      </c>
      <c r="F44" s="583">
        <v>22081</v>
      </c>
      <c r="G44" s="583">
        <v>14714</v>
      </c>
      <c r="H44" s="583">
        <v>7367</v>
      </c>
      <c r="I44" s="588">
        <v>-380</v>
      </c>
      <c r="J44" s="588">
        <v>10619</v>
      </c>
      <c r="K44" s="583">
        <v>28325</v>
      </c>
      <c r="L44" s="585">
        <v>53781</v>
      </c>
    </row>
    <row r="45" spans="1:12" s="517" customFormat="1" ht="17.25" thickBot="1" x14ac:dyDescent="0.35">
      <c r="A45" s="589"/>
      <c r="B45" s="3605" t="s">
        <v>1142</v>
      </c>
      <c r="C45" s="3606"/>
      <c r="D45" s="3606"/>
      <c r="E45" s="3606"/>
      <c r="F45" s="3606"/>
      <c r="G45" s="3606"/>
      <c r="H45" s="3606"/>
      <c r="I45" s="3606"/>
      <c r="J45" s="3606"/>
      <c r="K45" s="3606"/>
      <c r="L45" s="3607"/>
    </row>
    <row r="46" spans="1:12" s="574" customFormat="1" ht="16.5" hidden="1" x14ac:dyDescent="0.3">
      <c r="A46" s="590" t="s">
        <v>1122</v>
      </c>
      <c r="B46" s="591">
        <v>3.6</v>
      </c>
      <c r="C46" s="592">
        <v>1.6</v>
      </c>
      <c r="D46" s="592">
        <v>1.6</v>
      </c>
      <c r="E46" s="592">
        <v>1.8</v>
      </c>
      <c r="F46" s="592">
        <v>-3.3</v>
      </c>
      <c r="G46" s="592">
        <v>-5.0999999999999996</v>
      </c>
      <c r="H46" s="592">
        <v>0.1</v>
      </c>
      <c r="I46" s="592"/>
      <c r="J46" s="592"/>
      <c r="K46" s="592">
        <v>-2.7</v>
      </c>
      <c r="L46" s="593">
        <v>-2.8</v>
      </c>
    </row>
    <row r="47" spans="1:12" s="574" customFormat="1" ht="16.5" hidden="1" x14ac:dyDescent="0.3">
      <c r="A47" s="594" t="s">
        <v>1123</v>
      </c>
      <c r="B47" s="595">
        <v>4.9000000000000004</v>
      </c>
      <c r="C47" s="596">
        <v>3.5</v>
      </c>
      <c r="D47" s="596">
        <v>2.9</v>
      </c>
      <c r="E47" s="596">
        <v>6.6</v>
      </c>
      <c r="F47" s="596">
        <v>-4.5</v>
      </c>
      <c r="G47" s="596">
        <v>-8.9</v>
      </c>
      <c r="H47" s="596">
        <v>4.5999999999999996</v>
      </c>
      <c r="I47" s="596"/>
      <c r="J47" s="596"/>
      <c r="K47" s="596">
        <v>11.8</v>
      </c>
      <c r="L47" s="597">
        <v>4.2</v>
      </c>
    </row>
    <row r="48" spans="1:12" s="574" customFormat="1" ht="16.5" hidden="1" x14ac:dyDescent="0.3">
      <c r="A48" s="594" t="s">
        <v>1124</v>
      </c>
      <c r="B48" s="595">
        <v>4.5</v>
      </c>
      <c r="C48" s="596">
        <v>3.1</v>
      </c>
      <c r="D48" s="596">
        <v>3.1</v>
      </c>
      <c r="E48" s="596">
        <v>3.1</v>
      </c>
      <c r="F48" s="596">
        <v>-11.4</v>
      </c>
      <c r="G48" s="596">
        <v>-8.4</v>
      </c>
      <c r="H48" s="596">
        <v>-16.5</v>
      </c>
      <c r="I48" s="596"/>
      <c r="J48" s="596"/>
      <c r="K48" s="596">
        <v>14.4</v>
      </c>
      <c r="L48" s="597">
        <v>3.7</v>
      </c>
    </row>
    <row r="49" spans="1:12" s="574" customFormat="1" ht="16.5" hidden="1" x14ac:dyDescent="0.3">
      <c r="A49" s="594" t="s">
        <v>1125</v>
      </c>
      <c r="B49" s="595">
        <v>2.2999999999999998</v>
      </c>
      <c r="C49" s="596">
        <v>3.4</v>
      </c>
      <c r="D49" s="596">
        <v>2.9</v>
      </c>
      <c r="E49" s="596">
        <v>6.5</v>
      </c>
      <c r="F49" s="596">
        <v>-4.2</v>
      </c>
      <c r="G49" s="596">
        <v>-7.1</v>
      </c>
      <c r="H49" s="596">
        <v>0.3</v>
      </c>
      <c r="I49" s="596"/>
      <c r="J49" s="596"/>
      <c r="K49" s="596">
        <v>2.2000000000000002</v>
      </c>
      <c r="L49" s="597">
        <v>9.1</v>
      </c>
    </row>
    <row r="50" spans="1:12" s="574" customFormat="1" ht="16.5" hidden="1" x14ac:dyDescent="0.3">
      <c r="A50" s="594" t="s">
        <v>1126</v>
      </c>
      <c r="B50" s="595">
        <v>4.0999999999999996</v>
      </c>
      <c r="C50" s="596">
        <v>2.7</v>
      </c>
      <c r="D50" s="596">
        <v>2.5</v>
      </c>
      <c r="E50" s="596">
        <v>3.8</v>
      </c>
      <c r="F50" s="596">
        <v>-0.8</v>
      </c>
      <c r="G50" s="596">
        <v>-6.2</v>
      </c>
      <c r="H50" s="596">
        <v>10.1</v>
      </c>
      <c r="I50" s="596"/>
      <c r="J50" s="596"/>
      <c r="K50" s="596">
        <v>13.4</v>
      </c>
      <c r="L50" s="597">
        <v>15.8</v>
      </c>
    </row>
    <row r="51" spans="1:12" s="574" customFormat="1" ht="16.5" hidden="1" x14ac:dyDescent="0.3">
      <c r="A51" s="594" t="s">
        <v>1127</v>
      </c>
      <c r="B51" s="595">
        <v>2.2000000000000002</v>
      </c>
      <c r="C51" s="596">
        <v>3.4</v>
      </c>
      <c r="D51" s="596">
        <v>2.9</v>
      </c>
      <c r="E51" s="596">
        <v>5.7</v>
      </c>
      <c r="F51" s="596">
        <v>-2.1</v>
      </c>
      <c r="G51" s="596">
        <v>-4</v>
      </c>
      <c r="H51" s="596">
        <v>1.4</v>
      </c>
      <c r="I51" s="596"/>
      <c r="J51" s="596"/>
      <c r="K51" s="596">
        <v>0</v>
      </c>
      <c r="L51" s="597">
        <v>12.1</v>
      </c>
    </row>
    <row r="52" spans="1:12" s="574" customFormat="1" ht="16.5" hidden="1" x14ac:dyDescent="0.3">
      <c r="A52" s="594" t="s">
        <v>1128</v>
      </c>
      <c r="B52" s="595">
        <v>3.5</v>
      </c>
      <c r="C52" s="596">
        <v>3.5</v>
      </c>
      <c r="D52" s="596">
        <v>3.2</v>
      </c>
      <c r="E52" s="596">
        <v>4.8</v>
      </c>
      <c r="F52" s="596">
        <v>-2.9</v>
      </c>
      <c r="G52" s="596">
        <v>-3.7</v>
      </c>
      <c r="H52" s="596">
        <v>-1.5</v>
      </c>
      <c r="I52" s="596"/>
      <c r="J52" s="596"/>
      <c r="K52" s="596">
        <v>-2.5</v>
      </c>
      <c r="L52" s="597">
        <v>8</v>
      </c>
    </row>
    <row r="53" spans="1:12" s="574" customFormat="1" ht="16.5" hidden="1" x14ac:dyDescent="0.3">
      <c r="A53" s="594" t="s">
        <v>1129</v>
      </c>
      <c r="B53" s="595">
        <v>4.3</v>
      </c>
      <c r="C53" s="596">
        <v>2.2999999999999998</v>
      </c>
      <c r="D53" s="596">
        <v>3</v>
      </c>
      <c r="E53" s="596">
        <v>-1.6</v>
      </c>
      <c r="F53" s="596">
        <v>-14.4</v>
      </c>
      <c r="G53" s="596">
        <v>-2.5</v>
      </c>
      <c r="H53" s="596">
        <v>-30.3</v>
      </c>
      <c r="I53" s="596"/>
      <c r="J53" s="596"/>
      <c r="K53" s="596">
        <v>-2.5</v>
      </c>
      <c r="L53" s="597">
        <v>0.7</v>
      </c>
    </row>
    <row r="54" spans="1:12" s="574" customFormat="1" ht="16.5" hidden="1" x14ac:dyDescent="0.3">
      <c r="A54" s="594" t="s">
        <v>1130</v>
      </c>
      <c r="B54" s="595">
        <v>4</v>
      </c>
      <c r="C54" s="596">
        <v>2.6</v>
      </c>
      <c r="D54" s="596">
        <v>2.6</v>
      </c>
      <c r="E54" s="596">
        <v>2.4</v>
      </c>
      <c r="F54" s="596">
        <v>3.5</v>
      </c>
      <c r="G54" s="596">
        <v>-3.8</v>
      </c>
      <c r="H54" s="596">
        <v>16.100000000000001</v>
      </c>
      <c r="I54" s="596"/>
      <c r="J54" s="596"/>
      <c r="K54" s="596">
        <v>-2.6</v>
      </c>
      <c r="L54" s="597">
        <v>10.4</v>
      </c>
    </row>
    <row r="55" spans="1:12" s="574" customFormat="1" ht="16.5" hidden="1" x14ac:dyDescent="0.3">
      <c r="A55" s="594" t="s">
        <v>1127</v>
      </c>
      <c r="B55" s="595">
        <v>3.8</v>
      </c>
      <c r="C55" s="596">
        <v>3.2</v>
      </c>
      <c r="D55" s="596">
        <v>2.8</v>
      </c>
      <c r="E55" s="596">
        <v>5.0999999999999996</v>
      </c>
      <c r="F55" s="596">
        <v>-2.2999999999999998</v>
      </c>
      <c r="G55" s="596">
        <v>-6.3</v>
      </c>
      <c r="H55" s="596">
        <v>4.7</v>
      </c>
      <c r="I55" s="596"/>
      <c r="J55" s="596"/>
      <c r="K55" s="596">
        <v>-8.9</v>
      </c>
      <c r="L55" s="597">
        <v>0.7</v>
      </c>
    </row>
    <row r="56" spans="1:12" s="574" customFormat="1" ht="16.5" hidden="1" x14ac:dyDescent="0.3">
      <c r="A56" s="594" t="s">
        <v>1128</v>
      </c>
      <c r="B56" s="595">
        <v>3.5</v>
      </c>
      <c r="C56" s="596">
        <v>2.7</v>
      </c>
      <c r="D56" s="596">
        <v>2.9</v>
      </c>
      <c r="E56" s="596">
        <v>1.5</v>
      </c>
      <c r="F56" s="596">
        <v>9.8000000000000007</v>
      </c>
      <c r="G56" s="596">
        <v>9.3000000000000007</v>
      </c>
      <c r="H56" s="596">
        <v>10.7</v>
      </c>
      <c r="I56" s="596"/>
      <c r="J56" s="596"/>
      <c r="K56" s="596">
        <v>-4.4000000000000004</v>
      </c>
      <c r="L56" s="597">
        <v>3.7</v>
      </c>
    </row>
    <row r="57" spans="1:12" s="574" customFormat="1" ht="16.5" hidden="1" x14ac:dyDescent="0.3">
      <c r="A57" s="594" t="s">
        <v>1129</v>
      </c>
      <c r="B57" s="595">
        <v>4</v>
      </c>
      <c r="C57" s="596">
        <v>3.2</v>
      </c>
      <c r="D57" s="596">
        <v>3.4</v>
      </c>
      <c r="E57" s="596">
        <v>2.2999999999999998</v>
      </c>
      <c r="F57" s="596">
        <v>3.8</v>
      </c>
      <c r="G57" s="596">
        <v>6.4</v>
      </c>
      <c r="H57" s="596">
        <v>-1</v>
      </c>
      <c r="I57" s="596"/>
      <c r="J57" s="596"/>
      <c r="K57" s="596">
        <v>1.6</v>
      </c>
      <c r="L57" s="597">
        <v>-2.6</v>
      </c>
    </row>
    <row r="58" spans="1:12" s="574" customFormat="1" ht="16.5" x14ac:dyDescent="0.3">
      <c r="A58" s="594" t="s">
        <v>1131</v>
      </c>
      <c r="B58" s="595">
        <v>3.7</v>
      </c>
      <c r="C58" s="596">
        <v>3.4</v>
      </c>
      <c r="D58" s="596">
        <v>3.4</v>
      </c>
      <c r="E58" s="596">
        <v>3.3</v>
      </c>
      <c r="F58" s="596">
        <v>0.1</v>
      </c>
      <c r="G58" s="596">
        <v>5.7</v>
      </c>
      <c r="H58" s="596">
        <v>-8.1</v>
      </c>
      <c r="I58" s="596"/>
      <c r="J58" s="596"/>
      <c r="K58" s="596">
        <v>0</v>
      </c>
      <c r="L58" s="597">
        <v>-4.5999999999999996</v>
      </c>
    </row>
    <row r="59" spans="1:12" s="574" customFormat="1" ht="16.5" x14ac:dyDescent="0.3">
      <c r="A59" s="594" t="s">
        <v>1127</v>
      </c>
      <c r="B59" s="595">
        <v>4.4000000000000004</v>
      </c>
      <c r="C59" s="596">
        <v>3</v>
      </c>
      <c r="D59" s="596">
        <v>3.2</v>
      </c>
      <c r="E59" s="596">
        <v>2.1</v>
      </c>
      <c r="F59" s="596">
        <v>8.1</v>
      </c>
      <c r="G59" s="596">
        <v>7.9</v>
      </c>
      <c r="H59" s="596">
        <v>8.1999999999999993</v>
      </c>
      <c r="I59" s="596"/>
      <c r="J59" s="596"/>
      <c r="K59" s="596">
        <v>2.2999999999999998</v>
      </c>
      <c r="L59" s="597">
        <v>6.8</v>
      </c>
    </row>
    <row r="60" spans="1:12" s="574" customFormat="1" ht="16.5" x14ac:dyDescent="0.3">
      <c r="A60" s="594" t="s">
        <v>1128</v>
      </c>
      <c r="B60" s="595">
        <v>3.5</v>
      </c>
      <c r="C60" s="596">
        <v>2.7</v>
      </c>
      <c r="D60" s="596">
        <v>3.1</v>
      </c>
      <c r="E60" s="596">
        <v>0.5</v>
      </c>
      <c r="F60" s="596">
        <v>6.4</v>
      </c>
      <c r="G60" s="596">
        <v>7.8</v>
      </c>
      <c r="H60" s="596">
        <v>4.2</v>
      </c>
      <c r="I60" s="596"/>
      <c r="J60" s="596"/>
      <c r="K60" s="596">
        <v>-3.4</v>
      </c>
      <c r="L60" s="597">
        <v>-0.8</v>
      </c>
    </row>
    <row r="61" spans="1:12" s="574" customFormat="1" ht="16.5" x14ac:dyDescent="0.3">
      <c r="A61" s="594" t="s">
        <v>1129</v>
      </c>
      <c r="B61" s="595">
        <v>3.8</v>
      </c>
      <c r="C61" s="596">
        <v>2.8</v>
      </c>
      <c r="D61" s="596">
        <v>3.2</v>
      </c>
      <c r="E61" s="596">
        <v>0.4</v>
      </c>
      <c r="F61" s="596">
        <v>3.8</v>
      </c>
      <c r="G61" s="596">
        <v>5.8</v>
      </c>
      <c r="H61" s="596">
        <v>0.5</v>
      </c>
      <c r="I61" s="596"/>
      <c r="J61" s="596"/>
      <c r="K61" s="596">
        <v>-3</v>
      </c>
      <c r="L61" s="597">
        <v>7.3</v>
      </c>
    </row>
    <row r="62" spans="1:12" s="574" customFormat="1" ht="17.25" x14ac:dyDescent="0.3">
      <c r="A62" s="586" t="s">
        <v>1134</v>
      </c>
      <c r="B62" s="595">
        <v>4.2</v>
      </c>
      <c r="C62" s="596">
        <v>3.3</v>
      </c>
      <c r="D62" s="596">
        <v>3.3</v>
      </c>
      <c r="E62" s="596">
        <v>3.6</v>
      </c>
      <c r="F62" s="596">
        <v>2.6</v>
      </c>
      <c r="G62" s="596">
        <v>10.3</v>
      </c>
      <c r="H62" s="596">
        <v>-9.3000000000000007</v>
      </c>
      <c r="I62" s="596"/>
      <c r="J62" s="596"/>
      <c r="K62" s="596">
        <v>0.9</v>
      </c>
      <c r="L62" s="597">
        <v>-5.2</v>
      </c>
    </row>
    <row r="63" spans="1:12" s="574" customFormat="1" ht="17.25" x14ac:dyDescent="0.3">
      <c r="A63" s="586" t="s">
        <v>1135</v>
      </c>
      <c r="B63" s="595">
        <v>3.6</v>
      </c>
      <c r="C63" s="596">
        <v>3.6</v>
      </c>
      <c r="D63" s="596">
        <v>3.2</v>
      </c>
      <c r="E63" s="596">
        <v>5.6</v>
      </c>
      <c r="F63" s="596">
        <v>12.4</v>
      </c>
      <c r="G63" s="596">
        <v>11.5</v>
      </c>
      <c r="H63" s="596">
        <v>13.5</v>
      </c>
      <c r="I63" s="596"/>
      <c r="J63" s="596"/>
      <c r="K63" s="596">
        <v>-0.5</v>
      </c>
      <c r="L63" s="597">
        <v>-2.2999999999999998</v>
      </c>
    </row>
    <row r="64" spans="1:12" s="574" customFormat="1" ht="17.25" x14ac:dyDescent="0.3">
      <c r="A64" s="586" t="s">
        <v>1132</v>
      </c>
      <c r="B64" s="595">
        <v>3.2</v>
      </c>
      <c r="C64" s="596">
        <v>3.3</v>
      </c>
      <c r="D64" s="596">
        <v>3.2</v>
      </c>
      <c r="E64" s="596">
        <v>3.5</v>
      </c>
      <c r="F64" s="596">
        <v>9.9</v>
      </c>
      <c r="G64" s="596">
        <v>8.3000000000000007</v>
      </c>
      <c r="H64" s="596">
        <v>13</v>
      </c>
      <c r="I64" s="596"/>
      <c r="J64" s="596"/>
      <c r="K64" s="596">
        <v>2.9</v>
      </c>
      <c r="L64" s="597">
        <v>2.5</v>
      </c>
    </row>
    <row r="65" spans="1:12" s="574" customFormat="1" ht="17.25" x14ac:dyDescent="0.3">
      <c r="A65" s="586" t="s">
        <v>1133</v>
      </c>
      <c r="B65" s="595">
        <v>4</v>
      </c>
      <c r="C65" s="596">
        <v>3.3</v>
      </c>
      <c r="D65" s="596">
        <v>3.2</v>
      </c>
      <c r="E65" s="596">
        <v>4</v>
      </c>
      <c r="F65" s="596">
        <v>18.600000000000001</v>
      </c>
      <c r="G65" s="596">
        <v>11.4</v>
      </c>
      <c r="H65" s="596">
        <v>33</v>
      </c>
      <c r="I65" s="596"/>
      <c r="J65" s="596"/>
      <c r="K65" s="596">
        <v>7.2</v>
      </c>
      <c r="L65" s="597">
        <v>4.4000000000000004</v>
      </c>
    </row>
    <row r="66" spans="1:12" s="574" customFormat="1" ht="16.5" x14ac:dyDescent="0.3">
      <c r="A66" s="586" t="s">
        <v>1143</v>
      </c>
      <c r="B66" s="595">
        <v>3.3</v>
      </c>
      <c r="C66" s="596">
        <v>3</v>
      </c>
      <c r="D66" s="596">
        <v>3.2</v>
      </c>
      <c r="E66" s="596">
        <v>2.2999999999999998</v>
      </c>
      <c r="F66" s="596">
        <v>11.4</v>
      </c>
      <c r="G66" s="596">
        <v>11.6</v>
      </c>
      <c r="H66" s="596">
        <v>10.7</v>
      </c>
      <c r="I66" s="596"/>
      <c r="J66" s="596"/>
      <c r="K66" s="596">
        <v>-3.5</v>
      </c>
      <c r="L66" s="597">
        <v>15</v>
      </c>
    </row>
    <row r="67" spans="1:12" s="574" customFormat="1" ht="16.5" x14ac:dyDescent="0.3">
      <c r="A67" s="586" t="s">
        <v>1127</v>
      </c>
      <c r="B67" s="595">
        <v>3.5</v>
      </c>
      <c r="C67" s="596">
        <v>2.6</v>
      </c>
      <c r="D67" s="596">
        <v>3.2</v>
      </c>
      <c r="E67" s="596">
        <v>0</v>
      </c>
      <c r="F67" s="596">
        <v>1.4</v>
      </c>
      <c r="G67" s="596">
        <v>9.6</v>
      </c>
      <c r="H67" s="596">
        <v>-10.4</v>
      </c>
      <c r="I67" s="596"/>
      <c r="J67" s="596"/>
      <c r="K67" s="596">
        <v>0.9</v>
      </c>
      <c r="L67" s="597">
        <v>1.2</v>
      </c>
    </row>
    <row r="68" spans="1:12" s="574" customFormat="1" ht="16.5" x14ac:dyDescent="0.3">
      <c r="A68" s="586" t="s">
        <v>1128</v>
      </c>
      <c r="B68" s="595">
        <v>2.9</v>
      </c>
      <c r="C68" s="596">
        <v>3.2</v>
      </c>
      <c r="D68" s="596">
        <v>3.3</v>
      </c>
      <c r="E68" s="596">
        <v>2.7</v>
      </c>
      <c r="F68" s="596">
        <v>9.8000000000000007</v>
      </c>
      <c r="G68" s="596">
        <v>5.9</v>
      </c>
      <c r="H68" s="596">
        <v>16.7</v>
      </c>
      <c r="I68" s="596"/>
      <c r="J68" s="596"/>
      <c r="K68" s="596">
        <v>-2.2000000000000002</v>
      </c>
      <c r="L68" s="597">
        <v>-0.2</v>
      </c>
    </row>
    <row r="69" spans="1:12" s="574" customFormat="1" ht="16.5" x14ac:dyDescent="0.3">
      <c r="A69" s="586" t="s">
        <v>1129</v>
      </c>
      <c r="B69" s="595">
        <v>2.4</v>
      </c>
      <c r="C69" s="596">
        <v>3.2</v>
      </c>
      <c r="D69" s="596">
        <v>3.2</v>
      </c>
      <c r="E69" s="596">
        <v>3.1</v>
      </c>
      <c r="F69" s="596">
        <v>2.9</v>
      </c>
      <c r="G69" s="596">
        <v>7.6</v>
      </c>
      <c r="H69" s="596">
        <v>-5</v>
      </c>
      <c r="I69" s="596"/>
      <c r="J69" s="596"/>
      <c r="K69" s="596">
        <v>-11.2</v>
      </c>
      <c r="L69" s="597">
        <v>-5.2</v>
      </c>
    </row>
    <row r="70" spans="1:12" s="574" customFormat="1" ht="17.25" x14ac:dyDescent="0.3">
      <c r="A70" s="586" t="s">
        <v>1140</v>
      </c>
      <c r="B70" s="598">
        <v>-2.9</v>
      </c>
      <c r="C70" s="599">
        <v>-5.5</v>
      </c>
      <c r="D70" s="599">
        <v>-6.3</v>
      </c>
      <c r="E70" s="599">
        <v>-1.9</v>
      </c>
      <c r="F70" s="599">
        <v>-6.3</v>
      </c>
      <c r="G70" s="599">
        <v>-7</v>
      </c>
      <c r="H70" s="599">
        <v>-4.9000000000000004</v>
      </c>
      <c r="I70" s="600"/>
      <c r="J70" s="600"/>
      <c r="K70" s="599">
        <v>-5.6</v>
      </c>
      <c r="L70" s="601">
        <v>-15</v>
      </c>
    </row>
    <row r="71" spans="1:12" s="574" customFormat="1" ht="17.25" x14ac:dyDescent="0.3">
      <c r="A71" s="586" t="s">
        <v>1137</v>
      </c>
      <c r="B71" s="598">
        <v>-33</v>
      </c>
      <c r="C71" s="599">
        <v>-38.5</v>
      </c>
      <c r="D71" s="599">
        <v>-47.4</v>
      </c>
      <c r="E71" s="599">
        <v>3.9</v>
      </c>
      <c r="F71" s="599">
        <v>-70.5</v>
      </c>
      <c r="G71" s="599">
        <v>-85.3</v>
      </c>
      <c r="H71" s="599">
        <v>-44.1</v>
      </c>
      <c r="I71" s="600"/>
      <c r="J71" s="600"/>
      <c r="K71" s="599">
        <v>-54.4</v>
      </c>
      <c r="L71" s="601">
        <v>-41.1</v>
      </c>
    </row>
    <row r="72" spans="1:12" s="574" customFormat="1" ht="17.25" x14ac:dyDescent="0.3">
      <c r="A72" s="586" t="s">
        <v>1138</v>
      </c>
      <c r="B72" s="598">
        <v>-12.6</v>
      </c>
      <c r="C72" s="599">
        <v>-12.4</v>
      </c>
      <c r="D72" s="599">
        <v>-13.5</v>
      </c>
      <c r="E72" s="599">
        <v>-6.5</v>
      </c>
      <c r="F72" s="599">
        <v>-20.9</v>
      </c>
      <c r="G72" s="599">
        <v>-9.5</v>
      </c>
      <c r="H72" s="599">
        <v>-39.200000000000003</v>
      </c>
      <c r="I72" s="600"/>
      <c r="J72" s="600"/>
      <c r="K72" s="599">
        <v>-50.5</v>
      </c>
      <c r="L72" s="601">
        <v>-32.6</v>
      </c>
    </row>
    <row r="73" spans="1:12" s="574" customFormat="1" ht="17.25" x14ac:dyDescent="0.3">
      <c r="A73" s="586" t="s">
        <v>1139</v>
      </c>
      <c r="B73" s="595">
        <v>-11.3</v>
      </c>
      <c r="C73" s="596">
        <v>-8.3000000000000007</v>
      </c>
      <c r="D73" s="596">
        <v>-9.6</v>
      </c>
      <c r="E73" s="596">
        <v>-0.8</v>
      </c>
      <c r="F73" s="596">
        <v>-9.1</v>
      </c>
      <c r="G73" s="596">
        <v>-2.2999999999999998</v>
      </c>
      <c r="H73" s="596">
        <v>-22.1</v>
      </c>
      <c r="I73" s="596"/>
      <c r="J73" s="596"/>
      <c r="K73" s="596">
        <v>-42.4</v>
      </c>
      <c r="L73" s="597">
        <v>-28</v>
      </c>
    </row>
    <row r="74" spans="1:12" s="574" customFormat="1" ht="18" thickBot="1" x14ac:dyDescent="0.35">
      <c r="A74" s="602" t="s">
        <v>1141</v>
      </c>
      <c r="B74" s="603">
        <v>-8.6999999999999993</v>
      </c>
      <c r="C74" s="604">
        <v>-4.2</v>
      </c>
      <c r="D74" s="604">
        <v>-4.2</v>
      </c>
      <c r="E74" s="604">
        <v>-4</v>
      </c>
      <c r="F74" s="604">
        <v>-5.5</v>
      </c>
      <c r="G74" s="604">
        <v>1</v>
      </c>
      <c r="H74" s="604">
        <v>-10.199999999999999</v>
      </c>
      <c r="I74" s="605"/>
      <c r="J74" s="605"/>
      <c r="K74" s="604">
        <v>-10.6</v>
      </c>
      <c r="L74" s="606">
        <v>11.1</v>
      </c>
    </row>
    <row r="75" spans="1:12" s="607" customFormat="1" ht="21" customHeight="1" x14ac:dyDescent="0.25">
      <c r="A75" s="557" t="s">
        <v>1144</v>
      </c>
      <c r="B75" s="557"/>
      <c r="L75" s="608"/>
    </row>
    <row r="76" spans="1:12" s="609" customFormat="1" ht="14.25" x14ac:dyDescent="0.25">
      <c r="A76" s="557" t="s">
        <v>1145</v>
      </c>
    </row>
    <row r="77" spans="1:12" ht="9.75" customHeight="1" x14ac:dyDescent="0.3"/>
  </sheetData>
  <mergeCells count="12">
    <mergeCell ref="L5:L6"/>
    <mergeCell ref="B45:L45"/>
    <mergeCell ref="A3:A6"/>
    <mergeCell ref="B3:L3"/>
    <mergeCell ref="B4:B5"/>
    <mergeCell ref="C4:J4"/>
    <mergeCell ref="K4:L4"/>
    <mergeCell ref="C5:E5"/>
    <mergeCell ref="F5:H5"/>
    <mergeCell ref="I5:I6"/>
    <mergeCell ref="J5:J6"/>
    <mergeCell ref="K5:K6"/>
  </mergeCells>
  <pageMargins left="0.75" right="0.75" top="0.75" bottom="0.75" header="0.3" footer="0"/>
  <pageSetup paperSize="9" scale="5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S214"/>
  <sheetViews>
    <sheetView zoomScale="90" zoomScaleNormal="90" zoomScaleSheetLayoutView="80" workbookViewId="0">
      <selection activeCell="A75" sqref="A75"/>
    </sheetView>
  </sheetViews>
  <sheetFormatPr defaultColWidth="8.85546875" defaultRowHeight="15" x14ac:dyDescent="0.25"/>
  <cols>
    <col min="1" max="1" width="13.42578125" style="2362" customWidth="1"/>
    <col min="2" max="3" width="16.140625" style="2362" customWidth="1"/>
    <col min="4" max="4" width="14.28515625" style="2362" customWidth="1"/>
    <col min="5" max="5" width="15.7109375" style="2362" customWidth="1"/>
    <col min="6" max="7" width="14" style="2362" customWidth="1"/>
    <col min="8" max="8" width="10.7109375" style="2362" bestFit="1" customWidth="1"/>
    <col min="9" max="15" width="12.85546875" style="2362" customWidth="1"/>
    <col min="16" max="16" width="14.28515625" style="2362" bestFit="1" customWidth="1"/>
    <col min="17" max="17" width="13.28515625" style="2362" bestFit="1" customWidth="1"/>
    <col min="18" max="16384" width="8.85546875" style="2362"/>
  </cols>
  <sheetData>
    <row r="1" spans="1:15" s="2295" customFormat="1" ht="17.25" x14ac:dyDescent="0.25">
      <c r="A1" s="2294" t="s">
        <v>4254</v>
      </c>
    </row>
    <row r="2" spans="1:15" s="2297" customFormat="1" ht="18" customHeight="1" thickBot="1" x14ac:dyDescent="0.3">
      <c r="A2" s="2296"/>
      <c r="J2" s="2298"/>
      <c r="K2" s="2298"/>
    </row>
    <row r="3" spans="1:15" s="2301" customFormat="1" ht="16.5" x14ac:dyDescent="0.25">
      <c r="A3" s="3848" t="s">
        <v>1</v>
      </c>
      <c r="B3" s="2299" t="s">
        <v>4255</v>
      </c>
      <c r="C3" s="2299" t="s">
        <v>3759</v>
      </c>
      <c r="D3" s="2299" t="s">
        <v>4256</v>
      </c>
      <c r="E3" s="2299" t="s">
        <v>4257</v>
      </c>
      <c r="F3" s="2299" t="s">
        <v>4258</v>
      </c>
      <c r="G3" s="2299" t="s">
        <v>3759</v>
      </c>
      <c r="H3" s="2300"/>
      <c r="I3" s="2300"/>
      <c r="J3" s="2300"/>
      <c r="K3" s="2300"/>
      <c r="L3" s="2300"/>
      <c r="M3" s="2300"/>
      <c r="N3" s="2300"/>
      <c r="O3" s="2300"/>
    </row>
    <row r="4" spans="1:15" s="2301" customFormat="1" ht="16.5" x14ac:dyDescent="0.25">
      <c r="A4" s="3849"/>
      <c r="B4" s="2302" t="s">
        <v>4259</v>
      </c>
      <c r="C4" s="2302" t="s">
        <v>4260</v>
      </c>
      <c r="D4" s="2302" t="s">
        <v>4261</v>
      </c>
      <c r="E4" s="2302" t="s">
        <v>4262</v>
      </c>
      <c r="F4" s="2302" t="s">
        <v>4259</v>
      </c>
      <c r="G4" s="2302" t="s">
        <v>4260</v>
      </c>
      <c r="H4" s="2300"/>
      <c r="I4" s="2300"/>
      <c r="J4" s="2300"/>
      <c r="K4" s="2300"/>
      <c r="L4" s="2300"/>
      <c r="M4" s="2300"/>
      <c r="N4" s="2300"/>
      <c r="O4" s="2300"/>
    </row>
    <row r="5" spans="1:15" s="2301" customFormat="1" ht="16.5" x14ac:dyDescent="0.25">
      <c r="A5" s="3849"/>
      <c r="B5" s="2302"/>
      <c r="C5" s="2302" t="s">
        <v>4263</v>
      </c>
      <c r="D5" s="2302"/>
      <c r="E5" s="2302"/>
      <c r="F5" s="2302"/>
      <c r="G5" s="2302" t="s">
        <v>4264</v>
      </c>
      <c r="H5" s="2300"/>
      <c r="I5" s="2300"/>
      <c r="J5" s="2300"/>
      <c r="K5" s="2300"/>
      <c r="L5" s="2300"/>
      <c r="M5" s="2300"/>
      <c r="N5" s="2300"/>
      <c r="O5" s="2300"/>
    </row>
    <row r="6" spans="1:15" s="2305" customFormat="1" ht="29.25" customHeight="1" thickBot="1" x14ac:dyDescent="0.3">
      <c r="A6" s="3850"/>
      <c r="B6" s="2303" t="s">
        <v>4265</v>
      </c>
      <c r="C6" s="2303" t="s">
        <v>3969</v>
      </c>
      <c r="D6" s="2303" t="s">
        <v>4266</v>
      </c>
      <c r="E6" s="2303" t="s">
        <v>4267</v>
      </c>
      <c r="F6" s="2303" t="s">
        <v>4265</v>
      </c>
      <c r="G6" s="2303" t="s">
        <v>3969</v>
      </c>
      <c r="H6" s="2304"/>
      <c r="I6" s="2304"/>
      <c r="J6" s="2304"/>
      <c r="K6" s="2304"/>
      <c r="L6" s="2304"/>
      <c r="M6" s="2304"/>
      <c r="N6" s="2304"/>
      <c r="O6" s="2304"/>
    </row>
    <row r="7" spans="1:15" s="2310" customFormat="1" ht="16.5" hidden="1" x14ac:dyDescent="0.3">
      <c r="A7" s="2306">
        <v>42370</v>
      </c>
      <c r="B7" s="2307">
        <v>80.3</v>
      </c>
      <c r="C7" s="1935">
        <v>36.299999999999997</v>
      </c>
      <c r="D7" s="2308">
        <v>1066.5</v>
      </c>
      <c r="E7" s="1935">
        <v>3.4</v>
      </c>
      <c r="F7" s="2309" t="s">
        <v>115</v>
      </c>
      <c r="G7" s="1935" t="s">
        <v>115</v>
      </c>
    </row>
    <row r="8" spans="1:15" s="2310" customFormat="1" ht="16.5" hidden="1" x14ac:dyDescent="0.3">
      <c r="A8" s="2306">
        <v>42401</v>
      </c>
      <c r="B8" s="2307">
        <v>71.099999999999994</v>
      </c>
      <c r="C8" s="1935" t="s">
        <v>4268</v>
      </c>
      <c r="D8" s="2308">
        <v>1193.25</v>
      </c>
      <c r="E8" s="1935">
        <v>2.5</v>
      </c>
      <c r="F8" s="2309" t="s">
        <v>115</v>
      </c>
      <c r="G8" s="1935" t="s">
        <v>115</v>
      </c>
    </row>
    <row r="9" spans="1:15" s="2310" customFormat="1" ht="16.5" hidden="1" x14ac:dyDescent="0.3">
      <c r="A9" s="2306">
        <v>42430</v>
      </c>
      <c r="B9" s="2307">
        <v>50</v>
      </c>
      <c r="C9" s="1935">
        <v>35.700000000000003</v>
      </c>
      <c r="D9" s="2308">
        <v>960</v>
      </c>
      <c r="E9" s="1935">
        <v>2.7</v>
      </c>
      <c r="F9" s="2309" t="s">
        <v>115</v>
      </c>
      <c r="G9" s="1935" t="s">
        <v>115</v>
      </c>
    </row>
    <row r="10" spans="1:15" s="2310" customFormat="1" ht="16.5" hidden="1" x14ac:dyDescent="0.3">
      <c r="A10" s="2306">
        <v>42461</v>
      </c>
      <c r="B10" s="2307">
        <v>16.600000000000001</v>
      </c>
      <c r="C10" s="1935">
        <v>35.549999999999997</v>
      </c>
      <c r="D10" s="2308" t="s">
        <v>115</v>
      </c>
      <c r="E10" s="1935" t="s">
        <v>115</v>
      </c>
      <c r="F10" s="2309" t="s">
        <v>115</v>
      </c>
      <c r="G10" s="1935" t="s">
        <v>115</v>
      </c>
    </row>
    <row r="11" spans="1:15" s="2310" customFormat="1" ht="16.5" hidden="1" x14ac:dyDescent="0.3">
      <c r="A11" s="2306">
        <v>42491</v>
      </c>
      <c r="B11" s="1935">
        <v>73.05</v>
      </c>
      <c r="C11" s="1935">
        <v>35.35</v>
      </c>
      <c r="D11" s="2311">
        <v>1000</v>
      </c>
      <c r="E11" s="1935">
        <v>3.7</v>
      </c>
      <c r="F11" s="2309" t="s">
        <v>115</v>
      </c>
      <c r="G11" s="1935" t="s">
        <v>115</v>
      </c>
    </row>
    <row r="12" spans="1:15" s="2310" customFormat="1" ht="16.5" hidden="1" x14ac:dyDescent="0.3">
      <c r="A12" s="2306">
        <v>42522</v>
      </c>
      <c r="B12" s="2309">
        <v>96</v>
      </c>
      <c r="C12" s="1935" t="s">
        <v>4269</v>
      </c>
      <c r="D12" s="2308">
        <v>3424.5149999999999</v>
      </c>
      <c r="E12" s="1935" t="s">
        <v>4270</v>
      </c>
      <c r="F12" s="2309" t="s">
        <v>115</v>
      </c>
      <c r="G12" s="1935" t="s">
        <v>115</v>
      </c>
    </row>
    <row r="13" spans="1:15" s="2310" customFormat="1" ht="16.5" hidden="1" x14ac:dyDescent="0.3">
      <c r="A13" s="2306">
        <v>42552</v>
      </c>
      <c r="B13" s="2309">
        <v>10</v>
      </c>
      <c r="C13" s="1935">
        <v>35.5</v>
      </c>
      <c r="D13" s="2308" t="s">
        <v>115</v>
      </c>
      <c r="E13" s="1935" t="s">
        <v>115</v>
      </c>
      <c r="F13" s="2309" t="s">
        <v>115</v>
      </c>
      <c r="G13" s="1935" t="s">
        <v>115</v>
      </c>
    </row>
    <row r="14" spans="1:15" s="2310" customFormat="1" ht="16.5" hidden="1" x14ac:dyDescent="0.3">
      <c r="A14" s="2306">
        <v>42583</v>
      </c>
      <c r="B14" s="2309">
        <v>10</v>
      </c>
      <c r="C14" s="1935">
        <v>35.200000000000003</v>
      </c>
      <c r="D14" s="2311">
        <v>352</v>
      </c>
      <c r="E14" s="1935">
        <v>2.68</v>
      </c>
      <c r="F14" s="2309" t="s">
        <v>115</v>
      </c>
      <c r="G14" s="1935" t="s">
        <v>115</v>
      </c>
    </row>
    <row r="15" spans="1:15" s="2310" customFormat="1" ht="16.5" hidden="1" x14ac:dyDescent="0.3">
      <c r="A15" s="2306">
        <v>42614</v>
      </c>
      <c r="B15" s="2309">
        <v>43.2</v>
      </c>
      <c r="C15" s="1935">
        <v>35.479999999999997</v>
      </c>
      <c r="D15" s="2308">
        <v>1532.7360000000003</v>
      </c>
      <c r="E15" s="1935">
        <v>2.69</v>
      </c>
      <c r="F15" s="2309" t="s">
        <v>115</v>
      </c>
      <c r="G15" s="1935" t="s">
        <v>115</v>
      </c>
    </row>
    <row r="16" spans="1:15" s="2310" customFormat="1" ht="16.5" hidden="1" x14ac:dyDescent="0.3">
      <c r="A16" s="2306">
        <v>42644</v>
      </c>
      <c r="B16" s="2307" t="s">
        <v>115</v>
      </c>
      <c r="C16" s="1935" t="s">
        <v>115</v>
      </c>
      <c r="D16" s="2308" t="s">
        <v>115</v>
      </c>
      <c r="E16" s="1935" t="s">
        <v>115</v>
      </c>
      <c r="F16" s="2309" t="s">
        <v>115</v>
      </c>
      <c r="G16" s="1935" t="s">
        <v>115</v>
      </c>
    </row>
    <row r="17" spans="1:7" s="2310" customFormat="1" ht="16.5" hidden="1" x14ac:dyDescent="0.3">
      <c r="A17" s="2306">
        <v>42675</v>
      </c>
      <c r="B17" s="1935">
        <v>47.35</v>
      </c>
      <c r="C17" s="1935">
        <v>36.15</v>
      </c>
      <c r="D17" s="2308" t="s">
        <v>115</v>
      </c>
      <c r="E17" s="1935" t="s">
        <v>115</v>
      </c>
      <c r="F17" s="2309" t="s">
        <v>115</v>
      </c>
      <c r="G17" s="1935" t="s">
        <v>115</v>
      </c>
    </row>
    <row r="18" spans="1:7" s="2310" customFormat="1" ht="16.5" hidden="1" x14ac:dyDescent="0.3">
      <c r="A18" s="2306">
        <v>42705</v>
      </c>
      <c r="B18" s="2309">
        <v>55.5</v>
      </c>
      <c r="C18" s="1935">
        <v>36.200000000000003</v>
      </c>
      <c r="D18" s="2311">
        <v>905</v>
      </c>
      <c r="E18" s="1935">
        <v>2.8</v>
      </c>
      <c r="F18" s="2309" t="s">
        <v>115</v>
      </c>
      <c r="G18" s="1935" t="s">
        <v>115</v>
      </c>
    </row>
    <row r="19" spans="1:7" s="2310" customFormat="1" ht="16.5" hidden="1" x14ac:dyDescent="0.3">
      <c r="A19" s="2312">
        <v>42736</v>
      </c>
      <c r="B19" s="2307">
        <v>55.594999999999999</v>
      </c>
      <c r="C19" s="1935">
        <v>35.9</v>
      </c>
      <c r="D19" s="2308">
        <v>2540.3609999999999</v>
      </c>
      <c r="E19" s="1935" t="s">
        <v>4271</v>
      </c>
      <c r="F19" s="2309" t="s">
        <v>115</v>
      </c>
      <c r="G19" s="1935" t="s">
        <v>115</v>
      </c>
    </row>
    <row r="20" spans="1:7" s="2310" customFormat="1" ht="16.5" hidden="1" x14ac:dyDescent="0.3">
      <c r="A20" s="2312">
        <v>42767</v>
      </c>
      <c r="B20" s="2307" t="s">
        <v>115</v>
      </c>
      <c r="C20" s="1935" t="s">
        <v>115</v>
      </c>
      <c r="D20" s="2308" t="s">
        <v>115</v>
      </c>
      <c r="E20" s="1935" t="s">
        <v>115</v>
      </c>
      <c r="F20" s="2309" t="s">
        <v>115</v>
      </c>
      <c r="G20" s="1935" t="s">
        <v>115</v>
      </c>
    </row>
    <row r="21" spans="1:7" s="2310" customFormat="1" ht="16.5" hidden="1" x14ac:dyDescent="0.3">
      <c r="A21" s="2312">
        <v>42795</v>
      </c>
      <c r="B21" s="2309">
        <v>40</v>
      </c>
      <c r="C21" s="1935">
        <v>35.5</v>
      </c>
      <c r="D21" s="2311">
        <v>1420</v>
      </c>
      <c r="E21" s="1935">
        <v>2.58</v>
      </c>
      <c r="F21" s="2309" t="s">
        <v>115</v>
      </c>
      <c r="G21" s="1935" t="s">
        <v>115</v>
      </c>
    </row>
    <row r="22" spans="1:7" s="2310" customFormat="1" ht="16.5" hidden="1" x14ac:dyDescent="0.3">
      <c r="A22" s="2312">
        <v>42826</v>
      </c>
      <c r="B22" s="2309">
        <v>118</v>
      </c>
      <c r="C22" s="1935">
        <v>35.020000000000003</v>
      </c>
      <c r="D22" s="2308" t="s">
        <v>115</v>
      </c>
      <c r="E22" s="1935" t="s">
        <v>115</v>
      </c>
      <c r="F22" s="2309" t="s">
        <v>115</v>
      </c>
      <c r="G22" s="1935" t="s">
        <v>115</v>
      </c>
    </row>
    <row r="23" spans="1:7" s="2310" customFormat="1" ht="16.5" hidden="1" x14ac:dyDescent="0.3">
      <c r="A23" s="2312">
        <v>42856</v>
      </c>
      <c r="B23" s="2309">
        <v>45</v>
      </c>
      <c r="C23" s="1935" t="s">
        <v>4272</v>
      </c>
      <c r="D23" s="2311">
        <v>1577</v>
      </c>
      <c r="E23" s="1935" t="s">
        <v>4273</v>
      </c>
      <c r="F23" s="2309" t="s">
        <v>115</v>
      </c>
      <c r="G23" s="1935" t="s">
        <v>115</v>
      </c>
    </row>
    <row r="24" spans="1:7" s="2310" customFormat="1" ht="16.5" hidden="1" x14ac:dyDescent="0.3">
      <c r="A24" s="2312">
        <v>42887</v>
      </c>
      <c r="B24" s="2309">
        <v>25</v>
      </c>
      <c r="C24" s="1935">
        <v>34.85</v>
      </c>
      <c r="D24" s="2313">
        <v>700.48500000000001</v>
      </c>
      <c r="E24" s="1935">
        <v>2.1800000000000002</v>
      </c>
      <c r="F24" s="2309" t="s">
        <v>115</v>
      </c>
      <c r="G24" s="1935" t="s">
        <v>115</v>
      </c>
    </row>
    <row r="25" spans="1:7" s="2310" customFormat="1" ht="16.5" hidden="1" x14ac:dyDescent="0.3">
      <c r="A25" s="2312">
        <v>42917</v>
      </c>
      <c r="B25" s="2309" t="s">
        <v>115</v>
      </c>
      <c r="C25" s="1935" t="s">
        <v>115</v>
      </c>
      <c r="D25" s="2313" t="s">
        <v>115</v>
      </c>
      <c r="E25" s="1935" t="s">
        <v>115</v>
      </c>
      <c r="F25" s="2309" t="s">
        <v>115</v>
      </c>
      <c r="G25" s="1935" t="s">
        <v>115</v>
      </c>
    </row>
    <row r="26" spans="1:7" s="2310" customFormat="1" ht="16.5" hidden="1" x14ac:dyDescent="0.3">
      <c r="A26" s="2312">
        <v>42948</v>
      </c>
      <c r="B26" s="2309">
        <v>101</v>
      </c>
      <c r="C26" s="1935" t="s">
        <v>4274</v>
      </c>
      <c r="D26" s="2313">
        <v>1494</v>
      </c>
      <c r="E26" s="1935">
        <v>2.1</v>
      </c>
      <c r="F26" s="2309" t="s">
        <v>115</v>
      </c>
      <c r="G26" s="1935" t="s">
        <v>115</v>
      </c>
    </row>
    <row r="27" spans="1:7" s="2310" customFormat="1" ht="16.5" hidden="1" x14ac:dyDescent="0.3">
      <c r="A27" s="2312">
        <v>42979</v>
      </c>
      <c r="B27" s="2309">
        <v>30</v>
      </c>
      <c r="C27" s="1935" t="s">
        <v>4275</v>
      </c>
      <c r="D27" s="2311" t="s">
        <v>115</v>
      </c>
      <c r="E27" s="1935" t="s">
        <v>115</v>
      </c>
      <c r="F27" s="2309" t="s">
        <v>115</v>
      </c>
      <c r="G27" s="1935" t="s">
        <v>115</v>
      </c>
    </row>
    <row r="28" spans="1:7" s="2310" customFormat="1" ht="16.5" hidden="1" x14ac:dyDescent="0.3">
      <c r="A28" s="2312">
        <v>43009</v>
      </c>
      <c r="B28" s="2309" t="s">
        <v>115</v>
      </c>
      <c r="C28" s="1935" t="s">
        <v>115</v>
      </c>
      <c r="D28" s="2311" t="s">
        <v>115</v>
      </c>
      <c r="E28" s="1935" t="s">
        <v>115</v>
      </c>
      <c r="F28" s="2309" t="s">
        <v>115</v>
      </c>
      <c r="G28" s="1935" t="s">
        <v>115</v>
      </c>
    </row>
    <row r="29" spans="1:7" s="2310" customFormat="1" ht="16.5" hidden="1" x14ac:dyDescent="0.3">
      <c r="A29" s="2312">
        <v>43040</v>
      </c>
      <c r="B29" s="2309" t="s">
        <v>115</v>
      </c>
      <c r="C29" s="1935" t="s">
        <v>115</v>
      </c>
      <c r="D29" s="2311" t="s">
        <v>115</v>
      </c>
      <c r="E29" s="1935" t="s">
        <v>115</v>
      </c>
      <c r="F29" s="2309" t="s">
        <v>115</v>
      </c>
      <c r="G29" s="1935" t="s">
        <v>115</v>
      </c>
    </row>
    <row r="30" spans="1:7" s="2310" customFormat="1" ht="17.25" hidden="1" customHeight="1" x14ac:dyDescent="0.3">
      <c r="A30" s="2312">
        <v>43070</v>
      </c>
      <c r="B30" s="2309">
        <v>30</v>
      </c>
      <c r="C30" s="1935">
        <v>34</v>
      </c>
      <c r="D30" s="2311">
        <v>1020</v>
      </c>
      <c r="E30" s="1935">
        <v>2.5</v>
      </c>
      <c r="F30" s="2309" t="s">
        <v>115</v>
      </c>
      <c r="G30" s="1935" t="s">
        <v>115</v>
      </c>
    </row>
    <row r="31" spans="1:7" s="2310" customFormat="1" ht="16.5" hidden="1" x14ac:dyDescent="0.3">
      <c r="A31" s="2312">
        <v>43101</v>
      </c>
      <c r="B31" s="2309">
        <v>30</v>
      </c>
      <c r="C31" s="1935">
        <v>33.549999999999997</v>
      </c>
      <c r="D31" s="2311">
        <v>1006.5</v>
      </c>
      <c r="E31" s="1935">
        <v>2.5299999999999998</v>
      </c>
      <c r="F31" s="2309" t="s">
        <v>115</v>
      </c>
      <c r="G31" s="1935" t="s">
        <v>115</v>
      </c>
    </row>
    <row r="32" spans="1:7" s="2310" customFormat="1" ht="16.5" hidden="1" x14ac:dyDescent="0.3">
      <c r="A32" s="2312">
        <v>43132</v>
      </c>
      <c r="B32" s="2309">
        <v>95</v>
      </c>
      <c r="C32" s="1935" t="s">
        <v>4276</v>
      </c>
      <c r="D32" s="2311">
        <v>3133.5</v>
      </c>
      <c r="E32" s="1935" t="s">
        <v>4277</v>
      </c>
      <c r="F32" s="2309" t="s">
        <v>115</v>
      </c>
      <c r="G32" s="1935" t="s">
        <v>115</v>
      </c>
    </row>
    <row r="33" spans="1:7" s="2310" customFormat="1" ht="16.5" hidden="1" x14ac:dyDescent="0.3">
      <c r="A33" s="2312">
        <v>43160</v>
      </c>
      <c r="B33" s="2309">
        <v>116.9</v>
      </c>
      <c r="C33" s="1935" t="s">
        <v>4278</v>
      </c>
      <c r="D33" s="2311">
        <v>3867.9</v>
      </c>
      <c r="E33" s="1935">
        <v>3.82</v>
      </c>
      <c r="F33" s="2309" t="s">
        <v>115</v>
      </c>
      <c r="G33" s="1935" t="s">
        <v>115</v>
      </c>
    </row>
    <row r="34" spans="1:7" s="2310" customFormat="1" ht="19.5" hidden="1" customHeight="1" x14ac:dyDescent="0.3">
      <c r="A34" s="2312">
        <v>43191</v>
      </c>
      <c r="B34" s="2309">
        <v>75</v>
      </c>
      <c r="C34" s="1935" t="s">
        <v>4279</v>
      </c>
      <c r="D34" s="2311">
        <v>2563.5</v>
      </c>
      <c r="E34" s="1935" t="s">
        <v>4280</v>
      </c>
      <c r="F34" s="2309" t="s">
        <v>115</v>
      </c>
      <c r="G34" s="1935" t="s">
        <v>115</v>
      </c>
    </row>
    <row r="35" spans="1:7" s="2310" customFormat="1" ht="19.5" hidden="1" customHeight="1" x14ac:dyDescent="0.3">
      <c r="A35" s="2312">
        <v>43221</v>
      </c>
      <c r="B35" s="2309">
        <v>150</v>
      </c>
      <c r="C35" s="1935">
        <v>34.5</v>
      </c>
      <c r="D35" s="2311">
        <v>5175</v>
      </c>
      <c r="E35" s="1935">
        <v>3.65</v>
      </c>
      <c r="F35" s="2309" t="s">
        <v>115</v>
      </c>
      <c r="G35" s="1935" t="s">
        <v>115</v>
      </c>
    </row>
    <row r="36" spans="1:7" s="2310" customFormat="1" ht="19.5" hidden="1" customHeight="1" x14ac:dyDescent="0.3">
      <c r="A36" s="2312">
        <v>43252</v>
      </c>
      <c r="B36" s="2309">
        <v>15</v>
      </c>
      <c r="C36" s="1935">
        <v>34.28</v>
      </c>
      <c r="D36" s="2311">
        <v>514.20000000000005</v>
      </c>
      <c r="E36" s="1935">
        <v>3.5</v>
      </c>
      <c r="F36" s="2309" t="s">
        <v>115</v>
      </c>
      <c r="G36" s="1935" t="s">
        <v>115</v>
      </c>
    </row>
    <row r="37" spans="1:7" s="2310" customFormat="1" ht="19.5" hidden="1" customHeight="1" x14ac:dyDescent="0.3">
      <c r="A37" s="2312">
        <v>43282</v>
      </c>
      <c r="B37" s="2309" t="s">
        <v>115</v>
      </c>
      <c r="C37" s="1935" t="s">
        <v>115</v>
      </c>
      <c r="D37" s="2311" t="s">
        <v>115</v>
      </c>
      <c r="E37" s="1935" t="s">
        <v>115</v>
      </c>
      <c r="F37" s="2309" t="s">
        <v>115</v>
      </c>
      <c r="G37" s="1935" t="s">
        <v>115</v>
      </c>
    </row>
    <row r="38" spans="1:7" s="2310" customFormat="1" ht="19.5" hidden="1" customHeight="1" x14ac:dyDescent="0.3">
      <c r="A38" s="2312">
        <v>43313</v>
      </c>
      <c r="B38" s="2309">
        <v>15</v>
      </c>
      <c r="C38" s="1935">
        <v>34.450000000000003</v>
      </c>
      <c r="D38" s="2311" t="s">
        <v>115</v>
      </c>
      <c r="E38" s="1935" t="s">
        <v>115</v>
      </c>
      <c r="F38" s="2309" t="s">
        <v>115</v>
      </c>
      <c r="G38" s="1935" t="s">
        <v>115</v>
      </c>
    </row>
    <row r="39" spans="1:7" s="2310" customFormat="1" ht="19.5" hidden="1" customHeight="1" x14ac:dyDescent="0.3">
      <c r="A39" s="2312">
        <v>43344</v>
      </c>
      <c r="B39" s="2309">
        <v>10</v>
      </c>
      <c r="C39" s="1935">
        <v>34.5</v>
      </c>
      <c r="D39" s="2311" t="s">
        <v>115</v>
      </c>
      <c r="E39" s="1935" t="s">
        <v>115</v>
      </c>
      <c r="F39" s="2309" t="s">
        <v>115</v>
      </c>
      <c r="G39" s="1935" t="s">
        <v>115</v>
      </c>
    </row>
    <row r="40" spans="1:7" s="2310" customFormat="1" ht="19.5" hidden="1" customHeight="1" x14ac:dyDescent="0.3">
      <c r="A40" s="2312">
        <v>43374</v>
      </c>
      <c r="B40" s="2309" t="s">
        <v>115</v>
      </c>
      <c r="C40" s="1935" t="s">
        <v>115</v>
      </c>
      <c r="D40" s="2311" t="s">
        <v>115</v>
      </c>
      <c r="E40" s="1935" t="s">
        <v>115</v>
      </c>
      <c r="F40" s="2309" t="s">
        <v>115</v>
      </c>
      <c r="G40" s="1935" t="s">
        <v>115</v>
      </c>
    </row>
    <row r="41" spans="1:7" s="2310" customFormat="1" ht="19.5" hidden="1" customHeight="1" x14ac:dyDescent="0.3">
      <c r="A41" s="2312">
        <v>43405</v>
      </c>
      <c r="B41" s="2309">
        <v>15</v>
      </c>
      <c r="C41" s="1935">
        <v>34.75</v>
      </c>
      <c r="D41" s="2311" t="s">
        <v>115</v>
      </c>
      <c r="E41" s="1935" t="s">
        <v>115</v>
      </c>
      <c r="F41" s="2309" t="s">
        <v>115</v>
      </c>
      <c r="G41" s="1935" t="s">
        <v>115</v>
      </c>
    </row>
    <row r="42" spans="1:7" s="2310" customFormat="1" ht="19.5" hidden="1" customHeight="1" x14ac:dyDescent="0.3">
      <c r="A42" s="2312">
        <v>43435</v>
      </c>
      <c r="B42" s="2309">
        <v>15</v>
      </c>
      <c r="C42" s="1935">
        <v>34.4</v>
      </c>
      <c r="D42" s="2311">
        <v>516</v>
      </c>
      <c r="E42" s="1935">
        <v>3.6</v>
      </c>
      <c r="F42" s="2309" t="s">
        <v>115</v>
      </c>
      <c r="G42" s="1935" t="s">
        <v>115</v>
      </c>
    </row>
    <row r="43" spans="1:7" s="2310" customFormat="1" ht="19.5" hidden="1" customHeight="1" x14ac:dyDescent="0.3">
      <c r="A43" s="2312">
        <v>43466</v>
      </c>
      <c r="B43" s="2309">
        <v>10</v>
      </c>
      <c r="C43" s="1935">
        <v>34.5</v>
      </c>
      <c r="D43" s="2311">
        <v>345</v>
      </c>
      <c r="E43" s="1935">
        <v>3.5</v>
      </c>
      <c r="F43" s="2309" t="s">
        <v>115</v>
      </c>
      <c r="G43" s="1935" t="s">
        <v>115</v>
      </c>
    </row>
    <row r="44" spans="1:7" s="2310" customFormat="1" ht="19.5" hidden="1" customHeight="1" x14ac:dyDescent="0.3">
      <c r="A44" s="2312">
        <v>43497</v>
      </c>
      <c r="B44" s="2309">
        <v>30</v>
      </c>
      <c r="C44" s="1935">
        <v>34.299999999999997</v>
      </c>
      <c r="D44" s="2311" t="s">
        <v>115</v>
      </c>
      <c r="E44" s="1935" t="s">
        <v>115</v>
      </c>
      <c r="F44" s="2309" t="s">
        <v>115</v>
      </c>
      <c r="G44" s="1935" t="s">
        <v>115</v>
      </c>
    </row>
    <row r="45" spans="1:7" s="2310" customFormat="1" ht="19.5" hidden="1" customHeight="1" x14ac:dyDescent="0.3">
      <c r="A45" s="2312">
        <v>43525</v>
      </c>
      <c r="B45" s="2309">
        <v>33</v>
      </c>
      <c r="C45" s="2314" t="s">
        <v>4281</v>
      </c>
      <c r="D45" s="2311" t="s">
        <v>115</v>
      </c>
      <c r="E45" s="1935" t="s">
        <v>115</v>
      </c>
      <c r="F45" s="2309" t="s">
        <v>115</v>
      </c>
      <c r="G45" s="1935" t="s">
        <v>115</v>
      </c>
    </row>
    <row r="46" spans="1:7" s="2310" customFormat="1" ht="19.5" hidden="1" customHeight="1" x14ac:dyDescent="0.3">
      <c r="A46" s="2312">
        <v>43556</v>
      </c>
      <c r="B46" s="2309">
        <v>20</v>
      </c>
      <c r="C46" s="1935">
        <v>34.799999999999997</v>
      </c>
      <c r="D46" s="2311">
        <v>696</v>
      </c>
      <c r="E46" s="1935">
        <v>3.5</v>
      </c>
      <c r="F46" s="2309" t="s">
        <v>115</v>
      </c>
      <c r="G46" s="1935" t="s">
        <v>115</v>
      </c>
    </row>
    <row r="47" spans="1:7" s="2310" customFormat="1" ht="19.5" hidden="1" customHeight="1" x14ac:dyDescent="0.3">
      <c r="A47" s="2312">
        <v>43586</v>
      </c>
      <c r="B47" s="2309">
        <v>212.9</v>
      </c>
      <c r="C47" s="1935" t="s">
        <v>4282</v>
      </c>
      <c r="D47" s="2311" t="s">
        <v>115</v>
      </c>
      <c r="E47" s="1935" t="s">
        <v>115</v>
      </c>
      <c r="F47" s="2309" t="s">
        <v>115</v>
      </c>
      <c r="G47" s="1935" t="s">
        <v>115</v>
      </c>
    </row>
    <row r="48" spans="1:7" s="2310" customFormat="1" ht="19.5" hidden="1" customHeight="1" x14ac:dyDescent="0.3">
      <c r="A48" s="2312">
        <v>43617</v>
      </c>
      <c r="B48" s="2309">
        <v>105</v>
      </c>
      <c r="C48" s="1935" t="s">
        <v>4283</v>
      </c>
      <c r="D48" s="2311">
        <v>3738.6</v>
      </c>
      <c r="E48" s="1935" t="s">
        <v>4284</v>
      </c>
      <c r="F48" s="2309" t="s">
        <v>115</v>
      </c>
      <c r="G48" s="1935" t="s">
        <v>115</v>
      </c>
    </row>
    <row r="49" spans="1:7" s="2310" customFormat="1" ht="19.5" hidden="1" customHeight="1" x14ac:dyDescent="0.3">
      <c r="A49" s="2312">
        <v>43647</v>
      </c>
      <c r="B49" s="2309">
        <v>30</v>
      </c>
      <c r="C49" s="1935">
        <v>35.950000000000003</v>
      </c>
      <c r="D49" s="2311">
        <v>1078.5</v>
      </c>
      <c r="E49" s="1935">
        <v>3.34</v>
      </c>
      <c r="F49" s="2309" t="s">
        <v>115</v>
      </c>
      <c r="G49" s="1935" t="s">
        <v>115</v>
      </c>
    </row>
    <row r="50" spans="1:7" s="2310" customFormat="1" ht="19.5" hidden="1" customHeight="1" x14ac:dyDescent="0.3">
      <c r="A50" s="2312">
        <v>43678</v>
      </c>
      <c r="B50" s="2309">
        <v>50</v>
      </c>
      <c r="C50" s="1935">
        <v>36.1</v>
      </c>
      <c r="D50" s="2311" t="s">
        <v>115</v>
      </c>
      <c r="E50" s="1935" t="s">
        <v>115</v>
      </c>
      <c r="F50" s="2309">
        <v>76.8</v>
      </c>
      <c r="G50" s="1935" t="s">
        <v>4285</v>
      </c>
    </row>
    <row r="51" spans="1:7" s="2310" customFormat="1" ht="19.5" hidden="1" customHeight="1" x14ac:dyDescent="0.3">
      <c r="A51" s="2312">
        <v>43709</v>
      </c>
      <c r="B51" s="2309" t="s">
        <v>115</v>
      </c>
      <c r="C51" s="1935" t="s">
        <v>115</v>
      </c>
      <c r="D51" s="2311" t="s">
        <v>115</v>
      </c>
      <c r="E51" s="1935" t="s">
        <v>115</v>
      </c>
      <c r="F51" s="2309" t="s">
        <v>115</v>
      </c>
      <c r="G51" s="1935" t="s">
        <v>115</v>
      </c>
    </row>
    <row r="52" spans="1:7" s="2310" customFormat="1" ht="19.5" hidden="1" customHeight="1" x14ac:dyDescent="0.3">
      <c r="A52" s="2312">
        <v>43739</v>
      </c>
      <c r="B52" s="2309" t="s">
        <v>115</v>
      </c>
      <c r="C52" s="1935" t="s">
        <v>115</v>
      </c>
      <c r="D52" s="2311" t="s">
        <v>115</v>
      </c>
      <c r="E52" s="1935" t="s">
        <v>115</v>
      </c>
      <c r="F52" s="2309" t="s">
        <v>115</v>
      </c>
      <c r="G52" s="1935" t="s">
        <v>115</v>
      </c>
    </row>
    <row r="53" spans="1:7" s="2310" customFormat="1" ht="19.5" hidden="1" customHeight="1" x14ac:dyDescent="0.3">
      <c r="A53" s="2312">
        <v>43770</v>
      </c>
      <c r="B53" s="2309" t="s">
        <v>115</v>
      </c>
      <c r="C53" s="1935" t="s">
        <v>115</v>
      </c>
      <c r="D53" s="2311" t="s">
        <v>115</v>
      </c>
      <c r="E53" s="1935" t="s">
        <v>115</v>
      </c>
      <c r="F53" s="2309" t="s">
        <v>115</v>
      </c>
      <c r="G53" s="1935" t="s">
        <v>115</v>
      </c>
    </row>
    <row r="54" spans="1:7" s="2310" customFormat="1" ht="19.5" hidden="1" customHeight="1" x14ac:dyDescent="0.3">
      <c r="A54" s="2312">
        <v>43800</v>
      </c>
      <c r="B54" s="2309" t="s">
        <v>115</v>
      </c>
      <c r="C54" s="1935" t="s">
        <v>115</v>
      </c>
      <c r="D54" s="2311" t="s">
        <v>115</v>
      </c>
      <c r="E54" s="1935" t="s">
        <v>115</v>
      </c>
      <c r="F54" s="2309" t="s">
        <v>115</v>
      </c>
      <c r="G54" s="1935" t="s">
        <v>115</v>
      </c>
    </row>
    <row r="55" spans="1:7" s="2310" customFormat="1" ht="19.5" hidden="1" customHeight="1" x14ac:dyDescent="0.3">
      <c r="A55" s="2312">
        <v>43831</v>
      </c>
      <c r="B55" s="2309" t="s">
        <v>115</v>
      </c>
      <c r="C55" s="1935" t="s">
        <v>115</v>
      </c>
      <c r="D55" s="2311" t="s">
        <v>115</v>
      </c>
      <c r="E55" s="1935" t="s">
        <v>115</v>
      </c>
      <c r="F55" s="2309" t="s">
        <v>115</v>
      </c>
      <c r="G55" s="1935" t="s">
        <v>115</v>
      </c>
    </row>
    <row r="56" spans="1:7" s="2310" customFormat="1" ht="19.5" hidden="1" customHeight="1" x14ac:dyDescent="0.3">
      <c r="A56" s="2312">
        <v>43862</v>
      </c>
      <c r="B56" s="2309" t="s">
        <v>115</v>
      </c>
      <c r="C56" s="1935" t="s">
        <v>115</v>
      </c>
      <c r="D56" s="2311" t="s">
        <v>115</v>
      </c>
      <c r="E56" s="1935" t="s">
        <v>115</v>
      </c>
      <c r="F56" s="2309" t="s">
        <v>115</v>
      </c>
      <c r="G56" s="1935" t="s">
        <v>115</v>
      </c>
    </row>
    <row r="57" spans="1:7" s="2310" customFormat="1" ht="19.5" hidden="1" customHeight="1" x14ac:dyDescent="0.3">
      <c r="A57" s="2312">
        <v>43891</v>
      </c>
      <c r="B57" s="2309">
        <v>11.2</v>
      </c>
      <c r="C57" s="1935" t="s">
        <v>4286</v>
      </c>
      <c r="D57" s="2311" t="s">
        <v>115</v>
      </c>
      <c r="E57" s="1935" t="s">
        <v>115</v>
      </c>
      <c r="F57" s="2309">
        <v>20</v>
      </c>
      <c r="G57" s="1935" t="s">
        <v>4287</v>
      </c>
    </row>
    <row r="58" spans="1:7" s="2310" customFormat="1" ht="19.5" hidden="1" customHeight="1" x14ac:dyDescent="0.3">
      <c r="A58" s="2312">
        <v>43922</v>
      </c>
      <c r="B58" s="2309" t="s">
        <v>115</v>
      </c>
      <c r="C58" s="1935" t="s">
        <v>115</v>
      </c>
      <c r="D58" s="2311" t="s">
        <v>115</v>
      </c>
      <c r="E58" s="1935" t="s">
        <v>115</v>
      </c>
      <c r="F58" s="2309">
        <v>52.3</v>
      </c>
      <c r="G58" s="1935" t="s">
        <v>4288</v>
      </c>
    </row>
    <row r="59" spans="1:7" s="2310" customFormat="1" ht="19.5" hidden="1" customHeight="1" x14ac:dyDescent="0.3">
      <c r="A59" s="2312">
        <v>43952</v>
      </c>
      <c r="B59" s="2309" t="s">
        <v>115</v>
      </c>
      <c r="C59" s="1935" t="s">
        <v>115</v>
      </c>
      <c r="D59" s="2311" t="s">
        <v>115</v>
      </c>
      <c r="E59" s="1935" t="s">
        <v>115</v>
      </c>
      <c r="F59" s="2309">
        <v>100</v>
      </c>
      <c r="G59" s="1935">
        <v>39.85</v>
      </c>
    </row>
    <row r="60" spans="1:7" s="2310" customFormat="1" ht="19.5" hidden="1" customHeight="1" x14ac:dyDescent="0.3">
      <c r="A60" s="2312">
        <v>43983</v>
      </c>
      <c r="B60" s="2309" t="s">
        <v>115</v>
      </c>
      <c r="C60" s="1935" t="s">
        <v>115</v>
      </c>
      <c r="D60" s="2311" t="s">
        <v>115</v>
      </c>
      <c r="E60" s="1935" t="s">
        <v>115</v>
      </c>
      <c r="F60" s="2309">
        <v>50</v>
      </c>
      <c r="G60" s="1935" t="s">
        <v>4289</v>
      </c>
    </row>
    <row r="61" spans="1:7" s="2310" customFormat="1" ht="19.5" customHeight="1" x14ac:dyDescent="0.3">
      <c r="A61" s="2312">
        <v>44013</v>
      </c>
      <c r="B61" s="2309" t="s">
        <v>115</v>
      </c>
      <c r="C61" s="1935" t="s">
        <v>115</v>
      </c>
      <c r="D61" s="2311" t="s">
        <v>115</v>
      </c>
      <c r="E61" s="1935" t="s">
        <v>115</v>
      </c>
      <c r="F61" s="2309">
        <v>105.1</v>
      </c>
      <c r="G61" s="1935" t="s">
        <v>4290</v>
      </c>
    </row>
    <row r="62" spans="1:7" s="2310" customFormat="1" ht="19.5" customHeight="1" x14ac:dyDescent="0.3">
      <c r="A62" s="2312">
        <v>44044</v>
      </c>
      <c r="B62" s="2309">
        <v>2</v>
      </c>
      <c r="C62" s="1935">
        <v>39.700000000000003</v>
      </c>
      <c r="D62" s="2311" t="s">
        <v>115</v>
      </c>
      <c r="E62" s="1935" t="s">
        <v>115</v>
      </c>
      <c r="F62" s="2309">
        <v>275</v>
      </c>
      <c r="G62" s="1935" t="s">
        <v>4289</v>
      </c>
    </row>
    <row r="63" spans="1:7" s="2310" customFormat="1" ht="19.5" customHeight="1" x14ac:dyDescent="0.3">
      <c r="A63" s="2312">
        <v>44075</v>
      </c>
      <c r="B63" s="2309" t="s">
        <v>115</v>
      </c>
      <c r="C63" s="1935" t="s">
        <v>115</v>
      </c>
      <c r="D63" s="2311" t="s">
        <v>115</v>
      </c>
      <c r="E63" s="1935" t="s">
        <v>115</v>
      </c>
      <c r="F63" s="2309">
        <v>125</v>
      </c>
      <c r="G63" s="1935" t="s">
        <v>4291</v>
      </c>
    </row>
    <row r="64" spans="1:7" s="2310" customFormat="1" ht="19.5" customHeight="1" x14ac:dyDescent="0.3">
      <c r="A64" s="2312">
        <v>44105</v>
      </c>
      <c r="B64" s="2309" t="s">
        <v>115</v>
      </c>
      <c r="C64" s="1935" t="s">
        <v>115</v>
      </c>
      <c r="D64" s="2311" t="s">
        <v>115</v>
      </c>
      <c r="E64" s="1935" t="s">
        <v>115</v>
      </c>
      <c r="F64" s="2309">
        <v>100</v>
      </c>
      <c r="G64" s="1935" t="s">
        <v>4292</v>
      </c>
    </row>
    <row r="65" spans="1:16" s="2310" customFormat="1" ht="19.5" customHeight="1" x14ac:dyDescent="0.3">
      <c r="A65" s="2312">
        <v>44136</v>
      </c>
      <c r="B65" s="2309" t="s">
        <v>115</v>
      </c>
      <c r="C65" s="1935" t="s">
        <v>115</v>
      </c>
      <c r="D65" s="2311" t="s">
        <v>115</v>
      </c>
      <c r="E65" s="1935" t="s">
        <v>115</v>
      </c>
      <c r="F65" s="2309">
        <v>100</v>
      </c>
      <c r="G65" s="1935" t="s">
        <v>4291</v>
      </c>
    </row>
    <row r="66" spans="1:16" s="2310" customFormat="1" ht="19.5" customHeight="1" x14ac:dyDescent="0.3">
      <c r="A66" s="2312">
        <v>44166</v>
      </c>
      <c r="B66" s="2309" t="s">
        <v>115</v>
      </c>
      <c r="C66" s="1935" t="s">
        <v>115</v>
      </c>
      <c r="D66" s="2311" t="s">
        <v>115</v>
      </c>
      <c r="E66" s="1935" t="s">
        <v>115</v>
      </c>
      <c r="F66" s="2309">
        <v>50</v>
      </c>
      <c r="G66" s="1935" t="s">
        <v>4293</v>
      </c>
    </row>
    <row r="67" spans="1:16" s="2310" customFormat="1" ht="19.5" customHeight="1" x14ac:dyDescent="0.3">
      <c r="A67" s="2312">
        <v>44197</v>
      </c>
      <c r="B67" s="2309" t="s">
        <v>115</v>
      </c>
      <c r="C67" s="1935" t="s">
        <v>115</v>
      </c>
      <c r="D67" s="2311" t="s">
        <v>115</v>
      </c>
      <c r="E67" s="1935" t="s">
        <v>115</v>
      </c>
      <c r="F67" s="2309">
        <v>100</v>
      </c>
      <c r="G67" s="1935" t="s">
        <v>4294</v>
      </c>
    </row>
    <row r="68" spans="1:16" s="2310" customFormat="1" ht="19.5" customHeight="1" x14ac:dyDescent="0.3">
      <c r="A68" s="2312">
        <v>44228</v>
      </c>
      <c r="B68" s="2309" t="s">
        <v>115</v>
      </c>
      <c r="C68" s="1935" t="s">
        <v>115</v>
      </c>
      <c r="D68" s="2311" t="s">
        <v>115</v>
      </c>
      <c r="E68" s="1935" t="s">
        <v>115</v>
      </c>
      <c r="F68" s="2309">
        <v>75</v>
      </c>
      <c r="G68" s="1935" t="s">
        <v>4295</v>
      </c>
    </row>
    <row r="69" spans="1:16" s="2310" customFormat="1" ht="19.5" customHeight="1" x14ac:dyDescent="0.3">
      <c r="A69" s="2312">
        <v>44256</v>
      </c>
      <c r="B69" s="2309" t="s">
        <v>115</v>
      </c>
      <c r="C69" s="1935" t="s">
        <v>115</v>
      </c>
      <c r="D69" s="2311" t="s">
        <v>115</v>
      </c>
      <c r="E69" s="1935" t="s">
        <v>115</v>
      </c>
      <c r="F69" s="2309">
        <v>125</v>
      </c>
      <c r="G69" s="1935" t="s">
        <v>4296</v>
      </c>
    </row>
    <row r="70" spans="1:16" s="2310" customFormat="1" ht="19.5" customHeight="1" x14ac:dyDescent="0.3">
      <c r="A70" s="2312">
        <v>44287</v>
      </c>
      <c r="B70" s="2309" t="s">
        <v>115</v>
      </c>
      <c r="C70" s="1935" t="s">
        <v>115</v>
      </c>
      <c r="D70" s="2311" t="s">
        <v>115</v>
      </c>
      <c r="E70" s="1935" t="s">
        <v>115</v>
      </c>
      <c r="F70" s="2309">
        <v>150</v>
      </c>
      <c r="G70" s="1935" t="s">
        <v>4297</v>
      </c>
    </row>
    <row r="71" spans="1:16" s="2310" customFormat="1" ht="19.5" customHeight="1" x14ac:dyDescent="0.3">
      <c r="A71" s="2312">
        <v>44317</v>
      </c>
      <c r="B71" s="2309" t="s">
        <v>115</v>
      </c>
      <c r="C71" s="1935" t="s">
        <v>115</v>
      </c>
      <c r="D71" s="2311" t="s">
        <v>115</v>
      </c>
      <c r="E71" s="1935" t="s">
        <v>115</v>
      </c>
      <c r="F71" s="2309">
        <v>75</v>
      </c>
      <c r="G71" s="1935" t="s">
        <v>4297</v>
      </c>
    </row>
    <row r="72" spans="1:16" s="2310" customFormat="1" ht="19.5" customHeight="1" x14ac:dyDescent="0.3">
      <c r="A72" s="2312">
        <v>44348</v>
      </c>
      <c r="B72" s="2309" t="s">
        <v>115</v>
      </c>
      <c r="C72" s="1935" t="s">
        <v>115</v>
      </c>
      <c r="D72" s="2311" t="s">
        <v>115</v>
      </c>
      <c r="E72" s="1935" t="s">
        <v>115</v>
      </c>
      <c r="F72" s="2309">
        <v>50</v>
      </c>
      <c r="G72" s="1935" t="s">
        <v>4298</v>
      </c>
    </row>
    <row r="73" spans="1:16" s="2310" customFormat="1" ht="19.5" customHeight="1" x14ac:dyDescent="0.3">
      <c r="A73" s="2312">
        <v>44378</v>
      </c>
      <c r="B73" s="2309" t="s">
        <v>115</v>
      </c>
      <c r="C73" s="1935" t="s">
        <v>115</v>
      </c>
      <c r="D73" s="2311" t="s">
        <v>115</v>
      </c>
      <c r="E73" s="1935" t="s">
        <v>115</v>
      </c>
      <c r="F73" s="2309">
        <v>85</v>
      </c>
      <c r="G73" s="1935" t="s">
        <v>4299</v>
      </c>
    </row>
    <row r="74" spans="1:16" s="2310" customFormat="1" ht="6.75" customHeight="1" thickBot="1" x14ac:dyDescent="0.35">
      <c r="A74" s="2315"/>
      <c r="B74" s="2316"/>
      <c r="C74" s="2316"/>
      <c r="D74" s="2316"/>
      <c r="E74" s="2317"/>
      <c r="F74" s="2316"/>
      <c r="G74" s="2316"/>
    </row>
    <row r="75" spans="1:16" s="2319" customFormat="1" ht="18.75" customHeight="1" x14ac:dyDescent="0.25">
      <c r="A75" s="2318" t="s">
        <v>3553</v>
      </c>
      <c r="C75" s="2320"/>
      <c r="D75" s="2321"/>
      <c r="P75" s="2322"/>
    </row>
    <row r="76" spans="1:16" s="2310" customFormat="1" ht="9.75" customHeight="1" x14ac:dyDescent="0.3"/>
    <row r="77" spans="1:16" s="2295" customFormat="1" ht="21.75" customHeight="1" x14ac:dyDescent="0.25">
      <c r="A77" s="1916" t="s">
        <v>4300</v>
      </c>
    </row>
    <row r="78" spans="1:16" s="2297" customFormat="1" ht="13.5" customHeight="1" thickBot="1" x14ac:dyDescent="0.3">
      <c r="A78" s="2296"/>
    </row>
    <row r="79" spans="1:16" s="2301" customFormat="1" ht="18" thickTop="1" thickBot="1" x14ac:dyDescent="0.3">
      <c r="A79" s="3851" t="s">
        <v>1</v>
      </c>
      <c r="B79" s="3854" t="s">
        <v>4301</v>
      </c>
      <c r="C79" s="3855"/>
      <c r="D79" s="3855"/>
      <c r="E79" s="3855"/>
      <c r="F79" s="3855"/>
      <c r="G79" s="3855"/>
      <c r="H79" s="3855"/>
      <c r="I79" s="3856" t="s">
        <v>4302</v>
      </c>
      <c r="J79" s="3855"/>
      <c r="K79" s="3855"/>
      <c r="L79" s="3855"/>
      <c r="M79" s="3855"/>
      <c r="N79" s="3855"/>
      <c r="O79" s="3857"/>
    </row>
    <row r="80" spans="1:16" s="2301" customFormat="1" ht="16.5" x14ac:dyDescent="0.25">
      <c r="A80" s="3852"/>
      <c r="B80" s="2302" t="s">
        <v>4303</v>
      </c>
      <c r="C80" s="2302" t="s">
        <v>4262</v>
      </c>
      <c r="D80" s="2302" t="s">
        <v>4304</v>
      </c>
      <c r="E80" s="2302" t="s">
        <v>4262</v>
      </c>
      <c r="F80" s="2323" t="s">
        <v>4305</v>
      </c>
      <c r="G80" s="2324" t="s">
        <v>4262</v>
      </c>
      <c r="H80" s="2325" t="s">
        <v>3326</v>
      </c>
      <c r="I80" s="2326" t="s">
        <v>4303</v>
      </c>
      <c r="J80" s="2302" t="s">
        <v>4262</v>
      </c>
      <c r="K80" s="2302" t="s">
        <v>4304</v>
      </c>
      <c r="L80" s="2302" t="s">
        <v>4262</v>
      </c>
      <c r="M80" s="2323" t="s">
        <v>4305</v>
      </c>
      <c r="N80" s="2324" t="s">
        <v>4262</v>
      </c>
      <c r="O80" s="2327" t="s">
        <v>3326</v>
      </c>
    </row>
    <row r="81" spans="1:15" s="2330" customFormat="1" ht="16.5" x14ac:dyDescent="0.25">
      <c r="A81" s="3852"/>
      <c r="B81" s="3858" t="s">
        <v>4265</v>
      </c>
      <c r="C81" s="3858" t="s">
        <v>3969</v>
      </c>
      <c r="D81" s="3858" t="s">
        <v>4306</v>
      </c>
      <c r="E81" s="3858" t="s">
        <v>4307</v>
      </c>
      <c r="F81" s="3860" t="s">
        <v>4308</v>
      </c>
      <c r="G81" s="3846" t="s">
        <v>4309</v>
      </c>
      <c r="H81" s="2328" t="s">
        <v>4310</v>
      </c>
      <c r="I81" s="3862" t="s">
        <v>4265</v>
      </c>
      <c r="J81" s="3858" t="s">
        <v>3969</v>
      </c>
      <c r="K81" s="3858" t="s">
        <v>4306</v>
      </c>
      <c r="L81" s="3858" t="s">
        <v>4307</v>
      </c>
      <c r="M81" s="3860" t="s">
        <v>4308</v>
      </c>
      <c r="N81" s="3846" t="s">
        <v>4309</v>
      </c>
      <c r="O81" s="2329" t="s">
        <v>4310</v>
      </c>
    </row>
    <row r="82" spans="1:15" s="2330" customFormat="1" ht="17.25" thickBot="1" x14ac:dyDescent="0.3">
      <c r="A82" s="3853"/>
      <c r="B82" s="3859"/>
      <c r="C82" s="3859"/>
      <c r="D82" s="3859"/>
      <c r="E82" s="3859"/>
      <c r="F82" s="3861"/>
      <c r="G82" s="3847"/>
      <c r="H82" s="2331" t="s">
        <v>4311</v>
      </c>
      <c r="I82" s="3863"/>
      <c r="J82" s="3859"/>
      <c r="K82" s="3859"/>
      <c r="L82" s="3859"/>
      <c r="M82" s="3861"/>
      <c r="N82" s="3847"/>
      <c r="O82" s="2332" t="s">
        <v>4311</v>
      </c>
    </row>
    <row r="83" spans="1:15" s="2297" customFormat="1" ht="19.5" hidden="1" customHeight="1" x14ac:dyDescent="0.25">
      <c r="A83" s="2333">
        <v>42370</v>
      </c>
      <c r="B83" s="2334"/>
      <c r="C83" s="2335"/>
      <c r="D83" s="2334">
        <v>0.251</v>
      </c>
      <c r="E83" s="2335" t="s">
        <v>4312</v>
      </c>
      <c r="F83" s="2336" t="s">
        <v>115</v>
      </c>
      <c r="G83" s="2337" t="s">
        <v>115</v>
      </c>
      <c r="H83" s="2338" t="s">
        <v>115</v>
      </c>
      <c r="I83" s="2339">
        <v>4</v>
      </c>
      <c r="J83" s="2337">
        <v>36.549999999999997</v>
      </c>
      <c r="K83" s="2340">
        <v>1.0167999999999999</v>
      </c>
      <c r="L83" s="2337" t="s">
        <v>4313</v>
      </c>
      <c r="M83" s="2337" t="s">
        <v>115</v>
      </c>
      <c r="N83" s="2337" t="s">
        <v>115</v>
      </c>
      <c r="O83" s="2341" t="s">
        <v>115</v>
      </c>
    </row>
    <row r="84" spans="1:15" s="2297" customFormat="1" ht="19.5" hidden="1" customHeight="1" x14ac:dyDescent="0.25">
      <c r="A84" s="2333">
        <v>42401</v>
      </c>
      <c r="B84" s="2334"/>
      <c r="C84" s="2335"/>
      <c r="D84" s="2334">
        <v>5.6000000000000001E-2</v>
      </c>
      <c r="E84" s="2335" t="s">
        <v>4314</v>
      </c>
      <c r="F84" s="2336" t="s">
        <v>115</v>
      </c>
      <c r="G84" s="2337" t="s">
        <v>115</v>
      </c>
      <c r="H84" s="2338" t="s">
        <v>115</v>
      </c>
      <c r="I84" s="2339">
        <v>3.7919999999999998</v>
      </c>
      <c r="J84" s="2337" t="s">
        <v>4315</v>
      </c>
      <c r="K84" s="2340">
        <v>0.69299999999999995</v>
      </c>
      <c r="L84" s="2337" t="s">
        <v>4316</v>
      </c>
      <c r="M84" s="2340">
        <v>0.19</v>
      </c>
      <c r="N84" s="2337" t="s">
        <v>4317</v>
      </c>
      <c r="O84" s="2341" t="s">
        <v>115</v>
      </c>
    </row>
    <row r="85" spans="1:15" s="2297" customFormat="1" ht="19.5" hidden="1" customHeight="1" x14ac:dyDescent="0.25">
      <c r="A85" s="2333">
        <v>42430</v>
      </c>
      <c r="B85" s="2334"/>
      <c r="C85" s="2335"/>
      <c r="D85" s="2334">
        <v>1.4159999999999999</v>
      </c>
      <c r="E85" s="2335" t="s">
        <v>4318</v>
      </c>
      <c r="F85" s="2336" t="s">
        <v>115</v>
      </c>
      <c r="G85" s="2337" t="s">
        <v>115</v>
      </c>
      <c r="H85" s="2338" t="s">
        <v>115</v>
      </c>
      <c r="I85" s="2339">
        <v>5.1832750000000001</v>
      </c>
      <c r="J85" s="2337" t="s">
        <v>4319</v>
      </c>
      <c r="K85" s="2340">
        <v>12.425000000000001</v>
      </c>
      <c r="L85" s="2337" t="s">
        <v>4320</v>
      </c>
      <c r="M85" s="2340">
        <v>0.108</v>
      </c>
      <c r="N85" s="2337" t="s">
        <v>4321</v>
      </c>
      <c r="O85" s="2341" t="s">
        <v>115</v>
      </c>
    </row>
    <row r="86" spans="1:15" s="2297" customFormat="1" ht="19.5" hidden="1" customHeight="1" x14ac:dyDescent="0.25">
      <c r="A86" s="2333">
        <v>42461</v>
      </c>
      <c r="B86" s="2334">
        <v>0.14199999999999999</v>
      </c>
      <c r="C86" s="2335">
        <v>35.130000000000003</v>
      </c>
      <c r="D86" s="2334">
        <v>0.122</v>
      </c>
      <c r="E86" s="2335" t="s">
        <v>4322</v>
      </c>
      <c r="F86" s="2336" t="s">
        <v>115</v>
      </c>
      <c r="G86" s="2337" t="s">
        <v>115</v>
      </c>
      <c r="H86" s="2338" t="s">
        <v>115</v>
      </c>
      <c r="I86" s="2339">
        <v>3.2</v>
      </c>
      <c r="J86" s="2337">
        <v>35.549999999999997</v>
      </c>
      <c r="K86" s="2340">
        <v>0.96499999999999997</v>
      </c>
      <c r="L86" s="2337" t="s">
        <v>4323</v>
      </c>
      <c r="M86" s="2340">
        <v>0.34899999999999998</v>
      </c>
      <c r="N86" s="2337" t="s">
        <v>4324</v>
      </c>
      <c r="O86" s="2341" t="s">
        <v>115</v>
      </c>
    </row>
    <row r="87" spans="1:15" s="2297" customFormat="1" ht="19.5" hidden="1" customHeight="1" x14ac:dyDescent="0.25">
      <c r="A87" s="2333">
        <v>42491</v>
      </c>
      <c r="B87" s="2342">
        <v>45</v>
      </c>
      <c r="C87" s="2335">
        <v>35.04</v>
      </c>
      <c r="D87" s="2334">
        <v>0.63100000000000001</v>
      </c>
      <c r="E87" s="2335" t="s">
        <v>4325</v>
      </c>
      <c r="F87" s="2336" t="s">
        <v>115</v>
      </c>
      <c r="G87" s="2337" t="s">
        <v>115</v>
      </c>
      <c r="H87" s="2338" t="s">
        <v>115</v>
      </c>
      <c r="I87" s="2339">
        <v>4.3380000000000001</v>
      </c>
      <c r="J87" s="2337" t="s">
        <v>4268</v>
      </c>
      <c r="K87" s="2340">
        <v>3.1059999999999999</v>
      </c>
      <c r="L87" s="2337" t="s">
        <v>4326</v>
      </c>
      <c r="M87" s="2340">
        <v>0.34399999999999997</v>
      </c>
      <c r="N87" s="2337" t="s">
        <v>4327</v>
      </c>
      <c r="O87" s="2341" t="s">
        <v>115</v>
      </c>
    </row>
    <row r="88" spans="1:15" s="2297" customFormat="1" ht="19.5" hidden="1" customHeight="1" x14ac:dyDescent="0.25">
      <c r="A88" s="2333">
        <v>42522</v>
      </c>
      <c r="B88" s="2334">
        <v>0.39800000000000002</v>
      </c>
      <c r="C88" s="2335">
        <v>35.21</v>
      </c>
      <c r="D88" s="2335">
        <v>10.050000000000001</v>
      </c>
      <c r="E88" s="2335" t="s">
        <v>4328</v>
      </c>
      <c r="F88" s="2336" t="s">
        <v>115</v>
      </c>
      <c r="G88" s="2337" t="s">
        <v>115</v>
      </c>
      <c r="H88" s="2338" t="s">
        <v>115</v>
      </c>
      <c r="I88" s="2339">
        <v>4.4889999999999999</v>
      </c>
      <c r="J88" s="2337" t="s">
        <v>4329</v>
      </c>
      <c r="K88" s="2340">
        <v>2.5750000000000002</v>
      </c>
      <c r="L88" s="2337" t="s">
        <v>4330</v>
      </c>
      <c r="M88" s="2340">
        <v>1.2470000000000001</v>
      </c>
      <c r="N88" s="2337" t="s">
        <v>4331</v>
      </c>
      <c r="O88" s="2341" t="s">
        <v>115</v>
      </c>
    </row>
    <row r="89" spans="1:15" s="2297" customFormat="1" ht="19.5" hidden="1" customHeight="1" x14ac:dyDescent="0.25">
      <c r="A89" s="2333">
        <v>42552</v>
      </c>
      <c r="B89" s="2334" t="s">
        <v>115</v>
      </c>
      <c r="C89" s="2335" t="s">
        <v>115</v>
      </c>
      <c r="D89" s="2334">
        <v>0.29299999999999998</v>
      </c>
      <c r="E89" s="2335" t="s">
        <v>4332</v>
      </c>
      <c r="F89" s="2336" t="s">
        <v>115</v>
      </c>
      <c r="G89" s="2337" t="s">
        <v>115</v>
      </c>
      <c r="H89" s="2338" t="s">
        <v>115</v>
      </c>
      <c r="I89" s="2339">
        <v>1.663</v>
      </c>
      <c r="J89" s="2337">
        <v>35.85</v>
      </c>
      <c r="K89" s="2340">
        <v>0.64900000000000002</v>
      </c>
      <c r="L89" s="2337" t="s">
        <v>4333</v>
      </c>
      <c r="M89" s="2340">
        <v>0.129</v>
      </c>
      <c r="N89" s="2337">
        <v>47.86</v>
      </c>
      <c r="O89" s="2341" t="s">
        <v>115</v>
      </c>
    </row>
    <row r="90" spans="1:15" s="2297" customFormat="1" ht="19.5" hidden="1" customHeight="1" x14ac:dyDescent="0.25">
      <c r="A90" s="2333">
        <v>42583</v>
      </c>
      <c r="B90" s="2334" t="s">
        <v>115</v>
      </c>
      <c r="C90" s="2335" t="s">
        <v>115</v>
      </c>
      <c r="D90" s="2334">
        <v>0.96099999999999997</v>
      </c>
      <c r="E90" s="2335" t="s">
        <v>4334</v>
      </c>
      <c r="F90" s="2336" t="s">
        <v>115</v>
      </c>
      <c r="G90" s="2337" t="s">
        <v>115</v>
      </c>
      <c r="H90" s="2338" t="s">
        <v>115</v>
      </c>
      <c r="I90" s="2339" t="s">
        <v>115</v>
      </c>
      <c r="J90" s="2337" t="s">
        <v>115</v>
      </c>
      <c r="K90" s="2340">
        <v>1.2110000000000001</v>
      </c>
      <c r="L90" s="2337" t="s">
        <v>4335</v>
      </c>
      <c r="M90" s="2340" t="s">
        <v>115</v>
      </c>
      <c r="N90" s="2337" t="s">
        <v>115</v>
      </c>
      <c r="O90" s="2341" t="s">
        <v>115</v>
      </c>
    </row>
    <row r="91" spans="1:15" s="2297" customFormat="1" ht="19.5" hidden="1" customHeight="1" x14ac:dyDescent="0.25">
      <c r="A91" s="2333">
        <v>42614</v>
      </c>
      <c r="B91" s="2334" t="s">
        <v>115</v>
      </c>
      <c r="C91" s="2335" t="s">
        <v>115</v>
      </c>
      <c r="D91" s="2334">
        <v>15.598000000000001</v>
      </c>
      <c r="E91" s="2335" t="s">
        <v>4336</v>
      </c>
      <c r="F91" s="2336" t="s">
        <v>115</v>
      </c>
      <c r="G91" s="2337" t="s">
        <v>115</v>
      </c>
      <c r="H91" s="2338" t="s">
        <v>115</v>
      </c>
      <c r="I91" s="2339" t="s">
        <v>115</v>
      </c>
      <c r="J91" s="2337" t="s">
        <v>115</v>
      </c>
      <c r="K91" s="2340">
        <v>8.7690000000000001</v>
      </c>
      <c r="L91" s="2337" t="s">
        <v>4337</v>
      </c>
      <c r="M91" s="2340">
        <v>8.2000000000000003E-2</v>
      </c>
      <c r="N91" s="2337" t="s">
        <v>4338</v>
      </c>
      <c r="O91" s="2341" t="s">
        <v>115</v>
      </c>
    </row>
    <row r="92" spans="1:15" s="2297" customFormat="1" ht="19.5" hidden="1" customHeight="1" x14ac:dyDescent="0.25">
      <c r="A92" s="2333">
        <v>42644</v>
      </c>
      <c r="B92" s="2334" t="s">
        <v>115</v>
      </c>
      <c r="C92" s="2335" t="s">
        <v>115</v>
      </c>
      <c r="D92" s="2334">
        <v>0.93145199999999995</v>
      </c>
      <c r="E92" s="2335" t="s">
        <v>4339</v>
      </c>
      <c r="F92" s="2336" t="s">
        <v>115</v>
      </c>
      <c r="G92" s="2337" t="s">
        <v>115</v>
      </c>
      <c r="H92" s="2338" t="s">
        <v>115</v>
      </c>
      <c r="I92" s="2339" t="s">
        <v>115</v>
      </c>
      <c r="J92" s="2337" t="s">
        <v>115</v>
      </c>
      <c r="K92" s="2340">
        <v>0.504</v>
      </c>
      <c r="L92" s="2337" t="s">
        <v>4340</v>
      </c>
      <c r="M92" s="2340">
        <v>0.33200000000000002</v>
      </c>
      <c r="N92" s="2337" t="s">
        <v>4341</v>
      </c>
      <c r="O92" s="2341" t="s">
        <v>115</v>
      </c>
    </row>
    <row r="93" spans="1:15" s="2297" customFormat="1" ht="19.5" hidden="1" customHeight="1" x14ac:dyDescent="0.25">
      <c r="A93" s="2333">
        <v>42675</v>
      </c>
      <c r="B93" s="2334" t="s">
        <v>115</v>
      </c>
      <c r="C93" s="2335" t="s">
        <v>115</v>
      </c>
      <c r="D93" s="2334">
        <v>5.6289999999999996</v>
      </c>
      <c r="E93" s="2335" t="s">
        <v>4342</v>
      </c>
      <c r="F93" s="2336" t="s">
        <v>115</v>
      </c>
      <c r="G93" s="2337" t="s">
        <v>115</v>
      </c>
      <c r="H93" s="2338" t="s">
        <v>115</v>
      </c>
      <c r="I93" s="2339" t="s">
        <v>115</v>
      </c>
      <c r="J93" s="2337" t="s">
        <v>115</v>
      </c>
      <c r="K93" s="2340">
        <v>3.8</v>
      </c>
      <c r="L93" s="2337" t="s">
        <v>4343</v>
      </c>
      <c r="M93" s="2340">
        <v>0.32100000000000001</v>
      </c>
      <c r="N93" s="2337" t="s">
        <v>4344</v>
      </c>
      <c r="O93" s="2341" t="s">
        <v>115</v>
      </c>
    </row>
    <row r="94" spans="1:15" s="2297" customFormat="1" ht="19.5" hidden="1" customHeight="1" x14ac:dyDescent="0.25">
      <c r="A94" s="2333">
        <v>42705</v>
      </c>
      <c r="B94" s="2334" t="s">
        <v>115</v>
      </c>
      <c r="C94" s="2335" t="s">
        <v>115</v>
      </c>
      <c r="D94" s="2334">
        <v>27.902999999999999</v>
      </c>
      <c r="E94" s="2335" t="s">
        <v>4345</v>
      </c>
      <c r="F94" s="2336" t="s">
        <v>115</v>
      </c>
      <c r="G94" s="2337" t="s">
        <v>115</v>
      </c>
      <c r="H94" s="2338" t="s">
        <v>115</v>
      </c>
      <c r="I94" s="2339" t="s">
        <v>115</v>
      </c>
      <c r="J94" s="2337" t="s">
        <v>115</v>
      </c>
      <c r="K94" s="2340">
        <v>3.714</v>
      </c>
      <c r="L94" s="2337" t="s">
        <v>4346</v>
      </c>
      <c r="M94" s="2340">
        <v>1.226</v>
      </c>
      <c r="N94" s="2337" t="s">
        <v>4347</v>
      </c>
      <c r="O94" s="2341" t="s">
        <v>115</v>
      </c>
    </row>
    <row r="95" spans="1:15" s="2297" customFormat="1" ht="16.5" hidden="1" x14ac:dyDescent="0.25">
      <c r="A95" s="2343">
        <v>42736</v>
      </c>
      <c r="B95" s="2307" t="s">
        <v>115</v>
      </c>
      <c r="C95" s="1935" t="s">
        <v>115</v>
      </c>
      <c r="D95" s="2307">
        <v>0.41349999999999998</v>
      </c>
      <c r="E95" s="1935" t="s">
        <v>4348</v>
      </c>
      <c r="F95" s="2344" t="s">
        <v>115</v>
      </c>
      <c r="G95" s="2345" t="s">
        <v>115</v>
      </c>
      <c r="H95" s="2346" t="s">
        <v>115</v>
      </c>
      <c r="I95" s="2347" t="s">
        <v>115</v>
      </c>
      <c r="J95" s="2345" t="s">
        <v>115</v>
      </c>
      <c r="K95" s="2348">
        <v>1.214</v>
      </c>
      <c r="L95" s="2345" t="s">
        <v>4349</v>
      </c>
      <c r="M95" s="2348">
        <v>0.69879999999999998</v>
      </c>
      <c r="N95" s="2345" t="s">
        <v>4350</v>
      </c>
      <c r="O95" s="2349" t="s">
        <v>115</v>
      </c>
    </row>
    <row r="96" spans="1:15" s="2297" customFormat="1" ht="16.5" hidden="1" x14ac:dyDescent="0.25">
      <c r="A96" s="2343">
        <v>42767</v>
      </c>
      <c r="B96" s="2307" t="s">
        <v>115</v>
      </c>
      <c r="C96" s="1935" t="s">
        <v>115</v>
      </c>
      <c r="D96" s="2307">
        <v>0.29399999999999998</v>
      </c>
      <c r="E96" s="1935" t="s">
        <v>4351</v>
      </c>
      <c r="F96" s="2344" t="s">
        <v>115</v>
      </c>
      <c r="G96" s="2345" t="s">
        <v>115</v>
      </c>
      <c r="H96" s="2346" t="s">
        <v>115</v>
      </c>
      <c r="I96" s="2347" t="s">
        <v>115</v>
      </c>
      <c r="J96" s="2345" t="s">
        <v>115</v>
      </c>
      <c r="K96" s="2348">
        <v>0.377</v>
      </c>
      <c r="L96" s="2345" t="s">
        <v>4352</v>
      </c>
      <c r="M96" s="2348">
        <v>0.39</v>
      </c>
      <c r="N96" s="2345" t="s">
        <v>4353</v>
      </c>
      <c r="O96" s="2349" t="s">
        <v>115</v>
      </c>
    </row>
    <row r="97" spans="1:15" s="2297" customFormat="1" ht="16.5" hidden="1" x14ac:dyDescent="0.25">
      <c r="A97" s="2343">
        <v>42795</v>
      </c>
      <c r="B97" s="2307" t="s">
        <v>115</v>
      </c>
      <c r="C97" s="1935" t="s">
        <v>115</v>
      </c>
      <c r="D97" s="2307">
        <v>5.3479999999999999</v>
      </c>
      <c r="E97" s="1935" t="s">
        <v>4354</v>
      </c>
      <c r="F97" s="2344" t="s">
        <v>115</v>
      </c>
      <c r="G97" s="2345" t="s">
        <v>115</v>
      </c>
      <c r="H97" s="2346" t="s">
        <v>115</v>
      </c>
      <c r="I97" s="2347" t="s">
        <v>115</v>
      </c>
      <c r="J97" s="2345" t="s">
        <v>115</v>
      </c>
      <c r="K97" s="2348">
        <v>12.314</v>
      </c>
      <c r="L97" s="2345" t="s">
        <v>4355</v>
      </c>
      <c r="M97" s="2348" t="s">
        <v>115</v>
      </c>
      <c r="N97" s="2345" t="s">
        <v>115</v>
      </c>
      <c r="O97" s="2350">
        <v>1.2150000000000001</v>
      </c>
    </row>
    <row r="98" spans="1:15" s="2297" customFormat="1" ht="16.5" hidden="1" x14ac:dyDescent="0.25">
      <c r="A98" s="2343">
        <v>42826</v>
      </c>
      <c r="B98" s="2307" t="s">
        <v>115</v>
      </c>
      <c r="C98" s="1935" t="s">
        <v>115</v>
      </c>
      <c r="D98" s="2307">
        <v>0.60699999999999998</v>
      </c>
      <c r="E98" s="1935" t="s">
        <v>4356</v>
      </c>
      <c r="F98" s="2344" t="s">
        <v>115</v>
      </c>
      <c r="G98" s="2345" t="s">
        <v>115</v>
      </c>
      <c r="H98" s="2351">
        <v>4.4589999999999996</v>
      </c>
      <c r="I98" s="2347" t="s">
        <v>115</v>
      </c>
      <c r="J98" s="2345" t="s">
        <v>115</v>
      </c>
      <c r="K98" s="2348">
        <v>1.226</v>
      </c>
      <c r="L98" s="2345" t="s">
        <v>4357</v>
      </c>
      <c r="M98" s="2348">
        <v>0.255</v>
      </c>
      <c r="N98" s="2345" t="s">
        <v>4358</v>
      </c>
      <c r="O98" s="2350">
        <v>0.02</v>
      </c>
    </row>
    <row r="99" spans="1:15" s="2297" customFormat="1" ht="16.5" hidden="1" x14ac:dyDescent="0.25">
      <c r="A99" s="2343">
        <v>42856</v>
      </c>
      <c r="B99" s="2307" t="s">
        <v>115</v>
      </c>
      <c r="C99" s="1935" t="s">
        <v>115</v>
      </c>
      <c r="D99" s="2307">
        <v>0.504</v>
      </c>
      <c r="E99" s="1935" t="s">
        <v>4359</v>
      </c>
      <c r="F99" s="2344" t="s">
        <v>115</v>
      </c>
      <c r="G99" s="2345" t="s">
        <v>115</v>
      </c>
      <c r="H99" s="2351">
        <v>1E-3</v>
      </c>
      <c r="I99" s="2347" t="s">
        <v>115</v>
      </c>
      <c r="J99" s="2345" t="s">
        <v>115</v>
      </c>
      <c r="K99" s="2348">
        <v>3.6259999999999999</v>
      </c>
      <c r="L99" s="2345" t="s">
        <v>4360</v>
      </c>
      <c r="M99" s="2348">
        <v>4.7600000000000003E-2</v>
      </c>
      <c r="N99" s="2345" t="s">
        <v>4361</v>
      </c>
      <c r="O99" s="2350">
        <v>3.1798E-2</v>
      </c>
    </row>
    <row r="100" spans="1:15" s="2297" customFormat="1" ht="16.5" hidden="1" x14ac:dyDescent="0.25">
      <c r="A100" s="2343">
        <v>42887</v>
      </c>
      <c r="B100" s="2307" t="s">
        <v>115</v>
      </c>
      <c r="C100" s="1935" t="s">
        <v>115</v>
      </c>
      <c r="D100" s="2307">
        <v>9.0690000000000008</v>
      </c>
      <c r="E100" s="1935" t="s">
        <v>4362</v>
      </c>
      <c r="F100" s="2344" t="s">
        <v>115</v>
      </c>
      <c r="G100" s="2345" t="s">
        <v>115</v>
      </c>
      <c r="H100" s="2351">
        <v>0.71</v>
      </c>
      <c r="I100" s="2347" t="s">
        <v>115</v>
      </c>
      <c r="J100" s="2345" t="s">
        <v>115</v>
      </c>
      <c r="K100" s="2348">
        <v>3.855</v>
      </c>
      <c r="L100" s="2345" t="s">
        <v>4363</v>
      </c>
      <c r="M100" s="2348">
        <v>1.105</v>
      </c>
      <c r="N100" s="2345" t="s">
        <v>4364</v>
      </c>
      <c r="O100" s="2350">
        <v>0.112</v>
      </c>
    </row>
    <row r="101" spans="1:15" s="2297" customFormat="1" ht="16.5" hidden="1" x14ac:dyDescent="0.25">
      <c r="A101" s="2343">
        <v>42917</v>
      </c>
      <c r="B101" s="2307" t="s">
        <v>115</v>
      </c>
      <c r="C101" s="1935" t="s">
        <v>115</v>
      </c>
      <c r="D101" s="2307">
        <v>1.1140000000000001</v>
      </c>
      <c r="E101" s="1935" t="s">
        <v>4365</v>
      </c>
      <c r="F101" s="2344" t="s">
        <v>115</v>
      </c>
      <c r="G101" s="2345" t="s">
        <v>115</v>
      </c>
      <c r="H101" s="2351">
        <v>0.19500000000000001</v>
      </c>
      <c r="I101" s="2347" t="s">
        <v>115</v>
      </c>
      <c r="J101" s="2345" t="s">
        <v>115</v>
      </c>
      <c r="K101" s="2348">
        <v>0.54100000000000004</v>
      </c>
      <c r="L101" s="2345" t="s">
        <v>4366</v>
      </c>
      <c r="M101" s="2348" t="s">
        <v>115</v>
      </c>
      <c r="N101" s="2345" t="s">
        <v>115</v>
      </c>
      <c r="O101" s="2350">
        <v>2.4E-2</v>
      </c>
    </row>
    <row r="102" spans="1:15" s="2297" customFormat="1" ht="16.5" hidden="1" x14ac:dyDescent="0.25">
      <c r="A102" s="2343">
        <v>42948</v>
      </c>
      <c r="B102" s="2307" t="s">
        <v>115</v>
      </c>
      <c r="C102" s="1935" t="s">
        <v>115</v>
      </c>
      <c r="D102" s="2307">
        <v>0.4536</v>
      </c>
      <c r="E102" s="1935" t="s">
        <v>4367</v>
      </c>
      <c r="F102" s="2344" t="s">
        <v>115</v>
      </c>
      <c r="G102" s="2345" t="s">
        <v>115</v>
      </c>
      <c r="H102" s="2351">
        <v>3.7650000000000003E-2</v>
      </c>
      <c r="I102" s="2347" t="s">
        <v>115</v>
      </c>
      <c r="J102" s="2345" t="s">
        <v>115</v>
      </c>
      <c r="K102" s="2348">
        <v>1.0980350000000001</v>
      </c>
      <c r="L102" s="2345" t="s">
        <v>4368</v>
      </c>
      <c r="M102" s="2348" t="s">
        <v>115</v>
      </c>
      <c r="N102" s="2345" t="s">
        <v>115</v>
      </c>
      <c r="O102" s="2350">
        <v>0.37590000000000001</v>
      </c>
    </row>
    <row r="103" spans="1:15" s="2297" customFormat="1" ht="16.5" hidden="1" x14ac:dyDescent="0.25">
      <c r="A103" s="2343">
        <v>42979</v>
      </c>
      <c r="B103" s="2307" t="s">
        <v>115</v>
      </c>
      <c r="C103" s="1935" t="s">
        <v>115</v>
      </c>
      <c r="D103" s="2307">
        <v>2.1080000000000001</v>
      </c>
      <c r="E103" s="1935" t="s">
        <v>4369</v>
      </c>
      <c r="F103" s="2344" t="s">
        <v>115</v>
      </c>
      <c r="G103" s="2345" t="s">
        <v>115</v>
      </c>
      <c r="H103" s="2351">
        <v>0.24299999999999999</v>
      </c>
      <c r="I103" s="2347" t="s">
        <v>115</v>
      </c>
      <c r="J103" s="2345" t="s">
        <v>115</v>
      </c>
      <c r="K103" s="2348">
        <v>12.426</v>
      </c>
      <c r="L103" s="2345" t="s">
        <v>4370</v>
      </c>
      <c r="M103" s="2348" t="s">
        <v>115</v>
      </c>
      <c r="N103" s="2345" t="s">
        <v>115</v>
      </c>
      <c r="O103" s="2350">
        <v>1.2669999999999999</v>
      </c>
    </row>
    <row r="104" spans="1:15" s="2297" customFormat="1" ht="16.5" hidden="1" x14ac:dyDescent="0.25">
      <c r="A104" s="2343">
        <v>43009</v>
      </c>
      <c r="B104" s="2307" t="s">
        <v>115</v>
      </c>
      <c r="C104" s="1935" t="s">
        <v>115</v>
      </c>
      <c r="D104" s="2307">
        <v>13.933999999999999</v>
      </c>
      <c r="E104" s="1935" t="s">
        <v>4371</v>
      </c>
      <c r="F104" s="2344" t="s">
        <v>115</v>
      </c>
      <c r="G104" s="2345" t="s">
        <v>115</v>
      </c>
      <c r="H104" s="2351">
        <v>0.38927699999999998</v>
      </c>
      <c r="I104" s="2347" t="s">
        <v>115</v>
      </c>
      <c r="J104" s="2345" t="s">
        <v>115</v>
      </c>
      <c r="K104" s="2348">
        <v>0.55583499999999997</v>
      </c>
      <c r="L104" s="2345" t="s">
        <v>4372</v>
      </c>
      <c r="M104" s="2348">
        <v>8.6999999999999994E-2</v>
      </c>
      <c r="N104" s="2345" t="s">
        <v>4373</v>
      </c>
      <c r="O104" s="2350">
        <v>1.7999999999999999E-2</v>
      </c>
    </row>
    <row r="105" spans="1:15" s="2297" customFormat="1" ht="16.5" hidden="1" x14ac:dyDescent="0.25">
      <c r="A105" s="2343">
        <v>43040</v>
      </c>
      <c r="B105" s="2307" t="s">
        <v>115</v>
      </c>
      <c r="C105" s="1935" t="s">
        <v>115</v>
      </c>
      <c r="D105" s="2307">
        <v>1.0269999999999999</v>
      </c>
      <c r="E105" s="1935" t="s">
        <v>4374</v>
      </c>
      <c r="F105" s="2344" t="s">
        <v>115</v>
      </c>
      <c r="G105" s="2345" t="s">
        <v>115</v>
      </c>
      <c r="H105" s="2351">
        <v>1.6E-2</v>
      </c>
      <c r="I105" s="2347" t="s">
        <v>115</v>
      </c>
      <c r="J105" s="2345" t="s">
        <v>115</v>
      </c>
      <c r="K105" s="2348">
        <v>3.3029999999999999</v>
      </c>
      <c r="L105" s="2345" t="s">
        <v>4375</v>
      </c>
      <c r="M105" s="2348">
        <v>0.41199999999999998</v>
      </c>
      <c r="N105" s="2345" t="s">
        <v>4376</v>
      </c>
      <c r="O105" s="2350">
        <v>7.5999999999999998E-2</v>
      </c>
    </row>
    <row r="106" spans="1:15" s="2297" customFormat="1" ht="16.5" hidden="1" x14ac:dyDescent="0.25">
      <c r="A106" s="2343">
        <v>43070</v>
      </c>
      <c r="B106" s="2307" t="s">
        <v>115</v>
      </c>
      <c r="C106" s="1935" t="s">
        <v>115</v>
      </c>
      <c r="D106" s="2307">
        <v>6.9969999999999999</v>
      </c>
      <c r="E106" s="1935" t="s">
        <v>4377</v>
      </c>
      <c r="F106" s="2344" t="s">
        <v>115</v>
      </c>
      <c r="G106" s="2345" t="s">
        <v>115</v>
      </c>
      <c r="H106" s="2351">
        <v>1.3640000000000001</v>
      </c>
      <c r="I106" s="2347" t="s">
        <v>115</v>
      </c>
      <c r="J106" s="2345" t="s">
        <v>115</v>
      </c>
      <c r="K106" s="2348">
        <v>3.5510000000000002</v>
      </c>
      <c r="L106" s="2345" t="s">
        <v>4378</v>
      </c>
      <c r="M106" s="2348">
        <v>1.0349999999999999</v>
      </c>
      <c r="N106" s="2345" t="s">
        <v>4379</v>
      </c>
      <c r="O106" s="2350">
        <v>4.2000000000000003E-2</v>
      </c>
    </row>
    <row r="107" spans="1:15" s="2297" customFormat="1" ht="16.5" hidden="1" x14ac:dyDescent="0.25">
      <c r="A107" s="2343">
        <v>43101</v>
      </c>
      <c r="B107" s="2307" t="s">
        <v>115</v>
      </c>
      <c r="C107" s="1935" t="s">
        <v>115</v>
      </c>
      <c r="D107" s="2307">
        <v>1.919</v>
      </c>
      <c r="E107" s="1935" t="s">
        <v>4380</v>
      </c>
      <c r="F107" s="2344" t="s">
        <v>115</v>
      </c>
      <c r="G107" s="2345" t="s">
        <v>115</v>
      </c>
      <c r="H107" s="2351">
        <v>1E-3</v>
      </c>
      <c r="I107" s="2347" t="s">
        <v>115</v>
      </c>
      <c r="J107" s="2345" t="s">
        <v>115</v>
      </c>
      <c r="K107" s="2348">
        <v>1.0469999999999999</v>
      </c>
      <c r="L107" s="2345" t="s">
        <v>4381</v>
      </c>
      <c r="M107" s="2348" t="s">
        <v>115</v>
      </c>
      <c r="N107" s="2345" t="s">
        <v>115</v>
      </c>
      <c r="O107" s="2350">
        <v>2.5999999999999999E-2</v>
      </c>
    </row>
    <row r="108" spans="1:15" s="2297" customFormat="1" ht="12.75" hidden="1" customHeight="1" x14ac:dyDescent="0.25">
      <c r="A108" s="2343">
        <v>43132</v>
      </c>
      <c r="B108" s="2307" t="s">
        <v>115</v>
      </c>
      <c r="C108" s="1935" t="s">
        <v>115</v>
      </c>
      <c r="D108" s="2307">
        <v>0.59199999999999997</v>
      </c>
      <c r="E108" s="1935" t="s">
        <v>4382</v>
      </c>
      <c r="F108" s="2344" t="s">
        <v>115</v>
      </c>
      <c r="G108" s="2345" t="s">
        <v>115</v>
      </c>
      <c r="H108" s="2351">
        <v>0.02</v>
      </c>
      <c r="I108" s="2347" t="s">
        <v>115</v>
      </c>
      <c r="J108" s="2345" t="s">
        <v>115</v>
      </c>
      <c r="K108" s="2348">
        <v>1.0489999999999999</v>
      </c>
      <c r="L108" s="2345" t="s">
        <v>4383</v>
      </c>
      <c r="M108" s="2348">
        <v>0.57499999999999996</v>
      </c>
      <c r="N108" s="2345" t="s">
        <v>4384</v>
      </c>
      <c r="O108" s="2350">
        <v>0.39</v>
      </c>
    </row>
    <row r="109" spans="1:15" s="2297" customFormat="1" ht="16.5" hidden="1" x14ac:dyDescent="0.25">
      <c r="A109" s="2343">
        <v>43191</v>
      </c>
      <c r="B109" s="2307" t="s">
        <v>115</v>
      </c>
      <c r="C109" s="1935" t="s">
        <v>115</v>
      </c>
      <c r="D109" s="2307">
        <v>14.351000000000001</v>
      </c>
      <c r="E109" s="1935" t="s">
        <v>4385</v>
      </c>
      <c r="F109" s="2344" t="s">
        <v>115</v>
      </c>
      <c r="G109" s="2345" t="s">
        <v>115</v>
      </c>
      <c r="H109" s="2351">
        <v>2.3E-2</v>
      </c>
      <c r="I109" s="2347" t="s">
        <v>115</v>
      </c>
      <c r="J109" s="2345" t="s">
        <v>115</v>
      </c>
      <c r="K109" s="2348">
        <v>0.57299999999999995</v>
      </c>
      <c r="L109" s="2345" t="s">
        <v>4386</v>
      </c>
      <c r="M109" s="2348">
        <v>0.73899999999999999</v>
      </c>
      <c r="N109" s="2345" t="s">
        <v>4387</v>
      </c>
      <c r="O109" s="2350">
        <v>0.79800000000000004</v>
      </c>
    </row>
    <row r="110" spans="1:15" s="2297" customFormat="1" ht="16.5" hidden="1" x14ac:dyDescent="0.25">
      <c r="A110" s="2343">
        <v>43221</v>
      </c>
      <c r="B110" s="2307">
        <v>12.712</v>
      </c>
      <c r="C110" s="1935">
        <v>34.22</v>
      </c>
      <c r="D110" s="2307">
        <v>1.101</v>
      </c>
      <c r="E110" s="1935" t="s">
        <v>4388</v>
      </c>
      <c r="F110" s="2344" t="s">
        <v>115</v>
      </c>
      <c r="G110" s="2345" t="s">
        <v>115</v>
      </c>
      <c r="H110" s="2351">
        <v>1.9E-2</v>
      </c>
      <c r="I110" s="2347" t="s">
        <v>115</v>
      </c>
      <c r="J110" s="2345" t="s">
        <v>115</v>
      </c>
      <c r="K110" s="2348">
        <v>4.7489999999999997</v>
      </c>
      <c r="L110" s="2345" t="s">
        <v>4389</v>
      </c>
      <c r="M110" s="2348">
        <v>0.22900000000000001</v>
      </c>
      <c r="N110" s="2345" t="s">
        <v>4390</v>
      </c>
      <c r="O110" s="2350">
        <v>6.5000000000000002E-2</v>
      </c>
    </row>
    <row r="111" spans="1:15" s="2297" customFormat="1" ht="16.5" hidden="1" x14ac:dyDescent="0.25">
      <c r="A111" s="2343">
        <v>43252</v>
      </c>
      <c r="B111" s="2307" t="s">
        <v>115</v>
      </c>
      <c r="C111" s="1935" t="s">
        <v>115</v>
      </c>
      <c r="D111" s="2307">
        <v>9.5920000000000005</v>
      </c>
      <c r="E111" s="1935" t="s">
        <v>4391</v>
      </c>
      <c r="F111" s="2344" t="s">
        <v>115</v>
      </c>
      <c r="G111" s="2345" t="s">
        <v>115</v>
      </c>
      <c r="H111" s="2351">
        <v>1.504</v>
      </c>
      <c r="I111" s="2347" t="s">
        <v>115</v>
      </c>
      <c r="J111" s="2345" t="s">
        <v>115</v>
      </c>
      <c r="K111" s="2348">
        <v>21.206</v>
      </c>
      <c r="L111" s="2345" t="s">
        <v>4392</v>
      </c>
      <c r="M111" s="2348">
        <v>1.175</v>
      </c>
      <c r="N111" s="2345" t="s">
        <v>4393</v>
      </c>
      <c r="O111" s="2350">
        <v>0.10100000000000001</v>
      </c>
    </row>
    <row r="112" spans="1:15" s="2297" customFormat="1" ht="16.5" hidden="1" x14ac:dyDescent="0.25">
      <c r="A112" s="2343">
        <v>43282</v>
      </c>
      <c r="B112" s="2307" t="s">
        <v>115</v>
      </c>
      <c r="C112" s="1935" t="s">
        <v>115</v>
      </c>
      <c r="D112" s="2307">
        <v>0.84981899999999999</v>
      </c>
      <c r="E112" s="1935" t="s">
        <v>4394</v>
      </c>
      <c r="F112" s="2344" t="s">
        <v>115</v>
      </c>
      <c r="G112" s="2345" t="s">
        <v>115</v>
      </c>
      <c r="H112" s="2351">
        <v>6.0000000000000001E-3</v>
      </c>
      <c r="I112" s="2347" t="s">
        <v>115</v>
      </c>
      <c r="J112" s="2345" t="s">
        <v>115</v>
      </c>
      <c r="K112" s="2348">
        <v>0.457623</v>
      </c>
      <c r="L112" s="2345" t="s">
        <v>4395</v>
      </c>
      <c r="M112" s="2348">
        <v>0.128</v>
      </c>
      <c r="N112" s="2345">
        <v>46.03</v>
      </c>
      <c r="O112" s="2350">
        <v>5.7000000000000002E-2</v>
      </c>
    </row>
    <row r="113" spans="1:15" s="2297" customFormat="1" ht="16.5" hidden="1" x14ac:dyDescent="0.25">
      <c r="A113" s="2343">
        <v>43313</v>
      </c>
      <c r="B113" s="2307" t="s">
        <v>115</v>
      </c>
      <c r="C113" s="1935" t="s">
        <v>115</v>
      </c>
      <c r="D113" s="2307">
        <v>0.998</v>
      </c>
      <c r="E113" s="1935" t="s">
        <v>4396</v>
      </c>
      <c r="F113" s="2344" t="s">
        <v>115</v>
      </c>
      <c r="G113" s="2345" t="s">
        <v>115</v>
      </c>
      <c r="H113" s="2351">
        <v>1.7999999999999999E-2</v>
      </c>
      <c r="I113" s="2347" t="s">
        <v>115</v>
      </c>
      <c r="J113" s="2345" t="s">
        <v>115</v>
      </c>
      <c r="K113" s="2348">
        <v>5.8879999999999999</v>
      </c>
      <c r="L113" s="2345" t="s">
        <v>4397</v>
      </c>
      <c r="M113" s="2348" t="s">
        <v>115</v>
      </c>
      <c r="N113" s="2345" t="s">
        <v>115</v>
      </c>
      <c r="O113" s="2350">
        <v>0.38600000000000001</v>
      </c>
    </row>
    <row r="114" spans="1:15" s="2297" customFormat="1" ht="16.5" hidden="1" x14ac:dyDescent="0.25">
      <c r="A114" s="2343">
        <v>43344</v>
      </c>
      <c r="B114" s="2307" t="s">
        <v>115</v>
      </c>
      <c r="C114" s="1935" t="s">
        <v>115</v>
      </c>
      <c r="D114" s="2307">
        <v>1.387</v>
      </c>
      <c r="E114" s="1935" t="s">
        <v>4398</v>
      </c>
      <c r="F114" s="2344" t="s">
        <v>115</v>
      </c>
      <c r="G114" s="2345" t="s">
        <v>115</v>
      </c>
      <c r="H114" s="2351">
        <v>0.26400000000000001</v>
      </c>
      <c r="I114" s="2347" t="s">
        <v>115</v>
      </c>
      <c r="J114" s="2345" t="s">
        <v>115</v>
      </c>
      <c r="K114" s="2348">
        <v>12.827</v>
      </c>
      <c r="L114" s="2345" t="s">
        <v>4399</v>
      </c>
      <c r="M114" s="2348" t="s">
        <v>115</v>
      </c>
      <c r="N114" s="2345" t="s">
        <v>115</v>
      </c>
      <c r="O114" s="2350">
        <v>1.2969999999999999</v>
      </c>
    </row>
    <row r="115" spans="1:15" s="2297" customFormat="1" ht="16.5" hidden="1" x14ac:dyDescent="0.25">
      <c r="A115" s="2343">
        <v>43374</v>
      </c>
      <c r="B115" s="2307" t="s">
        <v>115</v>
      </c>
      <c r="C115" s="1935" t="s">
        <v>115</v>
      </c>
      <c r="D115" s="2307">
        <v>0.73099999999999998</v>
      </c>
      <c r="E115" s="1935" t="s">
        <v>4400</v>
      </c>
      <c r="F115" s="2344" t="s">
        <v>115</v>
      </c>
      <c r="G115" s="2345" t="s">
        <v>115</v>
      </c>
      <c r="H115" s="2351">
        <v>0.66600000000000004</v>
      </c>
      <c r="I115" s="2347" t="s">
        <v>115</v>
      </c>
      <c r="J115" s="2345" t="s">
        <v>115</v>
      </c>
      <c r="K115" s="2348">
        <v>0.79900000000000004</v>
      </c>
      <c r="L115" s="2345" t="s">
        <v>4401</v>
      </c>
      <c r="M115" s="2348">
        <v>0.38</v>
      </c>
      <c r="N115" s="2345" t="s">
        <v>4402</v>
      </c>
      <c r="O115" s="2350">
        <v>3.9E-2</v>
      </c>
    </row>
    <row r="116" spans="1:15" s="2297" customFormat="1" ht="16.5" hidden="1" x14ac:dyDescent="0.25">
      <c r="A116" s="2343">
        <v>43405</v>
      </c>
      <c r="B116" s="2307">
        <v>29</v>
      </c>
      <c r="C116" s="1935">
        <v>34.119999999999997</v>
      </c>
      <c r="D116" s="2307">
        <v>1.473516</v>
      </c>
      <c r="E116" s="1935" t="s">
        <v>4403</v>
      </c>
      <c r="F116" s="2344" t="s">
        <v>115</v>
      </c>
      <c r="G116" s="2345" t="s">
        <v>115</v>
      </c>
      <c r="H116" s="2351">
        <v>9.0499999999999997E-2</v>
      </c>
      <c r="I116" s="2347" t="s">
        <v>115</v>
      </c>
      <c r="J116" s="2345" t="s">
        <v>115</v>
      </c>
      <c r="K116" s="2348">
        <v>4.7976999999999999</v>
      </c>
      <c r="L116" s="2345" t="s">
        <v>4404</v>
      </c>
      <c r="M116" s="2348">
        <v>0.51970000000000005</v>
      </c>
      <c r="N116" s="2345" t="s">
        <v>4405</v>
      </c>
      <c r="O116" s="2350">
        <v>7.8E-2</v>
      </c>
    </row>
    <row r="117" spans="1:15" s="2297" customFormat="1" ht="16.5" hidden="1" x14ac:dyDescent="0.25">
      <c r="A117" s="2343">
        <v>43435</v>
      </c>
      <c r="B117" s="2307">
        <v>79.91</v>
      </c>
      <c r="C117" s="1935" t="s">
        <v>4406</v>
      </c>
      <c r="D117" s="2307">
        <v>7.2030000000000003</v>
      </c>
      <c r="E117" s="1935" t="s">
        <v>4407</v>
      </c>
      <c r="F117" s="2344" t="s">
        <v>115</v>
      </c>
      <c r="G117" s="2345" t="s">
        <v>115</v>
      </c>
      <c r="H117" s="2351">
        <v>0.39800000000000002</v>
      </c>
      <c r="I117" s="2347" t="s">
        <v>115</v>
      </c>
      <c r="J117" s="2345" t="s">
        <v>115</v>
      </c>
      <c r="K117" s="2348">
        <v>4.62</v>
      </c>
      <c r="L117" s="2345" t="s">
        <v>4408</v>
      </c>
      <c r="M117" s="2348">
        <v>1.6339999999999999</v>
      </c>
      <c r="N117" s="2345" t="s">
        <v>4409</v>
      </c>
      <c r="O117" s="2350">
        <v>8.7999999999999995E-2</v>
      </c>
    </row>
    <row r="118" spans="1:15" s="2297" customFormat="1" ht="18" hidden="1" customHeight="1" x14ac:dyDescent="0.25">
      <c r="A118" s="2343">
        <v>43466</v>
      </c>
      <c r="B118" s="2307" t="s">
        <v>115</v>
      </c>
      <c r="C118" s="1935" t="s">
        <v>115</v>
      </c>
      <c r="D118" s="2307">
        <v>0.95299999999999996</v>
      </c>
      <c r="E118" s="1935" t="s">
        <v>4410</v>
      </c>
      <c r="F118" s="2344" t="s">
        <v>115</v>
      </c>
      <c r="G118" s="2345" t="s">
        <v>115</v>
      </c>
      <c r="H118" s="2351">
        <v>2.9000000000000001E-2</v>
      </c>
      <c r="I118" s="2347" t="s">
        <v>115</v>
      </c>
      <c r="J118" s="2345" t="s">
        <v>115</v>
      </c>
      <c r="K118" s="2348">
        <v>10.601000000000001</v>
      </c>
      <c r="L118" s="2345" t="s">
        <v>4411</v>
      </c>
      <c r="M118" s="2348">
        <v>0.10299999999999999</v>
      </c>
      <c r="N118" s="2345" t="s">
        <v>4412</v>
      </c>
      <c r="O118" s="2350">
        <v>0.16</v>
      </c>
    </row>
    <row r="119" spans="1:15" s="2297" customFormat="1" ht="18" hidden="1" customHeight="1" x14ac:dyDescent="0.25">
      <c r="A119" s="2343">
        <v>43497</v>
      </c>
      <c r="B119" s="2307" t="s">
        <v>115</v>
      </c>
      <c r="C119" s="1935" t="s">
        <v>115</v>
      </c>
      <c r="D119" s="2307">
        <v>0.376</v>
      </c>
      <c r="E119" s="1935" t="s">
        <v>4413</v>
      </c>
      <c r="F119" s="2344" t="s">
        <v>115</v>
      </c>
      <c r="G119" s="2345" t="s">
        <v>115</v>
      </c>
      <c r="H119" s="2351">
        <v>0.193</v>
      </c>
      <c r="I119" s="2347" t="s">
        <v>115</v>
      </c>
      <c r="J119" s="2345" t="s">
        <v>115</v>
      </c>
      <c r="K119" s="2348">
        <v>1.0820000000000001</v>
      </c>
      <c r="L119" s="2345" t="s">
        <v>4414</v>
      </c>
      <c r="M119" s="2348">
        <v>0.67200000000000004</v>
      </c>
      <c r="N119" s="2345" t="s">
        <v>4415</v>
      </c>
      <c r="O119" s="2350">
        <v>0.35499999999999998</v>
      </c>
    </row>
    <row r="120" spans="1:15" s="2297" customFormat="1" ht="18" hidden="1" customHeight="1" x14ac:dyDescent="0.25">
      <c r="A120" s="2343">
        <v>43525</v>
      </c>
      <c r="B120" s="2307" t="s">
        <v>115</v>
      </c>
      <c r="C120" s="1935" t="s">
        <v>115</v>
      </c>
      <c r="D120" s="2307">
        <v>1.0669999999999999</v>
      </c>
      <c r="E120" s="1935" t="s">
        <v>4416</v>
      </c>
      <c r="F120" s="2344" t="s">
        <v>115</v>
      </c>
      <c r="G120" s="2345" t="s">
        <v>115</v>
      </c>
      <c r="H120" s="2351">
        <v>6.5000000000000002E-2</v>
      </c>
      <c r="I120" s="2347" t="s">
        <v>115</v>
      </c>
      <c r="J120" s="2345" t="s">
        <v>115</v>
      </c>
      <c r="K120" s="2348">
        <v>20.87</v>
      </c>
      <c r="L120" s="2345" t="s">
        <v>4417</v>
      </c>
      <c r="M120" s="2348">
        <v>6.4000000000000001E-2</v>
      </c>
      <c r="N120" s="2345" t="s">
        <v>4418</v>
      </c>
      <c r="O120" s="2350">
        <v>1.3320000000000001</v>
      </c>
    </row>
    <row r="121" spans="1:15" s="2297" customFormat="1" ht="18" hidden="1" customHeight="1" x14ac:dyDescent="0.25">
      <c r="A121" s="2343">
        <v>43556</v>
      </c>
      <c r="B121" s="2307" t="s">
        <v>115</v>
      </c>
      <c r="C121" s="1935" t="s">
        <v>115</v>
      </c>
      <c r="D121" s="2307">
        <v>2.532</v>
      </c>
      <c r="E121" s="1935" t="s">
        <v>4419</v>
      </c>
      <c r="F121" s="2344" t="s">
        <v>115</v>
      </c>
      <c r="G121" s="2345" t="s">
        <v>115</v>
      </c>
      <c r="H121" s="2351">
        <v>0.03</v>
      </c>
      <c r="I121" s="2347" t="s">
        <v>115</v>
      </c>
      <c r="J121" s="2345" t="s">
        <v>115</v>
      </c>
      <c r="K121" s="2348">
        <v>0.47</v>
      </c>
      <c r="L121" s="2345" t="s">
        <v>4420</v>
      </c>
      <c r="M121" s="2348">
        <v>0.64100000000000001</v>
      </c>
      <c r="N121" s="2345" t="s">
        <v>4421</v>
      </c>
      <c r="O121" s="2350">
        <v>7.9000000000000001E-2</v>
      </c>
    </row>
    <row r="122" spans="1:15" s="2297" customFormat="1" ht="18" hidden="1" customHeight="1" x14ac:dyDescent="0.25">
      <c r="A122" s="2343">
        <v>43586</v>
      </c>
      <c r="B122" s="2307" t="s">
        <v>115</v>
      </c>
      <c r="C122" s="1935" t="s">
        <v>115</v>
      </c>
      <c r="D122" s="2307">
        <v>0.46800000000000003</v>
      </c>
      <c r="E122" s="1935" t="s">
        <v>4422</v>
      </c>
      <c r="F122" s="2344" t="s">
        <v>115</v>
      </c>
      <c r="G122" s="2345" t="s">
        <v>115</v>
      </c>
      <c r="H122" s="2351">
        <v>0.105</v>
      </c>
      <c r="I122" s="2347" t="s">
        <v>115</v>
      </c>
      <c r="J122" s="2345" t="s">
        <v>115</v>
      </c>
      <c r="K122" s="2348">
        <v>7.7039999999999997</v>
      </c>
      <c r="L122" s="2345" t="s">
        <v>4423</v>
      </c>
      <c r="M122" s="2348">
        <v>0.155</v>
      </c>
      <c r="N122" s="2345" t="s">
        <v>4424</v>
      </c>
      <c r="O122" s="2350">
        <v>0.183</v>
      </c>
    </row>
    <row r="123" spans="1:15" s="2297" customFormat="1" ht="18" hidden="1" customHeight="1" x14ac:dyDescent="0.25">
      <c r="A123" s="2343">
        <v>43617</v>
      </c>
      <c r="B123" s="2307">
        <v>130.08799999999999</v>
      </c>
      <c r="C123" s="1935" t="s">
        <v>4425</v>
      </c>
      <c r="D123" s="2307">
        <v>8.3640000000000008</v>
      </c>
      <c r="E123" s="1935" t="s">
        <v>4426</v>
      </c>
      <c r="F123" s="2344" t="s">
        <v>115</v>
      </c>
      <c r="G123" s="2345" t="s">
        <v>115</v>
      </c>
      <c r="H123" s="2351">
        <v>1.419</v>
      </c>
      <c r="I123" s="2347" t="s">
        <v>115</v>
      </c>
      <c r="J123" s="2345" t="s">
        <v>115</v>
      </c>
      <c r="K123" s="2348">
        <v>6.8550000000000004</v>
      </c>
      <c r="L123" s="2345" t="s">
        <v>4427</v>
      </c>
      <c r="M123" s="2348">
        <v>1.222</v>
      </c>
      <c r="N123" s="2345" t="s">
        <v>4428</v>
      </c>
      <c r="O123" s="2350">
        <v>5.5E-2</v>
      </c>
    </row>
    <row r="124" spans="1:15" s="2297" customFormat="1" ht="18" hidden="1" customHeight="1" x14ac:dyDescent="0.25">
      <c r="A124" s="2343">
        <v>43647</v>
      </c>
      <c r="B124" s="2307" t="s">
        <v>115</v>
      </c>
      <c r="C124" s="1935" t="s">
        <v>115</v>
      </c>
      <c r="D124" s="2307">
        <v>0.93799999999999994</v>
      </c>
      <c r="E124" s="1935" t="s">
        <v>4429</v>
      </c>
      <c r="F124" s="2344" t="s">
        <v>115</v>
      </c>
      <c r="G124" s="2345" t="s">
        <v>115</v>
      </c>
      <c r="H124" s="2351">
        <v>0.05</v>
      </c>
      <c r="I124" s="2347" t="s">
        <v>115</v>
      </c>
      <c r="J124" s="2345" t="s">
        <v>115</v>
      </c>
      <c r="K124" s="2348">
        <v>0.442</v>
      </c>
      <c r="L124" s="2345" t="s">
        <v>4430</v>
      </c>
      <c r="M124" s="2348">
        <v>5.0000000000000001E-3</v>
      </c>
      <c r="N124" s="2345" t="s">
        <v>4431</v>
      </c>
      <c r="O124" s="2350">
        <v>0.152</v>
      </c>
    </row>
    <row r="125" spans="1:15" s="2297" customFormat="1" ht="18" hidden="1" customHeight="1" x14ac:dyDescent="0.25">
      <c r="A125" s="2343">
        <v>43678</v>
      </c>
      <c r="B125" s="2307" t="s">
        <v>115</v>
      </c>
      <c r="C125" s="1935" t="s">
        <v>115</v>
      </c>
      <c r="D125" s="2307">
        <v>0.55600000000000005</v>
      </c>
      <c r="E125" s="1935" t="s">
        <v>4432</v>
      </c>
      <c r="F125" s="2344" t="s">
        <v>115</v>
      </c>
      <c r="G125" s="2345" t="s">
        <v>115</v>
      </c>
      <c r="H125" s="2351">
        <v>3.4000000000000002E-2</v>
      </c>
      <c r="I125" s="2347" t="s">
        <v>115</v>
      </c>
      <c r="J125" s="2345" t="s">
        <v>115</v>
      </c>
      <c r="K125" s="2348">
        <v>9.6059999999999999</v>
      </c>
      <c r="L125" s="2345" t="s">
        <v>4433</v>
      </c>
      <c r="M125" s="2348" t="s">
        <v>115</v>
      </c>
      <c r="N125" s="2345" t="s">
        <v>115</v>
      </c>
      <c r="O125" s="2350">
        <v>0.38200000000000001</v>
      </c>
    </row>
    <row r="126" spans="1:15" s="2297" customFormat="1" ht="18" hidden="1" customHeight="1" x14ac:dyDescent="0.25">
      <c r="A126" s="2343">
        <v>43709</v>
      </c>
      <c r="B126" s="2307" t="s">
        <v>115</v>
      </c>
      <c r="C126" s="1935" t="s">
        <v>115</v>
      </c>
      <c r="D126" s="2307">
        <v>1.9530000000000001</v>
      </c>
      <c r="E126" s="1935" t="s">
        <v>4434</v>
      </c>
      <c r="F126" s="2344" t="s">
        <v>115</v>
      </c>
      <c r="G126" s="2345" t="s">
        <v>115</v>
      </c>
      <c r="H126" s="2351">
        <v>0.38600000000000001</v>
      </c>
      <c r="I126" s="2347" t="s">
        <v>115</v>
      </c>
      <c r="J126" s="2345" t="s">
        <v>115</v>
      </c>
      <c r="K126" s="2348">
        <v>22.109511999999999</v>
      </c>
      <c r="L126" s="2345" t="s">
        <v>4435</v>
      </c>
      <c r="M126" s="2348" t="s">
        <v>115</v>
      </c>
      <c r="N126" s="2345" t="s">
        <v>115</v>
      </c>
      <c r="O126" s="2350">
        <v>1.996</v>
      </c>
    </row>
    <row r="127" spans="1:15" s="2297" customFormat="1" ht="18" hidden="1" customHeight="1" x14ac:dyDescent="0.25">
      <c r="A127" s="2343">
        <v>43739</v>
      </c>
      <c r="B127" s="2307">
        <v>49.070974</v>
      </c>
      <c r="C127" s="1935">
        <v>36.03</v>
      </c>
      <c r="D127" s="2307">
        <v>1.357815</v>
      </c>
      <c r="E127" s="1935" t="s">
        <v>4436</v>
      </c>
      <c r="F127" s="2344" t="s">
        <v>115</v>
      </c>
      <c r="G127" s="2345" t="s">
        <v>115</v>
      </c>
      <c r="H127" s="2351">
        <v>8.0500000000000002E-2</v>
      </c>
      <c r="I127" s="2347" t="s">
        <v>115</v>
      </c>
      <c r="J127" s="2345" t="s">
        <v>115</v>
      </c>
      <c r="K127" s="2348">
        <v>2.7803749999999998</v>
      </c>
      <c r="L127" s="2345" t="s">
        <v>4437</v>
      </c>
      <c r="M127" s="2348" t="s">
        <v>115</v>
      </c>
      <c r="N127" s="2345" t="s">
        <v>115</v>
      </c>
      <c r="O127" s="2350">
        <v>0.20599999999999999</v>
      </c>
    </row>
    <row r="128" spans="1:15" s="2297" customFormat="1" ht="18" hidden="1" customHeight="1" x14ac:dyDescent="0.25">
      <c r="A128" s="2343">
        <v>43770</v>
      </c>
      <c r="B128" s="2307">
        <v>15.038</v>
      </c>
      <c r="C128" s="1935">
        <v>36.44</v>
      </c>
      <c r="D128" s="2307">
        <v>0.99079099999999998</v>
      </c>
      <c r="E128" s="1935" t="s">
        <v>4438</v>
      </c>
      <c r="F128" s="2344" t="s">
        <v>115</v>
      </c>
      <c r="G128" s="2345" t="s">
        <v>115</v>
      </c>
      <c r="H128" s="2351">
        <v>5.9999999999999995E-4</v>
      </c>
      <c r="I128" s="2347" t="s">
        <v>115</v>
      </c>
      <c r="J128" s="2345" t="s">
        <v>115</v>
      </c>
      <c r="K128" s="2348">
        <v>4.1235999999999997</v>
      </c>
      <c r="L128" s="2345" t="s">
        <v>4439</v>
      </c>
      <c r="M128" s="2348" t="s">
        <v>115</v>
      </c>
      <c r="N128" s="2345" t="s">
        <v>115</v>
      </c>
      <c r="O128" s="2350">
        <v>1.7999999999999999E-2</v>
      </c>
    </row>
    <row r="129" spans="1:15" s="2297" customFormat="1" ht="18" hidden="1" customHeight="1" x14ac:dyDescent="0.25">
      <c r="A129" s="2343">
        <v>43800</v>
      </c>
      <c r="B129" s="2307" t="s">
        <v>115</v>
      </c>
      <c r="C129" s="1935" t="s">
        <v>115</v>
      </c>
      <c r="D129" s="2307">
        <v>7.5060000000000002</v>
      </c>
      <c r="E129" s="1935" t="s">
        <v>4440</v>
      </c>
      <c r="F129" s="2344" t="s">
        <v>115</v>
      </c>
      <c r="G129" s="2345" t="s">
        <v>115</v>
      </c>
      <c r="H129" s="2351">
        <v>0.41899999999999998</v>
      </c>
      <c r="I129" s="2347" t="s">
        <v>115</v>
      </c>
      <c r="J129" s="2345" t="s">
        <v>115</v>
      </c>
      <c r="K129" s="2348">
        <v>6.2709999999999999</v>
      </c>
      <c r="L129" s="2345" t="s">
        <v>4441</v>
      </c>
      <c r="M129" s="2348">
        <v>0.191</v>
      </c>
      <c r="N129" s="2345" t="s">
        <v>4442</v>
      </c>
      <c r="O129" s="2350">
        <v>0.23400000000000001</v>
      </c>
    </row>
    <row r="130" spans="1:15" s="2297" customFormat="1" ht="18" hidden="1" customHeight="1" x14ac:dyDescent="0.25">
      <c r="A130" s="2343">
        <v>43831</v>
      </c>
      <c r="B130" s="2307" t="s">
        <v>115</v>
      </c>
      <c r="C130" s="1935" t="s">
        <v>115</v>
      </c>
      <c r="D130" s="2307">
        <v>0.71534399999999998</v>
      </c>
      <c r="E130" s="1935" t="s">
        <v>4443</v>
      </c>
      <c r="F130" s="2344" t="s">
        <v>115</v>
      </c>
      <c r="G130" s="2345" t="s">
        <v>115</v>
      </c>
      <c r="H130" s="2351">
        <v>3.2000000000000001E-2</v>
      </c>
      <c r="I130" s="2347">
        <v>124.73699999999999</v>
      </c>
      <c r="J130" s="2345" t="s">
        <v>4444</v>
      </c>
      <c r="K130" s="2348">
        <v>6.6797589999999998</v>
      </c>
      <c r="L130" s="2345" t="s">
        <v>4445</v>
      </c>
      <c r="M130" s="2348" t="s">
        <v>115</v>
      </c>
      <c r="N130" s="2345" t="s">
        <v>115</v>
      </c>
      <c r="O130" s="2350">
        <v>0.1055</v>
      </c>
    </row>
    <row r="131" spans="1:15" s="2297" customFormat="1" ht="18" hidden="1" customHeight="1" x14ac:dyDescent="0.25">
      <c r="A131" s="2343">
        <v>43862</v>
      </c>
      <c r="B131" s="2307">
        <v>7.8323989999999997</v>
      </c>
      <c r="C131" s="1935">
        <v>37.36</v>
      </c>
      <c r="D131" s="2307">
        <v>0.29888900000000002</v>
      </c>
      <c r="E131" s="1935" t="s">
        <v>4446</v>
      </c>
      <c r="F131" s="2344" t="s">
        <v>115</v>
      </c>
      <c r="G131" s="2345" t="s">
        <v>115</v>
      </c>
      <c r="H131" s="2351">
        <v>1.5299999999999999E-2</v>
      </c>
      <c r="I131" s="2347">
        <v>6.2573449999999999</v>
      </c>
      <c r="J131" s="2345" t="s">
        <v>4447</v>
      </c>
      <c r="K131" s="2348">
        <v>0.69825599999999999</v>
      </c>
      <c r="L131" s="2345" t="s">
        <v>4448</v>
      </c>
      <c r="M131" s="2348">
        <v>0.71540899999999996</v>
      </c>
      <c r="N131" s="2345" t="s">
        <v>4449</v>
      </c>
      <c r="O131" s="2350">
        <v>1.4E-2</v>
      </c>
    </row>
    <row r="132" spans="1:15" s="2297" customFormat="1" ht="18" hidden="1" customHeight="1" x14ac:dyDescent="0.25">
      <c r="A132" s="2343">
        <v>43891</v>
      </c>
      <c r="B132" s="2307" t="s">
        <v>115</v>
      </c>
      <c r="C132" s="1935" t="s">
        <v>115</v>
      </c>
      <c r="D132" s="2307">
        <v>1.6689000000000001</v>
      </c>
      <c r="E132" s="1935" t="s">
        <v>4450</v>
      </c>
      <c r="F132" s="2344" t="s">
        <v>115</v>
      </c>
      <c r="G132" s="2345" t="s">
        <v>115</v>
      </c>
      <c r="H132" s="2351">
        <v>3.7999999999999999E-2</v>
      </c>
      <c r="I132" s="2347">
        <v>19.608000000000001</v>
      </c>
      <c r="J132" s="2345" t="s">
        <v>4451</v>
      </c>
      <c r="K132" s="2348">
        <v>11.872999999999999</v>
      </c>
      <c r="L132" s="2345" t="s">
        <v>4452</v>
      </c>
      <c r="M132" s="2348">
        <v>0.03</v>
      </c>
      <c r="N132" s="2345">
        <v>48.78</v>
      </c>
      <c r="O132" s="2350">
        <v>0.33900000000000002</v>
      </c>
    </row>
    <row r="133" spans="1:15" s="2297" customFormat="1" ht="18" hidden="1" customHeight="1" x14ac:dyDescent="0.25">
      <c r="A133" s="2343">
        <v>43922</v>
      </c>
      <c r="B133" s="2307" t="s">
        <v>115</v>
      </c>
      <c r="C133" s="1935" t="s">
        <v>115</v>
      </c>
      <c r="D133" s="2307">
        <v>1.927</v>
      </c>
      <c r="E133" s="1935" t="s">
        <v>4453</v>
      </c>
      <c r="F133" s="2344" t="s">
        <v>115</v>
      </c>
      <c r="G133" s="2345" t="s">
        <v>115</v>
      </c>
      <c r="H133" s="2351">
        <v>2.4E-2</v>
      </c>
      <c r="I133" s="2347">
        <v>25</v>
      </c>
      <c r="J133" s="2345" t="s">
        <v>4454</v>
      </c>
      <c r="K133" s="2348">
        <v>1.288</v>
      </c>
      <c r="L133" s="2345" t="s">
        <v>4455</v>
      </c>
      <c r="M133" s="2348">
        <v>0.58299999999999996</v>
      </c>
      <c r="N133" s="2345" t="s">
        <v>4456</v>
      </c>
      <c r="O133" s="2350">
        <v>0.248</v>
      </c>
    </row>
    <row r="134" spans="1:15" s="2297" customFormat="1" ht="18" hidden="1" customHeight="1" x14ac:dyDescent="0.25">
      <c r="A134" s="2343">
        <v>43952</v>
      </c>
      <c r="B134" s="2307" t="s">
        <v>115</v>
      </c>
      <c r="C134" s="1935" t="s">
        <v>115</v>
      </c>
      <c r="D134" s="2307">
        <v>0.41899999999999998</v>
      </c>
      <c r="E134" s="1935" t="s">
        <v>4457</v>
      </c>
      <c r="F134" s="2344" t="s">
        <v>115</v>
      </c>
      <c r="G134" s="2345" t="s">
        <v>115</v>
      </c>
      <c r="H134" s="2351">
        <v>2E-3</v>
      </c>
      <c r="I134" s="2347">
        <v>22.2</v>
      </c>
      <c r="J134" s="2345" t="s">
        <v>4458</v>
      </c>
      <c r="K134" s="2348">
        <v>4.2649999999999997</v>
      </c>
      <c r="L134" s="2345" t="s">
        <v>4459</v>
      </c>
      <c r="M134" s="2348">
        <v>0.1</v>
      </c>
      <c r="N134" s="2345" t="s">
        <v>4460</v>
      </c>
      <c r="O134" s="2350">
        <v>8.6999999999999994E-2</v>
      </c>
    </row>
    <row r="135" spans="1:15" s="2297" customFormat="1" ht="18" hidden="1" customHeight="1" x14ac:dyDescent="0.25">
      <c r="A135" s="2343">
        <v>43983</v>
      </c>
      <c r="B135" s="2307" t="s">
        <v>115</v>
      </c>
      <c r="C135" s="1935" t="s">
        <v>115</v>
      </c>
      <c r="D135" s="2307">
        <v>197.34200000000001</v>
      </c>
      <c r="E135" s="1935" t="s">
        <v>4461</v>
      </c>
      <c r="F135" s="2344" t="s">
        <v>115</v>
      </c>
      <c r="G135" s="2345" t="s">
        <v>115</v>
      </c>
      <c r="H135" s="2351">
        <v>0.66100000000000003</v>
      </c>
      <c r="I135" s="2347">
        <v>18.832999999999998</v>
      </c>
      <c r="J135" s="2345" t="s">
        <v>4462</v>
      </c>
      <c r="K135" s="2348">
        <v>8.0030000000000001</v>
      </c>
      <c r="L135" s="2345" t="s">
        <v>4463</v>
      </c>
      <c r="M135" s="2348">
        <v>1.1930000000000001</v>
      </c>
      <c r="N135" s="2345" t="s">
        <v>4464</v>
      </c>
      <c r="O135" s="2350">
        <v>0.05</v>
      </c>
    </row>
    <row r="136" spans="1:15" s="2297" customFormat="1" ht="18" customHeight="1" x14ac:dyDescent="0.25">
      <c r="A136" s="2343">
        <v>44013</v>
      </c>
      <c r="B136" s="2307" t="s">
        <v>115</v>
      </c>
      <c r="C136" s="1935" t="s">
        <v>115</v>
      </c>
      <c r="D136" s="2307">
        <v>300.98700000000002</v>
      </c>
      <c r="E136" s="1935" t="s">
        <v>4465</v>
      </c>
      <c r="F136" s="2344" t="s">
        <v>115</v>
      </c>
      <c r="G136" s="2345" t="s">
        <v>115</v>
      </c>
      <c r="H136" s="2351" t="s">
        <v>115</v>
      </c>
      <c r="I136" s="2347">
        <v>11.137</v>
      </c>
      <c r="J136" s="2345" t="s">
        <v>4466</v>
      </c>
      <c r="K136" s="2348">
        <v>6.0090000000000003</v>
      </c>
      <c r="L136" s="2345" t="s">
        <v>4467</v>
      </c>
      <c r="M136" s="2348" t="s">
        <v>115</v>
      </c>
      <c r="N136" s="2345" t="s">
        <v>115</v>
      </c>
      <c r="O136" s="2350">
        <v>0.14799999999999999</v>
      </c>
    </row>
    <row r="137" spans="1:15" s="2297" customFormat="1" ht="18" customHeight="1" x14ac:dyDescent="0.25">
      <c r="A137" s="2343">
        <v>44044</v>
      </c>
      <c r="B137" s="2307" t="s">
        <v>115</v>
      </c>
      <c r="C137" s="1935" t="s">
        <v>115</v>
      </c>
      <c r="D137" s="2307">
        <v>1.1830000000000001</v>
      </c>
      <c r="E137" s="1935" t="s">
        <v>4468</v>
      </c>
      <c r="F137" s="2344" t="s">
        <v>115</v>
      </c>
      <c r="G137" s="2345" t="s">
        <v>115</v>
      </c>
      <c r="H137" s="2351">
        <v>0.02</v>
      </c>
      <c r="I137" s="2347">
        <v>21.945</v>
      </c>
      <c r="J137" s="2345" t="s">
        <v>4469</v>
      </c>
      <c r="K137" s="2348">
        <v>1.2909999999999999</v>
      </c>
      <c r="L137" s="2345" t="s">
        <v>4470</v>
      </c>
      <c r="M137" s="2348" t="s">
        <v>115</v>
      </c>
      <c r="N137" s="2345" t="s">
        <v>115</v>
      </c>
      <c r="O137" s="2350">
        <v>0.09</v>
      </c>
    </row>
    <row r="138" spans="1:15" s="2297" customFormat="1" ht="18.75" customHeight="1" x14ac:dyDescent="0.25">
      <c r="A138" s="2343">
        <v>44075</v>
      </c>
      <c r="B138" s="2307" t="s">
        <v>115</v>
      </c>
      <c r="C138" s="1935" t="s">
        <v>115</v>
      </c>
      <c r="D138" s="2307">
        <v>2.7419600000000002</v>
      </c>
      <c r="E138" s="1935" t="s">
        <v>4471</v>
      </c>
      <c r="F138" s="2344" t="s">
        <v>115</v>
      </c>
      <c r="G138" s="2345" t="s">
        <v>115</v>
      </c>
      <c r="H138" s="2351">
        <v>0.222</v>
      </c>
      <c r="I138" s="2347">
        <v>26.196000000000002</v>
      </c>
      <c r="J138" s="2345" t="s">
        <v>4472</v>
      </c>
      <c r="K138" s="2348">
        <v>12.595000000000001</v>
      </c>
      <c r="L138" s="2345" t="s">
        <v>4473</v>
      </c>
      <c r="M138" s="2348" t="s">
        <v>115</v>
      </c>
      <c r="N138" s="2345" t="s">
        <v>115</v>
      </c>
      <c r="O138" s="2350">
        <v>5.8000000000000003E-2</v>
      </c>
    </row>
    <row r="139" spans="1:15" s="2297" customFormat="1" ht="18.75" customHeight="1" x14ac:dyDescent="0.25">
      <c r="A139" s="2343">
        <v>44105</v>
      </c>
      <c r="B139" s="2307" t="s">
        <v>115</v>
      </c>
      <c r="C139" s="1935" t="s">
        <v>115</v>
      </c>
      <c r="D139" s="2307">
        <v>0.248</v>
      </c>
      <c r="E139" s="1935" t="s">
        <v>4474</v>
      </c>
      <c r="F139" s="2344" t="s">
        <v>115</v>
      </c>
      <c r="G139" s="2345" t="s">
        <v>115</v>
      </c>
      <c r="H139" s="2351">
        <v>5.8999999999999997E-2</v>
      </c>
      <c r="I139" s="2347">
        <v>19.094999999999999</v>
      </c>
      <c r="J139" s="2345" t="s">
        <v>4475</v>
      </c>
      <c r="K139" s="2348">
        <v>0.97299999999999998</v>
      </c>
      <c r="L139" s="2345" t="s">
        <v>4476</v>
      </c>
      <c r="M139" s="2348" t="s">
        <v>115</v>
      </c>
      <c r="N139" s="2345" t="s">
        <v>115</v>
      </c>
      <c r="O139" s="2350">
        <v>3.6999999999999998E-2</v>
      </c>
    </row>
    <row r="140" spans="1:15" s="2297" customFormat="1" ht="18.75" customHeight="1" x14ac:dyDescent="0.25">
      <c r="A140" s="2343">
        <v>44136</v>
      </c>
      <c r="B140" s="2307" t="s">
        <v>115</v>
      </c>
      <c r="C140" s="1935" t="s">
        <v>115</v>
      </c>
      <c r="D140" s="2307">
        <v>0.79300000000000004</v>
      </c>
      <c r="E140" s="1935" t="s">
        <v>4477</v>
      </c>
      <c r="F140" s="2344" t="s">
        <v>115</v>
      </c>
      <c r="G140" s="2345" t="s">
        <v>115</v>
      </c>
      <c r="H140" s="2351">
        <v>6.0000000000000001E-3</v>
      </c>
      <c r="I140" s="2347">
        <v>21.260999999999999</v>
      </c>
      <c r="J140" s="2345" t="s">
        <v>4478</v>
      </c>
      <c r="K140" s="2348">
        <v>4.0919999999999996</v>
      </c>
      <c r="L140" s="2345" t="s">
        <v>4479</v>
      </c>
      <c r="M140" s="2348" t="s">
        <v>115</v>
      </c>
      <c r="N140" s="2345" t="s">
        <v>115</v>
      </c>
      <c r="O140" s="2350">
        <v>0.23599999999999999</v>
      </c>
    </row>
    <row r="141" spans="1:15" s="2297" customFormat="1" ht="18.75" customHeight="1" x14ac:dyDescent="0.25">
      <c r="A141" s="2343">
        <v>44166</v>
      </c>
      <c r="B141" s="2307" t="s">
        <v>115</v>
      </c>
      <c r="C141" s="1935" t="s">
        <v>115</v>
      </c>
      <c r="D141" s="2307">
        <v>6.8250000000000002</v>
      </c>
      <c r="E141" s="1935" t="s">
        <v>4480</v>
      </c>
      <c r="F141" s="2344" t="s">
        <v>115</v>
      </c>
      <c r="G141" s="2345" t="s">
        <v>115</v>
      </c>
      <c r="H141" s="2351">
        <v>0.157</v>
      </c>
      <c r="I141" s="2347">
        <v>20.010000000000002</v>
      </c>
      <c r="J141" s="2345" t="s">
        <v>4481</v>
      </c>
      <c r="K141" s="2348">
        <v>6.4109999999999996</v>
      </c>
      <c r="L141" s="2345" t="s">
        <v>4482</v>
      </c>
      <c r="M141" s="2348">
        <v>0.995</v>
      </c>
      <c r="N141" s="2345" t="s">
        <v>4483</v>
      </c>
      <c r="O141" s="2350">
        <v>5.7000000000000002E-2</v>
      </c>
    </row>
    <row r="142" spans="1:15" s="2297" customFormat="1" ht="18.75" customHeight="1" x14ac:dyDescent="0.25">
      <c r="A142" s="2343">
        <v>44197</v>
      </c>
      <c r="B142" s="2307" t="s">
        <v>115</v>
      </c>
      <c r="C142" s="1935" t="s">
        <v>115</v>
      </c>
      <c r="D142" s="2307">
        <v>0.20699999999999999</v>
      </c>
      <c r="E142" s="1935" t="s">
        <v>4484</v>
      </c>
      <c r="F142" s="2344" t="s">
        <v>115</v>
      </c>
      <c r="G142" s="2345" t="s">
        <v>115</v>
      </c>
      <c r="H142" s="2351">
        <v>3.0700000000000002E-2</v>
      </c>
      <c r="I142" s="2347">
        <v>24.558</v>
      </c>
      <c r="J142" s="2345" t="s">
        <v>4485</v>
      </c>
      <c r="K142" s="2348">
        <v>7.4130000000000003</v>
      </c>
      <c r="L142" s="2345" t="s">
        <v>4486</v>
      </c>
      <c r="M142" s="2348" t="s">
        <v>115</v>
      </c>
      <c r="N142" s="2345" t="s">
        <v>115</v>
      </c>
      <c r="O142" s="2350">
        <v>0.05</v>
      </c>
    </row>
    <row r="143" spans="1:15" s="2297" customFormat="1" ht="18.75" customHeight="1" x14ac:dyDescent="0.25">
      <c r="A143" s="2343">
        <v>44228</v>
      </c>
      <c r="B143" s="2307" t="s">
        <v>115</v>
      </c>
      <c r="C143" s="1935" t="s">
        <v>115</v>
      </c>
      <c r="D143" s="2307">
        <v>0.251133</v>
      </c>
      <c r="E143" s="1935" t="s">
        <v>4487</v>
      </c>
      <c r="F143" s="2344" t="s">
        <v>115</v>
      </c>
      <c r="G143" s="2345" t="s">
        <v>115</v>
      </c>
      <c r="H143" s="2351">
        <v>1E-4</v>
      </c>
      <c r="I143" s="2347">
        <v>10.016999999999999</v>
      </c>
      <c r="J143" s="2345" t="s">
        <v>4488</v>
      </c>
      <c r="K143" s="2348">
        <v>0.52541099999999996</v>
      </c>
      <c r="L143" s="2345" t="s">
        <v>4489</v>
      </c>
      <c r="M143" s="2348">
        <v>0.76783900000000005</v>
      </c>
      <c r="N143" s="2345" t="s">
        <v>4490</v>
      </c>
      <c r="O143" s="2350">
        <v>0.14199999999999999</v>
      </c>
    </row>
    <row r="144" spans="1:15" s="2297" customFormat="1" ht="18.75" customHeight="1" x14ac:dyDescent="0.25">
      <c r="A144" s="2343">
        <v>44256</v>
      </c>
      <c r="B144" s="2307" t="s">
        <v>115</v>
      </c>
      <c r="C144" s="1935" t="s">
        <v>115</v>
      </c>
      <c r="D144" s="2307">
        <v>0.23300000000000001</v>
      </c>
      <c r="E144" s="1935" t="s">
        <v>4491</v>
      </c>
      <c r="F144" s="2344" t="s">
        <v>115</v>
      </c>
      <c r="G144" s="2345" t="s">
        <v>115</v>
      </c>
      <c r="H144" s="2351">
        <v>270.80799999999999</v>
      </c>
      <c r="I144" s="2347">
        <v>28.193000000000001</v>
      </c>
      <c r="J144" s="2345" t="s">
        <v>4492</v>
      </c>
      <c r="K144" s="2348">
        <v>11.134</v>
      </c>
      <c r="L144" s="2345" t="s">
        <v>4493</v>
      </c>
      <c r="M144" s="2348">
        <v>0.14299999999999999</v>
      </c>
      <c r="N144" s="2345" t="s">
        <v>4494</v>
      </c>
      <c r="O144" s="2350">
        <v>1.631</v>
      </c>
    </row>
    <row r="145" spans="1:19" s="2297" customFormat="1" ht="18.75" customHeight="1" x14ac:dyDescent="0.25">
      <c r="A145" s="2343">
        <v>44287</v>
      </c>
      <c r="B145" s="2307" t="s">
        <v>115</v>
      </c>
      <c r="C145" s="1935" t="s">
        <v>115</v>
      </c>
      <c r="D145" s="2307">
        <v>1.0980000000000001</v>
      </c>
      <c r="E145" s="1935" t="s">
        <v>4495</v>
      </c>
      <c r="F145" s="2344" t="s">
        <v>115</v>
      </c>
      <c r="G145" s="2345" t="s">
        <v>115</v>
      </c>
      <c r="H145" s="2351">
        <v>3.3000000000000002E-2</v>
      </c>
      <c r="I145" s="2347">
        <v>3.8180000000000001</v>
      </c>
      <c r="J145" s="2345" t="s">
        <v>4496</v>
      </c>
      <c r="K145" s="2348">
        <v>1.6839999999999999</v>
      </c>
      <c r="L145" s="2345" t="s">
        <v>4497</v>
      </c>
      <c r="M145" s="2348">
        <v>9.1999999999999998E-2</v>
      </c>
      <c r="N145" s="2345">
        <v>57.25</v>
      </c>
      <c r="O145" s="2350">
        <v>0.307</v>
      </c>
    </row>
    <row r="146" spans="1:19" s="2297" customFormat="1" ht="18.75" customHeight="1" x14ac:dyDescent="0.25">
      <c r="A146" s="2343">
        <v>44317</v>
      </c>
      <c r="B146" s="2307" t="s">
        <v>115</v>
      </c>
      <c r="C146" s="1935" t="s">
        <v>115</v>
      </c>
      <c r="D146" s="2307">
        <v>0.2964</v>
      </c>
      <c r="E146" s="1935" t="s">
        <v>4498</v>
      </c>
      <c r="F146" s="2344" t="s">
        <v>115</v>
      </c>
      <c r="G146" s="2345" t="s">
        <v>115</v>
      </c>
      <c r="H146" s="2351">
        <v>7.0000000000000001E-3</v>
      </c>
      <c r="I146" s="2347">
        <v>32</v>
      </c>
      <c r="J146" s="2345" t="s">
        <v>4499</v>
      </c>
      <c r="K146" s="2348">
        <v>6.7145000000000001</v>
      </c>
      <c r="L146" s="2345" t="s">
        <v>4500</v>
      </c>
      <c r="M146" s="2348">
        <v>0.35846</v>
      </c>
      <c r="N146" s="2345" t="s">
        <v>4501</v>
      </c>
      <c r="O146" s="2350">
        <v>0.35499999999999998</v>
      </c>
    </row>
    <row r="147" spans="1:19" s="2297" customFormat="1" ht="18.75" customHeight="1" x14ac:dyDescent="0.25">
      <c r="A147" s="2343">
        <v>44348</v>
      </c>
      <c r="B147" s="2307" t="s">
        <v>115</v>
      </c>
      <c r="C147" s="1935" t="s">
        <v>115</v>
      </c>
      <c r="D147" s="2307">
        <v>8.0090000000000003</v>
      </c>
      <c r="E147" s="1935" t="s">
        <v>4502</v>
      </c>
      <c r="F147" s="2344" t="s">
        <v>115</v>
      </c>
      <c r="G147" s="2345" t="s">
        <v>115</v>
      </c>
      <c r="H147" s="2351">
        <v>0.6</v>
      </c>
      <c r="I147" s="2347">
        <v>185.49299999999999</v>
      </c>
      <c r="J147" s="2345" t="s">
        <v>4503</v>
      </c>
      <c r="K147" s="2348">
        <v>11.778</v>
      </c>
      <c r="L147" s="2345" t="s">
        <v>4504</v>
      </c>
      <c r="M147" s="2348">
        <v>1.17</v>
      </c>
      <c r="N147" s="2345" t="s">
        <v>4505</v>
      </c>
      <c r="O147" s="2350">
        <v>0.189</v>
      </c>
    </row>
    <row r="148" spans="1:19" s="2297" customFormat="1" ht="18.75" customHeight="1" x14ac:dyDescent="0.25">
      <c r="A148" s="2343">
        <v>44378</v>
      </c>
      <c r="B148" s="2307" t="s">
        <v>115</v>
      </c>
      <c r="C148" s="1935" t="s">
        <v>115</v>
      </c>
      <c r="D148" s="2307">
        <v>1.1599999999999999</v>
      </c>
      <c r="E148" s="1935" t="s">
        <v>4506</v>
      </c>
      <c r="F148" s="2344" t="s">
        <v>115</v>
      </c>
      <c r="G148" s="2345" t="s">
        <v>115</v>
      </c>
      <c r="H148" s="2351" t="s">
        <v>115</v>
      </c>
      <c r="I148" s="2347">
        <v>1</v>
      </c>
      <c r="J148" s="2345">
        <v>43.23</v>
      </c>
      <c r="K148" s="2348">
        <v>7.468</v>
      </c>
      <c r="L148" s="2345" t="s">
        <v>4507</v>
      </c>
      <c r="M148" s="2348" t="s">
        <v>115</v>
      </c>
      <c r="N148" s="2345" t="s">
        <v>115</v>
      </c>
      <c r="O148" s="2350">
        <v>0.44800000000000001</v>
      </c>
    </row>
    <row r="149" spans="1:19" s="2297" customFormat="1" ht="9.75" customHeight="1" thickBot="1" x14ac:dyDescent="0.3">
      <c r="A149" s="2352"/>
      <c r="B149" s="2353"/>
      <c r="C149" s="2353"/>
      <c r="D149" s="2353"/>
      <c r="E149" s="2353"/>
      <c r="F149" s="2354"/>
      <c r="G149" s="2355"/>
      <c r="H149" s="2356"/>
      <c r="I149" s="2357"/>
      <c r="J149" s="2358"/>
      <c r="K149" s="2359"/>
      <c r="L149" s="2355"/>
      <c r="M149" s="2360"/>
      <c r="N149" s="2360"/>
      <c r="O149" s="2361"/>
    </row>
    <row r="150" spans="1:19" s="2319" customFormat="1" ht="18" customHeight="1" thickTop="1" x14ac:dyDescent="0.25">
      <c r="A150" s="2318" t="s">
        <v>4508</v>
      </c>
      <c r="B150" s="2318"/>
      <c r="C150" s="2318"/>
      <c r="D150" s="2318"/>
    </row>
    <row r="151" spans="1:19" s="2310" customFormat="1" ht="22.5" customHeight="1" x14ac:dyDescent="0.3">
      <c r="Q151" s="2297"/>
      <c r="R151" s="2297"/>
      <c r="S151" s="2297"/>
    </row>
    <row r="152" spans="1:19" s="2310" customFormat="1" ht="16.5" customHeight="1" x14ac:dyDescent="0.3">
      <c r="Q152" s="2297"/>
      <c r="R152" s="2297"/>
      <c r="S152" s="2297"/>
    </row>
    <row r="153" spans="1:19" s="2310" customFormat="1" ht="16.5" hidden="1" x14ac:dyDescent="0.3">
      <c r="Q153" s="2297"/>
      <c r="R153" s="2297"/>
      <c r="S153" s="2297"/>
    </row>
    <row r="154" spans="1:19" s="2310" customFormat="1" ht="16.5" hidden="1" x14ac:dyDescent="0.3">
      <c r="I154" s="2310">
        <v>1820487</v>
      </c>
      <c r="J154" s="2310">
        <v>2.6183999999999998</v>
      </c>
      <c r="K154" s="2310">
        <f>I154*J154</f>
        <v>4766763.1607999997</v>
      </c>
      <c r="Q154" s="2297"/>
      <c r="R154" s="2297"/>
      <c r="S154" s="2297"/>
    </row>
    <row r="155" spans="1:19" s="2310" customFormat="1" ht="16.5" hidden="1" x14ac:dyDescent="0.3">
      <c r="I155" s="2310">
        <v>747</v>
      </c>
      <c r="J155" s="2310">
        <v>2.5840000000000001</v>
      </c>
      <c r="K155" s="2310">
        <f>I155*J155</f>
        <v>1930.248</v>
      </c>
      <c r="Q155" s="2297"/>
      <c r="R155" s="2297"/>
      <c r="S155" s="2297"/>
    </row>
    <row r="156" spans="1:19" s="2310" customFormat="1" ht="16.5" hidden="1" x14ac:dyDescent="0.3">
      <c r="I156" s="2310">
        <v>157386</v>
      </c>
      <c r="J156" s="2310">
        <v>2.6297999999999999</v>
      </c>
      <c r="K156" s="2310">
        <f>I156*J156</f>
        <v>413893.70279999997</v>
      </c>
      <c r="N156" s="2310">
        <v>34.42</v>
      </c>
      <c r="S156" s="2297"/>
    </row>
    <row r="157" spans="1:19" s="2310" customFormat="1" ht="16.5" hidden="1" x14ac:dyDescent="0.3">
      <c r="I157" s="2310">
        <v>488750</v>
      </c>
      <c r="J157" s="2310">
        <v>2.5956000000000001</v>
      </c>
      <c r="K157" s="2310">
        <f>I157*J157</f>
        <v>1268599.5</v>
      </c>
    </row>
    <row r="158" spans="1:19" s="2310" customFormat="1" ht="16.5" hidden="1" x14ac:dyDescent="0.3">
      <c r="K158" s="2310">
        <f>SUM(K154:K157)</f>
        <v>6451186.6115999995</v>
      </c>
      <c r="L158" s="2310">
        <f>K158/33.15</f>
        <v>194605.93096832579</v>
      </c>
    </row>
    <row r="159" spans="1:19" s="2310" customFormat="1" ht="16.5" hidden="1" x14ac:dyDescent="0.3"/>
    <row r="160" spans="1:19" s="2310" customFormat="1" ht="16.5" hidden="1" x14ac:dyDescent="0.3">
      <c r="N160" s="2310">
        <v>25500</v>
      </c>
      <c r="O160" s="2310">
        <v>2.6023999999999998</v>
      </c>
      <c r="P160" s="2310">
        <f>N160*O160</f>
        <v>66361.2</v>
      </c>
    </row>
    <row r="161" spans="2:17" s="2310" customFormat="1" ht="16.5" hidden="1" x14ac:dyDescent="0.3">
      <c r="N161" s="2310">
        <v>300000</v>
      </c>
      <c r="O161" s="2310">
        <v>2.5851000000000002</v>
      </c>
      <c r="P161" s="2310">
        <f>N161*O161</f>
        <v>775530</v>
      </c>
    </row>
    <row r="162" spans="2:17" s="2310" customFormat="1" ht="16.5" hidden="1" x14ac:dyDescent="0.3">
      <c r="P162" s="2310">
        <f>SUM(P160:P161)</f>
        <v>841891.2</v>
      </c>
      <c r="Q162" s="2310">
        <f>P162/34.42</f>
        <v>24459.360836722833</v>
      </c>
    </row>
    <row r="163" spans="2:17" s="2310" customFormat="1" ht="16.5" hidden="1" x14ac:dyDescent="0.3"/>
    <row r="164" spans="2:17" s="2310" customFormat="1" ht="16.5" hidden="1" x14ac:dyDescent="0.3"/>
    <row r="165" spans="2:17" s="2310" customFormat="1" ht="16.5" hidden="1" x14ac:dyDescent="0.3"/>
    <row r="166" spans="2:17" ht="16.5" x14ac:dyDescent="0.3">
      <c r="B166" s="2310"/>
      <c r="C166" s="2310"/>
      <c r="D166" s="2310"/>
      <c r="E166" s="2310"/>
      <c r="F166" s="2310"/>
      <c r="G166" s="2310"/>
      <c r="H166" s="2310"/>
      <c r="I166" s="2310"/>
      <c r="J166" s="2310"/>
      <c r="K166" s="2310"/>
      <c r="L166" s="2310"/>
      <c r="M166" s="2310"/>
      <c r="N166" s="2310"/>
      <c r="O166" s="2310"/>
      <c r="P166" s="2310"/>
      <c r="Q166" s="2310"/>
    </row>
    <row r="169" spans="2:17" hidden="1" x14ac:dyDescent="0.25"/>
    <row r="170" spans="2:17" hidden="1" x14ac:dyDescent="0.25">
      <c r="I170" s="2363" t="s">
        <v>4509</v>
      </c>
    </row>
    <row r="171" spans="2:17" hidden="1" x14ac:dyDescent="0.25">
      <c r="H171" s="2362" t="s">
        <v>4510</v>
      </c>
      <c r="I171" s="2364">
        <v>616339</v>
      </c>
      <c r="J171" s="2362">
        <v>2.2462</v>
      </c>
      <c r="K171" s="2365">
        <f t="shared" ref="K171:K181" si="0">I171*J171</f>
        <v>1384420.6617999999</v>
      </c>
    </row>
    <row r="172" spans="2:17" hidden="1" x14ac:dyDescent="0.25">
      <c r="I172" s="2364">
        <v>18627</v>
      </c>
      <c r="J172" s="2362">
        <v>2.2040000000000002</v>
      </c>
      <c r="K172" s="2365">
        <f t="shared" si="0"/>
        <v>41053.908000000003</v>
      </c>
    </row>
    <row r="173" spans="2:17" hidden="1" x14ac:dyDescent="0.25">
      <c r="I173" s="2362">
        <v>41066</v>
      </c>
      <c r="J173" s="2362">
        <v>2.1720999999999999</v>
      </c>
      <c r="K173" s="2362">
        <f t="shared" si="0"/>
        <v>89199.458599999998</v>
      </c>
    </row>
    <row r="174" spans="2:17" hidden="1" x14ac:dyDescent="0.25">
      <c r="K174" s="2362">
        <f t="shared" si="0"/>
        <v>0</v>
      </c>
    </row>
    <row r="175" spans="2:17" hidden="1" x14ac:dyDescent="0.25">
      <c r="K175" s="2362">
        <f t="shared" si="0"/>
        <v>0</v>
      </c>
    </row>
    <row r="176" spans="2:17" hidden="1" x14ac:dyDescent="0.25">
      <c r="K176" s="2362">
        <f t="shared" si="0"/>
        <v>0</v>
      </c>
    </row>
    <row r="177" spans="8:14" hidden="1" x14ac:dyDescent="0.25">
      <c r="K177" s="2362">
        <f t="shared" si="0"/>
        <v>0</v>
      </c>
    </row>
    <row r="178" spans="8:14" hidden="1" x14ac:dyDescent="0.25">
      <c r="K178" s="2362">
        <f t="shared" si="0"/>
        <v>0</v>
      </c>
    </row>
    <row r="179" spans="8:14" hidden="1" x14ac:dyDescent="0.25">
      <c r="K179" s="2362">
        <f t="shared" si="0"/>
        <v>0</v>
      </c>
    </row>
    <row r="180" spans="8:14" hidden="1" x14ac:dyDescent="0.25">
      <c r="K180" s="2362">
        <f t="shared" si="0"/>
        <v>0</v>
      </c>
    </row>
    <row r="181" spans="8:14" hidden="1" x14ac:dyDescent="0.25">
      <c r="K181" s="2362">
        <f t="shared" si="0"/>
        <v>0</v>
      </c>
    </row>
    <row r="182" spans="8:14" ht="15.75" hidden="1" thickBot="1" x14ac:dyDescent="0.3">
      <c r="I182" s="2366">
        <f>SUM(I171:I181)</f>
        <v>676032</v>
      </c>
      <c r="J182" s="2367"/>
      <c r="K182" s="2366">
        <f>SUM(K171:K181)</f>
        <v>1514674.0284</v>
      </c>
      <c r="L182" s="2362">
        <v>39.399299999999997</v>
      </c>
      <c r="M182" s="2362" t="s">
        <v>4511</v>
      </c>
      <c r="N182" s="2368"/>
    </row>
    <row r="183" spans="8:14" hidden="1" x14ac:dyDescent="0.25">
      <c r="I183" s="2364"/>
      <c r="K183" s="2365"/>
      <c r="N183" s="2369"/>
    </row>
    <row r="184" spans="8:14" hidden="1" x14ac:dyDescent="0.25">
      <c r="I184" s="2364"/>
      <c r="K184" s="2365"/>
      <c r="N184" s="2369"/>
    </row>
    <row r="185" spans="8:14" ht="15.75" hidden="1" thickBot="1" x14ac:dyDescent="0.3">
      <c r="I185" s="2366"/>
      <c r="J185" s="2367"/>
      <c r="K185" s="2366"/>
      <c r="L185" s="2364">
        <f>K182/$L$182</f>
        <v>38444.186277421177</v>
      </c>
      <c r="M185" s="2364"/>
    </row>
    <row r="186" spans="8:14" hidden="1" x14ac:dyDescent="0.25">
      <c r="M186" s="2362">
        <f>L185/1000000</f>
        <v>3.8444186277421175E-2</v>
      </c>
    </row>
    <row r="187" spans="8:14" hidden="1" x14ac:dyDescent="0.25">
      <c r="I187" s="2362" t="s">
        <v>4512</v>
      </c>
    </row>
    <row r="188" spans="8:14" hidden="1" x14ac:dyDescent="0.25">
      <c r="H188" s="2362" t="s">
        <v>4510</v>
      </c>
      <c r="I188" s="2362">
        <v>1501500</v>
      </c>
      <c r="J188" s="2362">
        <v>2.3689</v>
      </c>
      <c r="K188" s="2362">
        <f t="shared" ref="K188:K194" si="1">I188*J188</f>
        <v>3556903.35</v>
      </c>
    </row>
    <row r="189" spans="8:14" hidden="1" x14ac:dyDescent="0.25">
      <c r="I189" s="2362">
        <v>753285.5</v>
      </c>
      <c r="J189" s="2362">
        <v>2.2999999999999998</v>
      </c>
      <c r="K189" s="2362">
        <f t="shared" si="1"/>
        <v>1732556.65</v>
      </c>
    </row>
    <row r="190" spans="8:14" hidden="1" x14ac:dyDescent="0.25">
      <c r="K190" s="2362">
        <f t="shared" si="1"/>
        <v>0</v>
      </c>
    </row>
    <row r="191" spans="8:14" hidden="1" x14ac:dyDescent="0.25">
      <c r="K191" s="2362">
        <f t="shared" si="1"/>
        <v>0</v>
      </c>
    </row>
    <row r="192" spans="8:14" hidden="1" x14ac:dyDescent="0.25">
      <c r="K192" s="2362">
        <f t="shared" si="1"/>
        <v>0</v>
      </c>
    </row>
    <row r="193" spans="8:13" hidden="1" x14ac:dyDescent="0.25">
      <c r="K193" s="2362">
        <f t="shared" si="1"/>
        <v>0</v>
      </c>
    </row>
    <row r="194" spans="8:13" hidden="1" x14ac:dyDescent="0.25">
      <c r="K194" s="2362">
        <f t="shared" si="1"/>
        <v>0</v>
      </c>
    </row>
    <row r="195" spans="8:13" hidden="1" x14ac:dyDescent="0.25">
      <c r="I195" s="2370">
        <f>SUM(I188:I194)</f>
        <v>2254785.5</v>
      </c>
      <c r="K195" s="2365">
        <f>SUM(K188:K194)</f>
        <v>5289460</v>
      </c>
      <c r="L195" s="2364">
        <f>K195/$L$182</f>
        <v>134252.63900627676</v>
      </c>
      <c r="M195" s="2362">
        <f>L195/1000000</f>
        <v>0.13425263900627676</v>
      </c>
    </row>
    <row r="196" spans="8:13" hidden="1" x14ac:dyDescent="0.25">
      <c r="I196" s="2365"/>
      <c r="K196" s="2365"/>
      <c r="L196" s="2364"/>
    </row>
    <row r="197" spans="8:13" hidden="1" x14ac:dyDescent="0.25">
      <c r="H197" s="2362" t="s">
        <v>4513</v>
      </c>
      <c r="I197" s="2364"/>
      <c r="K197" s="2364">
        <f>I197*J197</f>
        <v>0</v>
      </c>
      <c r="L197" s="2364"/>
    </row>
    <row r="198" spans="8:13" hidden="1" x14ac:dyDescent="0.25">
      <c r="K198" s="2364">
        <f>I198*J198</f>
        <v>0</v>
      </c>
    </row>
    <row r="199" spans="8:13" hidden="1" x14ac:dyDescent="0.25">
      <c r="I199" s="2365">
        <f>SUM(I197:I198)</f>
        <v>0</v>
      </c>
      <c r="K199" s="2365">
        <f>SUM(K197:K198)</f>
        <v>0</v>
      </c>
      <c r="L199" s="2362">
        <f>K199/$L$182</f>
        <v>0</v>
      </c>
      <c r="M199" s="2362">
        <f>L199/1000000</f>
        <v>0</v>
      </c>
    </row>
    <row r="200" spans="8:13" hidden="1" x14ac:dyDescent="0.25">
      <c r="K200" s="2365"/>
    </row>
    <row r="201" spans="8:13" hidden="1" x14ac:dyDescent="0.25">
      <c r="H201" s="2362" t="s">
        <v>4514</v>
      </c>
      <c r="I201" s="2362">
        <v>100000</v>
      </c>
      <c r="J201" s="2362">
        <v>40.651600000000002</v>
      </c>
      <c r="K201" s="2364">
        <f>I201*J201</f>
        <v>4065160</v>
      </c>
    </row>
    <row r="202" spans="8:13" hidden="1" x14ac:dyDescent="0.25">
      <c r="I202" s="2362">
        <v>12100</v>
      </c>
      <c r="J202" s="2362">
        <v>41.478000000000002</v>
      </c>
      <c r="K202" s="2364">
        <f>I202*J202</f>
        <v>501883.80000000005</v>
      </c>
      <c r="L202" s="2364"/>
    </row>
    <row r="203" spans="8:13" hidden="1" x14ac:dyDescent="0.25">
      <c r="L203" s="2364"/>
    </row>
    <row r="204" spans="8:13" hidden="1" x14ac:dyDescent="0.25">
      <c r="I204" s="2362">
        <f>SUM(I201:I203)</f>
        <v>112100</v>
      </c>
      <c r="K204" s="2365">
        <f>SUM(K201:K203)</f>
        <v>4567043.8</v>
      </c>
      <c r="L204" s="2364">
        <f>K204/$L$182</f>
        <v>115916.87669577886</v>
      </c>
      <c r="M204" s="2362">
        <f>L204/1000000</f>
        <v>0.11591687669577887</v>
      </c>
    </row>
    <row r="205" spans="8:13" hidden="1" x14ac:dyDescent="0.25"/>
    <row r="206" spans="8:13" hidden="1" x14ac:dyDescent="0.25">
      <c r="H206" s="2362" t="s">
        <v>4515</v>
      </c>
      <c r="I206" s="2362">
        <v>143051.21</v>
      </c>
      <c r="J206" s="2362">
        <v>23.5489</v>
      </c>
      <c r="K206" s="2364">
        <f>I206*J206</f>
        <v>3368698.6391689996</v>
      </c>
    </row>
    <row r="207" spans="8:13" hidden="1" x14ac:dyDescent="0.25">
      <c r="I207" s="2362">
        <v>6000</v>
      </c>
      <c r="J207" s="2362">
        <v>24.5442</v>
      </c>
      <c r="K207" s="2364">
        <f>I207*J207</f>
        <v>147265.20000000001</v>
      </c>
    </row>
    <row r="208" spans="8:13" hidden="1" x14ac:dyDescent="0.25">
      <c r="K208" s="2364">
        <f>I208*J208</f>
        <v>0</v>
      </c>
    </row>
    <row r="209" spans="9:13" hidden="1" x14ac:dyDescent="0.25">
      <c r="I209" s="2363">
        <f>SUM(I206:I208)</f>
        <v>149051.21</v>
      </c>
      <c r="K209" s="2365">
        <f>SUM(K206:K208)</f>
        <v>3515963.8391689998</v>
      </c>
      <c r="L209" s="2371">
        <f>K209/$L$182</f>
        <v>89239.246361458208</v>
      </c>
      <c r="M209" s="2372">
        <f>L209/1000000</f>
        <v>8.9239246361458205E-2</v>
      </c>
    </row>
    <row r="210" spans="9:13" hidden="1" x14ac:dyDescent="0.25">
      <c r="K210" s="2365"/>
    </row>
    <row r="211" spans="9:13" hidden="1" x14ac:dyDescent="0.25">
      <c r="K211" s="2365">
        <f>K195+K199+K204+K209</f>
        <v>13372467.639169</v>
      </c>
      <c r="L211" s="2362">
        <f>K211/$L$182</f>
        <v>339408.76206351386</v>
      </c>
      <c r="M211" s="2373">
        <f>SUM(M195:M210)</f>
        <v>0.33940876206351384</v>
      </c>
    </row>
    <row r="212" spans="9:13" hidden="1" x14ac:dyDescent="0.25"/>
    <row r="213" spans="9:13" hidden="1" x14ac:dyDescent="0.25">
      <c r="K213" s="2374" t="s">
        <v>4516</v>
      </c>
      <c r="L213" s="2373">
        <f>L211/1000000</f>
        <v>0.33940876206351384</v>
      </c>
    </row>
    <row r="214" spans="9:13" hidden="1" x14ac:dyDescent="0.25"/>
  </sheetData>
  <mergeCells count="16">
    <mergeCell ref="N81:N82"/>
    <mergeCell ref="A3:A6"/>
    <mergeCell ref="A79:A82"/>
    <mergeCell ref="B79:H79"/>
    <mergeCell ref="I79:O79"/>
    <mergeCell ref="B81:B82"/>
    <mergeCell ref="C81:C82"/>
    <mergeCell ref="D81:D82"/>
    <mergeCell ref="E81:E82"/>
    <mergeCell ref="F81:F82"/>
    <mergeCell ref="G81:G82"/>
    <mergeCell ref="I81:I82"/>
    <mergeCell ref="J81:J82"/>
    <mergeCell ref="K81:K82"/>
    <mergeCell ref="L81:L82"/>
    <mergeCell ref="M81:M82"/>
  </mergeCells>
  <pageMargins left="0.25" right="0.25" top="0.25" bottom="0.25" header="0.31496062992126" footer="0"/>
  <pageSetup paperSize="9" scale="6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K117"/>
  <sheetViews>
    <sheetView showGridLines="0" zoomScaleNormal="100" zoomScaleSheetLayoutView="100" workbookViewId="0">
      <pane xSplit="1" ySplit="79" topLeftCell="B80" activePane="bottomRight" state="frozen"/>
      <selection activeCell="A150" sqref="A150"/>
      <selection pane="topRight" activeCell="A150" sqref="A150"/>
      <selection pane="bottomLeft" activeCell="A150" sqref="A150"/>
      <selection pane="bottomRight"/>
    </sheetView>
  </sheetViews>
  <sheetFormatPr defaultColWidth="8.85546875" defaultRowHeight="14.25" x14ac:dyDescent="0.25"/>
  <cols>
    <col min="1" max="1" width="13.85546875" style="2296" customWidth="1"/>
    <col min="2" max="2" width="13.85546875" style="2297" customWidth="1"/>
    <col min="3" max="3" width="15" style="2297" bestFit="1" customWidth="1"/>
    <col min="4" max="4" width="14.28515625" style="2297" bestFit="1" customWidth="1"/>
    <col min="5" max="5" width="15" style="2297" bestFit="1" customWidth="1"/>
    <col min="6" max="6" width="12.42578125" style="2297" bestFit="1" customWidth="1"/>
    <col min="7" max="7" width="15" style="2297" bestFit="1" customWidth="1"/>
    <col min="8" max="8" width="13.140625" style="2297" customWidth="1"/>
    <col min="9" max="9" width="15" style="2297" bestFit="1" customWidth="1"/>
    <col min="10" max="10" width="13.42578125" style="2297" customWidth="1"/>
    <col min="11" max="11" width="15" style="2297" bestFit="1" customWidth="1"/>
    <col min="12" max="12" width="19.42578125" style="2297" bestFit="1" customWidth="1"/>
    <col min="13" max="13" width="8.85546875" style="2297"/>
    <col min="14" max="14" width="8.7109375" style="2297" customWidth="1"/>
    <col min="15" max="15" width="8.85546875" style="2297"/>
    <col min="16" max="16" width="14.28515625" style="2297" bestFit="1" customWidth="1"/>
    <col min="17" max="256" width="8.85546875" style="2297"/>
    <col min="257" max="257" width="10.7109375" style="2297" customWidth="1"/>
    <col min="258" max="258" width="11.85546875" style="2297" bestFit="1" customWidth="1"/>
    <col min="259" max="259" width="15" style="2297" bestFit="1" customWidth="1"/>
    <col min="260" max="260" width="14.28515625" style="2297" bestFit="1" customWidth="1"/>
    <col min="261" max="261" width="15" style="2297" bestFit="1" customWidth="1"/>
    <col min="262" max="262" width="11.28515625" style="2297" bestFit="1" customWidth="1"/>
    <col min="263" max="263" width="15" style="2297" bestFit="1" customWidth="1"/>
    <col min="264" max="264" width="13.140625" style="2297" customWidth="1"/>
    <col min="265" max="265" width="15" style="2297" bestFit="1" customWidth="1"/>
    <col min="266" max="266" width="13.42578125" style="2297" customWidth="1"/>
    <col min="267" max="267" width="15" style="2297" bestFit="1" customWidth="1"/>
    <col min="268" max="268" width="19.42578125" style="2297" bestFit="1" customWidth="1"/>
    <col min="269" max="269" width="8.85546875" style="2297"/>
    <col min="270" max="270" width="8.7109375" style="2297" customWidth="1"/>
    <col min="271" max="271" width="8.85546875" style="2297"/>
    <col min="272" max="272" width="14.28515625" style="2297" bestFit="1" customWidth="1"/>
    <col min="273" max="512" width="8.85546875" style="2297"/>
    <col min="513" max="513" width="10.7109375" style="2297" customWidth="1"/>
    <col min="514" max="514" width="11.85546875" style="2297" bestFit="1" customWidth="1"/>
    <col min="515" max="515" width="15" style="2297" bestFit="1" customWidth="1"/>
    <col min="516" max="516" width="14.28515625" style="2297" bestFit="1" customWidth="1"/>
    <col min="517" max="517" width="15" style="2297" bestFit="1" customWidth="1"/>
    <col min="518" max="518" width="11.28515625" style="2297" bestFit="1" customWidth="1"/>
    <col min="519" max="519" width="15" style="2297" bestFit="1" customWidth="1"/>
    <col min="520" max="520" width="13.140625" style="2297" customWidth="1"/>
    <col min="521" max="521" width="15" style="2297" bestFit="1" customWidth="1"/>
    <col min="522" max="522" width="13.42578125" style="2297" customWidth="1"/>
    <col min="523" max="523" width="15" style="2297" bestFit="1" customWidth="1"/>
    <col min="524" max="524" width="19.42578125" style="2297" bestFit="1" customWidth="1"/>
    <col min="525" max="525" width="8.85546875" style="2297"/>
    <col min="526" max="526" width="8.7109375" style="2297" customWidth="1"/>
    <col min="527" max="527" width="8.85546875" style="2297"/>
    <col min="528" max="528" width="14.28515625" style="2297" bestFit="1" customWidth="1"/>
    <col min="529" max="768" width="8.85546875" style="2297"/>
    <col min="769" max="769" width="10.7109375" style="2297" customWidth="1"/>
    <col min="770" max="770" width="11.85546875" style="2297" bestFit="1" customWidth="1"/>
    <col min="771" max="771" width="15" style="2297" bestFit="1" customWidth="1"/>
    <col min="772" max="772" width="14.28515625" style="2297" bestFit="1" customWidth="1"/>
    <col min="773" max="773" width="15" style="2297" bestFit="1" customWidth="1"/>
    <col min="774" max="774" width="11.28515625" style="2297" bestFit="1" customWidth="1"/>
    <col min="775" max="775" width="15" style="2297" bestFit="1" customWidth="1"/>
    <col min="776" max="776" width="13.140625" style="2297" customWidth="1"/>
    <col min="777" max="777" width="15" style="2297" bestFit="1" customWidth="1"/>
    <col min="778" max="778" width="13.42578125" style="2297" customWidth="1"/>
    <col min="779" max="779" width="15" style="2297" bestFit="1" customWidth="1"/>
    <col min="780" max="780" width="19.42578125" style="2297" bestFit="1" customWidth="1"/>
    <col min="781" max="781" width="8.85546875" style="2297"/>
    <col min="782" max="782" width="8.7109375" style="2297" customWidth="1"/>
    <col min="783" max="783" width="8.85546875" style="2297"/>
    <col min="784" max="784" width="14.28515625" style="2297" bestFit="1" customWidth="1"/>
    <col min="785" max="1024" width="8.85546875" style="2297"/>
    <col min="1025" max="1025" width="10.7109375" style="2297" customWidth="1"/>
    <col min="1026" max="1026" width="11.85546875" style="2297" bestFit="1" customWidth="1"/>
    <col min="1027" max="1027" width="15" style="2297" bestFit="1" customWidth="1"/>
    <col min="1028" max="1028" width="14.28515625" style="2297" bestFit="1" customWidth="1"/>
    <col min="1029" max="1029" width="15" style="2297" bestFit="1" customWidth="1"/>
    <col min="1030" max="1030" width="11.28515625" style="2297" bestFit="1" customWidth="1"/>
    <col min="1031" max="1031" width="15" style="2297" bestFit="1" customWidth="1"/>
    <col min="1032" max="1032" width="13.140625" style="2297" customWidth="1"/>
    <col min="1033" max="1033" width="15" style="2297" bestFit="1" customWidth="1"/>
    <col min="1034" max="1034" width="13.42578125" style="2297" customWidth="1"/>
    <col min="1035" max="1035" width="15" style="2297" bestFit="1" customWidth="1"/>
    <col min="1036" max="1036" width="19.42578125" style="2297" bestFit="1" customWidth="1"/>
    <col min="1037" max="1037" width="8.85546875" style="2297"/>
    <col min="1038" max="1038" width="8.7109375" style="2297" customWidth="1"/>
    <col min="1039" max="1039" width="8.85546875" style="2297"/>
    <col min="1040" max="1040" width="14.28515625" style="2297" bestFit="1" customWidth="1"/>
    <col min="1041" max="1280" width="8.85546875" style="2297"/>
    <col min="1281" max="1281" width="10.7109375" style="2297" customWidth="1"/>
    <col min="1282" max="1282" width="11.85546875" style="2297" bestFit="1" customWidth="1"/>
    <col min="1283" max="1283" width="15" style="2297" bestFit="1" customWidth="1"/>
    <col min="1284" max="1284" width="14.28515625" style="2297" bestFit="1" customWidth="1"/>
    <col min="1285" max="1285" width="15" style="2297" bestFit="1" customWidth="1"/>
    <col min="1286" max="1286" width="11.28515625" style="2297" bestFit="1" customWidth="1"/>
    <col min="1287" max="1287" width="15" style="2297" bestFit="1" customWidth="1"/>
    <col min="1288" max="1288" width="13.140625" style="2297" customWidth="1"/>
    <col min="1289" max="1289" width="15" style="2297" bestFit="1" customWidth="1"/>
    <col min="1290" max="1290" width="13.42578125" style="2297" customWidth="1"/>
    <col min="1291" max="1291" width="15" style="2297" bestFit="1" customWidth="1"/>
    <col min="1292" max="1292" width="19.42578125" style="2297" bestFit="1" customWidth="1"/>
    <col min="1293" max="1293" width="8.85546875" style="2297"/>
    <col min="1294" max="1294" width="8.7109375" style="2297" customWidth="1"/>
    <col min="1295" max="1295" width="8.85546875" style="2297"/>
    <col min="1296" max="1296" width="14.28515625" style="2297" bestFit="1" customWidth="1"/>
    <col min="1297" max="1536" width="8.85546875" style="2297"/>
    <col min="1537" max="1537" width="10.7109375" style="2297" customWidth="1"/>
    <col min="1538" max="1538" width="11.85546875" style="2297" bestFit="1" customWidth="1"/>
    <col min="1539" max="1539" width="15" style="2297" bestFit="1" customWidth="1"/>
    <col min="1540" max="1540" width="14.28515625" style="2297" bestFit="1" customWidth="1"/>
    <col min="1541" max="1541" width="15" style="2297" bestFit="1" customWidth="1"/>
    <col min="1542" max="1542" width="11.28515625" style="2297" bestFit="1" customWidth="1"/>
    <col min="1543" max="1543" width="15" style="2297" bestFit="1" customWidth="1"/>
    <col min="1544" max="1544" width="13.140625" style="2297" customWidth="1"/>
    <col min="1545" max="1545" width="15" style="2297" bestFit="1" customWidth="1"/>
    <col min="1546" max="1546" width="13.42578125" style="2297" customWidth="1"/>
    <col min="1547" max="1547" width="15" style="2297" bestFit="1" customWidth="1"/>
    <col min="1548" max="1548" width="19.42578125" style="2297" bestFit="1" customWidth="1"/>
    <col min="1549" max="1549" width="8.85546875" style="2297"/>
    <col min="1550" max="1550" width="8.7109375" style="2297" customWidth="1"/>
    <col min="1551" max="1551" width="8.85546875" style="2297"/>
    <col min="1552" max="1552" width="14.28515625" style="2297" bestFit="1" customWidth="1"/>
    <col min="1553" max="1792" width="8.85546875" style="2297"/>
    <col min="1793" max="1793" width="10.7109375" style="2297" customWidth="1"/>
    <col min="1794" max="1794" width="11.85546875" style="2297" bestFit="1" customWidth="1"/>
    <col min="1795" max="1795" width="15" style="2297" bestFit="1" customWidth="1"/>
    <col min="1796" max="1796" width="14.28515625" style="2297" bestFit="1" customWidth="1"/>
    <col min="1797" max="1797" width="15" style="2297" bestFit="1" customWidth="1"/>
    <col min="1798" max="1798" width="11.28515625" style="2297" bestFit="1" customWidth="1"/>
    <col min="1799" max="1799" width="15" style="2297" bestFit="1" customWidth="1"/>
    <col min="1800" max="1800" width="13.140625" style="2297" customWidth="1"/>
    <col min="1801" max="1801" width="15" style="2297" bestFit="1" customWidth="1"/>
    <col min="1802" max="1802" width="13.42578125" style="2297" customWidth="1"/>
    <col min="1803" max="1803" width="15" style="2297" bestFit="1" customWidth="1"/>
    <col min="1804" max="1804" width="19.42578125" style="2297" bestFit="1" customWidth="1"/>
    <col min="1805" max="1805" width="8.85546875" style="2297"/>
    <col min="1806" max="1806" width="8.7109375" style="2297" customWidth="1"/>
    <col min="1807" max="1807" width="8.85546875" style="2297"/>
    <col min="1808" max="1808" width="14.28515625" style="2297" bestFit="1" customWidth="1"/>
    <col min="1809" max="2048" width="8.85546875" style="2297"/>
    <col min="2049" max="2049" width="10.7109375" style="2297" customWidth="1"/>
    <col min="2050" max="2050" width="11.85546875" style="2297" bestFit="1" customWidth="1"/>
    <col min="2051" max="2051" width="15" style="2297" bestFit="1" customWidth="1"/>
    <col min="2052" max="2052" width="14.28515625" style="2297" bestFit="1" customWidth="1"/>
    <col min="2053" max="2053" width="15" style="2297" bestFit="1" customWidth="1"/>
    <col min="2054" max="2054" width="11.28515625" style="2297" bestFit="1" customWidth="1"/>
    <col min="2055" max="2055" width="15" style="2297" bestFit="1" customWidth="1"/>
    <col min="2056" max="2056" width="13.140625" style="2297" customWidth="1"/>
    <col min="2057" max="2057" width="15" style="2297" bestFit="1" customWidth="1"/>
    <col min="2058" max="2058" width="13.42578125" style="2297" customWidth="1"/>
    <col min="2059" max="2059" width="15" style="2297" bestFit="1" customWidth="1"/>
    <col min="2060" max="2060" width="19.42578125" style="2297" bestFit="1" customWidth="1"/>
    <col min="2061" max="2061" width="8.85546875" style="2297"/>
    <col min="2062" max="2062" width="8.7109375" style="2297" customWidth="1"/>
    <col min="2063" max="2063" width="8.85546875" style="2297"/>
    <col min="2064" max="2064" width="14.28515625" style="2297" bestFit="1" customWidth="1"/>
    <col min="2065" max="2304" width="8.85546875" style="2297"/>
    <col min="2305" max="2305" width="10.7109375" style="2297" customWidth="1"/>
    <col min="2306" max="2306" width="11.85546875" style="2297" bestFit="1" customWidth="1"/>
    <col min="2307" max="2307" width="15" style="2297" bestFit="1" customWidth="1"/>
    <col min="2308" max="2308" width="14.28515625" style="2297" bestFit="1" customWidth="1"/>
    <col min="2309" max="2309" width="15" style="2297" bestFit="1" customWidth="1"/>
    <col min="2310" max="2310" width="11.28515625" style="2297" bestFit="1" customWidth="1"/>
    <col min="2311" max="2311" width="15" style="2297" bestFit="1" customWidth="1"/>
    <col min="2312" max="2312" width="13.140625" style="2297" customWidth="1"/>
    <col min="2313" max="2313" width="15" style="2297" bestFit="1" customWidth="1"/>
    <col min="2314" max="2314" width="13.42578125" style="2297" customWidth="1"/>
    <col min="2315" max="2315" width="15" style="2297" bestFit="1" customWidth="1"/>
    <col min="2316" max="2316" width="19.42578125" style="2297" bestFit="1" customWidth="1"/>
    <col min="2317" max="2317" width="8.85546875" style="2297"/>
    <col min="2318" max="2318" width="8.7109375" style="2297" customWidth="1"/>
    <col min="2319" max="2319" width="8.85546875" style="2297"/>
    <col min="2320" max="2320" width="14.28515625" style="2297" bestFit="1" customWidth="1"/>
    <col min="2321" max="2560" width="8.85546875" style="2297"/>
    <col min="2561" max="2561" width="10.7109375" style="2297" customWidth="1"/>
    <col min="2562" max="2562" width="11.85546875" style="2297" bestFit="1" customWidth="1"/>
    <col min="2563" max="2563" width="15" style="2297" bestFit="1" customWidth="1"/>
    <col min="2564" max="2564" width="14.28515625" style="2297" bestFit="1" customWidth="1"/>
    <col min="2565" max="2565" width="15" style="2297" bestFit="1" customWidth="1"/>
    <col min="2566" max="2566" width="11.28515625" style="2297" bestFit="1" customWidth="1"/>
    <col min="2567" max="2567" width="15" style="2297" bestFit="1" customWidth="1"/>
    <col min="2568" max="2568" width="13.140625" style="2297" customWidth="1"/>
    <col min="2569" max="2569" width="15" style="2297" bestFit="1" customWidth="1"/>
    <col min="2570" max="2570" width="13.42578125" style="2297" customWidth="1"/>
    <col min="2571" max="2571" width="15" style="2297" bestFit="1" customWidth="1"/>
    <col min="2572" max="2572" width="19.42578125" style="2297" bestFit="1" customWidth="1"/>
    <col min="2573" max="2573" width="8.85546875" style="2297"/>
    <col min="2574" max="2574" width="8.7109375" style="2297" customWidth="1"/>
    <col min="2575" max="2575" width="8.85546875" style="2297"/>
    <col min="2576" max="2576" width="14.28515625" style="2297" bestFit="1" customWidth="1"/>
    <col min="2577" max="2816" width="8.85546875" style="2297"/>
    <col min="2817" max="2817" width="10.7109375" style="2297" customWidth="1"/>
    <col min="2818" max="2818" width="11.85546875" style="2297" bestFit="1" customWidth="1"/>
    <col min="2819" max="2819" width="15" style="2297" bestFit="1" customWidth="1"/>
    <col min="2820" max="2820" width="14.28515625" style="2297" bestFit="1" customWidth="1"/>
    <col min="2821" max="2821" width="15" style="2297" bestFit="1" customWidth="1"/>
    <col min="2822" max="2822" width="11.28515625" style="2297" bestFit="1" customWidth="1"/>
    <col min="2823" max="2823" width="15" style="2297" bestFit="1" customWidth="1"/>
    <col min="2824" max="2824" width="13.140625" style="2297" customWidth="1"/>
    <col min="2825" max="2825" width="15" style="2297" bestFit="1" customWidth="1"/>
    <col min="2826" max="2826" width="13.42578125" style="2297" customWidth="1"/>
    <col min="2827" max="2827" width="15" style="2297" bestFit="1" customWidth="1"/>
    <col min="2828" max="2828" width="19.42578125" style="2297" bestFit="1" customWidth="1"/>
    <col min="2829" max="2829" width="8.85546875" style="2297"/>
    <col min="2830" max="2830" width="8.7109375" style="2297" customWidth="1"/>
    <col min="2831" max="2831" width="8.85546875" style="2297"/>
    <col min="2832" max="2832" width="14.28515625" style="2297" bestFit="1" customWidth="1"/>
    <col min="2833" max="3072" width="8.85546875" style="2297"/>
    <col min="3073" max="3073" width="10.7109375" style="2297" customWidth="1"/>
    <col min="3074" max="3074" width="11.85546875" style="2297" bestFit="1" customWidth="1"/>
    <col min="3075" max="3075" width="15" style="2297" bestFit="1" customWidth="1"/>
    <col min="3076" max="3076" width="14.28515625" style="2297" bestFit="1" customWidth="1"/>
    <col min="3077" max="3077" width="15" style="2297" bestFit="1" customWidth="1"/>
    <col min="3078" max="3078" width="11.28515625" style="2297" bestFit="1" customWidth="1"/>
    <col min="3079" max="3079" width="15" style="2297" bestFit="1" customWidth="1"/>
    <col min="3080" max="3080" width="13.140625" style="2297" customWidth="1"/>
    <col min="3081" max="3081" width="15" style="2297" bestFit="1" customWidth="1"/>
    <col min="3082" max="3082" width="13.42578125" style="2297" customWidth="1"/>
    <col min="3083" max="3083" width="15" style="2297" bestFit="1" customWidth="1"/>
    <col min="3084" max="3084" width="19.42578125" style="2297" bestFit="1" customWidth="1"/>
    <col min="3085" max="3085" width="8.85546875" style="2297"/>
    <col min="3086" max="3086" width="8.7109375" style="2297" customWidth="1"/>
    <col min="3087" max="3087" width="8.85546875" style="2297"/>
    <col min="3088" max="3088" width="14.28515625" style="2297" bestFit="1" customWidth="1"/>
    <col min="3089" max="3328" width="8.85546875" style="2297"/>
    <col min="3329" max="3329" width="10.7109375" style="2297" customWidth="1"/>
    <col min="3330" max="3330" width="11.85546875" style="2297" bestFit="1" customWidth="1"/>
    <col min="3331" max="3331" width="15" style="2297" bestFit="1" customWidth="1"/>
    <col min="3332" max="3332" width="14.28515625" style="2297" bestFit="1" customWidth="1"/>
    <col min="3333" max="3333" width="15" style="2297" bestFit="1" customWidth="1"/>
    <col min="3334" max="3334" width="11.28515625" style="2297" bestFit="1" customWidth="1"/>
    <col min="3335" max="3335" width="15" style="2297" bestFit="1" customWidth="1"/>
    <col min="3336" max="3336" width="13.140625" style="2297" customWidth="1"/>
    <col min="3337" max="3337" width="15" style="2297" bestFit="1" customWidth="1"/>
    <col min="3338" max="3338" width="13.42578125" style="2297" customWidth="1"/>
    <col min="3339" max="3339" width="15" style="2297" bestFit="1" customWidth="1"/>
    <col min="3340" max="3340" width="19.42578125" style="2297" bestFit="1" customWidth="1"/>
    <col min="3341" max="3341" width="8.85546875" style="2297"/>
    <col min="3342" max="3342" width="8.7109375" style="2297" customWidth="1"/>
    <col min="3343" max="3343" width="8.85546875" style="2297"/>
    <col min="3344" max="3344" width="14.28515625" style="2297" bestFit="1" customWidth="1"/>
    <col min="3345" max="3584" width="8.85546875" style="2297"/>
    <col min="3585" max="3585" width="10.7109375" style="2297" customWidth="1"/>
    <col min="3586" max="3586" width="11.85546875" style="2297" bestFit="1" customWidth="1"/>
    <col min="3587" max="3587" width="15" style="2297" bestFit="1" customWidth="1"/>
    <col min="3588" max="3588" width="14.28515625" style="2297" bestFit="1" customWidth="1"/>
    <col min="3589" max="3589" width="15" style="2297" bestFit="1" customWidth="1"/>
    <col min="3590" max="3590" width="11.28515625" style="2297" bestFit="1" customWidth="1"/>
    <col min="3591" max="3591" width="15" style="2297" bestFit="1" customWidth="1"/>
    <col min="3592" max="3592" width="13.140625" style="2297" customWidth="1"/>
    <col min="3593" max="3593" width="15" style="2297" bestFit="1" customWidth="1"/>
    <col min="3594" max="3594" width="13.42578125" style="2297" customWidth="1"/>
    <col min="3595" max="3595" width="15" style="2297" bestFit="1" customWidth="1"/>
    <col min="3596" max="3596" width="19.42578125" style="2297" bestFit="1" customWidth="1"/>
    <col min="3597" max="3597" width="8.85546875" style="2297"/>
    <col min="3598" max="3598" width="8.7109375" style="2297" customWidth="1"/>
    <col min="3599" max="3599" width="8.85546875" style="2297"/>
    <col min="3600" max="3600" width="14.28515625" style="2297" bestFit="1" customWidth="1"/>
    <col min="3601" max="3840" width="8.85546875" style="2297"/>
    <col min="3841" max="3841" width="10.7109375" style="2297" customWidth="1"/>
    <col min="3842" max="3842" width="11.85546875" style="2297" bestFit="1" customWidth="1"/>
    <col min="3843" max="3843" width="15" style="2297" bestFit="1" customWidth="1"/>
    <col min="3844" max="3844" width="14.28515625" style="2297" bestFit="1" customWidth="1"/>
    <col min="3845" max="3845" width="15" style="2297" bestFit="1" customWidth="1"/>
    <col min="3846" max="3846" width="11.28515625" style="2297" bestFit="1" customWidth="1"/>
    <col min="3847" max="3847" width="15" style="2297" bestFit="1" customWidth="1"/>
    <col min="3848" max="3848" width="13.140625" style="2297" customWidth="1"/>
    <col min="3849" max="3849" width="15" style="2297" bestFit="1" customWidth="1"/>
    <col min="3850" max="3850" width="13.42578125" style="2297" customWidth="1"/>
    <col min="3851" max="3851" width="15" style="2297" bestFit="1" customWidth="1"/>
    <col min="3852" max="3852" width="19.42578125" style="2297" bestFit="1" customWidth="1"/>
    <col min="3853" max="3853" width="8.85546875" style="2297"/>
    <col min="3854" max="3854" width="8.7109375" style="2297" customWidth="1"/>
    <col min="3855" max="3855" width="8.85546875" style="2297"/>
    <col min="3856" max="3856" width="14.28515625" style="2297" bestFit="1" customWidth="1"/>
    <col min="3857" max="4096" width="8.85546875" style="2297"/>
    <col min="4097" max="4097" width="10.7109375" style="2297" customWidth="1"/>
    <col min="4098" max="4098" width="11.85546875" style="2297" bestFit="1" customWidth="1"/>
    <col min="4099" max="4099" width="15" style="2297" bestFit="1" customWidth="1"/>
    <col min="4100" max="4100" width="14.28515625" style="2297" bestFit="1" customWidth="1"/>
    <col min="4101" max="4101" width="15" style="2297" bestFit="1" customWidth="1"/>
    <col min="4102" max="4102" width="11.28515625" style="2297" bestFit="1" customWidth="1"/>
    <col min="4103" max="4103" width="15" style="2297" bestFit="1" customWidth="1"/>
    <col min="4104" max="4104" width="13.140625" style="2297" customWidth="1"/>
    <col min="4105" max="4105" width="15" style="2297" bestFit="1" customWidth="1"/>
    <col min="4106" max="4106" width="13.42578125" style="2297" customWidth="1"/>
    <col min="4107" max="4107" width="15" style="2297" bestFit="1" customWidth="1"/>
    <col min="4108" max="4108" width="19.42578125" style="2297" bestFit="1" customWidth="1"/>
    <col min="4109" max="4109" width="8.85546875" style="2297"/>
    <col min="4110" max="4110" width="8.7109375" style="2297" customWidth="1"/>
    <col min="4111" max="4111" width="8.85546875" style="2297"/>
    <col min="4112" max="4112" width="14.28515625" style="2297" bestFit="1" customWidth="1"/>
    <col min="4113" max="4352" width="8.85546875" style="2297"/>
    <col min="4353" max="4353" width="10.7109375" style="2297" customWidth="1"/>
    <col min="4354" max="4354" width="11.85546875" style="2297" bestFit="1" customWidth="1"/>
    <col min="4355" max="4355" width="15" style="2297" bestFit="1" customWidth="1"/>
    <col min="4356" max="4356" width="14.28515625" style="2297" bestFit="1" customWidth="1"/>
    <col min="4357" max="4357" width="15" style="2297" bestFit="1" customWidth="1"/>
    <col min="4358" max="4358" width="11.28515625" style="2297" bestFit="1" customWidth="1"/>
    <col min="4359" max="4359" width="15" style="2297" bestFit="1" customWidth="1"/>
    <col min="4360" max="4360" width="13.140625" style="2297" customWidth="1"/>
    <col min="4361" max="4361" width="15" style="2297" bestFit="1" customWidth="1"/>
    <col min="4362" max="4362" width="13.42578125" style="2297" customWidth="1"/>
    <col min="4363" max="4363" width="15" style="2297" bestFit="1" customWidth="1"/>
    <col min="4364" max="4364" width="19.42578125" style="2297" bestFit="1" customWidth="1"/>
    <col min="4365" max="4365" width="8.85546875" style="2297"/>
    <col min="4366" max="4366" width="8.7109375" style="2297" customWidth="1"/>
    <col min="4367" max="4367" width="8.85546875" style="2297"/>
    <col min="4368" max="4368" width="14.28515625" style="2297" bestFit="1" customWidth="1"/>
    <col min="4369" max="4608" width="8.85546875" style="2297"/>
    <col min="4609" max="4609" width="10.7109375" style="2297" customWidth="1"/>
    <col min="4610" max="4610" width="11.85546875" style="2297" bestFit="1" customWidth="1"/>
    <col min="4611" max="4611" width="15" style="2297" bestFit="1" customWidth="1"/>
    <col min="4612" max="4612" width="14.28515625" style="2297" bestFit="1" customWidth="1"/>
    <col min="4613" max="4613" width="15" style="2297" bestFit="1" customWidth="1"/>
    <col min="4614" max="4614" width="11.28515625" style="2297" bestFit="1" customWidth="1"/>
    <col min="4615" max="4615" width="15" style="2297" bestFit="1" customWidth="1"/>
    <col min="4616" max="4616" width="13.140625" style="2297" customWidth="1"/>
    <col min="4617" max="4617" width="15" style="2297" bestFit="1" customWidth="1"/>
    <col min="4618" max="4618" width="13.42578125" style="2297" customWidth="1"/>
    <col min="4619" max="4619" width="15" style="2297" bestFit="1" customWidth="1"/>
    <col min="4620" max="4620" width="19.42578125" style="2297" bestFit="1" customWidth="1"/>
    <col min="4621" max="4621" width="8.85546875" style="2297"/>
    <col min="4622" max="4622" width="8.7109375" style="2297" customWidth="1"/>
    <col min="4623" max="4623" width="8.85546875" style="2297"/>
    <col min="4624" max="4624" width="14.28515625" style="2297" bestFit="1" customWidth="1"/>
    <col min="4625" max="4864" width="8.85546875" style="2297"/>
    <col min="4865" max="4865" width="10.7109375" style="2297" customWidth="1"/>
    <col min="4866" max="4866" width="11.85546875" style="2297" bestFit="1" customWidth="1"/>
    <col min="4867" max="4867" width="15" style="2297" bestFit="1" customWidth="1"/>
    <col min="4868" max="4868" width="14.28515625" style="2297" bestFit="1" customWidth="1"/>
    <col min="4869" max="4869" width="15" style="2297" bestFit="1" customWidth="1"/>
    <col min="4870" max="4870" width="11.28515625" style="2297" bestFit="1" customWidth="1"/>
    <col min="4871" max="4871" width="15" style="2297" bestFit="1" customWidth="1"/>
    <col min="4872" max="4872" width="13.140625" style="2297" customWidth="1"/>
    <col min="4873" max="4873" width="15" style="2297" bestFit="1" customWidth="1"/>
    <col min="4874" max="4874" width="13.42578125" style="2297" customWidth="1"/>
    <col min="4875" max="4875" width="15" style="2297" bestFit="1" customWidth="1"/>
    <col min="4876" max="4876" width="19.42578125" style="2297" bestFit="1" customWidth="1"/>
    <col min="4877" max="4877" width="8.85546875" style="2297"/>
    <col min="4878" max="4878" width="8.7109375" style="2297" customWidth="1"/>
    <col min="4879" max="4879" width="8.85546875" style="2297"/>
    <col min="4880" max="4880" width="14.28515625" style="2297" bestFit="1" customWidth="1"/>
    <col min="4881" max="5120" width="8.85546875" style="2297"/>
    <col min="5121" max="5121" width="10.7109375" style="2297" customWidth="1"/>
    <col min="5122" max="5122" width="11.85546875" style="2297" bestFit="1" customWidth="1"/>
    <col min="5123" max="5123" width="15" style="2297" bestFit="1" customWidth="1"/>
    <col min="5124" max="5124" width="14.28515625" style="2297" bestFit="1" customWidth="1"/>
    <col min="5125" max="5125" width="15" style="2297" bestFit="1" customWidth="1"/>
    <col min="5126" max="5126" width="11.28515625" style="2297" bestFit="1" customWidth="1"/>
    <col min="5127" max="5127" width="15" style="2297" bestFit="1" customWidth="1"/>
    <col min="5128" max="5128" width="13.140625" style="2297" customWidth="1"/>
    <col min="5129" max="5129" width="15" style="2297" bestFit="1" customWidth="1"/>
    <col min="5130" max="5130" width="13.42578125" style="2297" customWidth="1"/>
    <col min="5131" max="5131" width="15" style="2297" bestFit="1" customWidth="1"/>
    <col min="5132" max="5132" width="19.42578125" style="2297" bestFit="1" customWidth="1"/>
    <col min="5133" max="5133" width="8.85546875" style="2297"/>
    <col min="5134" max="5134" width="8.7109375" style="2297" customWidth="1"/>
    <col min="5135" max="5135" width="8.85546875" style="2297"/>
    <col min="5136" max="5136" width="14.28515625" style="2297" bestFit="1" customWidth="1"/>
    <col min="5137" max="5376" width="8.85546875" style="2297"/>
    <col min="5377" max="5377" width="10.7109375" style="2297" customWidth="1"/>
    <col min="5378" max="5378" width="11.85546875" style="2297" bestFit="1" customWidth="1"/>
    <col min="5379" max="5379" width="15" style="2297" bestFit="1" customWidth="1"/>
    <col min="5380" max="5380" width="14.28515625" style="2297" bestFit="1" customWidth="1"/>
    <col min="5381" max="5381" width="15" style="2297" bestFit="1" customWidth="1"/>
    <col min="5382" max="5382" width="11.28515625" style="2297" bestFit="1" customWidth="1"/>
    <col min="5383" max="5383" width="15" style="2297" bestFit="1" customWidth="1"/>
    <col min="5384" max="5384" width="13.140625" style="2297" customWidth="1"/>
    <col min="5385" max="5385" width="15" style="2297" bestFit="1" customWidth="1"/>
    <col min="5386" max="5386" width="13.42578125" style="2297" customWidth="1"/>
    <col min="5387" max="5387" width="15" style="2297" bestFit="1" customWidth="1"/>
    <col min="5388" max="5388" width="19.42578125" style="2297" bestFit="1" customWidth="1"/>
    <col min="5389" max="5389" width="8.85546875" style="2297"/>
    <col min="5390" max="5390" width="8.7109375" style="2297" customWidth="1"/>
    <col min="5391" max="5391" width="8.85546875" style="2297"/>
    <col min="5392" max="5392" width="14.28515625" style="2297" bestFit="1" customWidth="1"/>
    <col min="5393" max="5632" width="8.85546875" style="2297"/>
    <col min="5633" max="5633" width="10.7109375" style="2297" customWidth="1"/>
    <col min="5634" max="5634" width="11.85546875" style="2297" bestFit="1" customWidth="1"/>
    <col min="5635" max="5635" width="15" style="2297" bestFit="1" customWidth="1"/>
    <col min="5636" max="5636" width="14.28515625" style="2297" bestFit="1" customWidth="1"/>
    <col min="5637" max="5637" width="15" style="2297" bestFit="1" customWidth="1"/>
    <col min="5638" max="5638" width="11.28515625" style="2297" bestFit="1" customWidth="1"/>
    <col min="5639" max="5639" width="15" style="2297" bestFit="1" customWidth="1"/>
    <col min="5640" max="5640" width="13.140625" style="2297" customWidth="1"/>
    <col min="5641" max="5641" width="15" style="2297" bestFit="1" customWidth="1"/>
    <col min="5642" max="5642" width="13.42578125" style="2297" customWidth="1"/>
    <col min="5643" max="5643" width="15" style="2297" bestFit="1" customWidth="1"/>
    <col min="5644" max="5644" width="19.42578125" style="2297" bestFit="1" customWidth="1"/>
    <col min="5645" max="5645" width="8.85546875" style="2297"/>
    <col min="5646" max="5646" width="8.7109375" style="2297" customWidth="1"/>
    <col min="5647" max="5647" width="8.85546875" style="2297"/>
    <col min="5648" max="5648" width="14.28515625" style="2297" bestFit="1" customWidth="1"/>
    <col min="5649" max="5888" width="8.85546875" style="2297"/>
    <col min="5889" max="5889" width="10.7109375" style="2297" customWidth="1"/>
    <col min="5890" max="5890" width="11.85546875" style="2297" bestFit="1" customWidth="1"/>
    <col min="5891" max="5891" width="15" style="2297" bestFit="1" customWidth="1"/>
    <col min="5892" max="5892" width="14.28515625" style="2297" bestFit="1" customWidth="1"/>
    <col min="5893" max="5893" width="15" style="2297" bestFit="1" customWidth="1"/>
    <col min="5894" max="5894" width="11.28515625" style="2297" bestFit="1" customWidth="1"/>
    <col min="5895" max="5895" width="15" style="2297" bestFit="1" customWidth="1"/>
    <col min="5896" max="5896" width="13.140625" style="2297" customWidth="1"/>
    <col min="5897" max="5897" width="15" style="2297" bestFit="1" customWidth="1"/>
    <col min="5898" max="5898" width="13.42578125" style="2297" customWidth="1"/>
    <col min="5899" max="5899" width="15" style="2297" bestFit="1" customWidth="1"/>
    <col min="5900" max="5900" width="19.42578125" style="2297" bestFit="1" customWidth="1"/>
    <col min="5901" max="5901" width="8.85546875" style="2297"/>
    <col min="5902" max="5902" width="8.7109375" style="2297" customWidth="1"/>
    <col min="5903" max="5903" width="8.85546875" style="2297"/>
    <col min="5904" max="5904" width="14.28515625" style="2297" bestFit="1" customWidth="1"/>
    <col min="5905" max="6144" width="8.85546875" style="2297"/>
    <col min="6145" max="6145" width="10.7109375" style="2297" customWidth="1"/>
    <col min="6146" max="6146" width="11.85546875" style="2297" bestFit="1" customWidth="1"/>
    <col min="6147" max="6147" width="15" style="2297" bestFit="1" customWidth="1"/>
    <col min="6148" max="6148" width="14.28515625" style="2297" bestFit="1" customWidth="1"/>
    <col min="6149" max="6149" width="15" style="2297" bestFit="1" customWidth="1"/>
    <col min="6150" max="6150" width="11.28515625" style="2297" bestFit="1" customWidth="1"/>
    <col min="6151" max="6151" width="15" style="2297" bestFit="1" customWidth="1"/>
    <col min="6152" max="6152" width="13.140625" style="2297" customWidth="1"/>
    <col min="6153" max="6153" width="15" style="2297" bestFit="1" customWidth="1"/>
    <col min="6154" max="6154" width="13.42578125" style="2297" customWidth="1"/>
    <col min="6155" max="6155" width="15" style="2297" bestFit="1" customWidth="1"/>
    <col min="6156" max="6156" width="19.42578125" style="2297" bestFit="1" customWidth="1"/>
    <col min="6157" max="6157" width="8.85546875" style="2297"/>
    <col min="6158" max="6158" width="8.7109375" style="2297" customWidth="1"/>
    <col min="6159" max="6159" width="8.85546875" style="2297"/>
    <col min="6160" max="6160" width="14.28515625" style="2297" bestFit="1" customWidth="1"/>
    <col min="6161" max="6400" width="8.85546875" style="2297"/>
    <col min="6401" max="6401" width="10.7109375" style="2297" customWidth="1"/>
    <col min="6402" max="6402" width="11.85546875" style="2297" bestFit="1" customWidth="1"/>
    <col min="6403" max="6403" width="15" style="2297" bestFit="1" customWidth="1"/>
    <col min="6404" max="6404" width="14.28515625" style="2297" bestFit="1" customWidth="1"/>
    <col min="6405" max="6405" width="15" style="2297" bestFit="1" customWidth="1"/>
    <col min="6406" max="6406" width="11.28515625" style="2297" bestFit="1" customWidth="1"/>
    <col min="6407" max="6407" width="15" style="2297" bestFit="1" customWidth="1"/>
    <col min="6408" max="6408" width="13.140625" style="2297" customWidth="1"/>
    <col min="6409" max="6409" width="15" style="2297" bestFit="1" customWidth="1"/>
    <col min="6410" max="6410" width="13.42578125" style="2297" customWidth="1"/>
    <col min="6411" max="6411" width="15" style="2297" bestFit="1" customWidth="1"/>
    <col min="6412" max="6412" width="19.42578125" style="2297" bestFit="1" customWidth="1"/>
    <col min="6413" max="6413" width="8.85546875" style="2297"/>
    <col min="6414" max="6414" width="8.7109375" style="2297" customWidth="1"/>
    <col min="6415" max="6415" width="8.85546875" style="2297"/>
    <col min="6416" max="6416" width="14.28515625" style="2297" bestFit="1" customWidth="1"/>
    <col min="6417" max="6656" width="8.85546875" style="2297"/>
    <col min="6657" max="6657" width="10.7109375" style="2297" customWidth="1"/>
    <col min="6658" max="6658" width="11.85546875" style="2297" bestFit="1" customWidth="1"/>
    <col min="6659" max="6659" width="15" style="2297" bestFit="1" customWidth="1"/>
    <col min="6660" max="6660" width="14.28515625" style="2297" bestFit="1" customWidth="1"/>
    <col min="6661" max="6661" width="15" style="2297" bestFit="1" customWidth="1"/>
    <col min="6662" max="6662" width="11.28515625" style="2297" bestFit="1" customWidth="1"/>
    <col min="6663" max="6663" width="15" style="2297" bestFit="1" customWidth="1"/>
    <col min="6664" max="6664" width="13.140625" style="2297" customWidth="1"/>
    <col min="6665" max="6665" width="15" style="2297" bestFit="1" customWidth="1"/>
    <col min="6666" max="6666" width="13.42578125" style="2297" customWidth="1"/>
    <col min="6667" max="6667" width="15" style="2297" bestFit="1" customWidth="1"/>
    <col min="6668" max="6668" width="19.42578125" style="2297" bestFit="1" customWidth="1"/>
    <col min="6669" max="6669" width="8.85546875" style="2297"/>
    <col min="6670" max="6670" width="8.7109375" style="2297" customWidth="1"/>
    <col min="6671" max="6671" width="8.85546875" style="2297"/>
    <col min="6672" max="6672" width="14.28515625" style="2297" bestFit="1" customWidth="1"/>
    <col min="6673" max="6912" width="8.85546875" style="2297"/>
    <col min="6913" max="6913" width="10.7109375" style="2297" customWidth="1"/>
    <col min="6914" max="6914" width="11.85546875" style="2297" bestFit="1" customWidth="1"/>
    <col min="6915" max="6915" width="15" style="2297" bestFit="1" customWidth="1"/>
    <col min="6916" max="6916" width="14.28515625" style="2297" bestFit="1" customWidth="1"/>
    <col min="6917" max="6917" width="15" style="2297" bestFit="1" customWidth="1"/>
    <col min="6918" max="6918" width="11.28515625" style="2297" bestFit="1" customWidth="1"/>
    <col min="6919" max="6919" width="15" style="2297" bestFit="1" customWidth="1"/>
    <col min="6920" max="6920" width="13.140625" style="2297" customWidth="1"/>
    <col min="6921" max="6921" width="15" style="2297" bestFit="1" customWidth="1"/>
    <col min="6922" max="6922" width="13.42578125" style="2297" customWidth="1"/>
    <col min="6923" max="6923" width="15" style="2297" bestFit="1" customWidth="1"/>
    <col min="6924" max="6924" width="19.42578125" style="2297" bestFit="1" customWidth="1"/>
    <col min="6925" max="6925" width="8.85546875" style="2297"/>
    <col min="6926" max="6926" width="8.7109375" style="2297" customWidth="1"/>
    <col min="6927" max="6927" width="8.85546875" style="2297"/>
    <col min="6928" max="6928" width="14.28515625" style="2297" bestFit="1" customWidth="1"/>
    <col min="6929" max="7168" width="8.85546875" style="2297"/>
    <col min="7169" max="7169" width="10.7109375" style="2297" customWidth="1"/>
    <col min="7170" max="7170" width="11.85546875" style="2297" bestFit="1" customWidth="1"/>
    <col min="7171" max="7171" width="15" style="2297" bestFit="1" customWidth="1"/>
    <col min="7172" max="7172" width="14.28515625" style="2297" bestFit="1" customWidth="1"/>
    <col min="7173" max="7173" width="15" style="2297" bestFit="1" customWidth="1"/>
    <col min="7174" max="7174" width="11.28515625" style="2297" bestFit="1" customWidth="1"/>
    <col min="7175" max="7175" width="15" style="2297" bestFit="1" customWidth="1"/>
    <col min="7176" max="7176" width="13.140625" style="2297" customWidth="1"/>
    <col min="7177" max="7177" width="15" style="2297" bestFit="1" customWidth="1"/>
    <col min="7178" max="7178" width="13.42578125" style="2297" customWidth="1"/>
    <col min="7179" max="7179" width="15" style="2297" bestFit="1" customWidth="1"/>
    <col min="7180" max="7180" width="19.42578125" style="2297" bestFit="1" customWidth="1"/>
    <col min="7181" max="7181" width="8.85546875" style="2297"/>
    <col min="7182" max="7182" width="8.7109375" style="2297" customWidth="1"/>
    <col min="7183" max="7183" width="8.85546875" style="2297"/>
    <col min="7184" max="7184" width="14.28515625" style="2297" bestFit="1" customWidth="1"/>
    <col min="7185" max="7424" width="8.85546875" style="2297"/>
    <col min="7425" max="7425" width="10.7109375" style="2297" customWidth="1"/>
    <col min="7426" max="7426" width="11.85546875" style="2297" bestFit="1" customWidth="1"/>
    <col min="7427" max="7427" width="15" style="2297" bestFit="1" customWidth="1"/>
    <col min="7428" max="7428" width="14.28515625" style="2297" bestFit="1" customWidth="1"/>
    <col min="7429" max="7429" width="15" style="2297" bestFit="1" customWidth="1"/>
    <col min="7430" max="7430" width="11.28515625" style="2297" bestFit="1" customWidth="1"/>
    <col min="7431" max="7431" width="15" style="2297" bestFit="1" customWidth="1"/>
    <col min="7432" max="7432" width="13.140625" style="2297" customWidth="1"/>
    <col min="7433" max="7433" width="15" style="2297" bestFit="1" customWidth="1"/>
    <col min="7434" max="7434" width="13.42578125" style="2297" customWidth="1"/>
    <col min="7435" max="7435" width="15" style="2297" bestFit="1" customWidth="1"/>
    <col min="7436" max="7436" width="19.42578125" style="2297" bestFit="1" customWidth="1"/>
    <col min="7437" max="7437" width="8.85546875" style="2297"/>
    <col min="7438" max="7438" width="8.7109375" style="2297" customWidth="1"/>
    <col min="7439" max="7439" width="8.85546875" style="2297"/>
    <col min="7440" max="7440" width="14.28515625" style="2297" bestFit="1" customWidth="1"/>
    <col min="7441" max="7680" width="8.85546875" style="2297"/>
    <col min="7681" max="7681" width="10.7109375" style="2297" customWidth="1"/>
    <col min="7682" max="7682" width="11.85546875" style="2297" bestFit="1" customWidth="1"/>
    <col min="7683" max="7683" width="15" style="2297" bestFit="1" customWidth="1"/>
    <col min="7684" max="7684" width="14.28515625" style="2297" bestFit="1" customWidth="1"/>
    <col min="7685" max="7685" width="15" style="2297" bestFit="1" customWidth="1"/>
    <col min="7686" max="7686" width="11.28515625" style="2297" bestFit="1" customWidth="1"/>
    <col min="7687" max="7687" width="15" style="2297" bestFit="1" customWidth="1"/>
    <col min="7688" max="7688" width="13.140625" style="2297" customWidth="1"/>
    <col min="7689" max="7689" width="15" style="2297" bestFit="1" customWidth="1"/>
    <col min="7690" max="7690" width="13.42578125" style="2297" customWidth="1"/>
    <col min="7691" max="7691" width="15" style="2297" bestFit="1" customWidth="1"/>
    <col min="7692" max="7692" width="19.42578125" style="2297" bestFit="1" customWidth="1"/>
    <col min="7693" max="7693" width="8.85546875" style="2297"/>
    <col min="7694" max="7694" width="8.7109375" style="2297" customWidth="1"/>
    <col min="7695" max="7695" width="8.85546875" style="2297"/>
    <col min="7696" max="7696" width="14.28515625" style="2297" bestFit="1" customWidth="1"/>
    <col min="7697" max="7936" width="8.85546875" style="2297"/>
    <col min="7937" max="7937" width="10.7109375" style="2297" customWidth="1"/>
    <col min="7938" max="7938" width="11.85546875" style="2297" bestFit="1" customWidth="1"/>
    <col min="7939" max="7939" width="15" style="2297" bestFit="1" customWidth="1"/>
    <col min="7940" max="7940" width="14.28515625" style="2297" bestFit="1" customWidth="1"/>
    <col min="7941" max="7941" width="15" style="2297" bestFit="1" customWidth="1"/>
    <col min="7942" max="7942" width="11.28515625" style="2297" bestFit="1" customWidth="1"/>
    <col min="7943" max="7943" width="15" style="2297" bestFit="1" customWidth="1"/>
    <col min="7944" max="7944" width="13.140625" style="2297" customWidth="1"/>
    <col min="7945" max="7945" width="15" style="2297" bestFit="1" customWidth="1"/>
    <col min="7946" max="7946" width="13.42578125" style="2297" customWidth="1"/>
    <col min="7947" max="7947" width="15" style="2297" bestFit="1" customWidth="1"/>
    <col min="7948" max="7948" width="19.42578125" style="2297" bestFit="1" customWidth="1"/>
    <col min="7949" max="7949" width="8.85546875" style="2297"/>
    <col min="7950" max="7950" width="8.7109375" style="2297" customWidth="1"/>
    <col min="7951" max="7951" width="8.85546875" style="2297"/>
    <col min="7952" max="7952" width="14.28515625" style="2297" bestFit="1" customWidth="1"/>
    <col min="7953" max="8192" width="8.85546875" style="2297"/>
    <col min="8193" max="8193" width="10.7109375" style="2297" customWidth="1"/>
    <col min="8194" max="8194" width="11.85546875" style="2297" bestFit="1" customWidth="1"/>
    <col min="8195" max="8195" width="15" style="2297" bestFit="1" customWidth="1"/>
    <col min="8196" max="8196" width="14.28515625" style="2297" bestFit="1" customWidth="1"/>
    <col min="8197" max="8197" width="15" style="2297" bestFit="1" customWidth="1"/>
    <col min="8198" max="8198" width="11.28515625" style="2297" bestFit="1" customWidth="1"/>
    <col min="8199" max="8199" width="15" style="2297" bestFit="1" customWidth="1"/>
    <col min="8200" max="8200" width="13.140625" style="2297" customWidth="1"/>
    <col min="8201" max="8201" width="15" style="2297" bestFit="1" customWidth="1"/>
    <col min="8202" max="8202" width="13.42578125" style="2297" customWidth="1"/>
    <col min="8203" max="8203" width="15" style="2297" bestFit="1" customWidth="1"/>
    <col min="8204" max="8204" width="19.42578125" style="2297" bestFit="1" customWidth="1"/>
    <col min="8205" max="8205" width="8.85546875" style="2297"/>
    <col min="8206" max="8206" width="8.7109375" style="2297" customWidth="1"/>
    <col min="8207" max="8207" width="8.85546875" style="2297"/>
    <col min="8208" max="8208" width="14.28515625" style="2297" bestFit="1" customWidth="1"/>
    <col min="8209" max="8448" width="8.85546875" style="2297"/>
    <col min="8449" max="8449" width="10.7109375" style="2297" customWidth="1"/>
    <col min="8450" max="8450" width="11.85546875" style="2297" bestFit="1" customWidth="1"/>
    <col min="8451" max="8451" width="15" style="2297" bestFit="1" customWidth="1"/>
    <col min="8452" max="8452" width="14.28515625" style="2297" bestFit="1" customWidth="1"/>
    <col min="8453" max="8453" width="15" style="2297" bestFit="1" customWidth="1"/>
    <col min="8454" max="8454" width="11.28515625" style="2297" bestFit="1" customWidth="1"/>
    <col min="8455" max="8455" width="15" style="2297" bestFit="1" customWidth="1"/>
    <col min="8456" max="8456" width="13.140625" style="2297" customWidth="1"/>
    <col min="8457" max="8457" width="15" style="2297" bestFit="1" customWidth="1"/>
    <col min="8458" max="8458" width="13.42578125" style="2297" customWidth="1"/>
    <col min="8459" max="8459" width="15" style="2297" bestFit="1" customWidth="1"/>
    <col min="8460" max="8460" width="19.42578125" style="2297" bestFit="1" customWidth="1"/>
    <col min="8461" max="8461" width="8.85546875" style="2297"/>
    <col min="8462" max="8462" width="8.7109375" style="2297" customWidth="1"/>
    <col min="8463" max="8463" width="8.85546875" style="2297"/>
    <col min="8464" max="8464" width="14.28515625" style="2297" bestFit="1" customWidth="1"/>
    <col min="8465" max="8704" width="8.85546875" style="2297"/>
    <col min="8705" max="8705" width="10.7109375" style="2297" customWidth="1"/>
    <col min="8706" max="8706" width="11.85546875" style="2297" bestFit="1" customWidth="1"/>
    <col min="8707" max="8707" width="15" style="2297" bestFit="1" customWidth="1"/>
    <col min="8708" max="8708" width="14.28515625" style="2297" bestFit="1" customWidth="1"/>
    <col min="8709" max="8709" width="15" style="2297" bestFit="1" customWidth="1"/>
    <col min="8710" max="8710" width="11.28515625" style="2297" bestFit="1" customWidth="1"/>
    <col min="8711" max="8711" width="15" style="2297" bestFit="1" customWidth="1"/>
    <col min="8712" max="8712" width="13.140625" style="2297" customWidth="1"/>
    <col min="8713" max="8713" width="15" style="2297" bestFit="1" customWidth="1"/>
    <col min="8714" max="8714" width="13.42578125" style="2297" customWidth="1"/>
    <col min="8715" max="8715" width="15" style="2297" bestFit="1" customWidth="1"/>
    <col min="8716" max="8716" width="19.42578125" style="2297" bestFit="1" customWidth="1"/>
    <col min="8717" max="8717" width="8.85546875" style="2297"/>
    <col min="8718" max="8718" width="8.7109375" style="2297" customWidth="1"/>
    <col min="8719" max="8719" width="8.85546875" style="2297"/>
    <col min="8720" max="8720" width="14.28515625" style="2297" bestFit="1" customWidth="1"/>
    <col min="8721" max="8960" width="8.85546875" style="2297"/>
    <col min="8961" max="8961" width="10.7109375" style="2297" customWidth="1"/>
    <col min="8962" max="8962" width="11.85546875" style="2297" bestFit="1" customWidth="1"/>
    <col min="8963" max="8963" width="15" style="2297" bestFit="1" customWidth="1"/>
    <col min="8964" max="8964" width="14.28515625" style="2297" bestFit="1" customWidth="1"/>
    <col min="8965" max="8965" width="15" style="2297" bestFit="1" customWidth="1"/>
    <col min="8966" max="8966" width="11.28515625" style="2297" bestFit="1" customWidth="1"/>
    <col min="8967" max="8967" width="15" style="2297" bestFit="1" customWidth="1"/>
    <col min="8968" max="8968" width="13.140625" style="2297" customWidth="1"/>
    <col min="8969" max="8969" width="15" style="2297" bestFit="1" customWidth="1"/>
    <col min="8970" max="8970" width="13.42578125" style="2297" customWidth="1"/>
    <col min="8971" max="8971" width="15" style="2297" bestFit="1" customWidth="1"/>
    <col min="8972" max="8972" width="19.42578125" style="2297" bestFit="1" customWidth="1"/>
    <col min="8973" max="8973" width="8.85546875" style="2297"/>
    <col min="8974" max="8974" width="8.7109375" style="2297" customWidth="1"/>
    <col min="8975" max="8975" width="8.85546875" style="2297"/>
    <col min="8976" max="8976" width="14.28515625" style="2297" bestFit="1" customWidth="1"/>
    <col min="8977" max="9216" width="8.85546875" style="2297"/>
    <col min="9217" max="9217" width="10.7109375" style="2297" customWidth="1"/>
    <col min="9218" max="9218" width="11.85546875" style="2297" bestFit="1" customWidth="1"/>
    <col min="9219" max="9219" width="15" style="2297" bestFit="1" customWidth="1"/>
    <col min="9220" max="9220" width="14.28515625" style="2297" bestFit="1" customWidth="1"/>
    <col min="9221" max="9221" width="15" style="2297" bestFit="1" customWidth="1"/>
    <col min="9222" max="9222" width="11.28515625" style="2297" bestFit="1" customWidth="1"/>
    <col min="9223" max="9223" width="15" style="2297" bestFit="1" customWidth="1"/>
    <col min="9224" max="9224" width="13.140625" style="2297" customWidth="1"/>
    <col min="9225" max="9225" width="15" style="2297" bestFit="1" customWidth="1"/>
    <col min="9226" max="9226" width="13.42578125" style="2297" customWidth="1"/>
    <col min="9227" max="9227" width="15" style="2297" bestFit="1" customWidth="1"/>
    <col min="9228" max="9228" width="19.42578125" style="2297" bestFit="1" customWidth="1"/>
    <col min="9229" max="9229" width="8.85546875" style="2297"/>
    <col min="9230" max="9230" width="8.7109375" style="2297" customWidth="1"/>
    <col min="9231" max="9231" width="8.85546875" style="2297"/>
    <col min="9232" max="9232" width="14.28515625" style="2297" bestFit="1" customWidth="1"/>
    <col min="9233" max="9472" width="8.85546875" style="2297"/>
    <col min="9473" max="9473" width="10.7109375" style="2297" customWidth="1"/>
    <col min="9474" max="9474" width="11.85546875" style="2297" bestFit="1" customWidth="1"/>
    <col min="9475" max="9475" width="15" style="2297" bestFit="1" customWidth="1"/>
    <col min="9476" max="9476" width="14.28515625" style="2297" bestFit="1" customWidth="1"/>
    <col min="9477" max="9477" width="15" style="2297" bestFit="1" customWidth="1"/>
    <col min="9478" max="9478" width="11.28515625" style="2297" bestFit="1" customWidth="1"/>
    <col min="9479" max="9479" width="15" style="2297" bestFit="1" customWidth="1"/>
    <col min="9480" max="9480" width="13.140625" style="2297" customWidth="1"/>
    <col min="9481" max="9481" width="15" style="2297" bestFit="1" customWidth="1"/>
    <col min="9482" max="9482" width="13.42578125" style="2297" customWidth="1"/>
    <col min="9483" max="9483" width="15" style="2297" bestFit="1" customWidth="1"/>
    <col min="9484" max="9484" width="19.42578125" style="2297" bestFit="1" customWidth="1"/>
    <col min="9485" max="9485" width="8.85546875" style="2297"/>
    <col min="9486" max="9486" width="8.7109375" style="2297" customWidth="1"/>
    <col min="9487" max="9487" width="8.85546875" style="2297"/>
    <col min="9488" max="9488" width="14.28515625" style="2297" bestFit="1" customWidth="1"/>
    <col min="9489" max="9728" width="8.85546875" style="2297"/>
    <col min="9729" max="9729" width="10.7109375" style="2297" customWidth="1"/>
    <col min="9730" max="9730" width="11.85546875" style="2297" bestFit="1" customWidth="1"/>
    <col min="9731" max="9731" width="15" style="2297" bestFit="1" customWidth="1"/>
    <col min="9732" max="9732" width="14.28515625" style="2297" bestFit="1" customWidth="1"/>
    <col min="9733" max="9733" width="15" style="2297" bestFit="1" customWidth="1"/>
    <col min="9734" max="9734" width="11.28515625" style="2297" bestFit="1" customWidth="1"/>
    <col min="9735" max="9735" width="15" style="2297" bestFit="1" customWidth="1"/>
    <col min="9736" max="9736" width="13.140625" style="2297" customWidth="1"/>
    <col min="9737" max="9737" width="15" style="2297" bestFit="1" customWidth="1"/>
    <col min="9738" max="9738" width="13.42578125" style="2297" customWidth="1"/>
    <col min="9739" max="9739" width="15" style="2297" bestFit="1" customWidth="1"/>
    <col min="9740" max="9740" width="19.42578125" style="2297" bestFit="1" customWidth="1"/>
    <col min="9741" max="9741" width="8.85546875" style="2297"/>
    <col min="9742" max="9742" width="8.7109375" style="2297" customWidth="1"/>
    <col min="9743" max="9743" width="8.85546875" style="2297"/>
    <col min="9744" max="9744" width="14.28515625" style="2297" bestFit="1" customWidth="1"/>
    <col min="9745" max="9984" width="8.85546875" style="2297"/>
    <col min="9985" max="9985" width="10.7109375" style="2297" customWidth="1"/>
    <col min="9986" max="9986" width="11.85546875" style="2297" bestFit="1" customWidth="1"/>
    <col min="9987" max="9987" width="15" style="2297" bestFit="1" customWidth="1"/>
    <col min="9988" max="9988" width="14.28515625" style="2297" bestFit="1" customWidth="1"/>
    <col min="9989" max="9989" width="15" style="2297" bestFit="1" customWidth="1"/>
    <col min="9990" max="9990" width="11.28515625" style="2297" bestFit="1" customWidth="1"/>
    <col min="9991" max="9991" width="15" style="2297" bestFit="1" customWidth="1"/>
    <col min="9992" max="9992" width="13.140625" style="2297" customWidth="1"/>
    <col min="9993" max="9993" width="15" style="2297" bestFit="1" customWidth="1"/>
    <col min="9994" max="9994" width="13.42578125" style="2297" customWidth="1"/>
    <col min="9995" max="9995" width="15" style="2297" bestFit="1" customWidth="1"/>
    <col min="9996" max="9996" width="19.42578125" style="2297" bestFit="1" customWidth="1"/>
    <col min="9997" max="9997" width="8.85546875" style="2297"/>
    <col min="9998" max="9998" width="8.7109375" style="2297" customWidth="1"/>
    <col min="9999" max="9999" width="8.85546875" style="2297"/>
    <col min="10000" max="10000" width="14.28515625" style="2297" bestFit="1" customWidth="1"/>
    <col min="10001" max="10240" width="8.85546875" style="2297"/>
    <col min="10241" max="10241" width="10.7109375" style="2297" customWidth="1"/>
    <col min="10242" max="10242" width="11.85546875" style="2297" bestFit="1" customWidth="1"/>
    <col min="10243" max="10243" width="15" style="2297" bestFit="1" customWidth="1"/>
    <col min="10244" max="10244" width="14.28515625" style="2297" bestFit="1" customWidth="1"/>
    <col min="10245" max="10245" width="15" style="2297" bestFit="1" customWidth="1"/>
    <col min="10246" max="10246" width="11.28515625" style="2297" bestFit="1" customWidth="1"/>
    <col min="10247" max="10247" width="15" style="2297" bestFit="1" customWidth="1"/>
    <col min="10248" max="10248" width="13.140625" style="2297" customWidth="1"/>
    <col min="10249" max="10249" width="15" style="2297" bestFit="1" customWidth="1"/>
    <col min="10250" max="10250" width="13.42578125" style="2297" customWidth="1"/>
    <col min="10251" max="10251" width="15" style="2297" bestFit="1" customWidth="1"/>
    <col min="10252" max="10252" width="19.42578125" style="2297" bestFit="1" customWidth="1"/>
    <col min="10253" max="10253" width="8.85546875" style="2297"/>
    <col min="10254" max="10254" width="8.7109375" style="2297" customWidth="1"/>
    <col min="10255" max="10255" width="8.85546875" style="2297"/>
    <col min="10256" max="10256" width="14.28515625" style="2297" bestFit="1" customWidth="1"/>
    <col min="10257" max="10496" width="8.85546875" style="2297"/>
    <col min="10497" max="10497" width="10.7109375" style="2297" customWidth="1"/>
    <col min="10498" max="10498" width="11.85546875" style="2297" bestFit="1" customWidth="1"/>
    <col min="10499" max="10499" width="15" style="2297" bestFit="1" customWidth="1"/>
    <col min="10500" max="10500" width="14.28515625" style="2297" bestFit="1" customWidth="1"/>
    <col min="10501" max="10501" width="15" style="2297" bestFit="1" customWidth="1"/>
    <col min="10502" max="10502" width="11.28515625" style="2297" bestFit="1" customWidth="1"/>
    <col min="10503" max="10503" width="15" style="2297" bestFit="1" customWidth="1"/>
    <col min="10504" max="10504" width="13.140625" style="2297" customWidth="1"/>
    <col min="10505" max="10505" width="15" style="2297" bestFit="1" customWidth="1"/>
    <col min="10506" max="10506" width="13.42578125" style="2297" customWidth="1"/>
    <col min="10507" max="10507" width="15" style="2297" bestFit="1" customWidth="1"/>
    <col min="10508" max="10508" width="19.42578125" style="2297" bestFit="1" customWidth="1"/>
    <col min="10509" max="10509" width="8.85546875" style="2297"/>
    <col min="10510" max="10510" width="8.7109375" style="2297" customWidth="1"/>
    <col min="10511" max="10511" width="8.85546875" style="2297"/>
    <col min="10512" max="10512" width="14.28515625" style="2297" bestFit="1" customWidth="1"/>
    <col min="10513" max="10752" width="8.85546875" style="2297"/>
    <col min="10753" max="10753" width="10.7109375" style="2297" customWidth="1"/>
    <col min="10754" max="10754" width="11.85546875" style="2297" bestFit="1" customWidth="1"/>
    <col min="10755" max="10755" width="15" style="2297" bestFit="1" customWidth="1"/>
    <col min="10756" max="10756" width="14.28515625" style="2297" bestFit="1" customWidth="1"/>
    <col min="10757" max="10757" width="15" style="2297" bestFit="1" customWidth="1"/>
    <col min="10758" max="10758" width="11.28515625" style="2297" bestFit="1" customWidth="1"/>
    <col min="10759" max="10759" width="15" style="2297" bestFit="1" customWidth="1"/>
    <col min="10760" max="10760" width="13.140625" style="2297" customWidth="1"/>
    <col min="10761" max="10761" width="15" style="2297" bestFit="1" customWidth="1"/>
    <col min="10762" max="10762" width="13.42578125" style="2297" customWidth="1"/>
    <col min="10763" max="10763" width="15" style="2297" bestFit="1" customWidth="1"/>
    <col min="10764" max="10764" width="19.42578125" style="2297" bestFit="1" customWidth="1"/>
    <col min="10765" max="10765" width="8.85546875" style="2297"/>
    <col min="10766" max="10766" width="8.7109375" style="2297" customWidth="1"/>
    <col min="10767" max="10767" width="8.85546875" style="2297"/>
    <col min="10768" max="10768" width="14.28515625" style="2297" bestFit="1" customWidth="1"/>
    <col min="10769" max="11008" width="8.85546875" style="2297"/>
    <col min="11009" max="11009" width="10.7109375" style="2297" customWidth="1"/>
    <col min="11010" max="11010" width="11.85546875" style="2297" bestFit="1" customWidth="1"/>
    <col min="11011" max="11011" width="15" style="2297" bestFit="1" customWidth="1"/>
    <col min="11012" max="11012" width="14.28515625" style="2297" bestFit="1" customWidth="1"/>
    <col min="11013" max="11013" width="15" style="2297" bestFit="1" customWidth="1"/>
    <col min="11014" max="11014" width="11.28515625" style="2297" bestFit="1" customWidth="1"/>
    <col min="11015" max="11015" width="15" style="2297" bestFit="1" customWidth="1"/>
    <col min="11016" max="11016" width="13.140625" style="2297" customWidth="1"/>
    <col min="11017" max="11017" width="15" style="2297" bestFit="1" customWidth="1"/>
    <col min="11018" max="11018" width="13.42578125" style="2297" customWidth="1"/>
    <col min="11019" max="11019" width="15" style="2297" bestFit="1" customWidth="1"/>
    <col min="11020" max="11020" width="19.42578125" style="2297" bestFit="1" customWidth="1"/>
    <col min="11021" max="11021" width="8.85546875" style="2297"/>
    <col min="11022" max="11022" width="8.7109375" style="2297" customWidth="1"/>
    <col min="11023" max="11023" width="8.85546875" style="2297"/>
    <col min="11024" max="11024" width="14.28515625" style="2297" bestFit="1" customWidth="1"/>
    <col min="11025" max="11264" width="8.85546875" style="2297"/>
    <col min="11265" max="11265" width="10.7109375" style="2297" customWidth="1"/>
    <col min="11266" max="11266" width="11.85546875" style="2297" bestFit="1" customWidth="1"/>
    <col min="11267" max="11267" width="15" style="2297" bestFit="1" customWidth="1"/>
    <col min="11268" max="11268" width="14.28515625" style="2297" bestFit="1" customWidth="1"/>
    <col min="11269" max="11269" width="15" style="2297" bestFit="1" customWidth="1"/>
    <col min="11270" max="11270" width="11.28515625" style="2297" bestFit="1" customWidth="1"/>
    <col min="11271" max="11271" width="15" style="2297" bestFit="1" customWidth="1"/>
    <col min="11272" max="11272" width="13.140625" style="2297" customWidth="1"/>
    <col min="11273" max="11273" width="15" style="2297" bestFit="1" customWidth="1"/>
    <col min="11274" max="11274" width="13.42578125" style="2297" customWidth="1"/>
    <col min="11275" max="11275" width="15" style="2297" bestFit="1" customWidth="1"/>
    <col min="11276" max="11276" width="19.42578125" style="2297" bestFit="1" customWidth="1"/>
    <col min="11277" max="11277" width="8.85546875" style="2297"/>
    <col min="11278" max="11278" width="8.7109375" style="2297" customWidth="1"/>
    <col min="11279" max="11279" width="8.85546875" style="2297"/>
    <col min="11280" max="11280" width="14.28515625" style="2297" bestFit="1" customWidth="1"/>
    <col min="11281" max="11520" width="8.85546875" style="2297"/>
    <col min="11521" max="11521" width="10.7109375" style="2297" customWidth="1"/>
    <col min="11522" max="11522" width="11.85546875" style="2297" bestFit="1" customWidth="1"/>
    <col min="11523" max="11523" width="15" style="2297" bestFit="1" customWidth="1"/>
    <col min="11524" max="11524" width="14.28515625" style="2297" bestFit="1" customWidth="1"/>
    <col min="11525" max="11525" width="15" style="2297" bestFit="1" customWidth="1"/>
    <col min="11526" max="11526" width="11.28515625" style="2297" bestFit="1" customWidth="1"/>
    <col min="11527" max="11527" width="15" style="2297" bestFit="1" customWidth="1"/>
    <col min="11528" max="11528" width="13.140625" style="2297" customWidth="1"/>
    <col min="11529" max="11529" width="15" style="2297" bestFit="1" customWidth="1"/>
    <col min="11530" max="11530" width="13.42578125" style="2297" customWidth="1"/>
    <col min="11531" max="11531" width="15" style="2297" bestFit="1" customWidth="1"/>
    <col min="11532" max="11532" width="19.42578125" style="2297" bestFit="1" customWidth="1"/>
    <col min="11533" max="11533" width="8.85546875" style="2297"/>
    <col min="11534" max="11534" width="8.7109375" style="2297" customWidth="1"/>
    <col min="11535" max="11535" width="8.85546875" style="2297"/>
    <col min="11536" max="11536" width="14.28515625" style="2297" bestFit="1" customWidth="1"/>
    <col min="11537" max="11776" width="8.85546875" style="2297"/>
    <col min="11777" max="11777" width="10.7109375" style="2297" customWidth="1"/>
    <col min="11778" max="11778" width="11.85546875" style="2297" bestFit="1" customWidth="1"/>
    <col min="11779" max="11779" width="15" style="2297" bestFit="1" customWidth="1"/>
    <col min="11780" max="11780" width="14.28515625" style="2297" bestFit="1" customWidth="1"/>
    <col min="11781" max="11781" width="15" style="2297" bestFit="1" customWidth="1"/>
    <col min="11782" max="11782" width="11.28515625" style="2297" bestFit="1" customWidth="1"/>
    <col min="11783" max="11783" width="15" style="2297" bestFit="1" customWidth="1"/>
    <col min="11784" max="11784" width="13.140625" style="2297" customWidth="1"/>
    <col min="11785" max="11785" width="15" style="2297" bestFit="1" customWidth="1"/>
    <col min="11786" max="11786" width="13.42578125" style="2297" customWidth="1"/>
    <col min="11787" max="11787" width="15" style="2297" bestFit="1" customWidth="1"/>
    <col min="11788" max="11788" width="19.42578125" style="2297" bestFit="1" customWidth="1"/>
    <col min="11789" max="11789" width="8.85546875" style="2297"/>
    <col min="11790" max="11790" width="8.7109375" style="2297" customWidth="1"/>
    <col min="11791" max="11791" width="8.85546875" style="2297"/>
    <col min="11792" max="11792" width="14.28515625" style="2297" bestFit="1" customWidth="1"/>
    <col min="11793" max="12032" width="8.85546875" style="2297"/>
    <col min="12033" max="12033" width="10.7109375" style="2297" customWidth="1"/>
    <col min="12034" max="12034" width="11.85546875" style="2297" bestFit="1" customWidth="1"/>
    <col min="12035" max="12035" width="15" style="2297" bestFit="1" customWidth="1"/>
    <col min="12036" max="12036" width="14.28515625" style="2297" bestFit="1" customWidth="1"/>
    <col min="12037" max="12037" width="15" style="2297" bestFit="1" customWidth="1"/>
    <col min="12038" max="12038" width="11.28515625" style="2297" bestFit="1" customWidth="1"/>
    <col min="12039" max="12039" width="15" style="2297" bestFit="1" customWidth="1"/>
    <col min="12040" max="12040" width="13.140625" style="2297" customWidth="1"/>
    <col min="12041" max="12041" width="15" style="2297" bestFit="1" customWidth="1"/>
    <col min="12042" max="12042" width="13.42578125" style="2297" customWidth="1"/>
    <col min="12043" max="12043" width="15" style="2297" bestFit="1" customWidth="1"/>
    <col min="12044" max="12044" width="19.42578125" style="2297" bestFit="1" customWidth="1"/>
    <col min="12045" max="12045" width="8.85546875" style="2297"/>
    <col min="12046" max="12046" width="8.7109375" style="2297" customWidth="1"/>
    <col min="12047" max="12047" width="8.85546875" style="2297"/>
    <col min="12048" max="12048" width="14.28515625" style="2297" bestFit="1" customWidth="1"/>
    <col min="12049" max="12288" width="8.85546875" style="2297"/>
    <col min="12289" max="12289" width="10.7109375" style="2297" customWidth="1"/>
    <col min="12290" max="12290" width="11.85546875" style="2297" bestFit="1" customWidth="1"/>
    <col min="12291" max="12291" width="15" style="2297" bestFit="1" customWidth="1"/>
    <col min="12292" max="12292" width="14.28515625" style="2297" bestFit="1" customWidth="1"/>
    <col min="12293" max="12293" width="15" style="2297" bestFit="1" customWidth="1"/>
    <col min="12294" max="12294" width="11.28515625" style="2297" bestFit="1" customWidth="1"/>
    <col min="12295" max="12295" width="15" style="2297" bestFit="1" customWidth="1"/>
    <col min="12296" max="12296" width="13.140625" style="2297" customWidth="1"/>
    <col min="12297" max="12297" width="15" style="2297" bestFit="1" customWidth="1"/>
    <col min="12298" max="12298" width="13.42578125" style="2297" customWidth="1"/>
    <col min="12299" max="12299" width="15" style="2297" bestFit="1" customWidth="1"/>
    <col min="12300" max="12300" width="19.42578125" style="2297" bestFit="1" customWidth="1"/>
    <col min="12301" max="12301" width="8.85546875" style="2297"/>
    <col min="12302" max="12302" width="8.7109375" style="2297" customWidth="1"/>
    <col min="12303" max="12303" width="8.85546875" style="2297"/>
    <col min="12304" max="12304" width="14.28515625" style="2297" bestFit="1" customWidth="1"/>
    <col min="12305" max="12544" width="8.85546875" style="2297"/>
    <col min="12545" max="12545" width="10.7109375" style="2297" customWidth="1"/>
    <col min="12546" max="12546" width="11.85546875" style="2297" bestFit="1" customWidth="1"/>
    <col min="12547" max="12547" width="15" style="2297" bestFit="1" customWidth="1"/>
    <col min="12548" max="12548" width="14.28515625" style="2297" bestFit="1" customWidth="1"/>
    <col min="12549" max="12549" width="15" style="2297" bestFit="1" customWidth="1"/>
    <col min="12550" max="12550" width="11.28515625" style="2297" bestFit="1" customWidth="1"/>
    <col min="12551" max="12551" width="15" style="2297" bestFit="1" customWidth="1"/>
    <col min="12552" max="12552" width="13.140625" style="2297" customWidth="1"/>
    <col min="12553" max="12553" width="15" style="2297" bestFit="1" customWidth="1"/>
    <col min="12554" max="12554" width="13.42578125" style="2297" customWidth="1"/>
    <col min="12555" max="12555" width="15" style="2297" bestFit="1" customWidth="1"/>
    <col min="12556" max="12556" width="19.42578125" style="2297" bestFit="1" customWidth="1"/>
    <col min="12557" max="12557" width="8.85546875" style="2297"/>
    <col min="12558" max="12558" width="8.7109375" style="2297" customWidth="1"/>
    <col min="12559" max="12559" width="8.85546875" style="2297"/>
    <col min="12560" max="12560" width="14.28515625" style="2297" bestFit="1" customWidth="1"/>
    <col min="12561" max="12800" width="8.85546875" style="2297"/>
    <col min="12801" max="12801" width="10.7109375" style="2297" customWidth="1"/>
    <col min="12802" max="12802" width="11.85546875" style="2297" bestFit="1" customWidth="1"/>
    <col min="12803" max="12803" width="15" style="2297" bestFit="1" customWidth="1"/>
    <col min="12804" max="12804" width="14.28515625" style="2297" bestFit="1" customWidth="1"/>
    <col min="12805" max="12805" width="15" style="2297" bestFit="1" customWidth="1"/>
    <col min="12806" max="12806" width="11.28515625" style="2297" bestFit="1" customWidth="1"/>
    <col min="12807" max="12807" width="15" style="2297" bestFit="1" customWidth="1"/>
    <col min="12808" max="12808" width="13.140625" style="2297" customWidth="1"/>
    <col min="12809" max="12809" width="15" style="2297" bestFit="1" customWidth="1"/>
    <col min="12810" max="12810" width="13.42578125" style="2297" customWidth="1"/>
    <col min="12811" max="12811" width="15" style="2297" bestFit="1" customWidth="1"/>
    <col min="12812" max="12812" width="19.42578125" style="2297" bestFit="1" customWidth="1"/>
    <col min="12813" max="12813" width="8.85546875" style="2297"/>
    <col min="12814" max="12814" width="8.7109375" style="2297" customWidth="1"/>
    <col min="12815" max="12815" width="8.85546875" style="2297"/>
    <col min="12816" max="12816" width="14.28515625" style="2297" bestFit="1" customWidth="1"/>
    <col min="12817" max="13056" width="8.85546875" style="2297"/>
    <col min="13057" max="13057" width="10.7109375" style="2297" customWidth="1"/>
    <col min="13058" max="13058" width="11.85546875" style="2297" bestFit="1" customWidth="1"/>
    <col min="13059" max="13059" width="15" style="2297" bestFit="1" customWidth="1"/>
    <col min="13060" max="13060" width="14.28515625" style="2297" bestFit="1" customWidth="1"/>
    <col min="13061" max="13061" width="15" style="2297" bestFit="1" customWidth="1"/>
    <col min="13062" max="13062" width="11.28515625" style="2297" bestFit="1" customWidth="1"/>
    <col min="13063" max="13063" width="15" style="2297" bestFit="1" customWidth="1"/>
    <col min="13064" max="13064" width="13.140625" style="2297" customWidth="1"/>
    <col min="13065" max="13065" width="15" style="2297" bestFit="1" customWidth="1"/>
    <col min="13066" max="13066" width="13.42578125" style="2297" customWidth="1"/>
    <col min="13067" max="13067" width="15" style="2297" bestFit="1" customWidth="1"/>
    <col min="13068" max="13068" width="19.42578125" style="2297" bestFit="1" customWidth="1"/>
    <col min="13069" max="13069" width="8.85546875" style="2297"/>
    <col min="13070" max="13070" width="8.7109375" style="2297" customWidth="1"/>
    <col min="13071" max="13071" width="8.85546875" style="2297"/>
    <col min="13072" max="13072" width="14.28515625" style="2297" bestFit="1" customWidth="1"/>
    <col min="13073" max="13312" width="8.85546875" style="2297"/>
    <col min="13313" max="13313" width="10.7109375" style="2297" customWidth="1"/>
    <col min="13314" max="13314" width="11.85546875" style="2297" bestFit="1" customWidth="1"/>
    <col min="13315" max="13315" width="15" style="2297" bestFit="1" customWidth="1"/>
    <col min="13316" max="13316" width="14.28515625" style="2297" bestFit="1" customWidth="1"/>
    <col min="13317" max="13317" width="15" style="2297" bestFit="1" customWidth="1"/>
    <col min="13318" max="13318" width="11.28515625" style="2297" bestFit="1" customWidth="1"/>
    <col min="13319" max="13319" width="15" style="2297" bestFit="1" customWidth="1"/>
    <col min="13320" max="13320" width="13.140625" style="2297" customWidth="1"/>
    <col min="13321" max="13321" width="15" style="2297" bestFit="1" customWidth="1"/>
    <col min="13322" max="13322" width="13.42578125" style="2297" customWidth="1"/>
    <col min="13323" max="13323" width="15" style="2297" bestFit="1" customWidth="1"/>
    <col min="13324" max="13324" width="19.42578125" style="2297" bestFit="1" customWidth="1"/>
    <col min="13325" max="13325" width="8.85546875" style="2297"/>
    <col min="13326" max="13326" width="8.7109375" style="2297" customWidth="1"/>
    <col min="13327" max="13327" width="8.85546875" style="2297"/>
    <col min="13328" max="13328" width="14.28515625" style="2297" bestFit="1" customWidth="1"/>
    <col min="13329" max="13568" width="8.85546875" style="2297"/>
    <col min="13569" max="13569" width="10.7109375" style="2297" customWidth="1"/>
    <col min="13570" max="13570" width="11.85546875" style="2297" bestFit="1" customWidth="1"/>
    <col min="13571" max="13571" width="15" style="2297" bestFit="1" customWidth="1"/>
    <col min="13572" max="13572" width="14.28515625" style="2297" bestFit="1" customWidth="1"/>
    <col min="13573" max="13573" width="15" style="2297" bestFit="1" customWidth="1"/>
    <col min="13574" max="13574" width="11.28515625" style="2297" bestFit="1" customWidth="1"/>
    <col min="13575" max="13575" width="15" style="2297" bestFit="1" customWidth="1"/>
    <col min="13576" max="13576" width="13.140625" style="2297" customWidth="1"/>
    <col min="13577" max="13577" width="15" style="2297" bestFit="1" customWidth="1"/>
    <col min="13578" max="13578" width="13.42578125" style="2297" customWidth="1"/>
    <col min="13579" max="13579" width="15" style="2297" bestFit="1" customWidth="1"/>
    <col min="13580" max="13580" width="19.42578125" style="2297" bestFit="1" customWidth="1"/>
    <col min="13581" max="13581" width="8.85546875" style="2297"/>
    <col min="13582" max="13582" width="8.7109375" style="2297" customWidth="1"/>
    <col min="13583" max="13583" width="8.85546875" style="2297"/>
    <col min="13584" max="13584" width="14.28515625" style="2297" bestFit="1" customWidth="1"/>
    <col min="13585" max="13824" width="8.85546875" style="2297"/>
    <col min="13825" max="13825" width="10.7109375" style="2297" customWidth="1"/>
    <col min="13826" max="13826" width="11.85546875" style="2297" bestFit="1" customWidth="1"/>
    <col min="13827" max="13827" width="15" style="2297" bestFit="1" customWidth="1"/>
    <col min="13828" max="13828" width="14.28515625" style="2297" bestFit="1" customWidth="1"/>
    <col min="13829" max="13829" width="15" style="2297" bestFit="1" customWidth="1"/>
    <col min="13830" max="13830" width="11.28515625" style="2297" bestFit="1" customWidth="1"/>
    <col min="13831" max="13831" width="15" style="2297" bestFit="1" customWidth="1"/>
    <col min="13832" max="13832" width="13.140625" style="2297" customWidth="1"/>
    <col min="13833" max="13833" width="15" style="2297" bestFit="1" customWidth="1"/>
    <col min="13834" max="13834" width="13.42578125" style="2297" customWidth="1"/>
    <col min="13835" max="13835" width="15" style="2297" bestFit="1" customWidth="1"/>
    <col min="13836" max="13836" width="19.42578125" style="2297" bestFit="1" customWidth="1"/>
    <col min="13837" max="13837" width="8.85546875" style="2297"/>
    <col min="13838" max="13838" width="8.7109375" style="2297" customWidth="1"/>
    <col min="13839" max="13839" width="8.85546875" style="2297"/>
    <col min="13840" max="13840" width="14.28515625" style="2297" bestFit="1" customWidth="1"/>
    <col min="13841" max="14080" width="8.85546875" style="2297"/>
    <col min="14081" max="14081" width="10.7109375" style="2297" customWidth="1"/>
    <col min="14082" max="14082" width="11.85546875" style="2297" bestFit="1" customWidth="1"/>
    <col min="14083" max="14083" width="15" style="2297" bestFit="1" customWidth="1"/>
    <col min="14084" max="14084" width="14.28515625" style="2297" bestFit="1" customWidth="1"/>
    <col min="14085" max="14085" width="15" style="2297" bestFit="1" customWidth="1"/>
    <col min="14086" max="14086" width="11.28515625" style="2297" bestFit="1" customWidth="1"/>
    <col min="14087" max="14087" width="15" style="2297" bestFit="1" customWidth="1"/>
    <col min="14088" max="14088" width="13.140625" style="2297" customWidth="1"/>
    <col min="14089" max="14089" width="15" style="2297" bestFit="1" customWidth="1"/>
    <col min="14090" max="14090" width="13.42578125" style="2297" customWidth="1"/>
    <col min="14091" max="14091" width="15" style="2297" bestFit="1" customWidth="1"/>
    <col min="14092" max="14092" width="19.42578125" style="2297" bestFit="1" customWidth="1"/>
    <col min="14093" max="14093" width="8.85546875" style="2297"/>
    <col min="14094" max="14094" width="8.7109375" style="2297" customWidth="1"/>
    <col min="14095" max="14095" width="8.85546875" style="2297"/>
    <col min="14096" max="14096" width="14.28515625" style="2297" bestFit="1" customWidth="1"/>
    <col min="14097" max="14336" width="8.85546875" style="2297"/>
    <col min="14337" max="14337" width="10.7109375" style="2297" customWidth="1"/>
    <col min="14338" max="14338" width="11.85546875" style="2297" bestFit="1" customWidth="1"/>
    <col min="14339" max="14339" width="15" style="2297" bestFit="1" customWidth="1"/>
    <col min="14340" max="14340" width="14.28515625" style="2297" bestFit="1" customWidth="1"/>
    <col min="14341" max="14341" width="15" style="2297" bestFit="1" customWidth="1"/>
    <col min="14342" max="14342" width="11.28515625" style="2297" bestFit="1" customWidth="1"/>
    <col min="14343" max="14343" width="15" style="2297" bestFit="1" customWidth="1"/>
    <col min="14344" max="14344" width="13.140625" style="2297" customWidth="1"/>
    <col min="14345" max="14345" width="15" style="2297" bestFit="1" customWidth="1"/>
    <col min="14346" max="14346" width="13.42578125" style="2297" customWidth="1"/>
    <col min="14347" max="14347" width="15" style="2297" bestFit="1" customWidth="1"/>
    <col min="14348" max="14348" width="19.42578125" style="2297" bestFit="1" customWidth="1"/>
    <col min="14349" max="14349" width="8.85546875" style="2297"/>
    <col min="14350" max="14350" width="8.7109375" style="2297" customWidth="1"/>
    <col min="14351" max="14351" width="8.85546875" style="2297"/>
    <col min="14352" max="14352" width="14.28515625" style="2297" bestFit="1" customWidth="1"/>
    <col min="14353" max="14592" width="8.85546875" style="2297"/>
    <col min="14593" max="14593" width="10.7109375" style="2297" customWidth="1"/>
    <col min="14594" max="14594" width="11.85546875" style="2297" bestFit="1" customWidth="1"/>
    <col min="14595" max="14595" width="15" style="2297" bestFit="1" customWidth="1"/>
    <col min="14596" max="14596" width="14.28515625" style="2297" bestFit="1" customWidth="1"/>
    <col min="14597" max="14597" width="15" style="2297" bestFit="1" customWidth="1"/>
    <col min="14598" max="14598" width="11.28515625" style="2297" bestFit="1" customWidth="1"/>
    <col min="14599" max="14599" width="15" style="2297" bestFit="1" customWidth="1"/>
    <col min="14600" max="14600" width="13.140625" style="2297" customWidth="1"/>
    <col min="14601" max="14601" width="15" style="2297" bestFit="1" customWidth="1"/>
    <col min="14602" max="14602" width="13.42578125" style="2297" customWidth="1"/>
    <col min="14603" max="14603" width="15" style="2297" bestFit="1" customWidth="1"/>
    <col min="14604" max="14604" width="19.42578125" style="2297" bestFit="1" customWidth="1"/>
    <col min="14605" max="14605" width="8.85546875" style="2297"/>
    <col min="14606" max="14606" width="8.7109375" style="2297" customWidth="1"/>
    <col min="14607" max="14607" width="8.85546875" style="2297"/>
    <col min="14608" max="14608" width="14.28515625" style="2297" bestFit="1" customWidth="1"/>
    <col min="14609" max="14848" width="8.85546875" style="2297"/>
    <col min="14849" max="14849" width="10.7109375" style="2297" customWidth="1"/>
    <col min="14850" max="14850" width="11.85546875" style="2297" bestFit="1" customWidth="1"/>
    <col min="14851" max="14851" width="15" style="2297" bestFit="1" customWidth="1"/>
    <col min="14852" max="14852" width="14.28515625" style="2297" bestFit="1" customWidth="1"/>
    <col min="14853" max="14853" width="15" style="2297" bestFit="1" customWidth="1"/>
    <col min="14854" max="14854" width="11.28515625" style="2297" bestFit="1" customWidth="1"/>
    <col min="14855" max="14855" width="15" style="2297" bestFit="1" customWidth="1"/>
    <col min="14856" max="14856" width="13.140625" style="2297" customWidth="1"/>
    <col min="14857" max="14857" width="15" style="2297" bestFit="1" customWidth="1"/>
    <col min="14858" max="14858" width="13.42578125" style="2297" customWidth="1"/>
    <col min="14859" max="14859" width="15" style="2297" bestFit="1" customWidth="1"/>
    <col min="14860" max="14860" width="19.42578125" style="2297" bestFit="1" customWidth="1"/>
    <col min="14861" max="14861" width="8.85546875" style="2297"/>
    <col min="14862" max="14862" width="8.7109375" style="2297" customWidth="1"/>
    <col min="14863" max="14863" width="8.85546875" style="2297"/>
    <col min="14864" max="14864" width="14.28515625" style="2297" bestFit="1" customWidth="1"/>
    <col min="14865" max="15104" width="8.85546875" style="2297"/>
    <col min="15105" max="15105" width="10.7109375" style="2297" customWidth="1"/>
    <col min="15106" max="15106" width="11.85546875" style="2297" bestFit="1" customWidth="1"/>
    <col min="15107" max="15107" width="15" style="2297" bestFit="1" customWidth="1"/>
    <col min="15108" max="15108" width="14.28515625" style="2297" bestFit="1" customWidth="1"/>
    <col min="15109" max="15109" width="15" style="2297" bestFit="1" customWidth="1"/>
    <col min="15110" max="15110" width="11.28515625" style="2297" bestFit="1" customWidth="1"/>
    <col min="15111" max="15111" width="15" style="2297" bestFit="1" customWidth="1"/>
    <col min="15112" max="15112" width="13.140625" style="2297" customWidth="1"/>
    <col min="15113" max="15113" width="15" style="2297" bestFit="1" customWidth="1"/>
    <col min="15114" max="15114" width="13.42578125" style="2297" customWidth="1"/>
    <col min="15115" max="15115" width="15" style="2297" bestFit="1" customWidth="1"/>
    <col min="15116" max="15116" width="19.42578125" style="2297" bestFit="1" customWidth="1"/>
    <col min="15117" max="15117" width="8.85546875" style="2297"/>
    <col min="15118" max="15118" width="8.7109375" style="2297" customWidth="1"/>
    <col min="15119" max="15119" width="8.85546875" style="2297"/>
    <col min="15120" max="15120" width="14.28515625" style="2297" bestFit="1" customWidth="1"/>
    <col min="15121" max="15360" width="8.85546875" style="2297"/>
    <col min="15361" max="15361" width="10.7109375" style="2297" customWidth="1"/>
    <col min="15362" max="15362" width="11.85546875" style="2297" bestFit="1" customWidth="1"/>
    <col min="15363" max="15363" width="15" style="2297" bestFit="1" customWidth="1"/>
    <col min="15364" max="15364" width="14.28515625" style="2297" bestFit="1" customWidth="1"/>
    <col min="15365" max="15365" width="15" style="2297" bestFit="1" customWidth="1"/>
    <col min="15366" max="15366" width="11.28515625" style="2297" bestFit="1" customWidth="1"/>
    <col min="15367" max="15367" width="15" style="2297" bestFit="1" customWidth="1"/>
    <col min="15368" max="15368" width="13.140625" style="2297" customWidth="1"/>
    <col min="15369" max="15369" width="15" style="2297" bestFit="1" customWidth="1"/>
    <col min="15370" max="15370" width="13.42578125" style="2297" customWidth="1"/>
    <col min="15371" max="15371" width="15" style="2297" bestFit="1" customWidth="1"/>
    <col min="15372" max="15372" width="19.42578125" style="2297" bestFit="1" customWidth="1"/>
    <col min="15373" max="15373" width="8.85546875" style="2297"/>
    <col min="15374" max="15374" width="8.7109375" style="2297" customWidth="1"/>
    <col min="15375" max="15375" width="8.85546875" style="2297"/>
    <col min="15376" max="15376" width="14.28515625" style="2297" bestFit="1" customWidth="1"/>
    <col min="15377" max="15616" width="8.85546875" style="2297"/>
    <col min="15617" max="15617" width="10.7109375" style="2297" customWidth="1"/>
    <col min="15618" max="15618" width="11.85546875" style="2297" bestFit="1" customWidth="1"/>
    <col min="15619" max="15619" width="15" style="2297" bestFit="1" customWidth="1"/>
    <col min="15620" max="15620" width="14.28515625" style="2297" bestFit="1" customWidth="1"/>
    <col min="15621" max="15621" width="15" style="2297" bestFit="1" customWidth="1"/>
    <col min="15622" max="15622" width="11.28515625" style="2297" bestFit="1" customWidth="1"/>
    <col min="15623" max="15623" width="15" style="2297" bestFit="1" customWidth="1"/>
    <col min="15624" max="15624" width="13.140625" style="2297" customWidth="1"/>
    <col min="15625" max="15625" width="15" style="2297" bestFit="1" customWidth="1"/>
    <col min="15626" max="15626" width="13.42578125" style="2297" customWidth="1"/>
    <col min="15627" max="15627" width="15" style="2297" bestFit="1" customWidth="1"/>
    <col min="15628" max="15628" width="19.42578125" style="2297" bestFit="1" customWidth="1"/>
    <col min="15629" max="15629" width="8.85546875" style="2297"/>
    <col min="15630" max="15630" width="8.7109375" style="2297" customWidth="1"/>
    <col min="15631" max="15631" width="8.85546875" style="2297"/>
    <col min="15632" max="15632" width="14.28515625" style="2297" bestFit="1" customWidth="1"/>
    <col min="15633" max="15872" width="8.85546875" style="2297"/>
    <col min="15873" max="15873" width="10.7109375" style="2297" customWidth="1"/>
    <col min="15874" max="15874" width="11.85546875" style="2297" bestFit="1" customWidth="1"/>
    <col min="15875" max="15875" width="15" style="2297" bestFit="1" customWidth="1"/>
    <col min="15876" max="15876" width="14.28515625" style="2297" bestFit="1" customWidth="1"/>
    <col min="15877" max="15877" width="15" style="2297" bestFit="1" customWidth="1"/>
    <col min="15878" max="15878" width="11.28515625" style="2297" bestFit="1" customWidth="1"/>
    <col min="15879" max="15879" width="15" style="2297" bestFit="1" customWidth="1"/>
    <col min="15880" max="15880" width="13.140625" style="2297" customWidth="1"/>
    <col min="15881" max="15881" width="15" style="2297" bestFit="1" customWidth="1"/>
    <col min="15882" max="15882" width="13.42578125" style="2297" customWidth="1"/>
    <col min="15883" max="15883" width="15" style="2297" bestFit="1" customWidth="1"/>
    <col min="15884" max="15884" width="19.42578125" style="2297" bestFit="1" customWidth="1"/>
    <col min="15885" max="15885" width="8.85546875" style="2297"/>
    <col min="15886" max="15886" width="8.7109375" style="2297" customWidth="1"/>
    <col min="15887" max="15887" width="8.85546875" style="2297"/>
    <col min="15888" max="15888" width="14.28515625" style="2297" bestFit="1" customWidth="1"/>
    <col min="15889" max="16128" width="8.85546875" style="2297"/>
    <col min="16129" max="16129" width="10.7109375" style="2297" customWidth="1"/>
    <col min="16130" max="16130" width="11.85546875" style="2297" bestFit="1" customWidth="1"/>
    <col min="16131" max="16131" width="15" style="2297" bestFit="1" customWidth="1"/>
    <col min="16132" max="16132" width="14.28515625" style="2297" bestFit="1" customWidth="1"/>
    <col min="16133" max="16133" width="15" style="2297" bestFit="1" customWidth="1"/>
    <col min="16134" max="16134" width="11.28515625" style="2297" bestFit="1" customWidth="1"/>
    <col min="16135" max="16135" width="15" style="2297" bestFit="1" customWidth="1"/>
    <col min="16136" max="16136" width="13.140625" style="2297" customWidth="1"/>
    <col min="16137" max="16137" width="15" style="2297" bestFit="1" customWidth="1"/>
    <col min="16138" max="16138" width="13.42578125" style="2297" customWidth="1"/>
    <col min="16139" max="16139" width="15" style="2297" bestFit="1" customWidth="1"/>
    <col min="16140" max="16140" width="19.42578125" style="2297" bestFit="1" customWidth="1"/>
    <col min="16141" max="16141" width="8.85546875" style="2297"/>
    <col min="16142" max="16142" width="8.7109375" style="2297" customWidth="1"/>
    <col min="16143" max="16143" width="8.85546875" style="2297"/>
    <col min="16144" max="16144" width="14.28515625" style="2297" bestFit="1" customWidth="1"/>
    <col min="16145" max="16384" width="8.85546875" style="2297"/>
  </cols>
  <sheetData>
    <row r="1" spans="1:11" s="2319" customFormat="1" ht="20.25" x14ac:dyDescent="0.25">
      <c r="A1" s="2375" t="s">
        <v>4517</v>
      </c>
      <c r="B1" s="2376"/>
      <c r="C1" s="2376"/>
      <c r="D1" s="2377"/>
      <c r="E1" s="2377"/>
      <c r="F1" s="2377"/>
      <c r="G1" s="2378"/>
      <c r="H1" s="2378"/>
      <c r="I1" s="2378"/>
      <c r="J1" s="2379"/>
      <c r="K1" s="2297"/>
    </row>
    <row r="2" spans="1:11" ht="21" thickBot="1" x14ac:dyDescent="0.3">
      <c r="A2" s="2375" t="s">
        <v>4518</v>
      </c>
      <c r="B2" s="2376"/>
      <c r="C2" s="2376"/>
      <c r="D2" s="2377"/>
      <c r="E2" s="2377"/>
      <c r="F2" s="2377"/>
      <c r="G2" s="2378"/>
      <c r="H2" s="2378"/>
      <c r="I2" s="2378"/>
      <c r="J2" s="2379"/>
    </row>
    <row r="3" spans="1:11" ht="17.25" thickTop="1" x14ac:dyDescent="0.25">
      <c r="A3" s="2380"/>
      <c r="B3" s="3866" t="s">
        <v>4519</v>
      </c>
      <c r="C3" s="3866" t="s">
        <v>4520</v>
      </c>
      <c r="D3" s="3866" t="s">
        <v>4521</v>
      </c>
      <c r="E3" s="3866" t="s">
        <v>4519</v>
      </c>
      <c r="F3" s="3868" t="s">
        <v>4520</v>
      </c>
      <c r="G3" s="3869" t="s">
        <v>4521</v>
      </c>
      <c r="H3" s="2381"/>
      <c r="I3" s="2381"/>
      <c r="J3" s="2379"/>
    </row>
    <row r="4" spans="1:11" ht="17.25" thickBot="1" x14ac:dyDescent="0.3">
      <c r="A4" s="1620" t="s">
        <v>1</v>
      </c>
      <c r="B4" s="3867"/>
      <c r="C4" s="3867"/>
      <c r="D4" s="3867"/>
      <c r="E4" s="3867"/>
      <c r="F4" s="3867"/>
      <c r="G4" s="3870"/>
      <c r="H4" s="2381"/>
      <c r="I4" s="2381"/>
      <c r="J4" s="2379"/>
    </row>
    <row r="5" spans="1:11" ht="19.5" customHeight="1" thickBot="1" x14ac:dyDescent="0.3">
      <c r="A5" s="2382"/>
      <c r="B5" s="3864" t="s">
        <v>4522</v>
      </c>
      <c r="C5" s="3864"/>
      <c r="D5" s="3864"/>
      <c r="E5" s="3864" t="s">
        <v>4523</v>
      </c>
      <c r="F5" s="3864"/>
      <c r="G5" s="3865"/>
      <c r="H5" s="2381"/>
      <c r="I5" s="2381"/>
      <c r="J5" s="2379"/>
    </row>
    <row r="6" spans="1:11" ht="16.5" hidden="1" customHeight="1" x14ac:dyDescent="0.25">
      <c r="A6" s="2383">
        <v>41275</v>
      </c>
      <c r="B6" s="2384">
        <v>30.430700000000002</v>
      </c>
      <c r="C6" s="2384">
        <v>41.271900000000002</v>
      </c>
      <c r="D6" s="2384">
        <v>48.303600000000003</v>
      </c>
      <c r="E6" s="2384">
        <v>30.603123809523812</v>
      </c>
      <c r="F6" s="2384">
        <v>40.656466666666653</v>
      </c>
      <c r="G6" s="2385">
        <v>48.939066666666662</v>
      </c>
      <c r="H6" s="2381"/>
      <c r="I6" s="2381"/>
      <c r="J6" s="2379"/>
    </row>
    <row r="7" spans="1:11" ht="16.5" hidden="1" customHeight="1" x14ac:dyDescent="0.25">
      <c r="A7" s="2383">
        <v>41306</v>
      </c>
      <c r="B7" s="2384">
        <v>30.850300000000001</v>
      </c>
      <c r="C7" s="2384">
        <v>40.475099999999998</v>
      </c>
      <c r="D7" s="2384">
        <v>46.942799999999998</v>
      </c>
      <c r="E7" s="2384">
        <v>30.654636842105255</v>
      </c>
      <c r="F7" s="2384">
        <v>40.882905263157895</v>
      </c>
      <c r="G7" s="2385">
        <v>47.462326315789475</v>
      </c>
      <c r="H7" s="2381"/>
      <c r="I7" s="2381"/>
      <c r="J7" s="2379"/>
    </row>
    <row r="8" spans="1:11" ht="16.5" hidden="1" customHeight="1" x14ac:dyDescent="0.25">
      <c r="A8" s="2383">
        <v>41334</v>
      </c>
      <c r="B8" s="2384">
        <v>31.3004</v>
      </c>
      <c r="C8" s="2384">
        <v>40.124299999999998</v>
      </c>
      <c r="D8" s="2384">
        <v>47.625500000000002</v>
      </c>
      <c r="E8" s="2384">
        <v>31.066909999999996</v>
      </c>
      <c r="F8" s="2384">
        <v>40.289155000000001</v>
      </c>
      <c r="G8" s="2385">
        <v>46.976050000000001</v>
      </c>
      <c r="H8" s="2381"/>
      <c r="I8" s="2381"/>
      <c r="J8" s="2379"/>
    </row>
    <row r="9" spans="1:11" ht="16.5" hidden="1" customHeight="1" x14ac:dyDescent="0.25">
      <c r="A9" s="2383">
        <v>41365</v>
      </c>
      <c r="B9" s="2384">
        <v>31.0306</v>
      </c>
      <c r="C9" s="2384">
        <v>40.616300000000003</v>
      </c>
      <c r="D9" s="2384">
        <v>48.115400000000001</v>
      </c>
      <c r="E9" s="2384">
        <v>31.116445000000006</v>
      </c>
      <c r="F9" s="2384">
        <v>40.532910000000001</v>
      </c>
      <c r="G9" s="2385">
        <v>47.664449999999995</v>
      </c>
      <c r="H9" s="2381"/>
      <c r="I9" s="2381"/>
      <c r="J9" s="2379"/>
    </row>
    <row r="10" spans="1:11" ht="16.5" hidden="1" customHeight="1" x14ac:dyDescent="0.25">
      <c r="A10" s="2383">
        <v>41395</v>
      </c>
      <c r="B10" s="2384">
        <v>31.124199999999998</v>
      </c>
      <c r="C10" s="2384">
        <v>40.674700000000001</v>
      </c>
      <c r="D10" s="2384">
        <v>47.593200000000003</v>
      </c>
      <c r="E10" s="2384">
        <v>31.167886363636363</v>
      </c>
      <c r="F10" s="2384">
        <v>40.473986363636371</v>
      </c>
      <c r="G10" s="2385">
        <v>47.741309090909091</v>
      </c>
      <c r="H10" s="2381"/>
      <c r="I10" s="2381"/>
      <c r="J10" s="2379"/>
    </row>
    <row r="11" spans="1:11" ht="16.5" hidden="1" customHeight="1" x14ac:dyDescent="0.25">
      <c r="A11" s="2383">
        <v>41426</v>
      </c>
      <c r="B11" s="2384">
        <v>31.184000000000001</v>
      </c>
      <c r="C11" s="2384">
        <v>40.688499999999998</v>
      </c>
      <c r="D11" s="2384">
        <v>47.794499999999999</v>
      </c>
      <c r="E11" s="2384">
        <v>30.964214999999996</v>
      </c>
      <c r="F11" s="2384">
        <v>40.875264999999999</v>
      </c>
      <c r="G11" s="2385">
        <v>48.045384999999996</v>
      </c>
      <c r="H11" s="2381"/>
      <c r="I11" s="2381"/>
      <c r="J11" s="2379"/>
    </row>
    <row r="12" spans="1:11" ht="16.5" hidden="1" customHeight="1" x14ac:dyDescent="0.25">
      <c r="A12" s="2383">
        <v>41456</v>
      </c>
      <c r="B12" s="2384">
        <v>30.9513</v>
      </c>
      <c r="C12" s="2384">
        <v>40.958199999999998</v>
      </c>
      <c r="D12" s="2384">
        <v>47.088099999999997</v>
      </c>
      <c r="E12" s="2384">
        <v>31.088491304347823</v>
      </c>
      <c r="F12" s="2384">
        <v>40.690691304347823</v>
      </c>
      <c r="G12" s="2385">
        <v>47.32544782608695</v>
      </c>
      <c r="H12" s="2381"/>
      <c r="I12" s="2381"/>
      <c r="J12" s="2379"/>
    </row>
    <row r="13" spans="1:11" ht="16.5" hidden="1" customHeight="1" x14ac:dyDescent="0.25">
      <c r="A13" s="2383">
        <v>41487</v>
      </c>
      <c r="B13" s="2384">
        <v>30.9194</v>
      </c>
      <c r="C13" s="2384">
        <v>40.973500000000001</v>
      </c>
      <c r="D13" s="2384">
        <v>48.167000000000002</v>
      </c>
      <c r="E13" s="2384">
        <v>30.870180952380956</v>
      </c>
      <c r="F13" s="2384">
        <v>41.119528571428582</v>
      </c>
      <c r="G13" s="2385">
        <v>47.858095238095245</v>
      </c>
      <c r="H13" s="2381"/>
      <c r="I13" s="2381"/>
      <c r="J13" s="2379"/>
    </row>
    <row r="14" spans="1:11" ht="16.5" hidden="1" customHeight="1" x14ac:dyDescent="0.25">
      <c r="A14" s="2383">
        <v>41518</v>
      </c>
      <c r="B14" s="2384">
        <v>30.5107</v>
      </c>
      <c r="C14" s="2384">
        <v>41.2699</v>
      </c>
      <c r="D14" s="2384">
        <v>49.3065</v>
      </c>
      <c r="E14" s="2384">
        <v>30.840750000000003</v>
      </c>
      <c r="F14" s="2384">
        <v>41.215094999999998</v>
      </c>
      <c r="G14" s="2385">
        <v>49.017115000000004</v>
      </c>
      <c r="H14" s="2381"/>
      <c r="I14" s="2381"/>
      <c r="J14" s="2379"/>
    </row>
    <row r="15" spans="1:11" ht="16.5" hidden="1" customHeight="1" x14ac:dyDescent="0.25">
      <c r="A15" s="2383">
        <v>41548</v>
      </c>
      <c r="B15" s="2384">
        <v>30.186</v>
      </c>
      <c r="C15" s="2384">
        <v>41.391800000000003</v>
      </c>
      <c r="D15" s="2384">
        <v>48.579700000000003</v>
      </c>
      <c r="E15" s="2384">
        <v>30.381</v>
      </c>
      <c r="F15" s="2384">
        <v>41.430999999999997</v>
      </c>
      <c r="G15" s="2385">
        <v>48.997</v>
      </c>
      <c r="H15" s="2381"/>
      <c r="I15" s="2381"/>
      <c r="J15" s="2379"/>
    </row>
    <row r="16" spans="1:11" ht="16.5" hidden="1" customHeight="1" x14ac:dyDescent="0.25">
      <c r="A16" s="2383">
        <v>41579</v>
      </c>
      <c r="B16" s="2384">
        <v>30.365400000000001</v>
      </c>
      <c r="C16" s="2384">
        <v>41.359900000000003</v>
      </c>
      <c r="D16" s="2384">
        <v>49.6</v>
      </c>
      <c r="E16" s="2384">
        <v>30.513550000000002</v>
      </c>
      <c r="F16" s="2384">
        <v>41.245615000000001</v>
      </c>
      <c r="G16" s="2385">
        <v>49.231155000000008</v>
      </c>
      <c r="H16" s="2381"/>
      <c r="I16" s="2381"/>
      <c r="J16" s="2379"/>
    </row>
    <row r="17" spans="1:10" ht="16.5" hidden="1" customHeight="1" x14ac:dyDescent="0.25">
      <c r="A17" s="2383">
        <v>41609</v>
      </c>
      <c r="B17" s="2384">
        <v>30.261500000000002</v>
      </c>
      <c r="C17" s="2384">
        <v>41.633800000000001</v>
      </c>
      <c r="D17" s="2384">
        <v>49.841200000000001</v>
      </c>
      <c r="E17" s="2384">
        <v>30.280761904761896</v>
      </c>
      <c r="F17" s="2384">
        <v>41.475899999999996</v>
      </c>
      <c r="G17" s="2385">
        <v>49.642990476190462</v>
      </c>
      <c r="H17" s="2381"/>
      <c r="I17" s="2381"/>
      <c r="J17" s="2379"/>
    </row>
    <row r="18" spans="1:10" ht="16.5" hidden="1" customHeight="1" x14ac:dyDescent="0.25">
      <c r="A18" s="2383">
        <v>41640</v>
      </c>
      <c r="B18" s="2384">
        <v>30.334599999999998</v>
      </c>
      <c r="C18" s="2384">
        <v>41.370199999999997</v>
      </c>
      <c r="D18" s="2384">
        <v>50.411900000000003</v>
      </c>
      <c r="E18" s="2384">
        <v>30.334347368421057</v>
      </c>
      <c r="F18" s="2384">
        <v>41.345510526315792</v>
      </c>
      <c r="G18" s="2385">
        <v>50.067547368421039</v>
      </c>
      <c r="H18" s="2381"/>
      <c r="I18" s="2381"/>
      <c r="J18" s="2379"/>
    </row>
    <row r="19" spans="1:10" ht="16.5" hidden="1" customHeight="1" x14ac:dyDescent="0.25">
      <c r="A19" s="2383">
        <v>41671</v>
      </c>
      <c r="B19" s="2384">
        <v>30.182300000000001</v>
      </c>
      <c r="C19" s="2384">
        <v>41.464199999999998</v>
      </c>
      <c r="D19" s="2384">
        <v>50.6616</v>
      </c>
      <c r="E19" s="2384">
        <v>30.301788888888893</v>
      </c>
      <c r="F19" s="2384">
        <v>41.413055555555559</v>
      </c>
      <c r="G19" s="2385">
        <v>50.306766666666668</v>
      </c>
      <c r="H19" s="2381"/>
      <c r="I19" s="2381"/>
      <c r="J19" s="2379"/>
    </row>
    <row r="20" spans="1:10" ht="16.5" hidden="1" customHeight="1" x14ac:dyDescent="0.25">
      <c r="A20" s="2383">
        <v>41699</v>
      </c>
      <c r="B20" s="2384">
        <v>30.196400000000001</v>
      </c>
      <c r="C20" s="2384">
        <v>41.5411</v>
      </c>
      <c r="D20" s="2384">
        <v>50.4268</v>
      </c>
      <c r="E20" s="2384">
        <v>30.107694736842106</v>
      </c>
      <c r="F20" s="2384">
        <v>41.639631578947366</v>
      </c>
      <c r="G20" s="2385">
        <v>50.17263157894736</v>
      </c>
      <c r="H20" s="2381"/>
      <c r="I20" s="2381"/>
      <c r="J20" s="2379"/>
    </row>
    <row r="21" spans="1:10" ht="16.5" hidden="1" customHeight="1" x14ac:dyDescent="0.25">
      <c r="A21" s="2383">
        <v>41730</v>
      </c>
      <c r="B21" s="2384">
        <v>30.079899999999999</v>
      </c>
      <c r="C21" s="2384">
        <v>41.506999999999998</v>
      </c>
      <c r="D21" s="2384">
        <v>50.912799999999997</v>
      </c>
      <c r="E21" s="2384">
        <v>30.104427272727275</v>
      </c>
      <c r="F21" s="2384">
        <v>41.582795454545455</v>
      </c>
      <c r="G21" s="2385">
        <v>50.567418181818191</v>
      </c>
      <c r="H21" s="2381"/>
      <c r="I21" s="2381"/>
      <c r="J21" s="2379"/>
    </row>
    <row r="22" spans="1:10" ht="16.5" hidden="1" customHeight="1" x14ac:dyDescent="0.25">
      <c r="A22" s="2383">
        <v>41760</v>
      </c>
      <c r="B22" s="2384">
        <v>30.342099999999999</v>
      </c>
      <c r="C22" s="2384">
        <v>41.297800000000002</v>
      </c>
      <c r="D22" s="2384">
        <v>50.977800000000002</v>
      </c>
      <c r="E22" s="2384">
        <v>30.180161904761899</v>
      </c>
      <c r="F22" s="2384">
        <v>41.459180952380954</v>
      </c>
      <c r="G22" s="2385">
        <v>51.058476190476192</v>
      </c>
      <c r="H22" s="2381"/>
      <c r="I22" s="2381"/>
      <c r="J22" s="2379"/>
    </row>
    <row r="23" spans="1:10" ht="16.5" hidden="1" customHeight="1" x14ac:dyDescent="0.25">
      <c r="A23" s="2383">
        <v>41791</v>
      </c>
      <c r="B23" s="2384">
        <v>30.352499999999999</v>
      </c>
      <c r="C23" s="2384">
        <v>41.417000000000002</v>
      </c>
      <c r="D23" s="2384">
        <v>51.6494</v>
      </c>
      <c r="E23" s="2384">
        <v>30.390471428571427</v>
      </c>
      <c r="F23" s="2384">
        <v>41.325047619047623</v>
      </c>
      <c r="G23" s="2385">
        <v>51.443295238095246</v>
      </c>
      <c r="H23" s="2381"/>
      <c r="I23" s="2381"/>
      <c r="J23" s="2379"/>
    </row>
    <row r="24" spans="1:10" ht="16.5" hidden="1" customHeight="1" x14ac:dyDescent="0.25">
      <c r="A24" s="2383">
        <v>41821</v>
      </c>
      <c r="B24" s="2384">
        <v>30.631799999999998</v>
      </c>
      <c r="C24" s="2384">
        <v>40.9527</v>
      </c>
      <c r="D24" s="2384">
        <v>51.8</v>
      </c>
      <c r="E24" s="2384">
        <v>30.387900000000002</v>
      </c>
      <c r="F24" s="2384">
        <v>41.174877272727265</v>
      </c>
      <c r="G24" s="2385">
        <v>52.062963636363634</v>
      </c>
      <c r="H24" s="2381"/>
      <c r="I24" s="2381"/>
      <c r="J24" s="2379"/>
    </row>
    <row r="25" spans="1:10" ht="16.5" hidden="1" customHeight="1" x14ac:dyDescent="0.25">
      <c r="A25" s="2383">
        <v>41852</v>
      </c>
      <c r="B25" s="2384">
        <v>30.990300000000001</v>
      </c>
      <c r="C25" s="2384">
        <v>40.837899999999998</v>
      </c>
      <c r="D25" s="2384">
        <v>51.498899999999999</v>
      </c>
      <c r="E25" s="2384">
        <v>30.730385000000002</v>
      </c>
      <c r="F25" s="2384">
        <v>40.936310000000006</v>
      </c>
      <c r="G25" s="2385">
        <v>51.490829999999995</v>
      </c>
      <c r="H25" s="2381"/>
      <c r="I25" s="2381"/>
      <c r="J25" s="2379"/>
    </row>
    <row r="26" spans="1:10" ht="16.5" hidden="1" customHeight="1" x14ac:dyDescent="0.25">
      <c r="A26" s="2383">
        <v>41883</v>
      </c>
      <c r="B26" s="2384">
        <v>31.4359</v>
      </c>
      <c r="C26" s="2384">
        <v>39.856200000000001</v>
      </c>
      <c r="D26" s="2384">
        <v>51.328800000000001</v>
      </c>
      <c r="E26" s="2384">
        <v>31.273809090909094</v>
      </c>
      <c r="F26" s="2384">
        <v>40.420631818181818</v>
      </c>
      <c r="G26" s="2385">
        <v>51.156013636363632</v>
      </c>
      <c r="H26" s="2381"/>
      <c r="I26" s="2381"/>
      <c r="J26" s="2379"/>
    </row>
    <row r="27" spans="1:10" ht="16.5" hidden="1" customHeight="1" x14ac:dyDescent="0.25">
      <c r="A27" s="2383">
        <v>41913</v>
      </c>
      <c r="B27" s="2384">
        <v>31.444500000000001</v>
      </c>
      <c r="C27" s="2384">
        <v>39.494900000000001</v>
      </c>
      <c r="D27" s="2384">
        <v>50.3752</v>
      </c>
      <c r="E27" s="2384">
        <v>31.450813636363645</v>
      </c>
      <c r="F27" s="2384">
        <v>39.92524090909091</v>
      </c>
      <c r="G27" s="2385">
        <v>50.720499999999994</v>
      </c>
      <c r="H27" s="2381"/>
      <c r="I27" s="2381"/>
      <c r="J27" s="2379"/>
    </row>
    <row r="28" spans="1:10" ht="16.5" hidden="1" customHeight="1" x14ac:dyDescent="0.25">
      <c r="A28" s="2383">
        <v>41944</v>
      </c>
      <c r="B28" s="2384">
        <v>31.5869</v>
      </c>
      <c r="C28" s="2384">
        <v>39.469000000000001</v>
      </c>
      <c r="D28" s="2384">
        <v>49.673000000000002</v>
      </c>
      <c r="E28" s="2384">
        <v>31.606960000000004</v>
      </c>
      <c r="F28" s="2384">
        <v>39.470185000000001</v>
      </c>
      <c r="G28" s="2385">
        <v>50.003565000000002</v>
      </c>
      <c r="H28" s="2381"/>
      <c r="I28" s="2381"/>
      <c r="J28" s="2379"/>
    </row>
    <row r="29" spans="1:10" ht="16.5" hidden="1" customHeight="1" x14ac:dyDescent="0.25">
      <c r="A29" s="2383">
        <v>41974</v>
      </c>
      <c r="B29" s="2384">
        <v>31.883600000000001</v>
      </c>
      <c r="C29" s="2384">
        <v>38.831400000000002</v>
      </c>
      <c r="D29" s="2384">
        <v>49.82</v>
      </c>
      <c r="E29" s="2384">
        <v>31.681861904761906</v>
      </c>
      <c r="F29" s="2384">
        <v>39.086842857142855</v>
      </c>
      <c r="G29" s="2385">
        <v>49.587885714285711</v>
      </c>
      <c r="H29" s="2381"/>
      <c r="I29" s="2381"/>
      <c r="J29" s="2379"/>
    </row>
    <row r="30" spans="1:10" ht="16.5" hidden="1" customHeight="1" x14ac:dyDescent="0.25">
      <c r="A30" s="2383">
        <v>42005</v>
      </c>
      <c r="B30" s="2384">
        <v>32.769100000000002</v>
      </c>
      <c r="C30" s="2384">
        <v>37.204700000000003</v>
      </c>
      <c r="D30" s="2384">
        <v>49.795200000000001</v>
      </c>
      <c r="E30" s="2384">
        <v>32.44679</v>
      </c>
      <c r="F30" s="2384">
        <v>37.734644999999986</v>
      </c>
      <c r="G30" s="2385">
        <v>49.31915</v>
      </c>
      <c r="H30" s="2381"/>
      <c r="I30" s="2381"/>
      <c r="J30" s="2379"/>
    </row>
    <row r="31" spans="1:10" ht="16.5" hidden="1" customHeight="1" x14ac:dyDescent="0.25">
      <c r="A31" s="2383">
        <v>42036</v>
      </c>
      <c r="B31" s="2384">
        <v>33.496000000000002</v>
      </c>
      <c r="C31" s="2384">
        <v>37.521999999999998</v>
      </c>
      <c r="D31" s="2384">
        <v>51.804000000000002</v>
      </c>
      <c r="E31" s="2384">
        <v>33.163241176470585</v>
      </c>
      <c r="F31" s="2384">
        <v>37.696670588235293</v>
      </c>
      <c r="G31" s="2385">
        <v>50.946335294117652</v>
      </c>
      <c r="H31" s="2381"/>
      <c r="I31" s="2381"/>
      <c r="J31" s="2379"/>
    </row>
    <row r="32" spans="1:10" ht="16.5" hidden="1" customHeight="1" x14ac:dyDescent="0.25">
      <c r="A32" s="2383">
        <v>42064</v>
      </c>
      <c r="B32" s="2384">
        <v>36.533700000000003</v>
      </c>
      <c r="C32" s="2384">
        <v>39.396999999999998</v>
      </c>
      <c r="D32" s="2384">
        <v>54.261800000000001</v>
      </c>
      <c r="E32" s="2384">
        <v>35.711238095238095</v>
      </c>
      <c r="F32" s="2384">
        <v>38.783804761904761</v>
      </c>
      <c r="G32" s="2385">
        <v>53.618961904761917</v>
      </c>
      <c r="H32" s="2381"/>
      <c r="I32" s="2381"/>
      <c r="J32" s="2379"/>
    </row>
    <row r="33" spans="1:10" ht="16.5" hidden="1" customHeight="1" x14ac:dyDescent="0.25">
      <c r="A33" s="2383">
        <v>42095</v>
      </c>
      <c r="B33" s="2384">
        <v>35.067300000000003</v>
      </c>
      <c r="C33" s="2384">
        <v>39.120899999999999</v>
      </c>
      <c r="D33" s="2384">
        <v>55.087499999999999</v>
      </c>
      <c r="E33" s="2384">
        <v>36.152000000000001</v>
      </c>
      <c r="F33" s="2384">
        <v>39.0839</v>
      </c>
      <c r="G33" s="2385">
        <v>54.255818181818178</v>
      </c>
      <c r="H33" s="2381"/>
      <c r="I33" s="2381"/>
      <c r="J33" s="2379"/>
    </row>
    <row r="34" spans="1:10" ht="16.5" hidden="1" customHeight="1" x14ac:dyDescent="0.25">
      <c r="A34" s="2383">
        <v>42125</v>
      </c>
      <c r="B34" s="2384">
        <v>35.526299999999999</v>
      </c>
      <c r="C34" s="2384">
        <v>39.037300000000002</v>
      </c>
      <c r="D34" s="2384">
        <v>54.902900000000002</v>
      </c>
      <c r="E34" s="2384">
        <v>35.10493000000001</v>
      </c>
      <c r="F34" s="2384">
        <v>39.225574999999992</v>
      </c>
      <c r="G34" s="2385">
        <v>54.551184999999997</v>
      </c>
      <c r="H34" s="2381"/>
      <c r="I34" s="2381"/>
      <c r="J34" s="2379"/>
    </row>
    <row r="35" spans="1:10" ht="16.5" hidden="1" customHeight="1" x14ac:dyDescent="0.25">
      <c r="A35" s="2383">
        <v>42156</v>
      </c>
      <c r="B35" s="2384">
        <v>35.245600000000003</v>
      </c>
      <c r="C35" s="2384">
        <v>39.340800000000002</v>
      </c>
      <c r="D35" s="2384">
        <v>55.643099999999997</v>
      </c>
      <c r="E35" s="2384">
        <v>35.211413636363638</v>
      </c>
      <c r="F35" s="2384">
        <v>39.550413636363629</v>
      </c>
      <c r="G35" s="2385">
        <v>55.049790909090916</v>
      </c>
      <c r="H35" s="2381"/>
      <c r="I35" s="2381"/>
      <c r="J35" s="2379"/>
    </row>
    <row r="36" spans="1:10" ht="16.5" hidden="1" customHeight="1" x14ac:dyDescent="0.25">
      <c r="A36" s="2383">
        <v>42186</v>
      </c>
      <c r="B36" s="2384">
        <v>35.602400000000003</v>
      </c>
      <c r="C36" s="2384">
        <v>38.931100000000001</v>
      </c>
      <c r="D36" s="2384">
        <v>55.432600000000001</v>
      </c>
      <c r="E36" s="2384">
        <v>35.541395652173911</v>
      </c>
      <c r="F36" s="2384">
        <v>39.164904347826088</v>
      </c>
      <c r="G36" s="2385">
        <v>55.623243478260868</v>
      </c>
      <c r="H36" s="2381"/>
      <c r="I36" s="2381"/>
      <c r="J36" s="2379"/>
    </row>
    <row r="37" spans="1:10" ht="16.5" hidden="1" customHeight="1" x14ac:dyDescent="0.25">
      <c r="A37" s="2386">
        <v>42217</v>
      </c>
      <c r="B37" s="2384">
        <v>35.357999999999997</v>
      </c>
      <c r="C37" s="2384">
        <v>39.658099999999997</v>
      </c>
      <c r="D37" s="2384">
        <v>54.506999999999998</v>
      </c>
      <c r="E37" s="2384">
        <v>35.451128571428569</v>
      </c>
      <c r="F37" s="2384">
        <v>39.56780952380953</v>
      </c>
      <c r="G37" s="2385">
        <v>55.555642857142857</v>
      </c>
      <c r="H37" s="2381"/>
      <c r="I37" s="2381"/>
      <c r="J37" s="2379"/>
    </row>
    <row r="38" spans="1:10" ht="19.5" hidden="1" customHeight="1" x14ac:dyDescent="0.25">
      <c r="A38" s="2386">
        <v>42248</v>
      </c>
      <c r="B38" s="2384">
        <v>35.625900000000001</v>
      </c>
      <c r="C38" s="2384">
        <v>40.204599999999999</v>
      </c>
      <c r="D38" s="2384">
        <v>54.518000000000001</v>
      </c>
      <c r="E38" s="2384">
        <v>35.461142857142853</v>
      </c>
      <c r="F38" s="2384">
        <v>39.864480952380951</v>
      </c>
      <c r="G38" s="2385">
        <v>54.687228571428577</v>
      </c>
      <c r="H38" s="2381"/>
      <c r="I38" s="2381"/>
      <c r="J38" s="2379"/>
    </row>
    <row r="39" spans="1:10" ht="19.5" hidden="1" customHeight="1" x14ac:dyDescent="0.25">
      <c r="A39" s="2386">
        <v>42278</v>
      </c>
      <c r="B39" s="2384">
        <v>35.912100000000002</v>
      </c>
      <c r="C39" s="2384">
        <v>39.531799999999997</v>
      </c>
      <c r="D39" s="2384">
        <v>55.803100000000001</v>
      </c>
      <c r="E39" s="2384">
        <v>35.613545454545445</v>
      </c>
      <c r="F39" s="2384">
        <v>40.071904545454544</v>
      </c>
      <c r="G39" s="2385">
        <v>55.075572727272721</v>
      </c>
      <c r="H39" s="2381"/>
      <c r="I39" s="2381"/>
      <c r="J39" s="2379"/>
    </row>
    <row r="40" spans="1:10" ht="19.5" hidden="1" customHeight="1" x14ac:dyDescent="0.25">
      <c r="A40" s="2386">
        <v>42309</v>
      </c>
      <c r="B40" s="2384">
        <v>36.3431</v>
      </c>
      <c r="C40" s="2384">
        <v>38.615200000000002</v>
      </c>
      <c r="D40" s="2384">
        <v>55.118699999999997</v>
      </c>
      <c r="E40" s="2384">
        <v>36.209136842105274</v>
      </c>
      <c r="F40" s="2384">
        <v>38.965699999999998</v>
      </c>
      <c r="G40" s="2385">
        <v>55.402447368421058</v>
      </c>
      <c r="H40" s="2381"/>
      <c r="I40" s="2381"/>
      <c r="J40" s="2379"/>
    </row>
    <row r="41" spans="1:10" ht="19.5" hidden="1" customHeight="1" x14ac:dyDescent="0.25">
      <c r="A41" s="2386">
        <v>42339</v>
      </c>
      <c r="B41" s="2384">
        <v>36.090899999999998</v>
      </c>
      <c r="C41" s="2384">
        <v>39.706899999999997</v>
      </c>
      <c r="D41" s="2384">
        <v>54.100499999999997</v>
      </c>
      <c r="E41" s="2384">
        <v>36.171272727272729</v>
      </c>
      <c r="F41" s="2384">
        <v>39.432181818181817</v>
      </c>
      <c r="G41" s="2385">
        <v>54.526572727272722</v>
      </c>
      <c r="H41" s="2381"/>
      <c r="I41" s="2381"/>
      <c r="J41" s="2379"/>
    </row>
    <row r="42" spans="1:10" ht="19.5" hidden="1" customHeight="1" x14ac:dyDescent="0.25">
      <c r="A42" s="2386">
        <v>42370</v>
      </c>
      <c r="B42" s="2384">
        <v>36.0886</v>
      </c>
      <c r="C42" s="2384">
        <v>39.447200000000002</v>
      </c>
      <c r="D42" s="2384">
        <v>52.2577</v>
      </c>
      <c r="E42" s="2384">
        <v>36.175170000000008</v>
      </c>
      <c r="F42" s="2384">
        <v>39.370570000000001</v>
      </c>
      <c r="G42" s="2385">
        <v>52.425730000000001</v>
      </c>
      <c r="H42" s="2381"/>
      <c r="I42" s="2381"/>
      <c r="J42" s="2379"/>
    </row>
    <row r="43" spans="1:10" ht="19.5" hidden="1" customHeight="1" x14ac:dyDescent="0.25">
      <c r="A43" s="2386">
        <v>42401</v>
      </c>
      <c r="B43" s="2384">
        <v>35.965800000000002</v>
      </c>
      <c r="C43" s="2384">
        <v>39.363300000000002</v>
      </c>
      <c r="D43" s="2384">
        <v>50.029600000000002</v>
      </c>
      <c r="E43" s="2384">
        <v>35.814689473684197</v>
      </c>
      <c r="F43" s="2384">
        <v>39.801199999999994</v>
      </c>
      <c r="G43" s="2385">
        <v>51.539510526315794</v>
      </c>
      <c r="H43" s="2381"/>
      <c r="I43" s="2381"/>
      <c r="J43" s="2379"/>
    </row>
    <row r="44" spans="1:10" ht="19.5" hidden="1" customHeight="1" x14ac:dyDescent="0.25">
      <c r="A44" s="2386">
        <v>42430</v>
      </c>
      <c r="B44" s="2384">
        <v>35.294499999999999</v>
      </c>
      <c r="C44" s="2384">
        <v>40.366399999999999</v>
      </c>
      <c r="D44" s="2384">
        <v>50.775799999999997</v>
      </c>
      <c r="E44" s="2384">
        <v>35.691613636363634</v>
      </c>
      <c r="F44" s="2384">
        <v>39.740290909090909</v>
      </c>
      <c r="G44" s="2385">
        <v>51.059077272727272</v>
      </c>
      <c r="H44" s="2381"/>
      <c r="I44" s="2381"/>
      <c r="J44" s="2379"/>
    </row>
    <row r="45" spans="1:10" ht="19.5" hidden="1" customHeight="1" x14ac:dyDescent="0.25">
      <c r="A45" s="2386">
        <v>42461</v>
      </c>
      <c r="B45" s="2384">
        <v>35.105600000000003</v>
      </c>
      <c r="C45" s="2384">
        <v>39.954999999999998</v>
      </c>
      <c r="D45" s="2384">
        <v>52.022500000000001</v>
      </c>
      <c r="E45" s="2384">
        <v>35.208295</v>
      </c>
      <c r="F45" s="2384">
        <v>40.0227</v>
      </c>
      <c r="G45" s="2385">
        <v>50.73481000000001</v>
      </c>
      <c r="H45" s="2381"/>
      <c r="I45" s="2381"/>
      <c r="J45" s="2379"/>
    </row>
    <row r="46" spans="1:10" ht="19.5" hidden="1" customHeight="1" x14ac:dyDescent="0.25">
      <c r="A46" s="2386">
        <v>42491</v>
      </c>
      <c r="B46" s="2384">
        <v>35.6126</v>
      </c>
      <c r="C46" s="2384">
        <v>39.799799999999998</v>
      </c>
      <c r="D46" s="2384">
        <v>52.490400000000001</v>
      </c>
      <c r="E46" s="2384">
        <v>35.301159090909088</v>
      </c>
      <c r="F46" s="2384">
        <v>39.967968181818186</v>
      </c>
      <c r="G46" s="2385">
        <v>51.646972727272718</v>
      </c>
      <c r="H46" s="2381"/>
      <c r="I46" s="2381"/>
      <c r="J46" s="2379"/>
    </row>
    <row r="47" spans="1:10" ht="19.5" hidden="1" customHeight="1" x14ac:dyDescent="0.25">
      <c r="A47" s="2386">
        <v>42522</v>
      </c>
      <c r="B47" s="2384">
        <v>35.735599999999998</v>
      </c>
      <c r="C47" s="2384">
        <v>39.7483</v>
      </c>
      <c r="D47" s="2384">
        <v>48.383800000000001</v>
      </c>
      <c r="E47" s="2384">
        <v>35.544613636363636</v>
      </c>
      <c r="F47" s="2384">
        <v>39.980518181818177</v>
      </c>
      <c r="G47" s="2385">
        <v>50.91941818181818</v>
      </c>
      <c r="H47" s="2381"/>
      <c r="I47" s="2381"/>
      <c r="J47" s="2379"/>
    </row>
    <row r="48" spans="1:10" ht="19.5" hidden="1" customHeight="1" x14ac:dyDescent="0.25">
      <c r="A48" s="2386">
        <v>42552</v>
      </c>
      <c r="B48" s="2384">
        <v>35.533900000000003</v>
      </c>
      <c r="C48" s="2384">
        <v>39.572899999999997</v>
      </c>
      <c r="D48" s="2384">
        <v>47.316200000000002</v>
      </c>
      <c r="E48" s="2384">
        <v>35.600175</v>
      </c>
      <c r="F48" s="2384">
        <v>39.511890000000001</v>
      </c>
      <c r="G48" s="2385">
        <v>47.374229999999997</v>
      </c>
      <c r="H48" s="2381"/>
      <c r="I48" s="2381"/>
      <c r="J48" s="2379"/>
    </row>
    <row r="49" spans="1:10" ht="19.5" hidden="1" customHeight="1" x14ac:dyDescent="0.25">
      <c r="A49" s="2386">
        <v>42583</v>
      </c>
      <c r="B49" s="2384">
        <v>35.378300000000003</v>
      </c>
      <c r="C49" s="2384">
        <v>39.672499999999999</v>
      </c>
      <c r="D49" s="2384">
        <v>47.089700000000001</v>
      </c>
      <c r="E49" s="2384">
        <v>35.355586363636363</v>
      </c>
      <c r="F49" s="2384">
        <v>39.750722727272723</v>
      </c>
      <c r="G49" s="2385">
        <v>46.890404545454551</v>
      </c>
      <c r="H49" s="2381"/>
      <c r="I49" s="2381"/>
      <c r="J49" s="2379"/>
    </row>
    <row r="50" spans="1:10" ht="19.5" hidden="1" customHeight="1" x14ac:dyDescent="0.25">
      <c r="A50" s="2386">
        <v>42614</v>
      </c>
      <c r="B50" s="2384">
        <v>35.619999999999997</v>
      </c>
      <c r="C50" s="2384">
        <v>39.894300000000001</v>
      </c>
      <c r="D50" s="2384">
        <v>46.030200000000001</v>
      </c>
      <c r="E50" s="2384">
        <v>35.46364761904762</v>
      </c>
      <c r="F50" s="2384">
        <v>39.870876190476189</v>
      </c>
      <c r="G50" s="2385">
        <v>47.098304761904764</v>
      </c>
      <c r="H50" s="2381"/>
      <c r="I50" s="2381"/>
      <c r="J50" s="2379"/>
    </row>
    <row r="51" spans="1:10" ht="19.5" hidden="1" customHeight="1" x14ac:dyDescent="0.25">
      <c r="A51" s="2386">
        <v>42644</v>
      </c>
      <c r="B51" s="2384">
        <v>35.961799999999997</v>
      </c>
      <c r="C51" s="2384">
        <v>39.6158</v>
      </c>
      <c r="D51" s="2384">
        <v>44.244999999999997</v>
      </c>
      <c r="E51" s="2384">
        <v>35.738699999999994</v>
      </c>
      <c r="F51" s="2384">
        <v>39.559261904761904</v>
      </c>
      <c r="G51" s="2385">
        <v>44.515657142857137</v>
      </c>
      <c r="H51" s="2381"/>
      <c r="I51" s="2381"/>
      <c r="J51" s="2379"/>
    </row>
    <row r="52" spans="1:10" ht="19.5" hidden="1" customHeight="1" x14ac:dyDescent="0.25">
      <c r="A52" s="2386">
        <v>42675</v>
      </c>
      <c r="B52" s="2384">
        <v>36.109200000000001</v>
      </c>
      <c r="C52" s="2384">
        <v>38.628399999999999</v>
      </c>
      <c r="D52" s="2384">
        <v>45.381</v>
      </c>
      <c r="E52" s="2384">
        <v>35.940314285714287</v>
      </c>
      <c r="F52" s="2384">
        <v>38.950295238095229</v>
      </c>
      <c r="G52" s="2385">
        <v>45.143271428571417</v>
      </c>
      <c r="H52" s="2381"/>
      <c r="I52" s="2381"/>
      <c r="J52" s="2379"/>
    </row>
    <row r="53" spans="1:10" ht="19.5" hidden="1" customHeight="1" x14ac:dyDescent="0.25">
      <c r="A53" s="2386">
        <v>42705</v>
      </c>
      <c r="B53" s="2384">
        <v>36.107799999999997</v>
      </c>
      <c r="C53" s="2384">
        <v>38.221200000000003</v>
      </c>
      <c r="D53" s="2384">
        <v>44.578099999999999</v>
      </c>
      <c r="E53" s="2384">
        <v>36.077445454545447</v>
      </c>
      <c r="F53" s="2384">
        <v>38.207472727272723</v>
      </c>
      <c r="G53" s="2385">
        <v>45.352440909090916</v>
      </c>
      <c r="H53" s="2381"/>
      <c r="I53" s="2381"/>
      <c r="J53" s="2379"/>
    </row>
    <row r="54" spans="1:10" ht="19.5" hidden="1" customHeight="1" x14ac:dyDescent="0.25">
      <c r="A54" s="2386">
        <v>42736</v>
      </c>
      <c r="B54" s="2384">
        <v>35.847999999999999</v>
      </c>
      <c r="C54" s="2384">
        <v>38.584499999999998</v>
      </c>
      <c r="D54" s="2384">
        <v>45.059100000000001</v>
      </c>
      <c r="E54" s="2384">
        <v>35.951009523809525</v>
      </c>
      <c r="F54" s="2384">
        <v>38.386071428571427</v>
      </c>
      <c r="G54" s="2385">
        <v>44.697000000000003</v>
      </c>
      <c r="H54" s="2381"/>
      <c r="I54" s="2381"/>
      <c r="J54" s="2379"/>
    </row>
    <row r="55" spans="1:10" ht="19.5" hidden="1" customHeight="1" x14ac:dyDescent="0.25">
      <c r="A55" s="2386">
        <v>42767</v>
      </c>
      <c r="B55" s="2384">
        <v>35.723500000000001</v>
      </c>
      <c r="C55" s="2384">
        <v>38.063200000000002</v>
      </c>
      <c r="D55" s="2384">
        <v>45.108800000000002</v>
      </c>
      <c r="E55" s="2384">
        <v>35.649535294117641</v>
      </c>
      <c r="F55" s="2384">
        <v>38.081417647058821</v>
      </c>
      <c r="G55" s="2385">
        <v>45.055194117647055</v>
      </c>
      <c r="H55" s="2381"/>
      <c r="I55" s="2381"/>
      <c r="J55" s="2379"/>
    </row>
    <row r="56" spans="1:10" ht="19.5" hidden="1" customHeight="1" x14ac:dyDescent="0.25">
      <c r="A56" s="2386">
        <v>42795</v>
      </c>
      <c r="B56" s="2384">
        <v>35.409799999999997</v>
      </c>
      <c r="C56" s="2384">
        <v>37.874099999999999</v>
      </c>
      <c r="D56" s="2384">
        <v>44.634500000000003</v>
      </c>
      <c r="E56" s="2384">
        <v>35.518218181818185</v>
      </c>
      <c r="F56" s="2384">
        <v>38.082045454545458</v>
      </c>
      <c r="G56" s="2385">
        <v>44.283445454545465</v>
      </c>
      <c r="H56" s="2381"/>
      <c r="I56" s="2381"/>
      <c r="J56" s="2379"/>
    </row>
    <row r="57" spans="1:10" ht="19.5" hidden="1" customHeight="1" x14ac:dyDescent="0.25">
      <c r="A57" s="2386">
        <v>42826</v>
      </c>
      <c r="B57" s="2384">
        <v>34.976799999999997</v>
      </c>
      <c r="C57" s="2384">
        <v>38.186100000000003</v>
      </c>
      <c r="D57" s="2384">
        <v>45.686300000000003</v>
      </c>
      <c r="E57" s="2384">
        <v>35.341865280975846</v>
      </c>
      <c r="F57" s="2384">
        <v>38.046381642788418</v>
      </c>
      <c r="G57" s="2385">
        <v>45.018340000000009</v>
      </c>
      <c r="H57" s="2381"/>
      <c r="I57" s="2381"/>
      <c r="J57" s="2379"/>
    </row>
    <row r="58" spans="1:10" ht="19.5" hidden="1" customHeight="1" x14ac:dyDescent="0.25">
      <c r="A58" s="2386">
        <v>42856</v>
      </c>
      <c r="B58" s="2384">
        <v>34.851870162663502</v>
      </c>
      <c r="C58" s="2384">
        <v>39.128784057020397</v>
      </c>
      <c r="D58" s="2384">
        <v>45.064499682939598</v>
      </c>
      <c r="E58" s="2384">
        <v>34.890059881176406</v>
      </c>
      <c r="F58" s="2384">
        <v>38.68710100759305</v>
      </c>
      <c r="G58" s="2385">
        <v>45.435134914290302</v>
      </c>
      <c r="H58" s="2381"/>
      <c r="I58" s="2381"/>
      <c r="J58" s="2379"/>
    </row>
    <row r="59" spans="1:10" ht="19.5" hidden="1" customHeight="1" x14ac:dyDescent="0.25">
      <c r="A59" s="2386">
        <v>42887</v>
      </c>
      <c r="B59" s="2384">
        <v>34.5229</v>
      </c>
      <c r="C59" s="2384">
        <v>39.524099999999997</v>
      </c>
      <c r="D59" s="2384">
        <v>44.7577</v>
      </c>
      <c r="E59" s="2384">
        <v>34.800409999999999</v>
      </c>
      <c r="F59" s="2384">
        <v>39.140869999999993</v>
      </c>
      <c r="G59" s="2385">
        <v>44.82938</v>
      </c>
      <c r="H59" s="2381"/>
      <c r="I59" s="2381"/>
      <c r="J59" s="2379"/>
    </row>
    <row r="60" spans="1:10" ht="19.5" hidden="1" customHeight="1" x14ac:dyDescent="0.25">
      <c r="A60" s="2386">
        <v>42917</v>
      </c>
      <c r="B60" s="2384">
        <v>33.548733264759299</v>
      </c>
      <c r="C60" s="2384">
        <v>39.3849534206581</v>
      </c>
      <c r="D60" s="2384">
        <v>45.033999999999999</v>
      </c>
      <c r="E60" s="2384">
        <v>34.180549203083785</v>
      </c>
      <c r="F60" s="2384">
        <v>39.487864448602764</v>
      </c>
      <c r="G60" s="2385">
        <v>44.922485714285699</v>
      </c>
      <c r="H60" s="2381"/>
      <c r="I60" s="2381"/>
      <c r="J60" s="2379"/>
    </row>
    <row r="61" spans="1:10" ht="19.5" hidden="1" customHeight="1" x14ac:dyDescent="0.25">
      <c r="A61" s="2386">
        <v>42948</v>
      </c>
      <c r="B61" s="2384">
        <v>32.787300000000002</v>
      </c>
      <c r="C61" s="2384">
        <v>39.066499999999998</v>
      </c>
      <c r="D61" s="2384">
        <v>42.859299999999998</v>
      </c>
      <c r="E61" s="2384">
        <v>33.180421739130431</v>
      </c>
      <c r="F61" s="2384">
        <v>39.31388260869565</v>
      </c>
      <c r="G61" s="2385">
        <v>43.486995652173917</v>
      </c>
      <c r="H61" s="2381"/>
      <c r="I61" s="2381"/>
      <c r="J61" s="2379"/>
    </row>
    <row r="62" spans="1:10" ht="19.5" hidden="1" customHeight="1" x14ac:dyDescent="0.25">
      <c r="A62" s="2386">
        <v>42979</v>
      </c>
      <c r="B62" s="2384">
        <v>34.026400000000002</v>
      </c>
      <c r="C62" s="2384">
        <v>40.460700000000003</v>
      </c>
      <c r="D62" s="2384">
        <v>45.773200000000003</v>
      </c>
      <c r="E62" s="2384">
        <v>33.407761904761912</v>
      </c>
      <c r="F62" s="2384">
        <v>39.949085714285715</v>
      </c>
      <c r="G62" s="2385">
        <v>44.671857142857142</v>
      </c>
      <c r="H62" s="2381"/>
      <c r="I62" s="2381"/>
      <c r="J62" s="2379"/>
    </row>
    <row r="63" spans="1:10" ht="19.5" hidden="1" customHeight="1" x14ac:dyDescent="0.25">
      <c r="A63" s="2386">
        <v>43009</v>
      </c>
      <c r="B63" s="2384">
        <v>34.401228180156799</v>
      </c>
      <c r="C63" s="2384">
        <v>40.082501301682697</v>
      </c>
      <c r="D63" s="2384">
        <v>45.769854284319898</v>
      </c>
      <c r="E63" s="2384">
        <v>34.104034675245558</v>
      </c>
      <c r="F63" s="2384">
        <v>40.199590538175357</v>
      </c>
      <c r="G63" s="2385">
        <v>45.33927401353904</v>
      </c>
      <c r="H63" s="2381"/>
      <c r="I63" s="2381"/>
      <c r="J63" s="2379"/>
    </row>
    <row r="64" spans="1:10" ht="19.5" hidden="1" customHeight="1" x14ac:dyDescent="0.25">
      <c r="A64" s="2386">
        <v>43040</v>
      </c>
      <c r="B64" s="2384">
        <v>33.734579598892601</v>
      </c>
      <c r="C64" s="2384">
        <v>40.039291988708797</v>
      </c>
      <c r="D64" s="2384">
        <v>45.722010797968302</v>
      </c>
      <c r="E64" s="2384">
        <v>34.106928979944634</v>
      </c>
      <c r="F64" s="2384">
        <v>40.117529599435436</v>
      </c>
      <c r="G64" s="2385">
        <v>45.421455539898425</v>
      </c>
      <c r="H64" s="2381"/>
      <c r="I64" s="2381"/>
      <c r="J64" s="2379"/>
    </row>
    <row r="65" spans="1:11" ht="19.5" hidden="1" customHeight="1" x14ac:dyDescent="0.25">
      <c r="A65" s="2386">
        <v>43070</v>
      </c>
      <c r="B65" s="2384">
        <v>33.5379</v>
      </c>
      <c r="C65" s="2384">
        <v>40.214599999999997</v>
      </c>
      <c r="D65" s="2384">
        <v>45.468400000000003</v>
      </c>
      <c r="E65" s="2384">
        <v>33.828320953241445</v>
      </c>
      <c r="F65" s="2384">
        <v>40.168991248647288</v>
      </c>
      <c r="G65" s="2385">
        <v>45.735172700872603</v>
      </c>
      <c r="H65" s="2381"/>
      <c r="I65" s="2381"/>
      <c r="J65" s="2379"/>
    </row>
    <row r="66" spans="1:11" ht="19.5" hidden="1" customHeight="1" x14ac:dyDescent="0.25">
      <c r="A66" s="2386">
        <v>43101</v>
      </c>
      <c r="B66" s="2384">
        <v>32.480818210228101</v>
      </c>
      <c r="C66" s="2384">
        <v>40.2809088373061</v>
      </c>
      <c r="D66" s="2384">
        <v>45.661305489043102</v>
      </c>
      <c r="E66" s="2384">
        <v>33.055817936079869</v>
      </c>
      <c r="F66" s="2384">
        <v>40.415731023658232</v>
      </c>
      <c r="G66" s="2385">
        <v>45.948293928183126</v>
      </c>
      <c r="H66" s="2381"/>
      <c r="I66" s="2381"/>
      <c r="J66" s="2379"/>
    </row>
    <row r="67" spans="1:11" ht="19.5" hidden="1" customHeight="1" x14ac:dyDescent="0.25">
      <c r="A67" s="2386">
        <v>43132</v>
      </c>
      <c r="B67" s="2384">
        <v>32.994788624026803</v>
      </c>
      <c r="C67" s="2384">
        <v>40.7561492827639</v>
      </c>
      <c r="D67" s="2384">
        <v>46.605897356788397</v>
      </c>
      <c r="E67" s="2384">
        <v>32.704925817044156</v>
      </c>
      <c r="F67" s="2384">
        <v>40.513011621783527</v>
      </c>
      <c r="G67" s="2385">
        <v>46.058259502874144</v>
      </c>
      <c r="H67" s="2381"/>
      <c r="I67" s="2381"/>
      <c r="J67" s="2379"/>
    </row>
    <row r="68" spans="1:11" ht="19.5" hidden="1" customHeight="1" x14ac:dyDescent="0.25">
      <c r="A68" s="2386">
        <v>43160</v>
      </c>
      <c r="B68" s="2384">
        <v>33.572660423001501</v>
      </c>
      <c r="C68" s="2384">
        <v>41.527312232172299</v>
      </c>
      <c r="D68" s="2384">
        <v>47.358333333333299</v>
      </c>
      <c r="E68" s="2384">
        <v>33.15001240109531</v>
      </c>
      <c r="F68" s="2384">
        <v>40.996229153912978</v>
      </c>
      <c r="G68" s="2385">
        <v>46.707406349206344</v>
      </c>
      <c r="H68" s="2381"/>
      <c r="I68" s="2381"/>
      <c r="J68" s="2379"/>
    </row>
    <row r="69" spans="1:11" ht="19.5" hidden="1" customHeight="1" x14ac:dyDescent="0.25">
      <c r="A69" s="2386">
        <v>43191</v>
      </c>
      <c r="B69" s="2384">
        <v>34.348300000000002</v>
      </c>
      <c r="C69" s="2384">
        <v>41.373199999999997</v>
      </c>
      <c r="D69" s="2384">
        <v>47.132399999999997</v>
      </c>
      <c r="E69" s="2384">
        <v>33.836635857442268</v>
      </c>
      <c r="F69" s="2384">
        <v>41.620513443475453</v>
      </c>
      <c r="G69" s="2385">
        <v>47.856737634709802</v>
      </c>
      <c r="H69" s="2381"/>
      <c r="I69" s="2381"/>
      <c r="J69" s="2379"/>
    </row>
    <row r="70" spans="1:11" ht="19.5" hidden="1" customHeight="1" x14ac:dyDescent="0.25">
      <c r="A70" s="2386">
        <v>43221</v>
      </c>
      <c r="B70" s="2384">
        <v>34.345210000000002</v>
      </c>
      <c r="C70" s="2384">
        <v>40.440089999999998</v>
      </c>
      <c r="D70" s="2384">
        <v>46.268230000000003</v>
      </c>
      <c r="E70" s="2384">
        <v>34.573513267664048</v>
      </c>
      <c r="F70" s="2384">
        <v>40.915333789334746</v>
      </c>
      <c r="G70" s="2385">
        <v>46.906047055101276</v>
      </c>
      <c r="H70" s="2381"/>
      <c r="I70" s="2381"/>
      <c r="J70" s="2379"/>
    </row>
    <row r="71" spans="1:11" ht="1.5" hidden="1" customHeight="1" x14ac:dyDescent="0.25">
      <c r="A71" s="2386">
        <v>43252</v>
      </c>
      <c r="B71" s="2384">
        <v>34.622803076115098</v>
      </c>
      <c r="C71" s="2384">
        <v>40.556923716048203</v>
      </c>
      <c r="D71" s="2384">
        <v>45.669653365674797</v>
      </c>
      <c r="E71" s="2384">
        <v>34.532389646596961</v>
      </c>
      <c r="F71" s="2384">
        <v>40.458717016002893</v>
      </c>
      <c r="G71" s="2385">
        <v>46.103840695727591</v>
      </c>
      <c r="H71" s="2381"/>
      <c r="I71" s="2381"/>
      <c r="J71" s="2379"/>
    </row>
    <row r="72" spans="1:11" ht="19.5" hidden="1" customHeight="1" x14ac:dyDescent="0.25">
      <c r="A72" s="2387">
        <v>43282</v>
      </c>
      <c r="B72" s="2384">
        <v>34.212637049245103</v>
      </c>
      <c r="C72" s="2384">
        <v>40.139166161748498</v>
      </c>
      <c r="D72" s="2384">
        <v>44.811594018839102</v>
      </c>
      <c r="E72" s="2384">
        <v>34.336399252312212</v>
      </c>
      <c r="F72" s="2384">
        <v>40.237238920168437</v>
      </c>
      <c r="G72" s="2385">
        <v>45.543328217988524</v>
      </c>
      <c r="H72" s="2381"/>
      <c r="I72" s="2381"/>
      <c r="J72" s="2379"/>
    </row>
    <row r="73" spans="1:11" ht="19.5" hidden="1" customHeight="1" x14ac:dyDescent="0.25">
      <c r="A73" s="2387">
        <v>43313</v>
      </c>
      <c r="B73" s="2384">
        <v>34.280999999999999</v>
      </c>
      <c r="C73" s="2384">
        <v>40.188000000000002</v>
      </c>
      <c r="D73" s="2384">
        <v>45.093000000000004</v>
      </c>
      <c r="E73" s="2384">
        <v>34.412999999999997</v>
      </c>
      <c r="F73" s="2384">
        <v>39.881</v>
      </c>
      <c r="G73" s="2385">
        <v>44.606000000000002</v>
      </c>
      <c r="H73" s="2381"/>
      <c r="I73" s="2381"/>
      <c r="J73" s="2379"/>
    </row>
    <row r="74" spans="1:11" ht="19.5" hidden="1" customHeight="1" x14ac:dyDescent="0.25">
      <c r="A74" s="2387">
        <v>43344</v>
      </c>
      <c r="B74" s="2384">
        <v>34.443729233604301</v>
      </c>
      <c r="C74" s="2384">
        <v>40.012458502721202</v>
      </c>
      <c r="D74" s="2384">
        <v>44.893739873001998</v>
      </c>
      <c r="E74" s="2384">
        <v>34.363713944726008</v>
      </c>
      <c r="F74" s="2384">
        <v>40.111693106209074</v>
      </c>
      <c r="G74" s="2385">
        <v>45.04532767688513</v>
      </c>
      <c r="H74" s="2381"/>
      <c r="I74" s="2381"/>
      <c r="J74" s="2379"/>
    </row>
    <row r="75" spans="1:11" ht="19.5" hidden="1" customHeight="1" x14ac:dyDescent="0.25">
      <c r="A75" s="2387">
        <v>43374</v>
      </c>
      <c r="B75" s="2384">
        <v>34.583799999999997</v>
      </c>
      <c r="C75" s="2384">
        <v>39.361699999999999</v>
      </c>
      <c r="D75" s="2384">
        <v>44.2378</v>
      </c>
      <c r="E75" s="2384">
        <v>34.523596756250789</v>
      </c>
      <c r="F75" s="2384">
        <v>39.723202982616449</v>
      </c>
      <c r="G75" s="2385">
        <v>45.170135989620547</v>
      </c>
      <c r="H75" s="2381"/>
      <c r="I75" s="2381"/>
      <c r="J75" s="2379"/>
    </row>
    <row r="76" spans="1:11" ht="19.5" hidden="1" customHeight="1" x14ac:dyDescent="0.25">
      <c r="A76" s="2387">
        <v>43405</v>
      </c>
      <c r="B76" s="2384">
        <v>34.4111894121868</v>
      </c>
      <c r="C76" s="2384">
        <v>39.295071058899097</v>
      </c>
      <c r="D76" s="2384">
        <v>44.240662015904299</v>
      </c>
      <c r="E76" s="2384">
        <v>34.512826628970885</v>
      </c>
      <c r="F76" s="2384">
        <v>39.26323147100171</v>
      </c>
      <c r="G76" s="2385">
        <v>44.828456405771696</v>
      </c>
      <c r="H76" s="2381"/>
      <c r="I76" s="2381"/>
      <c r="J76" s="2379"/>
      <c r="K76" s="2388"/>
    </row>
    <row r="77" spans="1:11" ht="19.5" hidden="1" customHeight="1" x14ac:dyDescent="0.25">
      <c r="A77" s="2387">
        <v>43435</v>
      </c>
      <c r="B77" s="2384">
        <v>34.405319368256798</v>
      </c>
      <c r="C77" s="2384">
        <v>39.335050470011502</v>
      </c>
      <c r="D77" s="2384">
        <v>43.989942956926697</v>
      </c>
      <c r="E77" s="2384">
        <v>34.368018452963014</v>
      </c>
      <c r="F77" s="2384">
        <v>39.20355264472532</v>
      </c>
      <c r="G77" s="2385">
        <v>43.755565078908106</v>
      </c>
      <c r="H77" s="2381"/>
      <c r="I77" s="2381"/>
      <c r="J77" s="2379"/>
    </row>
    <row r="78" spans="1:11" ht="19.5" hidden="1" customHeight="1" x14ac:dyDescent="0.25">
      <c r="A78" s="2387">
        <v>43466</v>
      </c>
      <c r="B78" s="2384">
        <v>33.991093358141498</v>
      </c>
      <c r="C78" s="2384">
        <v>39.323886949481</v>
      </c>
      <c r="D78" s="2384">
        <v>45.041925566952997</v>
      </c>
      <c r="E78" s="2384">
        <v>34.23729136617164</v>
      </c>
      <c r="F78" s="2384">
        <v>39.197501841982486</v>
      </c>
      <c r="G78" s="2385">
        <v>44.399151819022727</v>
      </c>
      <c r="H78" s="2381"/>
      <c r="I78" s="2381"/>
      <c r="J78" s="2379"/>
    </row>
    <row r="79" spans="1:11" ht="19.5" hidden="1" customHeight="1" x14ac:dyDescent="0.25">
      <c r="A79" s="2387">
        <v>43497</v>
      </c>
      <c r="B79" s="2384">
        <v>34.149700000000003</v>
      </c>
      <c r="C79" s="2384">
        <v>39.033099999999997</v>
      </c>
      <c r="D79" s="2384">
        <v>45.859099999999998</v>
      </c>
      <c r="E79" s="2384">
        <v>34.229295268628817</v>
      </c>
      <c r="F79" s="2384">
        <v>38.929378848006387</v>
      </c>
      <c r="G79" s="2385">
        <v>44.79150339613107</v>
      </c>
      <c r="H79" s="2381"/>
      <c r="I79" s="2381"/>
      <c r="J79" s="2379"/>
    </row>
    <row r="80" spans="1:11" ht="19.5" hidden="1" customHeight="1" x14ac:dyDescent="0.25">
      <c r="A80" s="2387">
        <v>43525</v>
      </c>
      <c r="B80" s="2384">
        <v>34.9</v>
      </c>
      <c r="C80" s="2384">
        <v>39.131700000000002</v>
      </c>
      <c r="D80" s="2384">
        <v>45.6539</v>
      </c>
      <c r="E80" s="2384">
        <v>34.639700610972319</v>
      </c>
      <c r="F80" s="2384">
        <v>39.212850891690266</v>
      </c>
      <c r="G80" s="2385">
        <v>45.881945824758027</v>
      </c>
      <c r="H80" s="2381"/>
      <c r="I80" s="2381"/>
      <c r="J80" s="2379"/>
    </row>
    <row r="81" spans="1:10" ht="19.5" hidden="1" customHeight="1" x14ac:dyDescent="0.25">
      <c r="A81" s="2387">
        <v>43556</v>
      </c>
      <c r="B81" s="2384">
        <v>34.965494822417497</v>
      </c>
      <c r="C81" s="2384">
        <v>39.264092657240198</v>
      </c>
      <c r="D81" s="2384">
        <v>45.745815807861497</v>
      </c>
      <c r="E81" s="2384">
        <v>34.864640851315365</v>
      </c>
      <c r="F81" s="2384">
        <v>39.187343978144767</v>
      </c>
      <c r="G81" s="2385">
        <v>45.720761925753031</v>
      </c>
      <c r="H81" s="2381"/>
      <c r="I81" s="2381"/>
      <c r="J81" s="2379"/>
    </row>
    <row r="82" spans="1:10" ht="19.5" hidden="1" customHeight="1" x14ac:dyDescent="0.25">
      <c r="A82" s="2387">
        <v>43586</v>
      </c>
      <c r="B82" s="2384">
        <v>35.584048625981303</v>
      </c>
      <c r="C82" s="2384">
        <v>39.693778449582403</v>
      </c>
      <c r="D82" s="2384">
        <v>45.059566248426201</v>
      </c>
      <c r="E82" s="2384">
        <v>35.19</v>
      </c>
      <c r="F82" s="2384">
        <v>39.449215675303357</v>
      </c>
      <c r="G82" s="2385">
        <v>45.403155239354653</v>
      </c>
      <c r="H82" s="2381"/>
      <c r="I82" s="2381"/>
      <c r="J82" s="2379"/>
    </row>
    <row r="83" spans="1:10" ht="19.5" hidden="1" customHeight="1" x14ac:dyDescent="0.25">
      <c r="A83" s="2387">
        <v>43617</v>
      </c>
      <c r="B83" s="2384">
        <v>35.577738850702303</v>
      </c>
      <c r="C83" s="2384">
        <v>40.465173168891198</v>
      </c>
      <c r="D83" s="2384">
        <v>45.275914117117097</v>
      </c>
      <c r="E83" s="2384">
        <v>35.61529092385522</v>
      </c>
      <c r="F83" s="2384">
        <v>40.257024213850194</v>
      </c>
      <c r="G83" s="2385">
        <v>45.353893178479169</v>
      </c>
      <c r="H83" s="2381"/>
      <c r="I83" s="2381"/>
      <c r="J83" s="2379"/>
    </row>
    <row r="84" spans="1:10" ht="19.5" hidden="1" customHeight="1" x14ac:dyDescent="0.25">
      <c r="A84" s="2387">
        <v>43647</v>
      </c>
      <c r="B84" s="2384">
        <v>35.9611609885768</v>
      </c>
      <c r="C84" s="2384">
        <v>40.325375712908098</v>
      </c>
      <c r="D84" s="2384">
        <v>44.049014194785997</v>
      </c>
      <c r="E84" s="2384">
        <v>35.888664742203112</v>
      </c>
      <c r="F84" s="2384">
        <v>40.336605098421629</v>
      </c>
      <c r="G84" s="2385">
        <v>45.016437508316478</v>
      </c>
      <c r="H84" s="2381"/>
      <c r="I84" s="2381"/>
      <c r="J84" s="2379"/>
    </row>
    <row r="85" spans="1:10" ht="19.5" hidden="1" customHeight="1" x14ac:dyDescent="0.25">
      <c r="A85" s="2387">
        <v>43678</v>
      </c>
      <c r="B85" s="2384">
        <v>36.199168531427603</v>
      </c>
      <c r="C85" s="2384">
        <v>40.1265770018029</v>
      </c>
      <c r="D85" s="2384">
        <v>44.402774012304398</v>
      </c>
      <c r="E85" s="2384">
        <v>36.050330316214868</v>
      </c>
      <c r="F85" s="2384">
        <v>40.169406916893166</v>
      </c>
      <c r="G85" s="2385">
        <v>44.014220132303699</v>
      </c>
      <c r="H85" s="2381"/>
      <c r="I85" s="2381"/>
      <c r="J85" s="2379"/>
    </row>
    <row r="86" spans="1:10" ht="19.5" hidden="1" customHeight="1" x14ac:dyDescent="0.25">
      <c r="A86" s="2387">
        <v>43709</v>
      </c>
      <c r="B86" s="2384">
        <v>36.634</v>
      </c>
      <c r="C86" s="2384">
        <v>40.124600000000001</v>
      </c>
      <c r="D86" s="2384">
        <v>45.24</v>
      </c>
      <c r="E86" s="2384">
        <v>36.365211867007119</v>
      </c>
      <c r="F86" s="2384">
        <v>40.102707125820302</v>
      </c>
      <c r="G86" s="2385">
        <v>45.181975269512371</v>
      </c>
      <c r="H86" s="2381"/>
      <c r="I86" s="2381"/>
      <c r="J86" s="2379"/>
    </row>
    <row r="87" spans="1:10" ht="19.5" hidden="1" customHeight="1" x14ac:dyDescent="0.25">
      <c r="A87" s="2387">
        <v>43739</v>
      </c>
      <c r="B87" s="2384">
        <v>36.360700000000001</v>
      </c>
      <c r="C87" s="2384">
        <v>40.732300000000002</v>
      </c>
      <c r="D87" s="2384">
        <v>47.278700000000001</v>
      </c>
      <c r="E87" s="2384">
        <v>36.508000000000003</v>
      </c>
      <c r="F87" s="2384">
        <v>40.41405598053224</v>
      </c>
      <c r="G87" s="2385">
        <v>46.231195987678554</v>
      </c>
      <c r="H87" s="2381"/>
      <c r="I87" s="2381"/>
      <c r="J87" s="2379"/>
    </row>
    <row r="88" spans="1:10" ht="19.5" hidden="1" customHeight="1" x14ac:dyDescent="0.25">
      <c r="A88" s="2387">
        <v>43770</v>
      </c>
      <c r="B88" s="2384">
        <v>36.834099999999999</v>
      </c>
      <c r="C88" s="2384">
        <v>40.567999999999998</v>
      </c>
      <c r="D88" s="2384">
        <v>47.641399999999997</v>
      </c>
      <c r="E88" s="2384">
        <v>36.664968421052635</v>
      </c>
      <c r="F88" s="2384">
        <v>40.549057894736841</v>
      </c>
      <c r="G88" s="2385">
        <v>47.396378947368419</v>
      </c>
      <c r="H88" s="2381"/>
      <c r="I88" s="2381"/>
      <c r="J88" s="2379"/>
    </row>
    <row r="89" spans="1:10" ht="17.25" hidden="1" customHeight="1" x14ac:dyDescent="0.25">
      <c r="A89" s="2387">
        <v>43800</v>
      </c>
      <c r="B89" s="2384">
        <v>36.595100000000002</v>
      </c>
      <c r="C89" s="2384">
        <v>41.026899999999998</v>
      </c>
      <c r="D89" s="2384">
        <v>48.259</v>
      </c>
      <c r="E89" s="2384">
        <v>36.722470000000001</v>
      </c>
      <c r="F89" s="2384">
        <v>40.824490000000004</v>
      </c>
      <c r="G89" s="2385">
        <v>48.260509999999996</v>
      </c>
      <c r="H89" s="2381"/>
      <c r="I89" s="2381"/>
      <c r="J89" s="2379"/>
    </row>
    <row r="90" spans="1:10" ht="19.5" hidden="1" customHeight="1" x14ac:dyDescent="0.25">
      <c r="A90" s="2387">
        <v>43831</v>
      </c>
      <c r="B90" s="2384">
        <v>37.0152</v>
      </c>
      <c r="C90" s="2384">
        <v>40.807299999999998</v>
      </c>
      <c r="D90" s="2384">
        <v>48.453600000000002</v>
      </c>
      <c r="E90" s="2384">
        <v>36.758599999999994</v>
      </c>
      <c r="F90" s="2384">
        <v>40.814952380952384</v>
      </c>
      <c r="G90" s="2385">
        <v>48.139752380952373</v>
      </c>
      <c r="H90" s="2381"/>
      <c r="I90" s="2381"/>
      <c r="J90" s="2379"/>
    </row>
    <row r="91" spans="1:10" ht="19.5" hidden="1" customHeight="1" x14ac:dyDescent="0.25">
      <c r="A91" s="2387">
        <v>43862</v>
      </c>
      <c r="B91" s="2384">
        <v>37.600099999999998</v>
      </c>
      <c r="C91" s="2384">
        <v>41.421799999999998</v>
      </c>
      <c r="D91" s="2384">
        <v>48.520400000000002</v>
      </c>
      <c r="E91" s="2384">
        <v>37.397157894736836</v>
      </c>
      <c r="F91" s="2384">
        <v>40.851457894736846</v>
      </c>
      <c r="G91" s="2385">
        <v>48.623510526315791</v>
      </c>
      <c r="H91" s="2381"/>
      <c r="I91" s="2381"/>
      <c r="J91" s="2379"/>
    </row>
    <row r="92" spans="1:10" ht="19.5" hidden="1" customHeight="1" x14ac:dyDescent="0.25">
      <c r="A92" s="2387">
        <v>43891</v>
      </c>
      <c r="B92" s="2384">
        <v>39.718135444410898</v>
      </c>
      <c r="C92" s="2384">
        <v>43.737735625710897</v>
      </c>
      <c r="D92" s="2384">
        <v>48.9</v>
      </c>
      <c r="E92" s="2384">
        <v>38.627043614872825</v>
      </c>
      <c r="F92" s="2384">
        <v>42.820633715211315</v>
      </c>
      <c r="G92" s="2385">
        <v>47.960056215621876</v>
      </c>
      <c r="H92" s="2381"/>
      <c r="I92" s="2381"/>
      <c r="J92" s="2379"/>
    </row>
    <row r="93" spans="1:10" ht="19.5" hidden="1" customHeight="1" x14ac:dyDescent="0.25">
      <c r="A93" s="2387">
        <v>43922</v>
      </c>
      <c r="B93" s="2384">
        <v>40.504094342929903</v>
      </c>
      <c r="C93" s="2384">
        <v>44.090508975852103</v>
      </c>
      <c r="D93" s="2384">
        <v>50.517414653175599</v>
      </c>
      <c r="E93" s="2384">
        <v>40.106428557935907</v>
      </c>
      <c r="F93" s="2384">
        <v>43.69890446230324</v>
      </c>
      <c r="G93" s="2385">
        <v>49.896000000000001</v>
      </c>
      <c r="H93" s="2381"/>
      <c r="I93" s="2381"/>
      <c r="J93" s="2379"/>
    </row>
    <row r="94" spans="1:10" ht="19.5" hidden="1" customHeight="1" x14ac:dyDescent="0.25">
      <c r="A94" s="2387">
        <v>43952</v>
      </c>
      <c r="B94" s="2384">
        <v>40.357300000000002</v>
      </c>
      <c r="C94" s="2384">
        <v>44.873800000000003</v>
      </c>
      <c r="D94" s="2384">
        <v>49.818899999999999</v>
      </c>
      <c r="E94" s="2384">
        <v>40.400093124051679</v>
      </c>
      <c r="F94" s="2384">
        <v>44.100329773291634</v>
      </c>
      <c r="G94" s="2385">
        <v>49.686988814684298</v>
      </c>
      <c r="H94" s="2381"/>
      <c r="I94" s="2381"/>
      <c r="J94" s="2379"/>
    </row>
    <row r="95" spans="1:10" ht="19.5" hidden="1" customHeight="1" x14ac:dyDescent="0.25">
      <c r="A95" s="2387">
        <v>43983</v>
      </c>
      <c r="B95" s="2384">
        <v>40.464399999999998</v>
      </c>
      <c r="C95" s="2384">
        <v>45.514400000000002</v>
      </c>
      <c r="D95" s="2384">
        <v>50.085099999999997</v>
      </c>
      <c r="E95" s="2384">
        <v>40.281868181818183</v>
      </c>
      <c r="F95" s="2384">
        <v>45.41628636363636</v>
      </c>
      <c r="G95" s="2385">
        <v>50.545909999999992</v>
      </c>
      <c r="H95" s="2381"/>
      <c r="I95" s="2381"/>
      <c r="J95" s="2379"/>
    </row>
    <row r="96" spans="1:10" ht="19.5" customHeight="1" x14ac:dyDescent="0.25">
      <c r="A96" s="2387">
        <v>44013</v>
      </c>
      <c r="B96" s="2384">
        <v>40.024299999999997</v>
      </c>
      <c r="C96" s="2384">
        <v>47.6768</v>
      </c>
      <c r="D96" s="2384">
        <v>52.789700000000003</v>
      </c>
      <c r="E96" s="2384">
        <v>40.30767391304348</v>
      </c>
      <c r="F96" s="2384">
        <v>46.268439130434778</v>
      </c>
      <c r="G96" s="2385">
        <v>51.197647826086957</v>
      </c>
      <c r="H96" s="2381"/>
      <c r="I96" s="2381"/>
      <c r="J96" s="2379"/>
    </row>
    <row r="97" spans="1:10" ht="19.5" customHeight="1" x14ac:dyDescent="0.25">
      <c r="A97" s="2387">
        <v>44044</v>
      </c>
      <c r="B97" s="2384">
        <v>39.926400000000001</v>
      </c>
      <c r="C97" s="2384">
        <v>47.619799999999998</v>
      </c>
      <c r="D97" s="2384">
        <v>53.223999999999997</v>
      </c>
      <c r="E97" s="2384">
        <v>40.021521875952288</v>
      </c>
      <c r="F97" s="2384">
        <v>47.368000000000002</v>
      </c>
      <c r="G97" s="2385">
        <v>52.694074967172824</v>
      </c>
      <c r="H97" s="2381"/>
      <c r="I97" s="2381"/>
      <c r="J97" s="2379"/>
    </row>
    <row r="98" spans="1:10" ht="19.5" customHeight="1" x14ac:dyDescent="0.25">
      <c r="A98" s="2387">
        <v>44075</v>
      </c>
      <c r="B98" s="2384">
        <v>40.199300000000001</v>
      </c>
      <c r="C98" s="2384">
        <v>47.2333</v>
      </c>
      <c r="D98" s="2384">
        <v>51.714300000000001</v>
      </c>
      <c r="E98" s="2384">
        <v>40.035526958676435</v>
      </c>
      <c r="F98" s="2384">
        <v>47.272187413672803</v>
      </c>
      <c r="G98" s="2385">
        <v>52.115131147436983</v>
      </c>
      <c r="H98" s="2381"/>
      <c r="I98" s="2381"/>
      <c r="J98" s="2379"/>
    </row>
    <row r="99" spans="1:10" ht="19.5" customHeight="1" x14ac:dyDescent="0.25">
      <c r="A99" s="2387">
        <v>44105</v>
      </c>
      <c r="B99" s="2384">
        <v>40.319200000000002</v>
      </c>
      <c r="C99" s="2384">
        <v>47.106000000000002</v>
      </c>
      <c r="D99" s="2384">
        <v>52.3658</v>
      </c>
      <c r="E99" s="2384">
        <v>40.176067995457963</v>
      </c>
      <c r="F99" s="2384">
        <v>47.335008685508427</v>
      </c>
      <c r="G99" s="2385">
        <v>52.255690113987974</v>
      </c>
      <c r="H99" s="2381"/>
      <c r="I99" s="2381"/>
      <c r="J99" s="2379"/>
    </row>
    <row r="100" spans="1:10" ht="19.5" customHeight="1" x14ac:dyDescent="0.25">
      <c r="A100" s="2387">
        <v>44136</v>
      </c>
      <c r="B100" s="2384">
        <v>40.192666344755501</v>
      </c>
      <c r="C100" s="2384">
        <v>48.166528332071799</v>
      </c>
      <c r="D100" s="2384">
        <v>53.766146952768104</v>
      </c>
      <c r="E100" s="2384">
        <v>40.237446849727796</v>
      </c>
      <c r="F100" s="2384">
        <v>47.698795024287293</v>
      </c>
      <c r="G100" s="2385">
        <v>53.304160365935168</v>
      </c>
      <c r="H100" s="2381"/>
      <c r="I100" s="2381"/>
      <c r="J100" s="2379"/>
    </row>
    <row r="101" spans="1:10" ht="19.5" customHeight="1" x14ac:dyDescent="0.25">
      <c r="A101" s="2387">
        <v>44166</v>
      </c>
      <c r="B101" s="2384">
        <v>39.7428714262265</v>
      </c>
      <c r="C101" s="2384">
        <v>48.852440459461398</v>
      </c>
      <c r="D101" s="2384">
        <v>54.25</v>
      </c>
      <c r="E101" s="2384">
        <v>39.905860777478523</v>
      </c>
      <c r="F101" s="2384">
        <v>48.594231956875554</v>
      </c>
      <c r="G101" s="2385">
        <v>53.692999999999998</v>
      </c>
      <c r="H101" s="2381"/>
      <c r="I101" s="2381"/>
      <c r="J101" s="2379"/>
    </row>
    <row r="102" spans="1:10" s="2319" customFormat="1" ht="19.5" customHeight="1" x14ac:dyDescent="0.25">
      <c r="A102" s="2387">
        <v>44197</v>
      </c>
      <c r="B102" s="2384">
        <v>40.0188656713783</v>
      </c>
      <c r="C102" s="2384">
        <v>48.4889748961116</v>
      </c>
      <c r="D102" s="2384">
        <v>54.871881584916402</v>
      </c>
      <c r="E102" s="2384">
        <v>39.765178731238876</v>
      </c>
      <c r="F102" s="2384">
        <v>48.479978144215558</v>
      </c>
      <c r="G102" s="2385">
        <v>54.326980984698423</v>
      </c>
      <c r="H102" s="2389"/>
      <c r="I102" s="2389"/>
      <c r="J102" s="2389"/>
    </row>
    <row r="103" spans="1:10" s="2319" customFormat="1" ht="19.5" customHeight="1" x14ac:dyDescent="0.25">
      <c r="A103" s="2387">
        <v>44228</v>
      </c>
      <c r="B103" s="2384">
        <v>40.162300000000002</v>
      </c>
      <c r="C103" s="2384">
        <v>48.846800000000002</v>
      </c>
      <c r="D103" s="2384">
        <v>56.051499999999997</v>
      </c>
      <c r="E103" s="2384">
        <v>40.124645688548021</v>
      </c>
      <c r="F103" s="2384">
        <v>48.572958843022903</v>
      </c>
      <c r="G103" s="2385">
        <v>55.72716613847448</v>
      </c>
      <c r="H103" s="2389"/>
      <c r="I103" s="2389"/>
      <c r="J103" s="2389"/>
    </row>
    <row r="104" spans="1:10" s="2319" customFormat="1" ht="19.5" customHeight="1" x14ac:dyDescent="0.25">
      <c r="A104" s="2387">
        <v>44256</v>
      </c>
      <c r="B104" s="2384">
        <v>40.825365207327998</v>
      </c>
      <c r="C104" s="2384">
        <v>47.941386665206899</v>
      </c>
      <c r="D104" s="2384">
        <v>56.22</v>
      </c>
      <c r="E104" s="2384">
        <v>40.557661036953753</v>
      </c>
      <c r="F104" s="2384">
        <v>48.341658857693858</v>
      </c>
      <c r="G104" s="2385">
        <v>56.27088260384236</v>
      </c>
      <c r="H104" s="2389"/>
      <c r="I104" s="2389"/>
      <c r="J104" s="2389"/>
    </row>
    <row r="105" spans="1:10" s="2319" customFormat="1" ht="19.5" customHeight="1" x14ac:dyDescent="0.25">
      <c r="A105" s="2387">
        <v>44287</v>
      </c>
      <c r="B105" s="2384">
        <v>40.754864843957797</v>
      </c>
      <c r="C105" s="2384">
        <v>49.431517701281201</v>
      </c>
      <c r="D105" s="2384">
        <v>56.900568941216797</v>
      </c>
      <c r="E105" s="2384">
        <v>40.835138997225151</v>
      </c>
      <c r="F105" s="2384">
        <v>48.88631523642276</v>
      </c>
      <c r="G105" s="2385">
        <v>56.613028379829132</v>
      </c>
      <c r="H105" s="2389"/>
      <c r="I105" s="2389"/>
      <c r="J105" s="2389"/>
    </row>
    <row r="106" spans="1:10" s="2319" customFormat="1" ht="19.5" customHeight="1" x14ac:dyDescent="0.25">
      <c r="A106" s="2387">
        <v>44317</v>
      </c>
      <c r="B106" s="2384">
        <v>40.901206552797298</v>
      </c>
      <c r="C106" s="2384">
        <v>49.977445962784302</v>
      </c>
      <c r="D106" s="2384">
        <v>58.2242280445641</v>
      </c>
      <c r="E106" s="2384">
        <v>40.853913669137604</v>
      </c>
      <c r="F106" s="2384">
        <v>49.682558435459569</v>
      </c>
      <c r="G106" s="2385">
        <v>57.620838019660198</v>
      </c>
      <c r="H106" s="2389"/>
      <c r="I106" s="2389"/>
      <c r="J106" s="2389"/>
    </row>
    <row r="107" spans="1:10" s="2319" customFormat="1" ht="19.5" customHeight="1" x14ac:dyDescent="0.25">
      <c r="A107" s="2387">
        <v>44348</v>
      </c>
      <c r="B107" s="2384">
        <v>43.027070648070001</v>
      </c>
      <c r="C107" s="2384">
        <v>51.347501004925199</v>
      </c>
      <c r="D107" s="2384">
        <v>59.708872667479298</v>
      </c>
      <c r="E107" s="2384">
        <v>41.415773790750308</v>
      </c>
      <c r="F107" s="2384">
        <v>49.999477789233509</v>
      </c>
      <c r="G107" s="2385">
        <v>58.220417894889188</v>
      </c>
      <c r="H107" s="2389"/>
      <c r="I107" s="2389"/>
      <c r="J107" s="2389"/>
    </row>
    <row r="108" spans="1:10" s="2319" customFormat="1" ht="19.5" customHeight="1" thickBot="1" x14ac:dyDescent="0.3">
      <c r="A108" s="2390">
        <v>44378</v>
      </c>
      <c r="B108" s="2391">
        <v>42.9559062278109</v>
      </c>
      <c r="C108" s="2391">
        <v>51.215824389474399</v>
      </c>
      <c r="D108" s="2391">
        <v>59.832957204315797</v>
      </c>
      <c r="E108" s="2391">
        <v>43.06015514325059</v>
      </c>
      <c r="F108" s="2391">
        <v>51.056875584969163</v>
      </c>
      <c r="G108" s="2392">
        <v>59.585281413306376</v>
      </c>
      <c r="H108" s="2389"/>
      <c r="I108" s="2389"/>
      <c r="J108" s="2389"/>
    </row>
    <row r="109" spans="1:10" s="2319" customFormat="1" ht="17.25" thickTop="1" x14ac:dyDescent="0.25">
      <c r="A109" s="2393" t="s">
        <v>4524</v>
      </c>
      <c r="B109" s="1965"/>
      <c r="C109" s="1965"/>
      <c r="D109" s="1965"/>
      <c r="E109" s="2394"/>
      <c r="F109" s="2394"/>
      <c r="G109" s="2394"/>
      <c r="H109" s="2389"/>
      <c r="I109" s="2389"/>
      <c r="J109" s="2389"/>
    </row>
    <row r="110" spans="1:10" x14ac:dyDescent="0.25">
      <c r="A110" s="2394" t="s">
        <v>3553</v>
      </c>
      <c r="B110" s="2394"/>
      <c r="C110" s="2394"/>
      <c r="D110" s="2394"/>
      <c r="E110" s="2394"/>
      <c r="F110" s="2394"/>
      <c r="G110" s="2394"/>
    </row>
    <row r="112" spans="1:10" x14ac:dyDescent="0.25">
      <c r="D112" s="2388"/>
      <c r="G112" s="2388"/>
    </row>
    <row r="117" spans="1:8" x14ac:dyDescent="0.25">
      <c r="A117" s="2297"/>
      <c r="H117" s="2395"/>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HS285"/>
  <sheetViews>
    <sheetView showGridLines="0" zoomScaleNormal="100" zoomScaleSheetLayoutView="100" workbookViewId="0">
      <pane xSplit="198" ySplit="4" topLeftCell="GQ5" activePane="bottomRight" state="frozen"/>
      <selection activeCell="A150" sqref="A150"/>
      <selection pane="topRight" activeCell="A150" sqref="A150"/>
      <selection pane="bottomLeft" activeCell="A150" sqref="A150"/>
      <selection pane="bottomRight" activeCell="HX21" sqref="HX21"/>
    </sheetView>
  </sheetViews>
  <sheetFormatPr defaultRowHeight="16.5" x14ac:dyDescent="0.3"/>
  <cols>
    <col min="1" max="1" width="23.7109375" style="2398" customWidth="1"/>
    <col min="2" max="2" width="9.5703125" style="2422" hidden="1" customWidth="1"/>
    <col min="3" max="37" width="9.140625" style="2398" hidden="1" customWidth="1"/>
    <col min="38" max="38" width="9.7109375" style="2398" hidden="1" customWidth="1"/>
    <col min="39" max="39" width="10.140625" style="2398" hidden="1" customWidth="1"/>
    <col min="40" max="41" width="9.28515625" style="2398" hidden="1" customWidth="1"/>
    <col min="42" max="42" width="9.85546875" style="2398" hidden="1" customWidth="1"/>
    <col min="43" max="43" width="9.140625" style="2398" hidden="1" customWidth="1"/>
    <col min="44" max="44" width="7.7109375" style="2398" hidden="1" customWidth="1"/>
    <col min="45" max="45" width="9.85546875" style="2398" hidden="1" customWidth="1"/>
    <col min="46" max="46" width="9.7109375" style="2398" hidden="1" customWidth="1"/>
    <col min="47" max="47" width="9.42578125" style="2398" hidden="1" customWidth="1"/>
    <col min="48" max="48" width="10" style="2398" hidden="1" customWidth="1"/>
    <col min="49" max="49" width="10.28515625" style="2398" hidden="1" customWidth="1"/>
    <col min="50" max="50" width="10" style="2398" hidden="1" customWidth="1"/>
    <col min="51" max="51" width="10.5703125" style="2398" hidden="1" customWidth="1"/>
    <col min="52" max="52" width="9.5703125" style="2398" hidden="1" customWidth="1"/>
    <col min="53" max="53" width="9.42578125" style="2398" hidden="1" customWidth="1"/>
    <col min="54" max="54" width="10.140625" style="2398" hidden="1" customWidth="1"/>
    <col min="55" max="55" width="10" style="2398" hidden="1" customWidth="1"/>
    <col min="56" max="56" width="9.85546875" style="2398" hidden="1" customWidth="1"/>
    <col min="57" max="57" width="10.28515625" style="2398" hidden="1" customWidth="1"/>
    <col min="58" max="58" width="10" style="2398" hidden="1" customWidth="1"/>
    <col min="59" max="59" width="9.42578125" style="2398" hidden="1" customWidth="1"/>
    <col min="60" max="60" width="10" style="2398" hidden="1" customWidth="1"/>
    <col min="61" max="61" width="10.140625" style="2398" hidden="1" customWidth="1"/>
    <col min="62" max="62" width="9.85546875" style="2398" hidden="1" customWidth="1"/>
    <col min="63" max="63" width="10.28515625" style="2398" hidden="1" customWidth="1"/>
    <col min="64" max="65" width="9.42578125" style="2398" hidden="1" customWidth="1"/>
    <col min="66" max="66" width="10" style="2398" hidden="1" customWidth="1"/>
    <col min="67" max="67" width="9.85546875" style="2398" hidden="1" customWidth="1"/>
    <col min="68" max="68" width="9.5703125" style="2398" hidden="1" customWidth="1"/>
    <col min="69" max="69" width="9.85546875" style="2398" hidden="1" customWidth="1"/>
    <col min="70" max="70" width="9.7109375" style="2398" hidden="1" customWidth="1"/>
    <col min="71" max="94" width="9.140625" style="2398" hidden="1" customWidth="1"/>
    <col min="95" max="95" width="6.5703125" style="2398" hidden="1" customWidth="1"/>
    <col min="96" max="106" width="7.42578125" style="2398" hidden="1" customWidth="1"/>
    <col min="107" max="144" width="9.140625" style="2398" hidden="1" customWidth="1"/>
    <col min="145" max="158" width="8.85546875" style="2398" hidden="1" customWidth="1"/>
    <col min="159" max="159" width="9.28515625" style="2398" hidden="1" customWidth="1"/>
    <col min="160" max="164" width="8.85546875" style="2398" hidden="1" customWidth="1"/>
    <col min="165" max="165" width="9.42578125" style="2398" hidden="1" customWidth="1"/>
    <col min="166" max="170" width="8.85546875" style="2398" hidden="1" customWidth="1"/>
    <col min="171" max="171" width="9.28515625" style="2398" hidden="1" customWidth="1"/>
    <col min="172" max="176" width="8.85546875" style="2398" hidden="1" customWidth="1"/>
    <col min="177" max="177" width="9.28515625" style="2398" hidden="1" customWidth="1"/>
    <col min="178" max="178" width="8.85546875" style="2398" hidden="1" customWidth="1"/>
    <col min="179" max="179" width="9.28515625" style="2398" hidden="1" customWidth="1"/>
    <col min="180" max="180" width="8.85546875" style="2398" hidden="1" customWidth="1"/>
    <col min="181" max="181" width="9.28515625" style="2398" hidden="1" customWidth="1"/>
    <col min="182" max="182" width="8.85546875" style="2398" hidden="1" customWidth="1"/>
    <col min="183" max="187" width="9.5703125" style="2398" hidden="1" customWidth="1"/>
    <col min="188" max="188" width="9.28515625" style="2398" hidden="1" customWidth="1"/>
    <col min="189" max="209" width="9.5703125" style="2398" hidden="1" customWidth="1"/>
    <col min="210" max="210" width="10.140625" style="2398" hidden="1" customWidth="1"/>
    <col min="211" max="211" width="10" style="2398" hidden="1" customWidth="1"/>
    <col min="212" max="213" width="9.7109375" style="2398" hidden="1" customWidth="1"/>
    <col min="214" max="214" width="10.28515625" style="2398" hidden="1" customWidth="1"/>
    <col min="215" max="216" width="9.7109375" style="2398" bestFit="1" customWidth="1"/>
    <col min="217" max="217" width="9.7109375" style="2398" customWidth="1"/>
    <col min="218" max="227" width="9.7109375" style="2398" bestFit="1" customWidth="1"/>
    <col min="228" max="266" width="9.140625" style="2398"/>
    <col min="267" max="267" width="28.7109375" style="2398" customWidth="1"/>
    <col min="268" max="469" width="0" style="2398" hidden="1" customWidth="1"/>
    <col min="470" max="475" width="9.5703125" style="2398" customWidth="1"/>
    <col min="476" max="476" width="10.140625" style="2398" bestFit="1" customWidth="1"/>
    <col min="477" max="477" width="10" style="2398" bestFit="1" customWidth="1"/>
    <col min="478" max="479" width="9.7109375" style="2398" bestFit="1" customWidth="1"/>
    <col min="480" max="480" width="10.28515625" style="2398" bestFit="1" customWidth="1"/>
    <col min="481" max="481" width="9.7109375" style="2398" bestFit="1" customWidth="1"/>
    <col min="482" max="482" width="10" style="2398" bestFit="1" customWidth="1"/>
    <col min="483" max="522" width="9.140625" style="2398"/>
    <col min="523" max="523" width="28.7109375" style="2398" customWidth="1"/>
    <col min="524" max="725" width="0" style="2398" hidden="1" customWidth="1"/>
    <col min="726" max="731" width="9.5703125" style="2398" customWidth="1"/>
    <col min="732" max="732" width="10.140625" style="2398" bestFit="1" customWidth="1"/>
    <col min="733" max="733" width="10" style="2398" bestFit="1" customWidth="1"/>
    <col min="734" max="735" width="9.7109375" style="2398" bestFit="1" customWidth="1"/>
    <col min="736" max="736" width="10.28515625" style="2398" bestFit="1" customWidth="1"/>
    <col min="737" max="737" width="9.7109375" style="2398" bestFit="1" customWidth="1"/>
    <col min="738" max="738" width="10" style="2398" bestFit="1" customWidth="1"/>
    <col min="739" max="778" width="9.140625" style="2398"/>
    <col min="779" max="779" width="28.7109375" style="2398" customWidth="1"/>
    <col min="780" max="981" width="0" style="2398" hidden="1" customWidth="1"/>
    <col min="982" max="987" width="9.5703125" style="2398" customWidth="1"/>
    <col min="988" max="988" width="10.140625" style="2398" bestFit="1" customWidth="1"/>
    <col min="989" max="989" width="10" style="2398" bestFit="1" customWidth="1"/>
    <col min="990" max="991" width="9.7109375" style="2398" bestFit="1" customWidth="1"/>
    <col min="992" max="992" width="10.28515625" style="2398" bestFit="1" customWidth="1"/>
    <col min="993" max="993" width="9.7109375" style="2398" bestFit="1" customWidth="1"/>
    <col min="994" max="994" width="10" style="2398" bestFit="1" customWidth="1"/>
    <col min="995" max="1034" width="9.140625" style="2398"/>
    <col min="1035" max="1035" width="28.7109375" style="2398" customWidth="1"/>
    <col min="1036" max="1237" width="0" style="2398" hidden="1" customWidth="1"/>
    <col min="1238" max="1243" width="9.5703125" style="2398" customWidth="1"/>
    <col min="1244" max="1244" width="10.140625" style="2398" bestFit="1" customWidth="1"/>
    <col min="1245" max="1245" width="10" style="2398" bestFit="1" customWidth="1"/>
    <col min="1246" max="1247" width="9.7109375" style="2398" bestFit="1" customWidth="1"/>
    <col min="1248" max="1248" width="10.28515625" style="2398" bestFit="1" customWidth="1"/>
    <col min="1249" max="1249" width="9.7109375" style="2398" bestFit="1" customWidth="1"/>
    <col min="1250" max="1250" width="10" style="2398" bestFit="1" customWidth="1"/>
    <col min="1251" max="1290" width="9.140625" style="2398"/>
    <col min="1291" max="1291" width="28.7109375" style="2398" customWidth="1"/>
    <col min="1292" max="1493" width="0" style="2398" hidden="1" customWidth="1"/>
    <col min="1494" max="1499" width="9.5703125" style="2398" customWidth="1"/>
    <col min="1500" max="1500" width="10.140625" style="2398" bestFit="1" customWidth="1"/>
    <col min="1501" max="1501" width="10" style="2398" bestFit="1" customWidth="1"/>
    <col min="1502" max="1503" width="9.7109375" style="2398" bestFit="1" customWidth="1"/>
    <col min="1504" max="1504" width="10.28515625" style="2398" bestFit="1" customWidth="1"/>
    <col min="1505" max="1505" width="9.7109375" style="2398" bestFit="1" customWidth="1"/>
    <col min="1506" max="1506" width="10" style="2398" bestFit="1" customWidth="1"/>
    <col min="1507" max="1546" width="9.140625" style="2398"/>
    <col min="1547" max="1547" width="28.7109375" style="2398" customWidth="1"/>
    <col min="1548" max="1749" width="0" style="2398" hidden="1" customWidth="1"/>
    <col min="1750" max="1755" width="9.5703125" style="2398" customWidth="1"/>
    <col min="1756" max="1756" width="10.140625" style="2398" bestFit="1" customWidth="1"/>
    <col min="1757" max="1757" width="10" style="2398" bestFit="1" customWidth="1"/>
    <col min="1758" max="1759" width="9.7109375" style="2398" bestFit="1" customWidth="1"/>
    <col min="1760" max="1760" width="10.28515625" style="2398" bestFit="1" customWidth="1"/>
    <col min="1761" max="1761" width="9.7109375" style="2398" bestFit="1" customWidth="1"/>
    <col min="1762" max="1762" width="10" style="2398" bestFit="1" customWidth="1"/>
    <col min="1763" max="1802" width="9.140625" style="2398"/>
    <col min="1803" max="1803" width="28.7109375" style="2398" customWidth="1"/>
    <col min="1804" max="2005" width="0" style="2398" hidden="1" customWidth="1"/>
    <col min="2006" max="2011" width="9.5703125" style="2398" customWidth="1"/>
    <col min="2012" max="2012" width="10.140625" style="2398" bestFit="1" customWidth="1"/>
    <col min="2013" max="2013" width="10" style="2398" bestFit="1" customWidth="1"/>
    <col min="2014" max="2015" width="9.7109375" style="2398" bestFit="1" customWidth="1"/>
    <col min="2016" max="2016" width="10.28515625" style="2398" bestFit="1" customWidth="1"/>
    <col min="2017" max="2017" width="9.7109375" style="2398" bestFit="1" customWidth="1"/>
    <col min="2018" max="2018" width="10" style="2398" bestFit="1" customWidth="1"/>
    <col min="2019" max="2058" width="9.140625" style="2398"/>
    <col min="2059" max="2059" width="28.7109375" style="2398" customWidth="1"/>
    <col min="2060" max="2261" width="0" style="2398" hidden="1" customWidth="1"/>
    <col min="2262" max="2267" width="9.5703125" style="2398" customWidth="1"/>
    <col min="2268" max="2268" width="10.140625" style="2398" bestFit="1" customWidth="1"/>
    <col min="2269" max="2269" width="10" style="2398" bestFit="1" customWidth="1"/>
    <col min="2270" max="2271" width="9.7109375" style="2398" bestFit="1" customWidth="1"/>
    <col min="2272" max="2272" width="10.28515625" style="2398" bestFit="1" customWidth="1"/>
    <col min="2273" max="2273" width="9.7109375" style="2398" bestFit="1" customWidth="1"/>
    <col min="2274" max="2274" width="10" style="2398" bestFit="1" customWidth="1"/>
    <col min="2275" max="2314" width="9.140625" style="2398"/>
    <col min="2315" max="2315" width="28.7109375" style="2398" customWidth="1"/>
    <col min="2316" max="2517" width="0" style="2398" hidden="1" customWidth="1"/>
    <col min="2518" max="2523" width="9.5703125" style="2398" customWidth="1"/>
    <col min="2524" max="2524" width="10.140625" style="2398" bestFit="1" customWidth="1"/>
    <col min="2525" max="2525" width="10" style="2398" bestFit="1" customWidth="1"/>
    <col min="2526" max="2527" width="9.7109375" style="2398" bestFit="1" customWidth="1"/>
    <col min="2528" max="2528" width="10.28515625" style="2398" bestFit="1" customWidth="1"/>
    <col min="2529" max="2529" width="9.7109375" style="2398" bestFit="1" customWidth="1"/>
    <col min="2530" max="2530" width="10" style="2398" bestFit="1" customWidth="1"/>
    <col min="2531" max="2570" width="9.140625" style="2398"/>
    <col min="2571" max="2571" width="28.7109375" style="2398" customWidth="1"/>
    <col min="2572" max="2773" width="0" style="2398" hidden="1" customWidth="1"/>
    <col min="2774" max="2779" width="9.5703125" style="2398" customWidth="1"/>
    <col min="2780" max="2780" width="10.140625" style="2398" bestFit="1" customWidth="1"/>
    <col min="2781" max="2781" width="10" style="2398" bestFit="1" customWidth="1"/>
    <col min="2782" max="2783" width="9.7109375" style="2398" bestFit="1" customWidth="1"/>
    <col min="2784" max="2784" width="10.28515625" style="2398" bestFit="1" customWidth="1"/>
    <col min="2785" max="2785" width="9.7109375" style="2398" bestFit="1" customWidth="1"/>
    <col min="2786" max="2786" width="10" style="2398" bestFit="1" customWidth="1"/>
    <col min="2787" max="2826" width="9.140625" style="2398"/>
    <col min="2827" max="2827" width="28.7109375" style="2398" customWidth="1"/>
    <col min="2828" max="3029" width="0" style="2398" hidden="1" customWidth="1"/>
    <col min="3030" max="3035" width="9.5703125" style="2398" customWidth="1"/>
    <col min="3036" max="3036" width="10.140625" style="2398" bestFit="1" customWidth="1"/>
    <col min="3037" max="3037" width="10" style="2398" bestFit="1" customWidth="1"/>
    <col min="3038" max="3039" width="9.7109375" style="2398" bestFit="1" customWidth="1"/>
    <col min="3040" max="3040" width="10.28515625" style="2398" bestFit="1" customWidth="1"/>
    <col min="3041" max="3041" width="9.7109375" style="2398" bestFit="1" customWidth="1"/>
    <col min="3042" max="3042" width="10" style="2398" bestFit="1" customWidth="1"/>
    <col min="3043" max="3082" width="9.140625" style="2398"/>
    <col min="3083" max="3083" width="28.7109375" style="2398" customWidth="1"/>
    <col min="3084" max="3285" width="0" style="2398" hidden="1" customWidth="1"/>
    <col min="3286" max="3291" width="9.5703125" style="2398" customWidth="1"/>
    <col min="3292" max="3292" width="10.140625" style="2398" bestFit="1" customWidth="1"/>
    <col min="3293" max="3293" width="10" style="2398" bestFit="1" customWidth="1"/>
    <col min="3294" max="3295" width="9.7109375" style="2398" bestFit="1" customWidth="1"/>
    <col min="3296" max="3296" width="10.28515625" style="2398" bestFit="1" customWidth="1"/>
    <col min="3297" max="3297" width="9.7109375" style="2398" bestFit="1" customWidth="1"/>
    <col min="3298" max="3298" width="10" style="2398" bestFit="1" customWidth="1"/>
    <col min="3299" max="3338" width="9.140625" style="2398"/>
    <col min="3339" max="3339" width="28.7109375" style="2398" customWidth="1"/>
    <col min="3340" max="3541" width="0" style="2398" hidden="1" customWidth="1"/>
    <col min="3542" max="3547" width="9.5703125" style="2398" customWidth="1"/>
    <col min="3548" max="3548" width="10.140625" style="2398" bestFit="1" customWidth="1"/>
    <col min="3549" max="3549" width="10" style="2398" bestFit="1" customWidth="1"/>
    <col min="3550" max="3551" width="9.7109375" style="2398" bestFit="1" customWidth="1"/>
    <col min="3552" max="3552" width="10.28515625" style="2398" bestFit="1" customWidth="1"/>
    <col min="3553" max="3553" width="9.7109375" style="2398" bestFit="1" customWidth="1"/>
    <col min="3554" max="3554" width="10" style="2398" bestFit="1" customWidth="1"/>
    <col min="3555" max="3594" width="9.140625" style="2398"/>
    <col min="3595" max="3595" width="28.7109375" style="2398" customWidth="1"/>
    <col min="3596" max="3797" width="0" style="2398" hidden="1" customWidth="1"/>
    <col min="3798" max="3803" width="9.5703125" style="2398" customWidth="1"/>
    <col min="3804" max="3804" width="10.140625" style="2398" bestFit="1" customWidth="1"/>
    <col min="3805" max="3805" width="10" style="2398" bestFit="1" customWidth="1"/>
    <col min="3806" max="3807" width="9.7109375" style="2398" bestFit="1" customWidth="1"/>
    <col min="3808" max="3808" width="10.28515625" style="2398" bestFit="1" customWidth="1"/>
    <col min="3809" max="3809" width="9.7109375" style="2398" bestFit="1" customWidth="1"/>
    <col min="3810" max="3810" width="10" style="2398" bestFit="1" customWidth="1"/>
    <col min="3811" max="3850" width="9.140625" style="2398"/>
    <col min="3851" max="3851" width="28.7109375" style="2398" customWidth="1"/>
    <col min="3852" max="4053" width="0" style="2398" hidden="1" customWidth="1"/>
    <col min="4054" max="4059" width="9.5703125" style="2398" customWidth="1"/>
    <col min="4060" max="4060" width="10.140625" style="2398" bestFit="1" customWidth="1"/>
    <col min="4061" max="4061" width="10" style="2398" bestFit="1" customWidth="1"/>
    <col min="4062" max="4063" width="9.7109375" style="2398" bestFit="1" customWidth="1"/>
    <col min="4064" max="4064" width="10.28515625" style="2398" bestFit="1" customWidth="1"/>
    <col min="4065" max="4065" width="9.7109375" style="2398" bestFit="1" customWidth="1"/>
    <col min="4066" max="4066" width="10" style="2398" bestFit="1" customWidth="1"/>
    <col min="4067" max="4106" width="9.140625" style="2398"/>
    <col min="4107" max="4107" width="28.7109375" style="2398" customWidth="1"/>
    <col min="4108" max="4309" width="0" style="2398" hidden="1" customWidth="1"/>
    <col min="4310" max="4315" width="9.5703125" style="2398" customWidth="1"/>
    <col min="4316" max="4316" width="10.140625" style="2398" bestFit="1" customWidth="1"/>
    <col min="4317" max="4317" width="10" style="2398" bestFit="1" customWidth="1"/>
    <col min="4318" max="4319" width="9.7109375" style="2398" bestFit="1" customWidth="1"/>
    <col min="4320" max="4320" width="10.28515625" style="2398" bestFit="1" customWidth="1"/>
    <col min="4321" max="4321" width="9.7109375" style="2398" bestFit="1" customWidth="1"/>
    <col min="4322" max="4322" width="10" style="2398" bestFit="1" customWidth="1"/>
    <col min="4323" max="4362" width="9.140625" style="2398"/>
    <col min="4363" max="4363" width="28.7109375" style="2398" customWidth="1"/>
    <col min="4364" max="4565" width="0" style="2398" hidden="1" customWidth="1"/>
    <col min="4566" max="4571" width="9.5703125" style="2398" customWidth="1"/>
    <col min="4572" max="4572" width="10.140625" style="2398" bestFit="1" customWidth="1"/>
    <col min="4573" max="4573" width="10" style="2398" bestFit="1" customWidth="1"/>
    <col min="4574" max="4575" width="9.7109375" style="2398" bestFit="1" customWidth="1"/>
    <col min="4576" max="4576" width="10.28515625" style="2398" bestFit="1" customWidth="1"/>
    <col min="4577" max="4577" width="9.7109375" style="2398" bestFit="1" customWidth="1"/>
    <col min="4578" max="4578" width="10" style="2398" bestFit="1" customWidth="1"/>
    <col min="4579" max="4618" width="9.140625" style="2398"/>
    <col min="4619" max="4619" width="28.7109375" style="2398" customWidth="1"/>
    <col min="4620" max="4821" width="0" style="2398" hidden="1" customWidth="1"/>
    <col min="4822" max="4827" width="9.5703125" style="2398" customWidth="1"/>
    <col min="4828" max="4828" width="10.140625" style="2398" bestFit="1" customWidth="1"/>
    <col min="4829" max="4829" width="10" style="2398" bestFit="1" customWidth="1"/>
    <col min="4830" max="4831" width="9.7109375" style="2398" bestFit="1" customWidth="1"/>
    <col min="4832" max="4832" width="10.28515625" style="2398" bestFit="1" customWidth="1"/>
    <col min="4833" max="4833" width="9.7109375" style="2398" bestFit="1" customWidth="1"/>
    <col min="4834" max="4834" width="10" style="2398" bestFit="1" customWidth="1"/>
    <col min="4835" max="4874" width="9.140625" style="2398"/>
    <col min="4875" max="4875" width="28.7109375" style="2398" customWidth="1"/>
    <col min="4876" max="5077" width="0" style="2398" hidden="1" customWidth="1"/>
    <col min="5078" max="5083" width="9.5703125" style="2398" customWidth="1"/>
    <col min="5084" max="5084" width="10.140625" style="2398" bestFit="1" customWidth="1"/>
    <col min="5085" max="5085" width="10" style="2398" bestFit="1" customWidth="1"/>
    <col min="5086" max="5087" width="9.7109375" style="2398" bestFit="1" customWidth="1"/>
    <col min="5088" max="5088" width="10.28515625" style="2398" bestFit="1" customWidth="1"/>
    <col min="5089" max="5089" width="9.7109375" style="2398" bestFit="1" customWidth="1"/>
    <col min="5090" max="5090" width="10" style="2398" bestFit="1" customWidth="1"/>
    <col min="5091" max="5130" width="9.140625" style="2398"/>
    <col min="5131" max="5131" width="28.7109375" style="2398" customWidth="1"/>
    <col min="5132" max="5333" width="0" style="2398" hidden="1" customWidth="1"/>
    <col min="5334" max="5339" width="9.5703125" style="2398" customWidth="1"/>
    <col min="5340" max="5340" width="10.140625" style="2398" bestFit="1" customWidth="1"/>
    <col min="5341" max="5341" width="10" style="2398" bestFit="1" customWidth="1"/>
    <col min="5342" max="5343" width="9.7109375" style="2398" bestFit="1" customWidth="1"/>
    <col min="5344" max="5344" width="10.28515625" style="2398" bestFit="1" customWidth="1"/>
    <col min="5345" max="5345" width="9.7109375" style="2398" bestFit="1" customWidth="1"/>
    <col min="5346" max="5346" width="10" style="2398" bestFit="1" customWidth="1"/>
    <col min="5347" max="5386" width="9.140625" style="2398"/>
    <col min="5387" max="5387" width="28.7109375" style="2398" customWidth="1"/>
    <col min="5388" max="5589" width="0" style="2398" hidden="1" customWidth="1"/>
    <col min="5590" max="5595" width="9.5703125" style="2398" customWidth="1"/>
    <col min="5596" max="5596" width="10.140625" style="2398" bestFit="1" customWidth="1"/>
    <col min="5597" max="5597" width="10" style="2398" bestFit="1" customWidth="1"/>
    <col min="5598" max="5599" width="9.7109375" style="2398" bestFit="1" customWidth="1"/>
    <col min="5600" max="5600" width="10.28515625" style="2398" bestFit="1" customWidth="1"/>
    <col min="5601" max="5601" width="9.7109375" style="2398" bestFit="1" customWidth="1"/>
    <col min="5602" max="5602" width="10" style="2398" bestFit="1" customWidth="1"/>
    <col min="5603" max="5642" width="9.140625" style="2398"/>
    <col min="5643" max="5643" width="28.7109375" style="2398" customWidth="1"/>
    <col min="5644" max="5845" width="0" style="2398" hidden="1" customWidth="1"/>
    <col min="5846" max="5851" width="9.5703125" style="2398" customWidth="1"/>
    <col min="5852" max="5852" width="10.140625" style="2398" bestFit="1" customWidth="1"/>
    <col min="5853" max="5853" width="10" style="2398" bestFit="1" customWidth="1"/>
    <col min="5854" max="5855" width="9.7109375" style="2398" bestFit="1" customWidth="1"/>
    <col min="5856" max="5856" width="10.28515625" style="2398" bestFit="1" customWidth="1"/>
    <col min="5857" max="5857" width="9.7109375" style="2398" bestFit="1" customWidth="1"/>
    <col min="5858" max="5858" width="10" style="2398" bestFit="1" customWidth="1"/>
    <col min="5859" max="5898" width="9.140625" style="2398"/>
    <col min="5899" max="5899" width="28.7109375" style="2398" customWidth="1"/>
    <col min="5900" max="6101" width="0" style="2398" hidden="1" customWidth="1"/>
    <col min="6102" max="6107" width="9.5703125" style="2398" customWidth="1"/>
    <col min="6108" max="6108" width="10.140625" style="2398" bestFit="1" customWidth="1"/>
    <col min="6109" max="6109" width="10" style="2398" bestFit="1" customWidth="1"/>
    <col min="6110" max="6111" width="9.7109375" style="2398" bestFit="1" customWidth="1"/>
    <col min="6112" max="6112" width="10.28515625" style="2398" bestFit="1" customWidth="1"/>
    <col min="6113" max="6113" width="9.7109375" style="2398" bestFit="1" customWidth="1"/>
    <col min="6114" max="6114" width="10" style="2398" bestFit="1" customWidth="1"/>
    <col min="6115" max="6154" width="9.140625" style="2398"/>
    <col min="6155" max="6155" width="28.7109375" style="2398" customWidth="1"/>
    <col min="6156" max="6357" width="0" style="2398" hidden="1" customWidth="1"/>
    <col min="6358" max="6363" width="9.5703125" style="2398" customWidth="1"/>
    <col min="6364" max="6364" width="10.140625" style="2398" bestFit="1" customWidth="1"/>
    <col min="6365" max="6365" width="10" style="2398" bestFit="1" customWidth="1"/>
    <col min="6366" max="6367" width="9.7109375" style="2398" bestFit="1" customWidth="1"/>
    <col min="6368" max="6368" width="10.28515625" style="2398" bestFit="1" customWidth="1"/>
    <col min="6369" max="6369" width="9.7109375" style="2398" bestFit="1" customWidth="1"/>
    <col min="6370" max="6370" width="10" style="2398" bestFit="1" customWidth="1"/>
    <col min="6371" max="6410" width="9.140625" style="2398"/>
    <col min="6411" max="6411" width="28.7109375" style="2398" customWidth="1"/>
    <col min="6412" max="6613" width="0" style="2398" hidden="1" customWidth="1"/>
    <col min="6614" max="6619" width="9.5703125" style="2398" customWidth="1"/>
    <col min="6620" max="6620" width="10.140625" style="2398" bestFit="1" customWidth="1"/>
    <col min="6621" max="6621" width="10" style="2398" bestFit="1" customWidth="1"/>
    <col min="6622" max="6623" width="9.7109375" style="2398" bestFit="1" customWidth="1"/>
    <col min="6624" max="6624" width="10.28515625" style="2398" bestFit="1" customWidth="1"/>
    <col min="6625" max="6625" width="9.7109375" style="2398" bestFit="1" customWidth="1"/>
    <col min="6626" max="6626" width="10" style="2398" bestFit="1" customWidth="1"/>
    <col min="6627" max="6666" width="9.140625" style="2398"/>
    <col min="6667" max="6667" width="28.7109375" style="2398" customWidth="1"/>
    <col min="6668" max="6869" width="0" style="2398" hidden="1" customWidth="1"/>
    <col min="6870" max="6875" width="9.5703125" style="2398" customWidth="1"/>
    <col min="6876" max="6876" width="10.140625" style="2398" bestFit="1" customWidth="1"/>
    <col min="6877" max="6877" width="10" style="2398" bestFit="1" customWidth="1"/>
    <col min="6878" max="6879" width="9.7109375" style="2398" bestFit="1" customWidth="1"/>
    <col min="6880" max="6880" width="10.28515625" style="2398" bestFit="1" customWidth="1"/>
    <col min="6881" max="6881" width="9.7109375" style="2398" bestFit="1" customWidth="1"/>
    <col min="6882" max="6882" width="10" style="2398" bestFit="1" customWidth="1"/>
    <col min="6883" max="6922" width="9.140625" style="2398"/>
    <col min="6923" max="6923" width="28.7109375" style="2398" customWidth="1"/>
    <col min="6924" max="7125" width="0" style="2398" hidden="1" customWidth="1"/>
    <col min="7126" max="7131" width="9.5703125" style="2398" customWidth="1"/>
    <col min="7132" max="7132" width="10.140625" style="2398" bestFit="1" customWidth="1"/>
    <col min="7133" max="7133" width="10" style="2398" bestFit="1" customWidth="1"/>
    <col min="7134" max="7135" width="9.7109375" style="2398" bestFit="1" customWidth="1"/>
    <col min="7136" max="7136" width="10.28515625" style="2398" bestFit="1" customWidth="1"/>
    <col min="7137" max="7137" width="9.7109375" style="2398" bestFit="1" customWidth="1"/>
    <col min="7138" max="7138" width="10" style="2398" bestFit="1" customWidth="1"/>
    <col min="7139" max="7178" width="9.140625" style="2398"/>
    <col min="7179" max="7179" width="28.7109375" style="2398" customWidth="1"/>
    <col min="7180" max="7381" width="0" style="2398" hidden="1" customWidth="1"/>
    <col min="7382" max="7387" width="9.5703125" style="2398" customWidth="1"/>
    <col min="7388" max="7388" width="10.140625" style="2398" bestFit="1" customWidth="1"/>
    <col min="7389" max="7389" width="10" style="2398" bestFit="1" customWidth="1"/>
    <col min="7390" max="7391" width="9.7109375" style="2398" bestFit="1" customWidth="1"/>
    <col min="7392" max="7392" width="10.28515625" style="2398" bestFit="1" customWidth="1"/>
    <col min="7393" max="7393" width="9.7109375" style="2398" bestFit="1" customWidth="1"/>
    <col min="7394" max="7394" width="10" style="2398" bestFit="1" customWidth="1"/>
    <col min="7395" max="7434" width="9.140625" style="2398"/>
    <col min="7435" max="7435" width="28.7109375" style="2398" customWidth="1"/>
    <col min="7436" max="7637" width="0" style="2398" hidden="1" customWidth="1"/>
    <col min="7638" max="7643" width="9.5703125" style="2398" customWidth="1"/>
    <col min="7644" max="7644" width="10.140625" style="2398" bestFit="1" customWidth="1"/>
    <col min="7645" max="7645" width="10" style="2398" bestFit="1" customWidth="1"/>
    <col min="7646" max="7647" width="9.7109375" style="2398" bestFit="1" customWidth="1"/>
    <col min="7648" max="7648" width="10.28515625" style="2398" bestFit="1" customWidth="1"/>
    <col min="7649" max="7649" width="9.7109375" style="2398" bestFit="1" customWidth="1"/>
    <col min="7650" max="7650" width="10" style="2398" bestFit="1" customWidth="1"/>
    <col min="7651" max="7690" width="9.140625" style="2398"/>
    <col min="7691" max="7691" width="28.7109375" style="2398" customWidth="1"/>
    <col min="7692" max="7893" width="0" style="2398" hidden="1" customWidth="1"/>
    <col min="7894" max="7899" width="9.5703125" style="2398" customWidth="1"/>
    <col min="7900" max="7900" width="10.140625" style="2398" bestFit="1" customWidth="1"/>
    <col min="7901" max="7901" width="10" style="2398" bestFit="1" customWidth="1"/>
    <col min="7902" max="7903" width="9.7109375" style="2398" bestFit="1" customWidth="1"/>
    <col min="7904" max="7904" width="10.28515625" style="2398" bestFit="1" customWidth="1"/>
    <col min="7905" max="7905" width="9.7109375" style="2398" bestFit="1" customWidth="1"/>
    <col min="7906" max="7906" width="10" style="2398" bestFit="1" customWidth="1"/>
    <col min="7907" max="7946" width="9.140625" style="2398"/>
    <col min="7947" max="7947" width="28.7109375" style="2398" customWidth="1"/>
    <col min="7948" max="8149" width="0" style="2398" hidden="1" customWidth="1"/>
    <col min="8150" max="8155" width="9.5703125" style="2398" customWidth="1"/>
    <col min="8156" max="8156" width="10.140625" style="2398" bestFit="1" customWidth="1"/>
    <col min="8157" max="8157" width="10" style="2398" bestFit="1" customWidth="1"/>
    <col min="8158" max="8159" width="9.7109375" style="2398" bestFit="1" customWidth="1"/>
    <col min="8160" max="8160" width="10.28515625" style="2398" bestFit="1" customWidth="1"/>
    <col min="8161" max="8161" width="9.7109375" style="2398" bestFit="1" customWidth="1"/>
    <col min="8162" max="8162" width="10" style="2398" bestFit="1" customWidth="1"/>
    <col min="8163" max="8202" width="9.140625" style="2398"/>
    <col min="8203" max="8203" width="28.7109375" style="2398" customWidth="1"/>
    <col min="8204" max="8405" width="0" style="2398" hidden="1" customWidth="1"/>
    <col min="8406" max="8411" width="9.5703125" style="2398" customWidth="1"/>
    <col min="8412" max="8412" width="10.140625" style="2398" bestFit="1" customWidth="1"/>
    <col min="8413" max="8413" width="10" style="2398" bestFit="1" customWidth="1"/>
    <col min="8414" max="8415" width="9.7109375" style="2398" bestFit="1" customWidth="1"/>
    <col min="8416" max="8416" width="10.28515625" style="2398" bestFit="1" customWidth="1"/>
    <col min="8417" max="8417" width="9.7109375" style="2398" bestFit="1" customWidth="1"/>
    <col min="8418" max="8418" width="10" style="2398" bestFit="1" customWidth="1"/>
    <col min="8419" max="8458" width="9.140625" style="2398"/>
    <col min="8459" max="8459" width="28.7109375" style="2398" customWidth="1"/>
    <col min="8460" max="8661" width="0" style="2398" hidden="1" customWidth="1"/>
    <col min="8662" max="8667" width="9.5703125" style="2398" customWidth="1"/>
    <col min="8668" max="8668" width="10.140625" style="2398" bestFit="1" customWidth="1"/>
    <col min="8669" max="8669" width="10" style="2398" bestFit="1" customWidth="1"/>
    <col min="8670" max="8671" width="9.7109375" style="2398" bestFit="1" customWidth="1"/>
    <col min="8672" max="8672" width="10.28515625" style="2398" bestFit="1" customWidth="1"/>
    <col min="8673" max="8673" width="9.7109375" style="2398" bestFit="1" customWidth="1"/>
    <col min="8674" max="8674" width="10" style="2398" bestFit="1" customWidth="1"/>
    <col min="8675" max="8714" width="9.140625" style="2398"/>
    <col min="8715" max="8715" width="28.7109375" style="2398" customWidth="1"/>
    <col min="8716" max="8917" width="0" style="2398" hidden="1" customWidth="1"/>
    <col min="8918" max="8923" width="9.5703125" style="2398" customWidth="1"/>
    <col min="8924" max="8924" width="10.140625" style="2398" bestFit="1" customWidth="1"/>
    <col min="8925" max="8925" width="10" style="2398" bestFit="1" customWidth="1"/>
    <col min="8926" max="8927" width="9.7109375" style="2398" bestFit="1" customWidth="1"/>
    <col min="8928" max="8928" width="10.28515625" style="2398" bestFit="1" customWidth="1"/>
    <col min="8929" max="8929" width="9.7109375" style="2398" bestFit="1" customWidth="1"/>
    <col min="8930" max="8930" width="10" style="2398" bestFit="1" customWidth="1"/>
    <col min="8931" max="8970" width="9.140625" style="2398"/>
    <col min="8971" max="8971" width="28.7109375" style="2398" customWidth="1"/>
    <col min="8972" max="9173" width="0" style="2398" hidden="1" customWidth="1"/>
    <col min="9174" max="9179" width="9.5703125" style="2398" customWidth="1"/>
    <col min="9180" max="9180" width="10.140625" style="2398" bestFit="1" customWidth="1"/>
    <col min="9181" max="9181" width="10" style="2398" bestFit="1" customWidth="1"/>
    <col min="9182" max="9183" width="9.7109375" style="2398" bestFit="1" customWidth="1"/>
    <col min="9184" max="9184" width="10.28515625" style="2398" bestFit="1" customWidth="1"/>
    <col min="9185" max="9185" width="9.7109375" style="2398" bestFit="1" customWidth="1"/>
    <col min="9186" max="9186" width="10" style="2398" bestFit="1" customWidth="1"/>
    <col min="9187" max="9226" width="9.140625" style="2398"/>
    <col min="9227" max="9227" width="28.7109375" style="2398" customWidth="1"/>
    <col min="9228" max="9429" width="0" style="2398" hidden="1" customWidth="1"/>
    <col min="9430" max="9435" width="9.5703125" style="2398" customWidth="1"/>
    <col min="9436" max="9436" width="10.140625" style="2398" bestFit="1" customWidth="1"/>
    <col min="9437" max="9437" width="10" style="2398" bestFit="1" customWidth="1"/>
    <col min="9438" max="9439" width="9.7109375" style="2398" bestFit="1" customWidth="1"/>
    <col min="9440" max="9440" width="10.28515625" style="2398" bestFit="1" customWidth="1"/>
    <col min="9441" max="9441" width="9.7109375" style="2398" bestFit="1" customWidth="1"/>
    <col min="9442" max="9442" width="10" style="2398" bestFit="1" customWidth="1"/>
    <col min="9443" max="9482" width="9.140625" style="2398"/>
    <col min="9483" max="9483" width="28.7109375" style="2398" customWidth="1"/>
    <col min="9484" max="9685" width="0" style="2398" hidden="1" customWidth="1"/>
    <col min="9686" max="9691" width="9.5703125" style="2398" customWidth="1"/>
    <col min="9692" max="9692" width="10.140625" style="2398" bestFit="1" customWidth="1"/>
    <col min="9693" max="9693" width="10" style="2398" bestFit="1" customWidth="1"/>
    <col min="9694" max="9695" width="9.7109375" style="2398" bestFit="1" customWidth="1"/>
    <col min="9696" max="9696" width="10.28515625" style="2398" bestFit="1" customWidth="1"/>
    <col min="9697" max="9697" width="9.7109375" style="2398" bestFit="1" customWidth="1"/>
    <col min="9698" max="9698" width="10" style="2398" bestFit="1" customWidth="1"/>
    <col min="9699" max="9738" width="9.140625" style="2398"/>
    <col min="9739" max="9739" width="28.7109375" style="2398" customWidth="1"/>
    <col min="9740" max="9941" width="0" style="2398" hidden="1" customWidth="1"/>
    <col min="9942" max="9947" width="9.5703125" style="2398" customWidth="1"/>
    <col min="9948" max="9948" width="10.140625" style="2398" bestFit="1" customWidth="1"/>
    <col min="9949" max="9949" width="10" style="2398" bestFit="1" customWidth="1"/>
    <col min="9950" max="9951" width="9.7109375" style="2398" bestFit="1" customWidth="1"/>
    <col min="9952" max="9952" width="10.28515625" style="2398" bestFit="1" customWidth="1"/>
    <col min="9953" max="9953" width="9.7109375" style="2398" bestFit="1" customWidth="1"/>
    <col min="9954" max="9954" width="10" style="2398" bestFit="1" customWidth="1"/>
    <col min="9955" max="9994" width="9.140625" style="2398"/>
    <col min="9995" max="9995" width="28.7109375" style="2398" customWidth="1"/>
    <col min="9996" max="10197" width="0" style="2398" hidden="1" customWidth="1"/>
    <col min="10198" max="10203" width="9.5703125" style="2398" customWidth="1"/>
    <col min="10204" max="10204" width="10.140625" style="2398" bestFit="1" customWidth="1"/>
    <col min="10205" max="10205" width="10" style="2398" bestFit="1" customWidth="1"/>
    <col min="10206" max="10207" width="9.7109375" style="2398" bestFit="1" customWidth="1"/>
    <col min="10208" max="10208" width="10.28515625" style="2398" bestFit="1" customWidth="1"/>
    <col min="10209" max="10209" width="9.7109375" style="2398" bestFit="1" customWidth="1"/>
    <col min="10210" max="10210" width="10" style="2398" bestFit="1" customWidth="1"/>
    <col min="10211" max="10250" width="9.140625" style="2398"/>
    <col min="10251" max="10251" width="28.7109375" style="2398" customWidth="1"/>
    <col min="10252" max="10453" width="0" style="2398" hidden="1" customWidth="1"/>
    <col min="10454" max="10459" width="9.5703125" style="2398" customWidth="1"/>
    <col min="10460" max="10460" width="10.140625" style="2398" bestFit="1" customWidth="1"/>
    <col min="10461" max="10461" width="10" style="2398" bestFit="1" customWidth="1"/>
    <col min="10462" max="10463" width="9.7109375" style="2398" bestFit="1" customWidth="1"/>
    <col min="10464" max="10464" width="10.28515625" style="2398" bestFit="1" customWidth="1"/>
    <col min="10465" max="10465" width="9.7109375" style="2398" bestFit="1" customWidth="1"/>
    <col min="10466" max="10466" width="10" style="2398" bestFit="1" customWidth="1"/>
    <col min="10467" max="10506" width="9.140625" style="2398"/>
    <col min="10507" max="10507" width="28.7109375" style="2398" customWidth="1"/>
    <col min="10508" max="10709" width="0" style="2398" hidden="1" customWidth="1"/>
    <col min="10710" max="10715" width="9.5703125" style="2398" customWidth="1"/>
    <col min="10716" max="10716" width="10.140625" style="2398" bestFit="1" customWidth="1"/>
    <col min="10717" max="10717" width="10" style="2398" bestFit="1" customWidth="1"/>
    <col min="10718" max="10719" width="9.7109375" style="2398" bestFit="1" customWidth="1"/>
    <col min="10720" max="10720" width="10.28515625" style="2398" bestFit="1" customWidth="1"/>
    <col min="10721" max="10721" width="9.7109375" style="2398" bestFit="1" customWidth="1"/>
    <col min="10722" max="10722" width="10" style="2398" bestFit="1" customWidth="1"/>
    <col min="10723" max="10762" width="9.140625" style="2398"/>
    <col min="10763" max="10763" width="28.7109375" style="2398" customWidth="1"/>
    <col min="10764" max="10965" width="0" style="2398" hidden="1" customWidth="1"/>
    <col min="10966" max="10971" width="9.5703125" style="2398" customWidth="1"/>
    <col min="10972" max="10972" width="10.140625" style="2398" bestFit="1" customWidth="1"/>
    <col min="10973" max="10973" width="10" style="2398" bestFit="1" customWidth="1"/>
    <col min="10974" max="10975" width="9.7109375" style="2398" bestFit="1" customWidth="1"/>
    <col min="10976" max="10976" width="10.28515625" style="2398" bestFit="1" customWidth="1"/>
    <col min="10977" max="10977" width="9.7109375" style="2398" bestFit="1" customWidth="1"/>
    <col min="10978" max="10978" width="10" style="2398" bestFit="1" customWidth="1"/>
    <col min="10979" max="11018" width="9.140625" style="2398"/>
    <col min="11019" max="11019" width="28.7109375" style="2398" customWidth="1"/>
    <col min="11020" max="11221" width="0" style="2398" hidden="1" customWidth="1"/>
    <col min="11222" max="11227" width="9.5703125" style="2398" customWidth="1"/>
    <col min="11228" max="11228" width="10.140625" style="2398" bestFit="1" customWidth="1"/>
    <col min="11229" max="11229" width="10" style="2398" bestFit="1" customWidth="1"/>
    <col min="11230" max="11231" width="9.7109375" style="2398" bestFit="1" customWidth="1"/>
    <col min="11232" max="11232" width="10.28515625" style="2398" bestFit="1" customWidth="1"/>
    <col min="11233" max="11233" width="9.7109375" style="2398" bestFit="1" customWidth="1"/>
    <col min="11234" max="11234" width="10" style="2398" bestFit="1" customWidth="1"/>
    <col min="11235" max="11274" width="9.140625" style="2398"/>
    <col min="11275" max="11275" width="28.7109375" style="2398" customWidth="1"/>
    <col min="11276" max="11477" width="0" style="2398" hidden="1" customWidth="1"/>
    <col min="11478" max="11483" width="9.5703125" style="2398" customWidth="1"/>
    <col min="11484" max="11484" width="10.140625" style="2398" bestFit="1" customWidth="1"/>
    <col min="11485" max="11485" width="10" style="2398" bestFit="1" customWidth="1"/>
    <col min="11486" max="11487" width="9.7109375" style="2398" bestFit="1" customWidth="1"/>
    <col min="11488" max="11488" width="10.28515625" style="2398" bestFit="1" customWidth="1"/>
    <col min="11489" max="11489" width="9.7109375" style="2398" bestFit="1" customWidth="1"/>
    <col min="11490" max="11490" width="10" style="2398" bestFit="1" customWidth="1"/>
    <col min="11491" max="11530" width="9.140625" style="2398"/>
    <col min="11531" max="11531" width="28.7109375" style="2398" customWidth="1"/>
    <col min="11532" max="11733" width="0" style="2398" hidden="1" customWidth="1"/>
    <col min="11734" max="11739" width="9.5703125" style="2398" customWidth="1"/>
    <col min="11740" max="11740" width="10.140625" style="2398" bestFit="1" customWidth="1"/>
    <col min="11741" max="11741" width="10" style="2398" bestFit="1" customWidth="1"/>
    <col min="11742" max="11743" width="9.7109375" style="2398" bestFit="1" customWidth="1"/>
    <col min="11744" max="11744" width="10.28515625" style="2398" bestFit="1" customWidth="1"/>
    <col min="11745" max="11745" width="9.7109375" style="2398" bestFit="1" customWidth="1"/>
    <col min="11746" max="11746" width="10" style="2398" bestFit="1" customWidth="1"/>
    <col min="11747" max="11786" width="9.140625" style="2398"/>
    <col min="11787" max="11787" width="28.7109375" style="2398" customWidth="1"/>
    <col min="11788" max="11989" width="0" style="2398" hidden="1" customWidth="1"/>
    <col min="11990" max="11995" width="9.5703125" style="2398" customWidth="1"/>
    <col min="11996" max="11996" width="10.140625" style="2398" bestFit="1" customWidth="1"/>
    <col min="11997" max="11997" width="10" style="2398" bestFit="1" customWidth="1"/>
    <col min="11998" max="11999" width="9.7109375" style="2398" bestFit="1" customWidth="1"/>
    <col min="12000" max="12000" width="10.28515625" style="2398" bestFit="1" customWidth="1"/>
    <col min="12001" max="12001" width="9.7109375" style="2398" bestFit="1" customWidth="1"/>
    <col min="12002" max="12002" width="10" style="2398" bestFit="1" customWidth="1"/>
    <col min="12003" max="12042" width="9.140625" style="2398"/>
    <col min="12043" max="12043" width="28.7109375" style="2398" customWidth="1"/>
    <col min="12044" max="12245" width="0" style="2398" hidden="1" customWidth="1"/>
    <col min="12246" max="12251" width="9.5703125" style="2398" customWidth="1"/>
    <col min="12252" max="12252" width="10.140625" style="2398" bestFit="1" customWidth="1"/>
    <col min="12253" max="12253" width="10" style="2398" bestFit="1" customWidth="1"/>
    <col min="12254" max="12255" width="9.7109375" style="2398" bestFit="1" customWidth="1"/>
    <col min="12256" max="12256" width="10.28515625" style="2398" bestFit="1" customWidth="1"/>
    <col min="12257" max="12257" width="9.7109375" style="2398" bestFit="1" customWidth="1"/>
    <col min="12258" max="12258" width="10" style="2398" bestFit="1" customWidth="1"/>
    <col min="12259" max="12298" width="9.140625" style="2398"/>
    <col min="12299" max="12299" width="28.7109375" style="2398" customWidth="1"/>
    <col min="12300" max="12501" width="0" style="2398" hidden="1" customWidth="1"/>
    <col min="12502" max="12507" width="9.5703125" style="2398" customWidth="1"/>
    <col min="12508" max="12508" width="10.140625" style="2398" bestFit="1" customWidth="1"/>
    <col min="12509" max="12509" width="10" style="2398" bestFit="1" customWidth="1"/>
    <col min="12510" max="12511" width="9.7109375" style="2398" bestFit="1" customWidth="1"/>
    <col min="12512" max="12512" width="10.28515625" style="2398" bestFit="1" customWidth="1"/>
    <col min="12513" max="12513" width="9.7109375" style="2398" bestFit="1" customWidth="1"/>
    <col min="12514" max="12514" width="10" style="2398" bestFit="1" customWidth="1"/>
    <col min="12515" max="12554" width="9.140625" style="2398"/>
    <col min="12555" max="12555" width="28.7109375" style="2398" customWidth="1"/>
    <col min="12556" max="12757" width="0" style="2398" hidden="1" customWidth="1"/>
    <col min="12758" max="12763" width="9.5703125" style="2398" customWidth="1"/>
    <col min="12764" max="12764" width="10.140625" style="2398" bestFit="1" customWidth="1"/>
    <col min="12765" max="12765" width="10" style="2398" bestFit="1" customWidth="1"/>
    <col min="12766" max="12767" width="9.7109375" style="2398" bestFit="1" customWidth="1"/>
    <col min="12768" max="12768" width="10.28515625" style="2398" bestFit="1" customWidth="1"/>
    <col min="12769" max="12769" width="9.7109375" style="2398" bestFit="1" customWidth="1"/>
    <col min="12770" max="12770" width="10" style="2398" bestFit="1" customWidth="1"/>
    <col min="12771" max="12810" width="9.140625" style="2398"/>
    <col min="12811" max="12811" width="28.7109375" style="2398" customWidth="1"/>
    <col min="12812" max="13013" width="0" style="2398" hidden="1" customWidth="1"/>
    <col min="13014" max="13019" width="9.5703125" style="2398" customWidth="1"/>
    <col min="13020" max="13020" width="10.140625" style="2398" bestFit="1" customWidth="1"/>
    <col min="13021" max="13021" width="10" style="2398" bestFit="1" customWidth="1"/>
    <col min="13022" max="13023" width="9.7109375" style="2398" bestFit="1" customWidth="1"/>
    <col min="13024" max="13024" width="10.28515625" style="2398" bestFit="1" customWidth="1"/>
    <col min="13025" max="13025" width="9.7109375" style="2398" bestFit="1" customWidth="1"/>
    <col min="13026" max="13026" width="10" style="2398" bestFit="1" customWidth="1"/>
    <col min="13027" max="13066" width="9.140625" style="2398"/>
    <col min="13067" max="13067" width="28.7109375" style="2398" customWidth="1"/>
    <col min="13068" max="13269" width="0" style="2398" hidden="1" customWidth="1"/>
    <col min="13270" max="13275" width="9.5703125" style="2398" customWidth="1"/>
    <col min="13276" max="13276" width="10.140625" style="2398" bestFit="1" customWidth="1"/>
    <col min="13277" max="13277" width="10" style="2398" bestFit="1" customWidth="1"/>
    <col min="13278" max="13279" width="9.7109375" style="2398" bestFit="1" customWidth="1"/>
    <col min="13280" max="13280" width="10.28515625" style="2398" bestFit="1" customWidth="1"/>
    <col min="13281" max="13281" width="9.7109375" style="2398" bestFit="1" customWidth="1"/>
    <col min="13282" max="13282" width="10" style="2398" bestFit="1" customWidth="1"/>
    <col min="13283" max="13322" width="9.140625" style="2398"/>
    <col min="13323" max="13323" width="28.7109375" style="2398" customWidth="1"/>
    <col min="13324" max="13525" width="0" style="2398" hidden="1" customWidth="1"/>
    <col min="13526" max="13531" width="9.5703125" style="2398" customWidth="1"/>
    <col min="13532" max="13532" width="10.140625" style="2398" bestFit="1" customWidth="1"/>
    <col min="13533" max="13533" width="10" style="2398" bestFit="1" customWidth="1"/>
    <col min="13534" max="13535" width="9.7109375" style="2398" bestFit="1" customWidth="1"/>
    <col min="13536" max="13536" width="10.28515625" style="2398" bestFit="1" customWidth="1"/>
    <col min="13537" max="13537" width="9.7109375" style="2398" bestFit="1" customWidth="1"/>
    <col min="13538" max="13538" width="10" style="2398" bestFit="1" customWidth="1"/>
    <col min="13539" max="13578" width="9.140625" style="2398"/>
    <col min="13579" max="13579" width="28.7109375" style="2398" customWidth="1"/>
    <col min="13580" max="13781" width="0" style="2398" hidden="1" customWidth="1"/>
    <col min="13782" max="13787" width="9.5703125" style="2398" customWidth="1"/>
    <col min="13788" max="13788" width="10.140625" style="2398" bestFit="1" customWidth="1"/>
    <col min="13789" max="13789" width="10" style="2398" bestFit="1" customWidth="1"/>
    <col min="13790" max="13791" width="9.7109375" style="2398" bestFit="1" customWidth="1"/>
    <col min="13792" max="13792" width="10.28515625" style="2398" bestFit="1" customWidth="1"/>
    <col min="13793" max="13793" width="9.7109375" style="2398" bestFit="1" customWidth="1"/>
    <col min="13794" max="13794" width="10" style="2398" bestFit="1" customWidth="1"/>
    <col min="13795" max="13834" width="9.140625" style="2398"/>
    <col min="13835" max="13835" width="28.7109375" style="2398" customWidth="1"/>
    <col min="13836" max="14037" width="0" style="2398" hidden="1" customWidth="1"/>
    <col min="14038" max="14043" width="9.5703125" style="2398" customWidth="1"/>
    <col min="14044" max="14044" width="10.140625" style="2398" bestFit="1" customWidth="1"/>
    <col min="14045" max="14045" width="10" style="2398" bestFit="1" customWidth="1"/>
    <col min="14046" max="14047" width="9.7109375" style="2398" bestFit="1" customWidth="1"/>
    <col min="14048" max="14048" width="10.28515625" style="2398" bestFit="1" customWidth="1"/>
    <col min="14049" max="14049" width="9.7109375" style="2398" bestFit="1" customWidth="1"/>
    <col min="14050" max="14050" width="10" style="2398" bestFit="1" customWidth="1"/>
    <col min="14051" max="14090" width="9.140625" style="2398"/>
    <col min="14091" max="14091" width="28.7109375" style="2398" customWidth="1"/>
    <col min="14092" max="14293" width="0" style="2398" hidden="1" customWidth="1"/>
    <col min="14294" max="14299" width="9.5703125" style="2398" customWidth="1"/>
    <col min="14300" max="14300" width="10.140625" style="2398" bestFit="1" customWidth="1"/>
    <col min="14301" max="14301" width="10" style="2398" bestFit="1" customWidth="1"/>
    <col min="14302" max="14303" width="9.7109375" style="2398" bestFit="1" customWidth="1"/>
    <col min="14304" max="14304" width="10.28515625" style="2398" bestFit="1" customWidth="1"/>
    <col min="14305" max="14305" width="9.7109375" style="2398" bestFit="1" customWidth="1"/>
    <col min="14306" max="14306" width="10" style="2398" bestFit="1" customWidth="1"/>
    <col min="14307" max="14346" width="9.140625" style="2398"/>
    <col min="14347" max="14347" width="28.7109375" style="2398" customWidth="1"/>
    <col min="14348" max="14549" width="0" style="2398" hidden="1" customWidth="1"/>
    <col min="14550" max="14555" width="9.5703125" style="2398" customWidth="1"/>
    <col min="14556" max="14556" width="10.140625" style="2398" bestFit="1" customWidth="1"/>
    <col min="14557" max="14557" width="10" style="2398" bestFit="1" customWidth="1"/>
    <col min="14558" max="14559" width="9.7109375" style="2398" bestFit="1" customWidth="1"/>
    <col min="14560" max="14560" width="10.28515625" style="2398" bestFit="1" customWidth="1"/>
    <col min="14561" max="14561" width="9.7109375" style="2398" bestFit="1" customWidth="1"/>
    <col min="14562" max="14562" width="10" style="2398" bestFit="1" customWidth="1"/>
    <col min="14563" max="14602" width="9.140625" style="2398"/>
    <col min="14603" max="14603" width="28.7109375" style="2398" customWidth="1"/>
    <col min="14604" max="14805" width="0" style="2398" hidden="1" customWidth="1"/>
    <col min="14806" max="14811" width="9.5703125" style="2398" customWidth="1"/>
    <col min="14812" max="14812" width="10.140625" style="2398" bestFit="1" customWidth="1"/>
    <col min="14813" max="14813" width="10" style="2398" bestFit="1" customWidth="1"/>
    <col min="14814" max="14815" width="9.7109375" style="2398" bestFit="1" customWidth="1"/>
    <col min="14816" max="14816" width="10.28515625" style="2398" bestFit="1" customWidth="1"/>
    <col min="14817" max="14817" width="9.7109375" style="2398" bestFit="1" customWidth="1"/>
    <col min="14818" max="14818" width="10" style="2398" bestFit="1" customWidth="1"/>
    <col min="14819" max="14858" width="9.140625" style="2398"/>
    <col min="14859" max="14859" width="28.7109375" style="2398" customWidth="1"/>
    <col min="14860" max="15061" width="0" style="2398" hidden="1" customWidth="1"/>
    <col min="15062" max="15067" width="9.5703125" style="2398" customWidth="1"/>
    <col min="15068" max="15068" width="10.140625" style="2398" bestFit="1" customWidth="1"/>
    <col min="15069" max="15069" width="10" style="2398" bestFit="1" customWidth="1"/>
    <col min="15070" max="15071" width="9.7109375" style="2398" bestFit="1" customWidth="1"/>
    <col min="15072" max="15072" width="10.28515625" style="2398" bestFit="1" customWidth="1"/>
    <col min="15073" max="15073" width="9.7109375" style="2398" bestFit="1" customWidth="1"/>
    <col min="15074" max="15074" width="10" style="2398" bestFit="1" customWidth="1"/>
    <col min="15075" max="15114" width="9.140625" style="2398"/>
    <col min="15115" max="15115" width="28.7109375" style="2398" customWidth="1"/>
    <col min="15116" max="15317" width="0" style="2398" hidden="1" customWidth="1"/>
    <col min="15318" max="15323" width="9.5703125" style="2398" customWidth="1"/>
    <col min="15324" max="15324" width="10.140625" style="2398" bestFit="1" customWidth="1"/>
    <col min="15325" max="15325" width="10" style="2398" bestFit="1" customWidth="1"/>
    <col min="15326" max="15327" width="9.7109375" style="2398" bestFit="1" customWidth="1"/>
    <col min="15328" max="15328" width="10.28515625" style="2398" bestFit="1" customWidth="1"/>
    <col min="15329" max="15329" width="9.7109375" style="2398" bestFit="1" customWidth="1"/>
    <col min="15330" max="15330" width="10" style="2398" bestFit="1" customWidth="1"/>
    <col min="15331" max="15370" width="9.140625" style="2398"/>
    <col min="15371" max="15371" width="28.7109375" style="2398" customWidth="1"/>
    <col min="15372" max="15573" width="0" style="2398" hidden="1" customWidth="1"/>
    <col min="15574" max="15579" width="9.5703125" style="2398" customWidth="1"/>
    <col min="15580" max="15580" width="10.140625" style="2398" bestFit="1" customWidth="1"/>
    <col min="15581" max="15581" width="10" style="2398" bestFit="1" customWidth="1"/>
    <col min="15582" max="15583" width="9.7109375" style="2398" bestFit="1" customWidth="1"/>
    <col min="15584" max="15584" width="10.28515625" style="2398" bestFit="1" customWidth="1"/>
    <col min="15585" max="15585" width="9.7109375" style="2398" bestFit="1" customWidth="1"/>
    <col min="15586" max="15586" width="10" style="2398" bestFit="1" customWidth="1"/>
    <col min="15587" max="15626" width="9.140625" style="2398"/>
    <col min="15627" max="15627" width="28.7109375" style="2398" customWidth="1"/>
    <col min="15628" max="15829" width="0" style="2398" hidden="1" customWidth="1"/>
    <col min="15830" max="15835" width="9.5703125" style="2398" customWidth="1"/>
    <col min="15836" max="15836" width="10.140625" style="2398" bestFit="1" customWidth="1"/>
    <col min="15837" max="15837" width="10" style="2398" bestFit="1" customWidth="1"/>
    <col min="15838" max="15839" width="9.7109375" style="2398" bestFit="1" customWidth="1"/>
    <col min="15840" max="15840" width="10.28515625" style="2398" bestFit="1" customWidth="1"/>
    <col min="15841" max="15841" width="9.7109375" style="2398" bestFit="1" customWidth="1"/>
    <col min="15842" max="15842" width="10" style="2398" bestFit="1" customWidth="1"/>
    <col min="15843" max="15882" width="9.140625" style="2398"/>
    <col min="15883" max="15883" width="28.7109375" style="2398" customWidth="1"/>
    <col min="15884" max="16085" width="0" style="2398" hidden="1" customWidth="1"/>
    <col min="16086" max="16091" width="9.5703125" style="2398" customWidth="1"/>
    <col min="16092" max="16092" width="10.140625" style="2398" bestFit="1" customWidth="1"/>
    <col min="16093" max="16093" width="10" style="2398" bestFit="1" customWidth="1"/>
    <col min="16094" max="16095" width="9.7109375" style="2398" bestFit="1" customWidth="1"/>
    <col min="16096" max="16096" width="10.28515625" style="2398" bestFit="1" customWidth="1"/>
    <col min="16097" max="16097" width="9.7109375" style="2398" bestFit="1" customWidth="1"/>
    <col min="16098" max="16098" width="10" style="2398" bestFit="1" customWidth="1"/>
    <col min="16099" max="16138" width="9.140625" style="2398"/>
    <col min="16139" max="16139" width="28.7109375" style="2398" customWidth="1"/>
    <col min="16140" max="16341" width="0" style="2398" hidden="1" customWidth="1"/>
    <col min="16342" max="16347" width="9.5703125" style="2398" customWidth="1"/>
    <col min="16348" max="16348" width="10.140625" style="2398" bestFit="1" customWidth="1"/>
    <col min="16349" max="16349" width="10" style="2398" bestFit="1" customWidth="1"/>
    <col min="16350" max="16351" width="9.7109375" style="2398" bestFit="1" customWidth="1"/>
    <col min="16352" max="16352" width="10.28515625" style="2398" bestFit="1" customWidth="1"/>
    <col min="16353" max="16353" width="9.7109375" style="2398" bestFit="1" customWidth="1"/>
    <col min="16354" max="16354" width="10" style="2398" bestFit="1" customWidth="1"/>
    <col min="16355" max="16384" width="9.140625" style="2398"/>
  </cols>
  <sheetData>
    <row r="1" spans="1:227" ht="19.899999999999999" customHeight="1" x14ac:dyDescent="0.35">
      <c r="A1" s="2396" t="s">
        <v>4525</v>
      </c>
      <c r="B1" s="2397"/>
      <c r="C1" s="2397"/>
      <c r="D1" s="2397"/>
      <c r="E1" s="2397"/>
      <c r="F1" s="2397"/>
      <c r="G1" s="2397"/>
      <c r="H1" s="2397"/>
      <c r="I1" s="2397"/>
      <c r="J1" s="2397"/>
      <c r="K1" s="2397"/>
      <c r="L1" s="2397"/>
      <c r="M1" s="2397"/>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c r="AL1" s="2397"/>
      <c r="AM1" s="2397"/>
      <c r="AN1" s="2397"/>
      <c r="AO1" s="2397"/>
      <c r="AP1" s="2397"/>
      <c r="AQ1" s="2397"/>
      <c r="AR1" s="2397"/>
      <c r="AS1" s="2397"/>
      <c r="AT1" s="2397"/>
      <c r="AU1" s="2397"/>
      <c r="AV1" s="2397"/>
      <c r="AW1" s="2397"/>
      <c r="AX1" s="2397"/>
      <c r="AY1" s="2397"/>
      <c r="AZ1" s="2397"/>
      <c r="BA1" s="2397"/>
      <c r="BB1" s="2397"/>
      <c r="BC1" s="2397"/>
      <c r="BD1" s="2397"/>
      <c r="BE1" s="2397"/>
      <c r="BF1" s="2397"/>
      <c r="BG1" s="2397"/>
      <c r="BH1" s="2397"/>
      <c r="BI1" s="2397"/>
      <c r="BJ1" s="2397"/>
      <c r="BK1" s="2397"/>
      <c r="BL1" s="2397"/>
      <c r="BM1" s="2397"/>
      <c r="BN1" s="2397"/>
      <c r="BO1" s="2397"/>
      <c r="BP1" s="2397"/>
      <c r="BQ1" s="2397"/>
      <c r="BR1" s="2397"/>
      <c r="BS1" s="2397"/>
      <c r="BT1" s="2397"/>
      <c r="BU1" s="2397"/>
      <c r="BV1" s="2397"/>
      <c r="BW1" s="2397"/>
      <c r="BX1" s="2397"/>
      <c r="BY1" s="2397"/>
      <c r="BZ1" s="2397"/>
      <c r="CA1" s="2397"/>
      <c r="CB1" s="2397"/>
      <c r="CC1" s="2397"/>
      <c r="CD1" s="2397"/>
      <c r="CE1" s="2397"/>
      <c r="CF1" s="2397"/>
      <c r="CG1" s="2397"/>
      <c r="CH1" s="2397"/>
      <c r="CI1" s="2397"/>
      <c r="CJ1" s="2397"/>
      <c r="CK1" s="2397"/>
      <c r="CL1" s="2397"/>
      <c r="CM1" s="2397"/>
      <c r="CN1" s="2397"/>
      <c r="CO1" s="2397"/>
      <c r="CP1" s="2397"/>
      <c r="CQ1" s="2397"/>
      <c r="CR1" s="2397"/>
      <c r="CS1" s="2397"/>
      <c r="CT1" s="2397"/>
      <c r="CU1" s="2397"/>
      <c r="CV1" s="2397"/>
      <c r="CW1" s="2397"/>
      <c r="CX1" s="2397"/>
      <c r="CY1" s="2397"/>
      <c r="CZ1" s="2397"/>
      <c r="DA1" s="2397"/>
      <c r="DB1" s="2397"/>
      <c r="DC1" s="2397"/>
      <c r="DD1" s="2397"/>
      <c r="DE1" s="2397"/>
      <c r="DF1" s="2397"/>
      <c r="DG1" s="2397"/>
      <c r="DH1" s="2397"/>
      <c r="DI1" s="2397"/>
      <c r="DJ1" s="2397"/>
      <c r="DK1" s="2397"/>
      <c r="DL1" s="2397"/>
      <c r="DM1" s="2397"/>
      <c r="DN1" s="2397"/>
      <c r="DO1" s="2397"/>
      <c r="DP1" s="2397"/>
      <c r="DQ1" s="2397"/>
      <c r="DR1" s="2397"/>
      <c r="DS1" s="2397"/>
      <c r="DT1" s="2397"/>
      <c r="DU1" s="2397"/>
      <c r="DV1" s="2397"/>
      <c r="DW1" s="2397"/>
      <c r="DX1" s="2397"/>
      <c r="DY1" s="2397"/>
      <c r="DZ1" s="2397"/>
      <c r="EA1" s="2397"/>
      <c r="EB1" s="2397"/>
      <c r="EC1" s="2397"/>
      <c r="ED1" s="2397"/>
      <c r="EE1" s="2397"/>
      <c r="EF1" s="2397"/>
      <c r="EG1" s="2397"/>
      <c r="EH1" s="2397"/>
      <c r="EI1" s="2397"/>
      <c r="EJ1" s="2397"/>
      <c r="EK1" s="2397"/>
      <c r="EL1" s="2397"/>
      <c r="EM1" s="2397"/>
      <c r="EN1" s="2397"/>
      <c r="EO1" s="2397"/>
      <c r="EP1" s="2397"/>
      <c r="EQ1" s="2397"/>
      <c r="ER1" s="2397"/>
      <c r="ES1" s="2397"/>
      <c r="ET1" s="2397"/>
      <c r="EU1" s="2397"/>
      <c r="EV1" s="2397"/>
      <c r="EW1" s="2397"/>
      <c r="EX1" s="2397"/>
      <c r="EY1" s="2397"/>
      <c r="EZ1" s="2397"/>
      <c r="FA1" s="2397"/>
      <c r="FB1" s="2397"/>
      <c r="FC1" s="2397"/>
      <c r="FD1" s="2397"/>
      <c r="FE1" s="2397"/>
      <c r="FF1" s="2397"/>
      <c r="FG1" s="2397"/>
      <c r="FH1" s="2397"/>
      <c r="FI1" s="2397"/>
      <c r="FJ1" s="2397"/>
      <c r="FL1" s="2397"/>
    </row>
    <row r="2" spans="1:227" ht="6.75" customHeight="1" thickBot="1" x14ac:dyDescent="0.35">
      <c r="B2" s="2398"/>
    </row>
    <row r="3" spans="1:227" ht="17.25" thickTop="1" x14ac:dyDescent="0.3">
      <c r="A3" s="2399" t="s">
        <v>4526</v>
      </c>
      <c r="B3" s="2400">
        <v>37258</v>
      </c>
      <c r="C3" s="2400">
        <v>37348</v>
      </c>
      <c r="D3" s="2400">
        <v>37378</v>
      </c>
      <c r="E3" s="2400">
        <v>37409</v>
      </c>
      <c r="F3" s="2400">
        <v>37439</v>
      </c>
      <c r="G3" s="2400">
        <v>37470</v>
      </c>
      <c r="H3" s="2400">
        <v>37501</v>
      </c>
      <c r="I3" s="2400">
        <v>37531</v>
      </c>
      <c r="J3" s="2400">
        <v>37562</v>
      </c>
      <c r="K3" s="2400">
        <v>37592</v>
      </c>
      <c r="L3" s="2400">
        <v>37623</v>
      </c>
      <c r="M3" s="2400">
        <v>37654</v>
      </c>
      <c r="N3" s="2400">
        <v>37682</v>
      </c>
      <c r="O3" s="2400">
        <v>37713</v>
      </c>
      <c r="P3" s="2400">
        <v>37743</v>
      </c>
      <c r="Q3" s="2400">
        <v>37774</v>
      </c>
      <c r="R3" s="2400">
        <v>37804</v>
      </c>
      <c r="S3" s="2400">
        <v>37835</v>
      </c>
      <c r="T3" s="2400">
        <v>37866</v>
      </c>
      <c r="U3" s="2400">
        <v>37896</v>
      </c>
      <c r="V3" s="2400">
        <v>37927</v>
      </c>
      <c r="W3" s="2400">
        <v>37957</v>
      </c>
      <c r="X3" s="2400">
        <v>37988</v>
      </c>
      <c r="Y3" s="2400">
        <v>38019</v>
      </c>
      <c r="Z3" s="2400">
        <v>38048</v>
      </c>
      <c r="AA3" s="2400">
        <v>38079</v>
      </c>
      <c r="AB3" s="2400">
        <v>38109</v>
      </c>
      <c r="AC3" s="2400">
        <v>38140</v>
      </c>
      <c r="AD3" s="2400">
        <v>38170</v>
      </c>
      <c r="AE3" s="2400">
        <v>38201</v>
      </c>
      <c r="AF3" s="2400">
        <v>38232</v>
      </c>
      <c r="AG3" s="2400">
        <v>38262</v>
      </c>
      <c r="AH3" s="2400">
        <v>38293</v>
      </c>
      <c r="AI3" s="2400">
        <v>38323</v>
      </c>
      <c r="AJ3" s="2400">
        <v>38354</v>
      </c>
      <c r="AK3" s="2400">
        <v>38413</v>
      </c>
      <c r="AL3" s="2400">
        <v>38444</v>
      </c>
      <c r="AM3" s="2400">
        <v>38474</v>
      </c>
      <c r="AN3" s="2400">
        <v>38505</v>
      </c>
      <c r="AO3" s="2400">
        <v>38535</v>
      </c>
      <c r="AP3" s="2400">
        <v>38565</v>
      </c>
      <c r="AQ3" s="2400">
        <v>38596</v>
      </c>
      <c r="AR3" s="2400">
        <v>38626</v>
      </c>
      <c r="AS3" s="2400">
        <v>38657</v>
      </c>
      <c r="AT3" s="2400">
        <v>38687</v>
      </c>
      <c r="AU3" s="2400">
        <v>38718</v>
      </c>
      <c r="AV3" s="2400">
        <v>38749</v>
      </c>
      <c r="AW3" s="2400">
        <v>38777</v>
      </c>
      <c r="AX3" s="2400">
        <v>38808</v>
      </c>
      <c r="AY3" s="2400">
        <v>38838</v>
      </c>
      <c r="AZ3" s="2400">
        <v>38869</v>
      </c>
      <c r="BA3" s="2400">
        <v>38899</v>
      </c>
      <c r="BB3" s="2400">
        <v>38930</v>
      </c>
      <c r="BC3" s="2400">
        <v>38961</v>
      </c>
      <c r="BD3" s="2400">
        <v>38991</v>
      </c>
      <c r="BE3" s="2400">
        <v>39022</v>
      </c>
      <c r="BF3" s="2400">
        <v>39052</v>
      </c>
      <c r="BG3" s="2400">
        <v>39083</v>
      </c>
      <c r="BH3" s="2400">
        <v>39114</v>
      </c>
      <c r="BI3" s="2400">
        <v>39142</v>
      </c>
      <c r="BJ3" s="2400">
        <v>39173</v>
      </c>
      <c r="BK3" s="2400">
        <v>39203</v>
      </c>
      <c r="BL3" s="2400">
        <v>39234</v>
      </c>
      <c r="BM3" s="2400">
        <v>39264</v>
      </c>
      <c r="BN3" s="2400">
        <v>39295</v>
      </c>
      <c r="BO3" s="2400">
        <v>39326</v>
      </c>
      <c r="BP3" s="2400">
        <v>39356</v>
      </c>
      <c r="BQ3" s="2400">
        <v>39387</v>
      </c>
      <c r="BR3" s="2400">
        <v>39417</v>
      </c>
      <c r="BS3" s="2400">
        <v>39448</v>
      </c>
      <c r="BT3" s="2400">
        <v>39479</v>
      </c>
      <c r="BU3" s="2400">
        <v>39508</v>
      </c>
      <c r="BV3" s="2400">
        <v>39539</v>
      </c>
      <c r="BW3" s="2400">
        <v>39569</v>
      </c>
      <c r="BX3" s="2400">
        <v>39600</v>
      </c>
      <c r="BY3" s="2400">
        <v>39630</v>
      </c>
      <c r="BZ3" s="2400">
        <v>39661</v>
      </c>
      <c r="CA3" s="2400">
        <v>39692</v>
      </c>
      <c r="CB3" s="2400">
        <v>39722</v>
      </c>
      <c r="CC3" s="2400">
        <v>39753</v>
      </c>
      <c r="CD3" s="2400">
        <v>39783</v>
      </c>
      <c r="CE3" s="2400">
        <v>39814</v>
      </c>
      <c r="CF3" s="2400">
        <v>39845</v>
      </c>
      <c r="CG3" s="2400">
        <v>39873</v>
      </c>
      <c r="CH3" s="2400">
        <v>39904</v>
      </c>
      <c r="CI3" s="2400">
        <v>39934</v>
      </c>
      <c r="CJ3" s="2400">
        <v>39965</v>
      </c>
      <c r="CK3" s="2400">
        <v>39995</v>
      </c>
      <c r="CL3" s="2400">
        <v>40026</v>
      </c>
      <c r="CM3" s="2400">
        <v>40057</v>
      </c>
      <c r="CN3" s="2400">
        <v>40087</v>
      </c>
      <c r="CO3" s="2400">
        <v>40118</v>
      </c>
      <c r="CP3" s="2400">
        <v>40299</v>
      </c>
      <c r="CQ3" s="2400">
        <v>40360</v>
      </c>
      <c r="CR3" s="2400">
        <v>40391</v>
      </c>
      <c r="CS3" s="2400">
        <v>40422</v>
      </c>
      <c r="CT3" s="2400">
        <v>40452</v>
      </c>
      <c r="CU3" s="2400">
        <v>40483</v>
      </c>
      <c r="CV3" s="2400">
        <v>40513</v>
      </c>
      <c r="CW3" s="2400">
        <v>40544</v>
      </c>
      <c r="CX3" s="2400">
        <v>40575</v>
      </c>
      <c r="CY3" s="2400">
        <v>40603</v>
      </c>
      <c r="CZ3" s="2400">
        <v>40634</v>
      </c>
      <c r="DA3" s="2400">
        <v>40664</v>
      </c>
      <c r="DB3" s="2400">
        <v>40695</v>
      </c>
      <c r="DC3" s="2400">
        <v>40725</v>
      </c>
      <c r="DD3" s="2400">
        <v>40756</v>
      </c>
      <c r="DE3" s="2400">
        <v>40787</v>
      </c>
      <c r="DF3" s="2400">
        <v>40817</v>
      </c>
      <c r="DG3" s="2400">
        <v>40848</v>
      </c>
      <c r="DH3" s="2400">
        <v>40878</v>
      </c>
      <c r="DI3" s="2400">
        <v>40909</v>
      </c>
      <c r="DJ3" s="2400">
        <v>40940</v>
      </c>
      <c r="DK3" s="2400">
        <v>40969</v>
      </c>
      <c r="DL3" s="2400">
        <v>41000</v>
      </c>
      <c r="DM3" s="2400">
        <v>41030</v>
      </c>
      <c r="DN3" s="2400">
        <v>41061</v>
      </c>
      <c r="DO3" s="2400">
        <v>41091</v>
      </c>
      <c r="DP3" s="2400">
        <v>41122</v>
      </c>
      <c r="DQ3" s="2400">
        <v>41153</v>
      </c>
      <c r="DR3" s="2400">
        <v>41183</v>
      </c>
      <c r="DS3" s="2400">
        <f t="shared" ref="DS3:FQ3" si="0">DR3+31</f>
        <v>41214</v>
      </c>
      <c r="DT3" s="2400">
        <f t="shared" si="0"/>
        <v>41245</v>
      </c>
      <c r="DU3" s="2400">
        <f t="shared" si="0"/>
        <v>41276</v>
      </c>
      <c r="DV3" s="2400">
        <f t="shared" si="0"/>
        <v>41307</v>
      </c>
      <c r="DW3" s="2400">
        <f t="shared" si="0"/>
        <v>41338</v>
      </c>
      <c r="DX3" s="2400">
        <f t="shared" si="0"/>
        <v>41369</v>
      </c>
      <c r="DY3" s="2400">
        <f t="shared" si="0"/>
        <v>41400</v>
      </c>
      <c r="DZ3" s="2400">
        <f t="shared" si="0"/>
        <v>41431</v>
      </c>
      <c r="EA3" s="2400">
        <f t="shared" si="0"/>
        <v>41462</v>
      </c>
      <c r="EB3" s="2400">
        <f t="shared" si="0"/>
        <v>41493</v>
      </c>
      <c r="EC3" s="2400">
        <f t="shared" si="0"/>
        <v>41524</v>
      </c>
      <c r="ED3" s="2400">
        <f t="shared" si="0"/>
        <v>41555</v>
      </c>
      <c r="EE3" s="2400">
        <f t="shared" si="0"/>
        <v>41586</v>
      </c>
      <c r="EF3" s="2400">
        <f t="shared" si="0"/>
        <v>41617</v>
      </c>
      <c r="EG3" s="2400">
        <f t="shared" si="0"/>
        <v>41648</v>
      </c>
      <c r="EH3" s="2400">
        <f t="shared" si="0"/>
        <v>41679</v>
      </c>
      <c r="EI3" s="2400">
        <f t="shared" si="0"/>
        <v>41710</v>
      </c>
      <c r="EJ3" s="2400">
        <f t="shared" si="0"/>
        <v>41741</v>
      </c>
      <c r="EK3" s="2400">
        <f t="shared" si="0"/>
        <v>41772</v>
      </c>
      <c r="EL3" s="2400">
        <f t="shared" si="0"/>
        <v>41803</v>
      </c>
      <c r="EM3" s="2400">
        <f t="shared" si="0"/>
        <v>41834</v>
      </c>
      <c r="EN3" s="2400">
        <f t="shared" si="0"/>
        <v>41865</v>
      </c>
      <c r="EO3" s="2400">
        <f t="shared" si="0"/>
        <v>41896</v>
      </c>
      <c r="EP3" s="2400">
        <f t="shared" si="0"/>
        <v>41927</v>
      </c>
      <c r="EQ3" s="2400">
        <f t="shared" si="0"/>
        <v>41958</v>
      </c>
      <c r="ER3" s="2400">
        <f t="shared" si="0"/>
        <v>41989</v>
      </c>
      <c r="ES3" s="2400">
        <f t="shared" si="0"/>
        <v>42020</v>
      </c>
      <c r="ET3" s="2400">
        <f t="shared" si="0"/>
        <v>42051</v>
      </c>
      <c r="EU3" s="2400">
        <f t="shared" si="0"/>
        <v>42082</v>
      </c>
      <c r="EV3" s="2400">
        <f t="shared" si="0"/>
        <v>42113</v>
      </c>
      <c r="EW3" s="2400">
        <f t="shared" si="0"/>
        <v>42144</v>
      </c>
      <c r="EX3" s="2400">
        <f t="shared" si="0"/>
        <v>42175</v>
      </c>
      <c r="EY3" s="2400">
        <f t="shared" si="0"/>
        <v>42206</v>
      </c>
      <c r="EZ3" s="2400">
        <f t="shared" si="0"/>
        <v>42237</v>
      </c>
      <c r="FA3" s="2400">
        <f t="shared" si="0"/>
        <v>42268</v>
      </c>
      <c r="FB3" s="2400">
        <f t="shared" si="0"/>
        <v>42299</v>
      </c>
      <c r="FC3" s="2400">
        <f t="shared" si="0"/>
        <v>42330</v>
      </c>
      <c r="FD3" s="2400">
        <f t="shared" si="0"/>
        <v>42361</v>
      </c>
      <c r="FE3" s="2400">
        <f t="shared" si="0"/>
        <v>42392</v>
      </c>
      <c r="FF3" s="2400">
        <f t="shared" si="0"/>
        <v>42423</v>
      </c>
      <c r="FG3" s="2400">
        <f t="shared" si="0"/>
        <v>42454</v>
      </c>
      <c r="FH3" s="2400">
        <f t="shared" si="0"/>
        <v>42485</v>
      </c>
      <c r="FI3" s="2400">
        <f t="shared" si="0"/>
        <v>42516</v>
      </c>
      <c r="FJ3" s="2400">
        <f t="shared" si="0"/>
        <v>42547</v>
      </c>
      <c r="FK3" s="2400">
        <f t="shared" si="0"/>
        <v>42578</v>
      </c>
      <c r="FL3" s="2400">
        <f t="shared" si="0"/>
        <v>42609</v>
      </c>
      <c r="FM3" s="2400">
        <f t="shared" si="0"/>
        <v>42640</v>
      </c>
      <c r="FN3" s="2400">
        <f t="shared" si="0"/>
        <v>42671</v>
      </c>
      <c r="FO3" s="2400">
        <f t="shared" si="0"/>
        <v>42702</v>
      </c>
      <c r="FP3" s="2400">
        <f t="shared" si="0"/>
        <v>42733</v>
      </c>
      <c r="FQ3" s="2400">
        <f t="shared" si="0"/>
        <v>42764</v>
      </c>
      <c r="FR3" s="2400">
        <f t="shared" ref="FR3:GB3" si="1">FQ3+28</f>
        <v>42792</v>
      </c>
      <c r="FS3" s="2400">
        <f t="shared" si="1"/>
        <v>42820</v>
      </c>
      <c r="FT3" s="2400">
        <f t="shared" si="1"/>
        <v>42848</v>
      </c>
      <c r="FU3" s="2400">
        <f t="shared" si="1"/>
        <v>42876</v>
      </c>
      <c r="FV3" s="2400">
        <f t="shared" si="1"/>
        <v>42904</v>
      </c>
      <c r="FW3" s="2400">
        <f t="shared" si="1"/>
        <v>42932</v>
      </c>
      <c r="FX3" s="2400">
        <f t="shared" si="1"/>
        <v>42960</v>
      </c>
      <c r="FY3" s="2400">
        <f t="shared" si="1"/>
        <v>42988</v>
      </c>
      <c r="FZ3" s="2400">
        <f t="shared" si="1"/>
        <v>43016</v>
      </c>
      <c r="GA3" s="2400">
        <f t="shared" si="1"/>
        <v>43044</v>
      </c>
      <c r="GB3" s="2400">
        <f t="shared" si="1"/>
        <v>43072</v>
      </c>
      <c r="GC3" s="2400">
        <f>GB3+29</f>
        <v>43101</v>
      </c>
      <c r="GD3" s="2400">
        <f t="shared" ref="GD3:HP3" si="2">GC3+31</f>
        <v>43132</v>
      </c>
      <c r="GE3" s="2400">
        <f t="shared" si="2"/>
        <v>43163</v>
      </c>
      <c r="GF3" s="2400">
        <f t="shared" si="2"/>
        <v>43194</v>
      </c>
      <c r="GG3" s="2400">
        <f t="shared" si="2"/>
        <v>43225</v>
      </c>
      <c r="GH3" s="2400">
        <f t="shared" si="2"/>
        <v>43256</v>
      </c>
      <c r="GI3" s="3871">
        <f t="shared" si="2"/>
        <v>43287</v>
      </c>
      <c r="GJ3" s="3871">
        <f t="shared" si="2"/>
        <v>43318</v>
      </c>
      <c r="GK3" s="3871">
        <f t="shared" si="2"/>
        <v>43349</v>
      </c>
      <c r="GL3" s="3871">
        <f t="shared" si="2"/>
        <v>43380</v>
      </c>
      <c r="GM3" s="3871">
        <f t="shared" si="2"/>
        <v>43411</v>
      </c>
      <c r="GN3" s="3871">
        <f t="shared" si="2"/>
        <v>43442</v>
      </c>
      <c r="GO3" s="3871">
        <f t="shared" si="2"/>
        <v>43473</v>
      </c>
      <c r="GP3" s="3871">
        <f t="shared" si="2"/>
        <v>43504</v>
      </c>
      <c r="GQ3" s="3871">
        <f t="shared" si="2"/>
        <v>43535</v>
      </c>
      <c r="GR3" s="3871">
        <f t="shared" si="2"/>
        <v>43566</v>
      </c>
      <c r="GS3" s="3871">
        <f t="shared" si="2"/>
        <v>43597</v>
      </c>
      <c r="GT3" s="3871">
        <f t="shared" si="2"/>
        <v>43628</v>
      </c>
      <c r="GU3" s="3871">
        <f t="shared" si="2"/>
        <v>43659</v>
      </c>
      <c r="GV3" s="3871">
        <f t="shared" si="2"/>
        <v>43690</v>
      </c>
      <c r="GW3" s="3871">
        <f t="shared" si="2"/>
        <v>43721</v>
      </c>
      <c r="GX3" s="3871">
        <f t="shared" si="2"/>
        <v>43752</v>
      </c>
      <c r="GY3" s="3871">
        <f t="shared" si="2"/>
        <v>43783</v>
      </c>
      <c r="GZ3" s="3871">
        <f t="shared" si="2"/>
        <v>43814</v>
      </c>
      <c r="HA3" s="3871">
        <f t="shared" si="2"/>
        <v>43845</v>
      </c>
      <c r="HB3" s="3871">
        <f t="shared" si="2"/>
        <v>43876</v>
      </c>
      <c r="HC3" s="3873">
        <f t="shared" si="2"/>
        <v>43907</v>
      </c>
      <c r="HD3" s="3871">
        <f t="shared" si="2"/>
        <v>43938</v>
      </c>
      <c r="HE3" s="3871">
        <f t="shared" si="2"/>
        <v>43969</v>
      </c>
      <c r="HF3" s="3873">
        <f t="shared" si="2"/>
        <v>44000</v>
      </c>
      <c r="HG3" s="3871">
        <f t="shared" si="2"/>
        <v>44031</v>
      </c>
      <c r="HH3" s="3871">
        <f t="shared" si="2"/>
        <v>44062</v>
      </c>
      <c r="HI3" s="3871">
        <f t="shared" si="2"/>
        <v>44093</v>
      </c>
      <c r="HJ3" s="3871">
        <f t="shared" si="2"/>
        <v>44124</v>
      </c>
      <c r="HK3" s="3871">
        <f t="shared" si="2"/>
        <v>44155</v>
      </c>
      <c r="HL3" s="3871">
        <f t="shared" si="2"/>
        <v>44186</v>
      </c>
      <c r="HM3" s="3871">
        <f t="shared" si="2"/>
        <v>44217</v>
      </c>
      <c r="HN3" s="3871">
        <f t="shared" si="2"/>
        <v>44248</v>
      </c>
      <c r="HO3" s="3871">
        <f t="shared" si="2"/>
        <v>44279</v>
      </c>
      <c r="HP3" s="3871">
        <f t="shared" si="2"/>
        <v>44310</v>
      </c>
      <c r="HQ3" s="3871">
        <f>HP3+31</f>
        <v>44341</v>
      </c>
      <c r="HR3" s="3871">
        <f>HQ3+30</f>
        <v>44371</v>
      </c>
      <c r="HS3" s="3871">
        <f>HR3+30</f>
        <v>44401</v>
      </c>
    </row>
    <row r="4" spans="1:227" ht="15" customHeight="1" thickBot="1" x14ac:dyDescent="0.35">
      <c r="A4" s="2401" t="s">
        <v>4527</v>
      </c>
      <c r="B4" s="2402"/>
      <c r="C4" s="2402"/>
      <c r="D4" s="2402"/>
      <c r="E4" s="2402"/>
      <c r="F4" s="2402"/>
      <c r="G4" s="2402"/>
      <c r="H4" s="2402"/>
      <c r="I4" s="2402"/>
      <c r="J4" s="2402"/>
      <c r="K4" s="2402"/>
      <c r="L4" s="2402"/>
      <c r="M4" s="2402"/>
      <c r="N4" s="2402"/>
      <c r="O4" s="2402"/>
      <c r="P4" s="2402"/>
      <c r="Q4" s="2402"/>
      <c r="R4" s="2402"/>
      <c r="S4" s="2402"/>
      <c r="T4" s="2402"/>
      <c r="U4" s="2402"/>
      <c r="V4" s="2402"/>
      <c r="W4" s="2402"/>
      <c r="X4" s="2402"/>
      <c r="Y4" s="2402"/>
      <c r="Z4" s="2402"/>
      <c r="AA4" s="2402"/>
      <c r="AB4" s="2402"/>
      <c r="AC4" s="2402"/>
      <c r="AD4" s="2402"/>
      <c r="AE4" s="2402"/>
      <c r="AF4" s="2402"/>
      <c r="AG4" s="2402"/>
      <c r="AH4" s="2402"/>
      <c r="AI4" s="2402"/>
      <c r="AJ4" s="2402"/>
      <c r="AK4" s="2402"/>
      <c r="AL4" s="2402"/>
      <c r="AM4" s="2402"/>
      <c r="AN4" s="2402"/>
      <c r="AO4" s="2402"/>
      <c r="AP4" s="2402"/>
      <c r="AQ4" s="2402"/>
      <c r="AR4" s="2402"/>
      <c r="AS4" s="2402"/>
      <c r="AT4" s="2402"/>
      <c r="AU4" s="2402"/>
      <c r="AV4" s="2402"/>
      <c r="AW4" s="2402"/>
      <c r="AX4" s="2402"/>
      <c r="AY4" s="2402"/>
      <c r="AZ4" s="2402"/>
      <c r="BA4" s="2402"/>
      <c r="BB4" s="2402"/>
      <c r="BC4" s="2402"/>
      <c r="BD4" s="2402"/>
      <c r="BE4" s="2402"/>
      <c r="BF4" s="2402"/>
      <c r="BG4" s="2402"/>
      <c r="BH4" s="2402"/>
      <c r="BI4" s="2402"/>
      <c r="BJ4" s="2402"/>
      <c r="BK4" s="2402"/>
      <c r="BL4" s="2402"/>
      <c r="BM4" s="2402"/>
      <c r="BN4" s="2402"/>
      <c r="BO4" s="2402"/>
      <c r="BP4" s="2402"/>
      <c r="BQ4" s="2402"/>
      <c r="BR4" s="2402"/>
      <c r="BS4" s="2402"/>
      <c r="BT4" s="2402"/>
      <c r="BU4" s="2402"/>
      <c r="BV4" s="2402"/>
      <c r="BW4" s="2402"/>
      <c r="BX4" s="2402"/>
      <c r="BY4" s="2402"/>
      <c r="BZ4" s="2402"/>
      <c r="CA4" s="2402"/>
      <c r="CB4" s="2402"/>
      <c r="CC4" s="2402"/>
      <c r="CD4" s="2402"/>
      <c r="CE4" s="2402"/>
      <c r="CF4" s="2402"/>
      <c r="CG4" s="2402"/>
      <c r="CH4" s="2402"/>
      <c r="CI4" s="2402"/>
      <c r="CJ4" s="2402"/>
      <c r="CK4" s="2402"/>
      <c r="CL4" s="2402"/>
      <c r="CM4" s="2402"/>
      <c r="CN4" s="2402"/>
      <c r="CO4" s="2402"/>
      <c r="CP4" s="2402"/>
      <c r="CQ4" s="2402"/>
      <c r="CR4" s="2402"/>
      <c r="CS4" s="2402"/>
      <c r="CT4" s="2402"/>
      <c r="CU4" s="2402"/>
      <c r="CV4" s="2402"/>
      <c r="CW4" s="2402"/>
      <c r="CX4" s="2402"/>
      <c r="CY4" s="2402"/>
      <c r="CZ4" s="2402"/>
      <c r="DA4" s="2402"/>
      <c r="DB4" s="2402"/>
      <c r="DC4" s="2402"/>
      <c r="DD4" s="2402"/>
      <c r="DE4" s="2402"/>
      <c r="DF4" s="2402"/>
      <c r="DG4" s="2402"/>
      <c r="DH4" s="2402"/>
      <c r="DI4" s="2402"/>
      <c r="DJ4" s="2402"/>
      <c r="DK4" s="2402"/>
      <c r="DL4" s="2402"/>
      <c r="DM4" s="2402"/>
      <c r="DN4" s="2402"/>
      <c r="DO4" s="2402"/>
      <c r="DP4" s="2402"/>
      <c r="DQ4" s="2402"/>
      <c r="DR4" s="2402"/>
      <c r="DS4" s="2402"/>
      <c r="DT4" s="2402"/>
      <c r="DU4" s="2402"/>
      <c r="DV4" s="2402"/>
      <c r="DW4" s="2402"/>
      <c r="DX4" s="2402"/>
      <c r="DY4" s="2402"/>
      <c r="DZ4" s="2402"/>
      <c r="EA4" s="2402"/>
      <c r="EB4" s="2402"/>
      <c r="EC4" s="2402"/>
      <c r="ED4" s="2402"/>
      <c r="EE4" s="2402"/>
      <c r="EF4" s="2402"/>
      <c r="EG4" s="2402"/>
      <c r="EH4" s="2402"/>
      <c r="EI4" s="2402"/>
      <c r="EJ4" s="2402"/>
      <c r="EK4" s="2402"/>
      <c r="EL4" s="2402"/>
      <c r="EM4" s="2402"/>
      <c r="EN4" s="2402"/>
      <c r="EO4" s="2402"/>
      <c r="EP4" s="2402"/>
      <c r="EQ4" s="2402"/>
      <c r="ER4" s="2402"/>
      <c r="ES4" s="2402"/>
      <c r="ET4" s="2402"/>
      <c r="EU4" s="2402"/>
      <c r="EV4" s="2402"/>
      <c r="EW4" s="2402"/>
      <c r="EX4" s="2402"/>
      <c r="EY4" s="2402"/>
      <c r="EZ4" s="2402"/>
      <c r="FA4" s="2402"/>
      <c r="FB4" s="2402"/>
      <c r="FC4" s="2402"/>
      <c r="FD4" s="2402"/>
      <c r="FE4" s="2402"/>
      <c r="FF4" s="2402"/>
      <c r="FG4" s="2402"/>
      <c r="FH4" s="2402"/>
      <c r="FI4" s="2402"/>
      <c r="FJ4" s="2402"/>
      <c r="FK4" s="2402"/>
      <c r="FL4" s="2402"/>
      <c r="FM4" s="2402"/>
      <c r="FN4" s="2402"/>
      <c r="FO4" s="2402"/>
      <c r="FP4" s="2402"/>
      <c r="FQ4" s="2402"/>
      <c r="FR4" s="2402"/>
      <c r="FS4" s="2402"/>
      <c r="FT4" s="2402"/>
      <c r="FU4" s="2402"/>
      <c r="FV4" s="2402"/>
      <c r="FW4" s="2402"/>
      <c r="FX4" s="2402"/>
      <c r="FY4" s="2402"/>
      <c r="FZ4" s="2402"/>
      <c r="GA4" s="2402"/>
      <c r="GB4" s="2402"/>
      <c r="GC4" s="2402"/>
      <c r="GD4" s="2402"/>
      <c r="GE4" s="2402"/>
      <c r="GF4" s="2402"/>
      <c r="GG4" s="2402"/>
      <c r="GH4" s="2402"/>
      <c r="GI4" s="3872"/>
      <c r="GJ4" s="3872"/>
      <c r="GK4" s="3872"/>
      <c r="GL4" s="3872"/>
      <c r="GM4" s="3872"/>
      <c r="GN4" s="3872"/>
      <c r="GO4" s="3872"/>
      <c r="GP4" s="3872"/>
      <c r="GQ4" s="3872"/>
      <c r="GR4" s="3872"/>
      <c r="GS4" s="3872"/>
      <c r="GT4" s="3872"/>
      <c r="GU4" s="3872"/>
      <c r="GV4" s="3872"/>
      <c r="GW4" s="3872"/>
      <c r="GX4" s="3872"/>
      <c r="GY4" s="3872"/>
      <c r="GZ4" s="3872"/>
      <c r="HA4" s="3872"/>
      <c r="HB4" s="3872"/>
      <c r="HC4" s="3874"/>
      <c r="HD4" s="3872"/>
      <c r="HE4" s="3872"/>
      <c r="HF4" s="3874"/>
      <c r="HG4" s="3872"/>
      <c r="HH4" s="3872"/>
      <c r="HI4" s="3872"/>
      <c r="HJ4" s="3872"/>
      <c r="HK4" s="3872"/>
      <c r="HL4" s="3872"/>
      <c r="HM4" s="3872"/>
      <c r="HN4" s="3872"/>
      <c r="HO4" s="3872"/>
      <c r="HP4" s="3872"/>
      <c r="HQ4" s="3872"/>
      <c r="HR4" s="3872"/>
      <c r="HS4" s="3872"/>
    </row>
    <row r="5" spans="1:227" ht="21.75" customHeight="1" x14ac:dyDescent="0.3">
      <c r="A5" s="2403" t="s">
        <v>4528</v>
      </c>
      <c r="B5" s="2404">
        <v>15.56</v>
      </c>
      <c r="C5" s="2404">
        <v>16.52</v>
      </c>
      <c r="D5" s="2404">
        <v>17.329999999999998</v>
      </c>
      <c r="E5" s="2404">
        <v>17.13</v>
      </c>
      <c r="F5" s="2404">
        <v>16.48</v>
      </c>
      <c r="G5" s="2404">
        <v>16.59</v>
      </c>
      <c r="H5" s="2404">
        <v>16.309999999999999</v>
      </c>
      <c r="I5" s="2404">
        <v>16.600000000000001</v>
      </c>
      <c r="J5" s="2404">
        <v>16.739999999999998</v>
      </c>
      <c r="K5" s="2404">
        <v>16.73</v>
      </c>
      <c r="L5" s="2404">
        <v>16.89</v>
      </c>
      <c r="M5" s="2404">
        <v>17.05</v>
      </c>
      <c r="N5" s="2404">
        <v>16.79</v>
      </c>
      <c r="O5" s="2404">
        <v>17.3</v>
      </c>
      <c r="P5" s="2404">
        <v>18.260000000000002</v>
      </c>
      <c r="Q5" s="2404">
        <v>19.75</v>
      </c>
      <c r="R5" s="2404">
        <v>19.510000000000002</v>
      </c>
      <c r="S5" s="2404">
        <v>18.89</v>
      </c>
      <c r="T5" s="2404">
        <v>19.77</v>
      </c>
      <c r="U5" s="2404">
        <v>20.38</v>
      </c>
      <c r="V5" s="2404">
        <v>20.54</v>
      </c>
      <c r="W5" s="2404">
        <v>20.149999999999999</v>
      </c>
      <c r="X5" s="2404">
        <v>20.03</v>
      </c>
      <c r="Y5" s="2404">
        <v>20.13</v>
      </c>
      <c r="Z5" s="2404">
        <v>20.420000000000002</v>
      </c>
      <c r="AA5" s="2404">
        <v>20.190000000000001</v>
      </c>
      <c r="AB5" s="2404">
        <v>20.37</v>
      </c>
      <c r="AC5" s="2404">
        <v>19.649999999999999</v>
      </c>
      <c r="AD5" s="2404">
        <v>20.03</v>
      </c>
      <c r="AE5" s="2404">
        <v>20.239999999999998</v>
      </c>
      <c r="AF5" s="2404">
        <v>20.7</v>
      </c>
      <c r="AG5" s="2404">
        <v>21.53</v>
      </c>
      <c r="AH5" s="2404">
        <v>22.38</v>
      </c>
      <c r="AI5" s="2404">
        <v>22.26</v>
      </c>
      <c r="AJ5" s="2404">
        <v>22.38</v>
      </c>
      <c r="AK5" s="2404">
        <v>22.68</v>
      </c>
      <c r="AL5" s="2404">
        <v>22.9</v>
      </c>
      <c r="AM5" s="2404">
        <v>22.36</v>
      </c>
      <c r="AN5" s="2404">
        <v>22.69</v>
      </c>
      <c r="AO5" s="2404">
        <v>22.76</v>
      </c>
      <c r="AP5" s="2404">
        <v>22.49</v>
      </c>
      <c r="AQ5" s="2404">
        <v>23.29</v>
      </c>
      <c r="AR5" s="2404">
        <v>22.97</v>
      </c>
      <c r="AS5" s="2404">
        <v>22.82</v>
      </c>
      <c r="AT5" s="2404">
        <v>22.69</v>
      </c>
      <c r="AU5" s="2404">
        <v>23.25</v>
      </c>
      <c r="AV5" s="2404">
        <v>22.91</v>
      </c>
      <c r="AW5" s="2404">
        <v>22.29</v>
      </c>
      <c r="AX5" s="2404">
        <v>23.52</v>
      </c>
      <c r="AY5" s="2404">
        <v>23.79</v>
      </c>
      <c r="AZ5" s="2404">
        <v>23.13</v>
      </c>
      <c r="BA5" s="2404">
        <v>24.28</v>
      </c>
      <c r="BB5" s="2404">
        <v>25.02</v>
      </c>
      <c r="BC5" s="2404">
        <v>24.76</v>
      </c>
      <c r="BD5" s="2404">
        <v>25.8</v>
      </c>
      <c r="BE5" s="2404">
        <v>26.61</v>
      </c>
      <c r="BF5" s="2404">
        <v>26.95</v>
      </c>
      <c r="BG5" s="2404">
        <v>26.36</v>
      </c>
      <c r="BH5" s="2404">
        <v>26.64</v>
      </c>
      <c r="BI5" s="2404">
        <v>26.78</v>
      </c>
      <c r="BJ5" s="2404">
        <v>26.87</v>
      </c>
      <c r="BK5" s="2404">
        <v>26.29</v>
      </c>
      <c r="BL5" s="2404">
        <v>27.22</v>
      </c>
      <c r="BM5" s="2404">
        <v>27.39</v>
      </c>
      <c r="BN5" s="2404">
        <v>26.0532</v>
      </c>
      <c r="BO5" s="2404">
        <v>27.4922</v>
      </c>
      <c r="BP5" s="2404">
        <v>28.593599999999999</v>
      </c>
      <c r="BQ5" s="2404">
        <v>27.143999999999998</v>
      </c>
      <c r="BR5" s="2404">
        <v>25.668299999999999</v>
      </c>
      <c r="BS5" s="2404">
        <v>26.1235</v>
      </c>
      <c r="BT5" s="2404">
        <v>26.605399999999999</v>
      </c>
      <c r="BU5" s="2404">
        <v>24.6096</v>
      </c>
      <c r="BV5" s="2404">
        <v>24.8872</v>
      </c>
      <c r="BW5" s="2404">
        <v>27.118300000000001</v>
      </c>
      <c r="BX5" s="2404">
        <v>26.8184</v>
      </c>
      <c r="BY5" s="2404">
        <v>25.786799999999999</v>
      </c>
      <c r="BZ5" s="2404">
        <v>24.9757</v>
      </c>
      <c r="CA5" s="2404">
        <v>23.229199999999999</v>
      </c>
      <c r="CB5" s="2404">
        <v>22.044899999999998</v>
      </c>
      <c r="CC5" s="2404">
        <v>21.433499999999999</v>
      </c>
      <c r="CD5" s="2404">
        <v>22.654699999999998</v>
      </c>
      <c r="CE5" s="2404">
        <v>21.716699999999999</v>
      </c>
      <c r="CF5" s="2404">
        <v>22.553599999999999</v>
      </c>
      <c r="CG5" s="2404">
        <v>23.6126</v>
      </c>
      <c r="CH5" s="2404">
        <v>25.0962</v>
      </c>
      <c r="CI5" s="2404">
        <v>26.360900000000001</v>
      </c>
      <c r="CJ5" s="2404">
        <v>26.9573</v>
      </c>
      <c r="CK5" s="2404">
        <v>27.3185</v>
      </c>
      <c r="CL5" s="2404">
        <v>27.529699999999998</v>
      </c>
      <c r="CM5" s="2404">
        <v>27.882899999999999</v>
      </c>
      <c r="CN5" s="2404">
        <v>28.681100000000001</v>
      </c>
      <c r="CO5" s="2404">
        <v>28.164999999999999</v>
      </c>
      <c r="CP5" s="2404">
        <v>29.251000000000001</v>
      </c>
      <c r="CQ5" s="2404">
        <v>28.16612344759616</v>
      </c>
      <c r="CR5" s="2404">
        <v>28.499452496458929</v>
      </c>
      <c r="CS5" s="2404">
        <v>30.072427729575537</v>
      </c>
      <c r="CT5" s="2404">
        <v>29.940966177511076</v>
      </c>
      <c r="CU5" s="2404">
        <v>30.225972652943568</v>
      </c>
      <c r="CV5" s="2404">
        <v>31.850720017085713</v>
      </c>
      <c r="CW5" s="2404">
        <v>30.407761025539997</v>
      </c>
      <c r="CX5" s="2404">
        <v>30.856948067410002</v>
      </c>
      <c r="CY5" s="2404">
        <v>30.524032067954291</v>
      </c>
      <c r="CZ5" s="2404">
        <v>31.015875573434645</v>
      </c>
      <c r="DA5" s="2404">
        <v>30.808352357991776</v>
      </c>
      <c r="DB5" s="2404">
        <v>31.199055418040707</v>
      </c>
      <c r="DC5" s="2404">
        <v>31.640197820362499</v>
      </c>
      <c r="DD5" s="2404">
        <v>30.636825936685359</v>
      </c>
      <c r="DE5" s="2404">
        <v>29.047015291165362</v>
      </c>
      <c r="DF5" s="2404">
        <v>31.14696479228607</v>
      </c>
      <c r="DG5" s="2404">
        <v>30.016604410962859</v>
      </c>
      <c r="DH5" s="2404">
        <v>30.653454635537496</v>
      </c>
      <c r="DI5" s="2404">
        <v>31.78951233469142</v>
      </c>
      <c r="DJ5" s="2404">
        <v>32.031724399628217</v>
      </c>
      <c r="DK5" s="2404">
        <v>30.898686488191782</v>
      </c>
      <c r="DL5" s="2404">
        <v>31.132376976534285</v>
      </c>
      <c r="DM5" s="2404">
        <v>29.776268937628931</v>
      </c>
      <c r="DN5" s="2404">
        <v>32.116625134594635</v>
      </c>
      <c r="DO5" s="2404">
        <v>33.371623722129996</v>
      </c>
      <c r="DP5" s="2404">
        <v>32.202497256828565</v>
      </c>
      <c r="DQ5" s="2404">
        <v>32.544694504626854</v>
      </c>
      <c r="DR5" s="2404">
        <v>32.824064693024859</v>
      </c>
      <c r="DS5" s="2404">
        <v>32.862170824724437</v>
      </c>
      <c r="DT5" s="2404">
        <v>32.391319341800006</v>
      </c>
      <c r="DU5" s="2404">
        <v>32.120387970051432</v>
      </c>
      <c r="DV5" s="2404">
        <v>32.161973845968575</v>
      </c>
      <c r="DW5" s="2404">
        <v>33.017899227804911</v>
      </c>
      <c r="DX5" s="2404">
        <v>32.650179029661359</v>
      </c>
      <c r="DY5" s="2404">
        <v>30.508328271160714</v>
      </c>
      <c r="DZ5" s="2404">
        <v>29.219234642313637</v>
      </c>
      <c r="EA5" s="2404">
        <v>28.402400038163925</v>
      </c>
      <c r="EB5" s="2404">
        <v>28.121851271808289</v>
      </c>
      <c r="EC5" s="2404">
        <v>29.030171696165354</v>
      </c>
      <c r="ED5" s="2404">
        <v>29.197605977405573</v>
      </c>
      <c r="EE5" s="2404">
        <v>28.093810899874203</v>
      </c>
      <c r="EF5" s="2404">
        <v>27.423530487067431</v>
      </c>
      <c r="EG5" s="2404">
        <v>26.868356833097202</v>
      </c>
      <c r="EH5" s="2404">
        <v>27.51289510131857</v>
      </c>
      <c r="EI5" s="2404">
        <v>28.447808963130882</v>
      </c>
      <c r="EJ5" s="2404">
        <v>28.441322898389053</v>
      </c>
      <c r="EK5" s="2404">
        <v>28.738349329908999</v>
      </c>
      <c r="EL5" s="2404">
        <v>29.040735419048563</v>
      </c>
      <c r="EM5" s="2404">
        <v>28.91185272831196</v>
      </c>
      <c r="EN5" s="2404">
        <v>29.269448482517515</v>
      </c>
      <c r="EO5" s="2404">
        <v>27.939253139383428</v>
      </c>
      <c r="EP5" s="2404">
        <v>28.124029890492597</v>
      </c>
      <c r="EQ5" s="2404">
        <v>27.226541314789852</v>
      </c>
      <c r="ER5" s="2404">
        <v>26.439216729061425</v>
      </c>
      <c r="ES5" s="2404">
        <v>25.899436039495431</v>
      </c>
      <c r="ET5" s="2404">
        <v>26.375192937004499</v>
      </c>
      <c r="EU5" s="2404">
        <v>28.266616249922805</v>
      </c>
      <c r="EV5" s="2404">
        <v>28.6661</v>
      </c>
      <c r="EW5" s="2404">
        <v>27.625614285714281</v>
      </c>
      <c r="EX5" s="2404">
        <v>27.537492857142901</v>
      </c>
      <c r="EY5" s="2404">
        <v>26.409199999999998</v>
      </c>
      <c r="EZ5" s="2404">
        <v>25.694435714285699</v>
      </c>
      <c r="FA5" s="2404">
        <v>25.462199999999999</v>
      </c>
      <c r="FB5" s="2404">
        <v>26.114100000000001</v>
      </c>
      <c r="FC5" s="2404">
        <v>26.594899999999999</v>
      </c>
      <c r="FD5" s="2404">
        <v>26.756599999999999</v>
      </c>
      <c r="FE5" s="2404">
        <v>26.073399999999999</v>
      </c>
      <c r="FF5" s="2404">
        <v>26.177199999999999</v>
      </c>
      <c r="FG5" s="2404">
        <v>27.6374</v>
      </c>
      <c r="FH5" s="2404">
        <v>27.498899999999999</v>
      </c>
      <c r="FI5" s="2404">
        <v>26.2941</v>
      </c>
      <c r="FJ5" s="2404">
        <v>27.1995</v>
      </c>
      <c r="FK5" s="2404">
        <v>27.5107</v>
      </c>
      <c r="FL5" s="2404">
        <v>27.319800000000001</v>
      </c>
      <c r="FM5" s="2404">
        <v>27.7912</v>
      </c>
      <c r="FN5" s="2404">
        <v>27.902000000000001</v>
      </c>
      <c r="FO5" s="2404">
        <v>27.574000000000002</v>
      </c>
      <c r="FP5" s="2404">
        <v>26.712299999999999</v>
      </c>
      <c r="FQ5" s="2404">
        <v>27.6812</v>
      </c>
      <c r="FR5" s="2404">
        <v>28.092600000000001</v>
      </c>
      <c r="FS5" s="2404">
        <v>27.8217</v>
      </c>
      <c r="FT5" s="2404">
        <v>26.9466</v>
      </c>
      <c r="FU5" s="2404">
        <v>26.5915</v>
      </c>
      <c r="FV5" s="2404">
        <v>27.2529</v>
      </c>
      <c r="FW5" s="2404">
        <v>27.569500000000001</v>
      </c>
      <c r="FX5" s="2404">
        <v>26.726700000000001</v>
      </c>
      <c r="FY5" s="2404">
        <v>27.2149</v>
      </c>
      <c r="FZ5" s="2404">
        <v>26.942900000000002</v>
      </c>
      <c r="GA5" s="2404">
        <v>26.299499999999998</v>
      </c>
      <c r="GB5" s="2404">
        <v>26.8718</v>
      </c>
      <c r="GC5" s="2404">
        <v>27.0002</v>
      </c>
      <c r="GD5" s="2404">
        <v>26.397099999999998</v>
      </c>
      <c r="GE5" s="2404">
        <v>26.2913</v>
      </c>
      <c r="GF5" s="2404">
        <v>26.432700000000001</v>
      </c>
      <c r="GG5" s="2404">
        <v>26.623699999999999</v>
      </c>
      <c r="GH5" s="2404">
        <v>26.178100000000001</v>
      </c>
      <c r="GI5" s="2404">
        <v>25.941800000000001</v>
      </c>
      <c r="GJ5" s="2404">
        <v>25.396999999999998</v>
      </c>
      <c r="GK5" s="2404">
        <v>25.281500000000001</v>
      </c>
      <c r="GL5" s="2404">
        <v>25.065200000000001</v>
      </c>
      <c r="GM5" s="2404">
        <v>25.701000000000001</v>
      </c>
      <c r="GN5" s="2404">
        <v>24.729700000000001</v>
      </c>
      <c r="GO5" s="2404">
        <v>25.333600000000001</v>
      </c>
      <c r="GP5" s="2404">
        <v>24.877099999999999</v>
      </c>
      <c r="GQ5" s="2404">
        <v>25.213799999999999</v>
      </c>
      <c r="GR5" s="2404">
        <v>25.185199999999998</v>
      </c>
      <c r="GS5" s="2404">
        <v>25.120200000000001</v>
      </c>
      <c r="GT5" s="2404">
        <v>25.3874</v>
      </c>
      <c r="GU5" s="2404">
        <v>25.3841</v>
      </c>
      <c r="GV5" s="2404">
        <v>24.7578</v>
      </c>
      <c r="GW5" s="2404">
        <v>25.106000000000002</v>
      </c>
      <c r="GX5" s="2404">
        <v>25.589099999999998</v>
      </c>
      <c r="GY5" s="2404">
        <v>25.288399999999999</v>
      </c>
      <c r="GZ5" s="2404">
        <v>25.9694</v>
      </c>
      <c r="HA5" s="2404">
        <v>25.1722</v>
      </c>
      <c r="HB5" s="2404">
        <v>24.8858</v>
      </c>
      <c r="HC5" s="2405">
        <v>24.735199999999999</v>
      </c>
      <c r="HD5" s="2404">
        <v>26.758099999999999</v>
      </c>
      <c r="HE5" s="2404">
        <v>27.1037</v>
      </c>
      <c r="HF5" s="2405">
        <v>28.151199999999999</v>
      </c>
      <c r="HG5" s="2404">
        <v>29.2636</v>
      </c>
      <c r="HH5" s="2404">
        <v>29.791399999999999</v>
      </c>
      <c r="HI5" s="2404">
        <v>28.975899999999999</v>
      </c>
      <c r="HJ5" s="2404">
        <v>28.757300000000001</v>
      </c>
      <c r="HK5" s="2404">
        <v>30.0304</v>
      </c>
      <c r="HL5" s="2404">
        <v>30.911799999999999</v>
      </c>
      <c r="HM5" s="2404">
        <v>30.858699999999999</v>
      </c>
      <c r="HN5" s="2404">
        <v>31.764399999999998</v>
      </c>
      <c r="HO5" s="2404">
        <v>31.353100000000001</v>
      </c>
      <c r="HP5" s="2404">
        <v>31.981100000000001</v>
      </c>
      <c r="HQ5" s="2404">
        <v>31.9</v>
      </c>
      <c r="HR5" s="2404">
        <v>32.633699999999997</v>
      </c>
      <c r="HS5" s="2404">
        <v>32.055500000000002</v>
      </c>
    </row>
    <row r="6" spans="1:227" ht="21" customHeight="1" x14ac:dyDescent="0.3">
      <c r="A6" s="2403" t="s">
        <v>4529</v>
      </c>
      <c r="B6" s="2404">
        <v>3.95</v>
      </c>
      <c r="C6" s="2404">
        <v>3.94</v>
      </c>
      <c r="D6" s="2406">
        <v>3.93</v>
      </c>
      <c r="E6" s="2406">
        <v>3.9</v>
      </c>
      <c r="F6" s="2404">
        <v>3.88</v>
      </c>
      <c r="G6" s="2404">
        <v>3.87</v>
      </c>
      <c r="H6" s="2406">
        <v>3.87</v>
      </c>
      <c r="I6" s="2406">
        <v>3.87</v>
      </c>
      <c r="J6" s="2406">
        <v>3.85</v>
      </c>
      <c r="K6" s="2406">
        <v>3.81</v>
      </c>
      <c r="L6" s="2406">
        <v>3.7</v>
      </c>
      <c r="M6" s="2406">
        <v>3.63</v>
      </c>
      <c r="N6" s="2406">
        <v>3.59</v>
      </c>
      <c r="O6" s="2406">
        <v>3.58</v>
      </c>
      <c r="P6" s="2406">
        <v>3.61</v>
      </c>
      <c r="Q6" s="2406">
        <v>3.82</v>
      </c>
      <c r="R6" s="2406">
        <v>3.85</v>
      </c>
      <c r="S6" s="2406">
        <v>3.81</v>
      </c>
      <c r="T6" s="2406">
        <v>3.78</v>
      </c>
      <c r="U6" s="2406">
        <v>3.75</v>
      </c>
      <c r="V6" s="2406">
        <v>3.69</v>
      </c>
      <c r="W6" s="2406">
        <v>3.5</v>
      </c>
      <c r="X6" s="2406">
        <v>3.41</v>
      </c>
      <c r="Y6" s="2406">
        <v>3.39</v>
      </c>
      <c r="Z6" s="2406">
        <v>3.48</v>
      </c>
      <c r="AA6" s="2406">
        <v>3.62</v>
      </c>
      <c r="AB6" s="2406">
        <v>3.69</v>
      </c>
      <c r="AC6" s="2406">
        <v>3.68</v>
      </c>
      <c r="AD6" s="2406">
        <v>3.7</v>
      </c>
      <c r="AE6" s="2406">
        <v>3.72</v>
      </c>
      <c r="AF6" s="2406">
        <v>3.73</v>
      </c>
      <c r="AG6" s="2406">
        <v>3.74</v>
      </c>
      <c r="AH6" s="2406">
        <v>3.73</v>
      </c>
      <c r="AI6" s="2406">
        <v>3.7</v>
      </c>
      <c r="AJ6" s="2406">
        <v>3.73</v>
      </c>
      <c r="AK6" s="2406">
        <v>3.79</v>
      </c>
      <c r="AL6" s="2406">
        <v>3.8</v>
      </c>
      <c r="AM6" s="2406">
        <v>3.82</v>
      </c>
      <c r="AN6" s="2406">
        <v>3.85</v>
      </c>
      <c r="AO6" s="2406">
        <v>3.88</v>
      </c>
      <c r="AP6" s="2406">
        <v>3.9</v>
      </c>
      <c r="AQ6" s="2406">
        <v>3.96</v>
      </c>
      <c r="AR6" s="2406">
        <v>3.99</v>
      </c>
      <c r="AS6" s="2406">
        <v>4.0199999999999996</v>
      </c>
      <c r="AT6" s="2406">
        <v>4.03</v>
      </c>
      <c r="AU6" s="2406">
        <v>4.03</v>
      </c>
      <c r="AV6" s="2406">
        <v>4.04</v>
      </c>
      <c r="AW6" s="2406">
        <v>4.05</v>
      </c>
      <c r="AX6" s="2406">
        <v>4.0599999999999996</v>
      </c>
      <c r="AY6" s="2406">
        <v>4.05</v>
      </c>
      <c r="AZ6" s="2406">
        <v>4.0599999999999996</v>
      </c>
      <c r="BA6" s="2406">
        <v>4.1100000000000003</v>
      </c>
      <c r="BB6" s="2406">
        <v>4.25</v>
      </c>
      <c r="BC6" s="2406">
        <v>4.26</v>
      </c>
      <c r="BD6" s="2406">
        <v>4.3099999999999996</v>
      </c>
      <c r="BE6" s="2406">
        <v>4.34</v>
      </c>
      <c r="BF6" s="2406">
        <v>4.37</v>
      </c>
      <c r="BG6" s="2406">
        <v>4.3499999999999996</v>
      </c>
      <c r="BH6" s="2406">
        <v>4.3099999999999996</v>
      </c>
      <c r="BI6" s="2406">
        <v>4.2699999999999996</v>
      </c>
      <c r="BJ6" s="2406">
        <v>4.18</v>
      </c>
      <c r="BK6" s="2406">
        <v>4.12</v>
      </c>
      <c r="BL6" s="2406">
        <v>4.13</v>
      </c>
      <c r="BM6" s="2406">
        <v>4.09</v>
      </c>
      <c r="BN6" s="2406">
        <v>4.0932000000000004</v>
      </c>
      <c r="BO6" s="2406">
        <v>4.0366999999999997</v>
      </c>
      <c r="BP6" s="2406">
        <v>4.0175999999999998</v>
      </c>
      <c r="BQ6" s="2406">
        <v>3.948</v>
      </c>
      <c r="BR6" s="2406">
        <v>3.7471999999999999</v>
      </c>
      <c r="BS6" s="2406">
        <v>3.7690999999999999</v>
      </c>
      <c r="BT6" s="2406">
        <v>3.6236000000000002</v>
      </c>
      <c r="BU6" s="2406">
        <v>3.4592000000000001</v>
      </c>
      <c r="BV6" s="2406">
        <v>3.4264999999999999</v>
      </c>
      <c r="BW6" s="2406">
        <v>3.6351</v>
      </c>
      <c r="BX6" s="2406">
        <v>3.5863999999999998</v>
      </c>
      <c r="BY6" s="2406">
        <v>3.5167000000000002</v>
      </c>
      <c r="BZ6" s="2406">
        <v>3.7092000000000001</v>
      </c>
      <c r="CA6" s="2406">
        <v>3.7442000000000002</v>
      </c>
      <c r="CB6" s="2406">
        <v>4.2183999999999999</v>
      </c>
      <c r="CC6" s="2406">
        <v>4.2065000000000001</v>
      </c>
      <c r="CD6" s="2406">
        <v>4.2130000000000001</v>
      </c>
      <c r="CE6" s="2406">
        <v>4.3268000000000004</v>
      </c>
      <c r="CF6" s="2406">
        <v>4.5053999999999998</v>
      </c>
      <c r="CG6" s="2406">
        <v>4.4272</v>
      </c>
      <c r="CH6" s="2406">
        <v>4.4598000000000004</v>
      </c>
      <c r="CI6" s="2406">
        <v>4.3163</v>
      </c>
      <c r="CJ6" s="2406">
        <v>4.2948000000000004</v>
      </c>
      <c r="CK6" s="2406">
        <v>4.2535999999999996</v>
      </c>
      <c r="CL6" s="2404">
        <v>4.2291999999999996</v>
      </c>
      <c r="CM6" s="2404">
        <v>4.0975999999999999</v>
      </c>
      <c r="CN6" s="2404">
        <v>4.0427</v>
      </c>
      <c r="CO6" s="2404">
        <v>3.9632999999999998</v>
      </c>
      <c r="CP6" s="2404">
        <v>4.4180000000000001</v>
      </c>
      <c r="CQ6" s="2404">
        <v>4.032487560373756</v>
      </c>
      <c r="CR6" s="2404">
        <v>4.0969714264583965</v>
      </c>
      <c r="CS6" s="2404">
        <v>4.0047722008282394</v>
      </c>
      <c r="CT6" s="2404">
        <v>3.9543564370945878</v>
      </c>
      <c r="CU6" s="2404">
        <v>4.0426005138951515</v>
      </c>
      <c r="CV6" s="2404">
        <v>4.0278040434054869</v>
      </c>
      <c r="CW6" s="2404">
        <v>3.9279889267950394</v>
      </c>
      <c r="CX6" s="2404">
        <v>3.8959044275968897</v>
      </c>
      <c r="CY6" s="2404">
        <v>3.7942924247204624</v>
      </c>
      <c r="CZ6" s="2404">
        <v>3.6576214562405553</v>
      </c>
      <c r="DA6" s="2404">
        <v>3.6971726456905682</v>
      </c>
      <c r="DB6" s="2404">
        <v>3.7294413698932494</v>
      </c>
      <c r="DC6" s="2404">
        <v>3.6934897257530364</v>
      </c>
      <c r="DD6" s="2404">
        <v>3.6818912762427973</v>
      </c>
      <c r="DE6" s="2404">
        <v>3.8179949005074763</v>
      </c>
      <c r="DF6" s="2404">
        <v>3.8047301396428601</v>
      </c>
      <c r="DG6" s="2404">
        <v>3.8422869353282501</v>
      </c>
      <c r="DH6" s="2404">
        <v>3.8844088727125103</v>
      </c>
      <c r="DI6" s="2404">
        <v>3.8513244997920633</v>
      </c>
      <c r="DJ6" s="2404">
        <v>3.8175666094278706</v>
      </c>
      <c r="DK6" s="2404">
        <v>3.8251777537822003</v>
      </c>
      <c r="DL6" s="2404">
        <v>3.8342347896408513</v>
      </c>
      <c r="DM6" s="2404">
        <v>3.9417741110028013</v>
      </c>
      <c r="DN6" s="2404">
        <v>4.0708354957761896</v>
      </c>
      <c r="DO6" s="2404">
        <v>4.0905709470138962</v>
      </c>
      <c r="DP6" s="2404">
        <v>4.030456479785907</v>
      </c>
      <c r="DQ6" s="2404">
        <v>4.0078231107034785</v>
      </c>
      <c r="DR6" s="2404">
        <v>4.0806980113313447</v>
      </c>
      <c r="DS6" s="2404">
        <v>4.0671373455316617</v>
      </c>
      <c r="DT6" s="2404">
        <v>4.0231595015807393</v>
      </c>
      <c r="DU6" s="2404">
        <v>3.9837583570262205</v>
      </c>
      <c r="DV6" s="2404">
        <v>4.028247168938881</v>
      </c>
      <c r="DW6" s="2404">
        <v>4.0768341388566833</v>
      </c>
      <c r="DX6" s="2404">
        <v>4.0628685596363976</v>
      </c>
      <c r="DY6" s="2404">
        <v>4.0762222476361059</v>
      </c>
      <c r="DZ6" s="2404">
        <v>4.0615859662385274</v>
      </c>
      <c r="EA6" s="2404">
        <v>4.0526861410180075</v>
      </c>
      <c r="EB6" s="2404">
        <v>4.0540417623135312</v>
      </c>
      <c r="EC6" s="2404">
        <v>4.0257424481660626</v>
      </c>
      <c r="ED6" s="2404">
        <v>3.9721481226092061</v>
      </c>
      <c r="EE6" s="2404">
        <v>3.9915340622676623</v>
      </c>
      <c r="EF6" s="2404">
        <v>3.961008416987966</v>
      </c>
      <c r="EG6" s="2404">
        <v>3.96232685422873</v>
      </c>
      <c r="EH6" s="2404">
        <v>3.9605346166013895</v>
      </c>
      <c r="EI6" s="2404">
        <v>3.9588024734141762</v>
      </c>
      <c r="EJ6" s="2404">
        <v>3.9540965649064481</v>
      </c>
      <c r="EK6" s="2404">
        <v>3.9757805111719478</v>
      </c>
      <c r="EL6" s="2404">
        <v>3.9760763116678146</v>
      </c>
      <c r="EM6" s="2404">
        <v>4.0028902580014192</v>
      </c>
      <c r="EN6" s="2404">
        <v>4.0383165436656885</v>
      </c>
      <c r="EO6" s="2404">
        <v>4.1052129778189883</v>
      </c>
      <c r="EP6" s="2404">
        <v>4.1152610216866359</v>
      </c>
      <c r="EQ6" s="2404">
        <v>4.1406034676737535</v>
      </c>
      <c r="ER6" s="2404">
        <v>4.1598926892904453</v>
      </c>
      <c r="ES6" s="2404">
        <v>4.296523799351375</v>
      </c>
      <c r="ET6" s="2404">
        <v>4.3693169590461753</v>
      </c>
      <c r="EU6" s="2404">
        <v>4.7795437239206731</v>
      </c>
      <c r="EV6" s="2404">
        <v>4.6391923076923076</v>
      </c>
      <c r="EW6" s="2404">
        <v>4.6524538461538461</v>
      </c>
      <c r="EX6" s="2404">
        <v>4.6358846153846196</v>
      </c>
      <c r="EY6" s="2404">
        <v>4.6719999999999997</v>
      </c>
      <c r="EZ6" s="2404">
        <v>4.6441499999999998</v>
      </c>
      <c r="FA6" s="2404">
        <v>4.6896000000000004</v>
      </c>
      <c r="FB6" s="2404">
        <v>4.7465999999999999</v>
      </c>
      <c r="FC6" s="2404">
        <v>4.7805999999999997</v>
      </c>
      <c r="FD6" s="2404">
        <v>4.7352999999999996</v>
      </c>
      <c r="FE6" s="2404">
        <v>4.7266000000000004</v>
      </c>
      <c r="FF6" s="2404">
        <v>4.7249999999999996</v>
      </c>
      <c r="FG6" s="2404">
        <v>4.6643999999999997</v>
      </c>
      <c r="FH6" s="2404">
        <v>4.6374000000000004</v>
      </c>
      <c r="FI6" s="2404">
        <v>4.6788999999999996</v>
      </c>
      <c r="FJ6" s="2404">
        <v>4.7206999999999999</v>
      </c>
      <c r="FK6" s="2404">
        <v>4.7178000000000004</v>
      </c>
      <c r="FL6" s="2404">
        <v>4.6908000000000003</v>
      </c>
      <c r="FM6" s="2404">
        <v>4.7057000000000002</v>
      </c>
      <c r="FN6" s="2404">
        <v>4.7340999999999998</v>
      </c>
      <c r="FO6" s="2404">
        <v>4.7655000000000003</v>
      </c>
      <c r="FP6" s="2404">
        <v>4.7702</v>
      </c>
      <c r="FQ6" s="2404">
        <v>4.7239000000000004</v>
      </c>
      <c r="FR6" s="2404">
        <v>4.7161999999999997</v>
      </c>
      <c r="FS6" s="2404">
        <v>4.6936</v>
      </c>
      <c r="FT6" s="2404">
        <v>4.6420000000000003</v>
      </c>
      <c r="FU6" s="2404">
        <v>4.5907999999999998</v>
      </c>
      <c r="FV6" s="2404">
        <v>4.5442</v>
      </c>
      <c r="FW6" s="2404">
        <v>4.4356</v>
      </c>
      <c r="FX6" s="2404">
        <v>4.3327</v>
      </c>
      <c r="FY6" s="2404">
        <v>4.4561999999999999</v>
      </c>
      <c r="FZ6" s="2404">
        <v>4.5107999999999997</v>
      </c>
      <c r="GA6" s="2404">
        <v>4.4474999999999998</v>
      </c>
      <c r="GB6" s="2404">
        <v>4.4173999999999998</v>
      </c>
      <c r="GC6" s="2404">
        <v>4.2843</v>
      </c>
      <c r="GD6" s="2404">
        <v>4.3367000000000004</v>
      </c>
      <c r="GE6" s="2404">
        <v>4.3697999999999997</v>
      </c>
      <c r="GF6" s="2404">
        <v>4.4657</v>
      </c>
      <c r="GG6" s="2404">
        <v>4.5034000000000001</v>
      </c>
      <c r="GH6" s="2404">
        <v>4.5309999999999997</v>
      </c>
      <c r="GI6" s="2404">
        <v>4.4661</v>
      </c>
      <c r="GJ6" s="2404">
        <v>4.4770000000000003</v>
      </c>
      <c r="GK6" s="2404">
        <v>4.4945000000000004</v>
      </c>
      <c r="GL6" s="2404">
        <v>4.5246000000000004</v>
      </c>
      <c r="GM6" s="2404">
        <v>4.5039999999999996</v>
      </c>
      <c r="GN6" s="2404">
        <v>4.4854000000000003</v>
      </c>
      <c r="GO6" s="2404">
        <v>4.4579000000000004</v>
      </c>
      <c r="GP6" s="2404">
        <v>4.4497</v>
      </c>
      <c r="GQ6" s="2404">
        <v>4.5472999999999999</v>
      </c>
      <c r="GR6" s="2404">
        <v>4.5719000000000003</v>
      </c>
      <c r="GS6" s="2404">
        <v>4.6448</v>
      </c>
      <c r="GT6" s="2404">
        <v>4.6502999999999997</v>
      </c>
      <c r="GU6" s="2404">
        <v>4.7134</v>
      </c>
      <c r="GV6" s="2404">
        <v>4.7119999999999997</v>
      </c>
      <c r="GW6" s="2404">
        <v>4.7531999999999996</v>
      </c>
      <c r="GX6" s="2404">
        <v>4.7290999999999999</v>
      </c>
      <c r="GY6" s="2404">
        <v>4.7824999999999998</v>
      </c>
      <c r="GZ6" s="2404">
        <v>4.7704000000000004</v>
      </c>
      <c r="HA6" s="2404">
        <v>4.8326000000000002</v>
      </c>
      <c r="HB6" s="2404">
        <v>4.8975999999999997</v>
      </c>
      <c r="HC6" s="2405">
        <v>5.1717000000000004</v>
      </c>
      <c r="HD6" s="2404">
        <v>5.2782999999999998</v>
      </c>
      <c r="HE6" s="2404">
        <v>5.2723000000000004</v>
      </c>
      <c r="HF6" s="2405">
        <v>5.2923999999999998</v>
      </c>
      <c r="HG6" s="2404">
        <v>5.2454999999999998</v>
      </c>
      <c r="HH6" s="2404">
        <v>5.2332000000000001</v>
      </c>
      <c r="HI6" s="2404">
        <v>5.2538</v>
      </c>
      <c r="HJ6" s="2404">
        <v>5.2717000000000001</v>
      </c>
      <c r="HK6" s="2404">
        <v>5.2550999999999997</v>
      </c>
      <c r="HL6" s="2404">
        <v>5.19</v>
      </c>
      <c r="HM6" s="2404">
        <v>5.2191000000000001</v>
      </c>
      <c r="HN6" s="2404">
        <v>5.2348999999999997</v>
      </c>
      <c r="HO6" s="2404">
        <v>5.3159999999999998</v>
      </c>
      <c r="HP6" s="2404">
        <v>5.3093000000000004</v>
      </c>
      <c r="HQ6" s="2404">
        <v>5.3357000000000001</v>
      </c>
      <c r="HR6" s="2404">
        <v>5.6052999999999997</v>
      </c>
      <c r="HS6" s="2404">
        <v>5.5949999999999998</v>
      </c>
    </row>
    <row r="7" spans="1:227" ht="21" customHeight="1" x14ac:dyDescent="0.3">
      <c r="A7" s="2403" t="s">
        <v>4530</v>
      </c>
      <c r="B7" s="2404">
        <v>64</v>
      </c>
      <c r="C7" s="2406">
        <v>64</v>
      </c>
      <c r="D7" s="2406">
        <v>63</v>
      </c>
      <c r="E7" s="2406">
        <v>63</v>
      </c>
      <c r="F7" s="2404">
        <v>63</v>
      </c>
      <c r="G7" s="2406">
        <v>63</v>
      </c>
      <c r="H7" s="2406">
        <v>63</v>
      </c>
      <c r="I7" s="2406">
        <v>63</v>
      </c>
      <c r="J7" s="2406">
        <v>63</v>
      </c>
      <c r="K7" s="2406">
        <v>63</v>
      </c>
      <c r="L7" s="2406">
        <v>61</v>
      </c>
      <c r="M7" s="2406">
        <v>60</v>
      </c>
      <c r="N7" s="2406">
        <v>60</v>
      </c>
      <c r="O7" s="2406">
        <v>60</v>
      </c>
      <c r="P7" s="2406">
        <v>60</v>
      </c>
      <c r="Q7" s="2406">
        <v>65</v>
      </c>
      <c r="R7" s="2406">
        <v>66</v>
      </c>
      <c r="S7" s="2406">
        <v>65</v>
      </c>
      <c r="T7" s="2406">
        <v>64</v>
      </c>
      <c r="U7" s="2406">
        <v>65</v>
      </c>
      <c r="V7" s="2406">
        <v>63</v>
      </c>
      <c r="W7" s="2406">
        <v>60</v>
      </c>
      <c r="X7" s="2406">
        <v>59</v>
      </c>
      <c r="Y7" s="2406">
        <v>59</v>
      </c>
      <c r="Z7" s="2406">
        <v>62</v>
      </c>
      <c r="AA7" s="2406">
        <v>64</v>
      </c>
      <c r="AB7" s="2406">
        <v>64</v>
      </c>
      <c r="AC7" s="2406">
        <v>63</v>
      </c>
      <c r="AD7" s="2406">
        <v>63</v>
      </c>
      <c r="AE7" s="2406">
        <v>63</v>
      </c>
      <c r="AF7" s="2406">
        <v>64</v>
      </c>
      <c r="AG7" s="2406">
        <v>64</v>
      </c>
      <c r="AH7" s="2406">
        <v>65</v>
      </c>
      <c r="AI7" s="2406">
        <v>67</v>
      </c>
      <c r="AJ7" s="2406">
        <v>67</v>
      </c>
      <c r="AK7" s="2406">
        <v>68</v>
      </c>
      <c r="AL7" s="2406">
        <v>68</v>
      </c>
      <c r="AM7" s="2406">
        <v>69</v>
      </c>
      <c r="AN7" s="2406">
        <v>69</v>
      </c>
      <c r="AO7" s="2406">
        <v>70</v>
      </c>
      <c r="AP7" s="2406">
        <v>69</v>
      </c>
      <c r="AQ7" s="2406">
        <v>71</v>
      </c>
      <c r="AR7" s="2406">
        <v>69</v>
      </c>
      <c r="AS7" s="2406">
        <v>68</v>
      </c>
      <c r="AT7" s="2406">
        <v>69</v>
      </c>
      <c r="AU7" s="2406">
        <v>71</v>
      </c>
      <c r="AV7" s="2406">
        <v>71</v>
      </c>
      <c r="AW7" s="2406">
        <v>71</v>
      </c>
      <c r="AX7" s="2406">
        <v>70</v>
      </c>
      <c r="AY7" s="2406">
        <v>68</v>
      </c>
      <c r="AZ7" s="2406">
        <v>68</v>
      </c>
      <c r="BA7" s="2406">
        <v>69</v>
      </c>
      <c r="BB7" s="2406">
        <v>71</v>
      </c>
      <c r="BC7" s="2406">
        <v>72</v>
      </c>
      <c r="BD7" s="2406">
        <v>74</v>
      </c>
      <c r="BE7" s="2406">
        <v>76</v>
      </c>
      <c r="BF7" s="2406">
        <v>77</v>
      </c>
      <c r="BG7" s="2406">
        <v>77</v>
      </c>
      <c r="BH7" s="2406">
        <v>76</v>
      </c>
      <c r="BI7" s="2406">
        <v>77</v>
      </c>
      <c r="BJ7" s="2406">
        <v>79</v>
      </c>
      <c r="BK7" s="2406">
        <v>79</v>
      </c>
      <c r="BL7" s="2406">
        <v>79</v>
      </c>
      <c r="BM7" s="2406">
        <v>79</v>
      </c>
      <c r="BN7" s="2406">
        <v>78.05</v>
      </c>
      <c r="BO7" s="2406">
        <v>78.83</v>
      </c>
      <c r="BP7" s="2406">
        <v>79.45</v>
      </c>
      <c r="BQ7" s="2406">
        <v>77.67</v>
      </c>
      <c r="BR7" s="2406">
        <v>74.400000000000006</v>
      </c>
      <c r="BS7" s="2406">
        <v>74.81</v>
      </c>
      <c r="BT7" s="2406">
        <v>70.86</v>
      </c>
      <c r="BU7" s="2406">
        <v>67.650000000000006</v>
      </c>
      <c r="BV7" s="2406">
        <v>66.27</v>
      </c>
      <c r="BW7" s="2406">
        <v>66.94</v>
      </c>
      <c r="BX7" s="2406">
        <v>65.48</v>
      </c>
      <c r="BY7" s="2406">
        <v>64.739999999999995</v>
      </c>
      <c r="BZ7" s="2406">
        <v>66.5</v>
      </c>
      <c r="CA7" s="2406">
        <v>62.61</v>
      </c>
      <c r="CB7" s="2406">
        <v>66.86</v>
      </c>
      <c r="CC7" s="2406">
        <v>66.55</v>
      </c>
      <c r="CD7" s="2406">
        <v>68.040000000000006</v>
      </c>
      <c r="CE7" s="2406">
        <v>69.03</v>
      </c>
      <c r="CF7" s="2406">
        <v>69.55</v>
      </c>
      <c r="CG7" s="2406">
        <v>67.95</v>
      </c>
      <c r="CH7" s="2406">
        <v>69.77</v>
      </c>
      <c r="CI7" s="2406">
        <v>70.95</v>
      </c>
      <c r="CJ7" s="2406">
        <v>70.099999999999994</v>
      </c>
      <c r="CK7" s="2406">
        <v>68.75</v>
      </c>
      <c r="CL7" s="2404">
        <v>67.5</v>
      </c>
      <c r="CM7" s="2404">
        <v>66.58</v>
      </c>
      <c r="CN7" s="2404">
        <v>67.03</v>
      </c>
      <c r="CO7" s="2404">
        <v>66.52</v>
      </c>
      <c r="CP7" s="2404">
        <v>74.162000000000006</v>
      </c>
      <c r="CQ7" s="2404">
        <v>67.621465930757452</v>
      </c>
      <c r="CR7" s="2404">
        <v>68.015153579793093</v>
      </c>
      <c r="CS7" s="2404">
        <v>69.901770337746854</v>
      </c>
      <c r="CT7" s="2404">
        <v>69.083785246121522</v>
      </c>
      <c r="CU7" s="2404">
        <v>68.509426016998361</v>
      </c>
      <c r="CV7" s="2404">
        <v>69.996160890346346</v>
      </c>
      <c r="CW7" s="2404">
        <v>66.909526631273181</v>
      </c>
      <c r="CX7" s="2404">
        <v>67.264028800817499</v>
      </c>
      <c r="CY7" s="2404">
        <v>66.332525645814272</v>
      </c>
      <c r="CZ7" s="2404">
        <v>64.215241661898332</v>
      </c>
      <c r="DA7" s="2404">
        <v>64.096356697877539</v>
      </c>
      <c r="DB7" s="2404">
        <v>65.064923392718725</v>
      </c>
      <c r="DC7" s="2404">
        <v>65.514984532269622</v>
      </c>
      <c r="DD7" s="2404">
        <v>62.609482794946224</v>
      </c>
      <c r="DE7" s="2404">
        <v>60.925183705943788</v>
      </c>
      <c r="DF7" s="2404">
        <v>60.805336797674201</v>
      </c>
      <c r="DG7" s="2404">
        <v>57.766111715162715</v>
      </c>
      <c r="DH7" s="2404">
        <v>56.978143790512256</v>
      </c>
      <c r="DI7" s="2404">
        <v>60.469953757124337</v>
      </c>
      <c r="DJ7" s="2404">
        <v>60.776811663977739</v>
      </c>
      <c r="DK7" s="2404">
        <v>58.417736942427155</v>
      </c>
      <c r="DL7" s="2404">
        <v>56.970322258528853</v>
      </c>
      <c r="DM7" s="2404">
        <v>54.647744322051103</v>
      </c>
      <c r="DN7" s="2404">
        <v>56.436876067778485</v>
      </c>
      <c r="DO7" s="2404">
        <v>57.51169353670614</v>
      </c>
      <c r="DP7" s="2404">
        <v>56.436974802987415</v>
      </c>
      <c r="DQ7" s="2404">
        <v>59.337635921788724</v>
      </c>
      <c r="DR7" s="2404">
        <v>58.708532587011099</v>
      </c>
      <c r="DS7" s="2404">
        <v>57.981841042910823</v>
      </c>
      <c r="DT7" s="2404">
        <v>57.267521762874281</v>
      </c>
      <c r="DU7" s="2404">
        <v>58.453915276575344</v>
      </c>
      <c r="DV7" s="2404">
        <v>58.559244870373362</v>
      </c>
      <c r="DW7" s="2404">
        <v>58.55820232609873</v>
      </c>
      <c r="DX7" s="2404">
        <v>58.431138629502399</v>
      </c>
      <c r="DY7" s="2404">
        <v>56.22528491220492</v>
      </c>
      <c r="DZ7" s="2404">
        <v>52.989112348896327</v>
      </c>
      <c r="EA7" s="2404">
        <v>51.85604770778842</v>
      </c>
      <c r="EB7" s="2404">
        <v>47.221571906416195</v>
      </c>
      <c r="EC7" s="2404">
        <v>50.014158464413903</v>
      </c>
      <c r="ED7" s="2404">
        <v>50.409903941346613</v>
      </c>
      <c r="EE7" s="2404">
        <v>49.914315470957582</v>
      </c>
      <c r="EF7" s="2404">
        <v>49.837389293521611</v>
      </c>
      <c r="EG7" s="2404">
        <v>49.299081949840065</v>
      </c>
      <c r="EH7" s="2404">
        <v>49.786150536251107</v>
      </c>
      <c r="EI7" s="2404">
        <v>51.347800238420724</v>
      </c>
      <c r="EJ7" s="2404">
        <v>51.08716923012463</v>
      </c>
      <c r="EK7" s="2404">
        <v>52.503314757371811</v>
      </c>
      <c r="EL7" s="2404">
        <v>51.54664824967994</v>
      </c>
      <c r="EM7" s="2404">
        <v>51.75824170232719</v>
      </c>
      <c r="EN7" s="2404">
        <v>51.987331807788294</v>
      </c>
      <c r="EO7" s="2404">
        <v>52.084141875639226</v>
      </c>
      <c r="EP7" s="2404">
        <v>52.278968496050794</v>
      </c>
      <c r="EQ7" s="2404">
        <v>52.124514593445383</v>
      </c>
      <c r="ER7" s="2404">
        <v>51.169495620222129</v>
      </c>
      <c r="ES7" s="2404">
        <v>54.180032315431234</v>
      </c>
      <c r="ET7" s="2404">
        <v>55.02539100202879</v>
      </c>
      <c r="EU7" s="2404">
        <v>59.454253902015317</v>
      </c>
      <c r="EV7" s="2404">
        <v>56.837500000000006</v>
      </c>
      <c r="EW7" s="2404">
        <v>56.959230769230771</v>
      </c>
      <c r="EX7" s="2404">
        <v>56.67</v>
      </c>
      <c r="EY7" s="2404">
        <v>56.9130769230769</v>
      </c>
      <c r="EZ7" s="2404">
        <v>54.547692307692294</v>
      </c>
      <c r="FA7" s="2404">
        <v>55.540769230769207</v>
      </c>
      <c r="FB7" s="2404">
        <v>56.65</v>
      </c>
      <c r="FC7" s="2404">
        <v>55.789999999999992</v>
      </c>
      <c r="FD7" s="2404">
        <v>55.589999999999996</v>
      </c>
      <c r="FE7" s="2404">
        <v>54.390000000000008</v>
      </c>
      <c r="FF7" s="2404">
        <v>53.93</v>
      </c>
      <c r="FG7" s="2404">
        <v>54.92</v>
      </c>
      <c r="FH7" s="2404">
        <v>54.43</v>
      </c>
      <c r="FI7" s="2404">
        <v>54.410000000000004</v>
      </c>
      <c r="FJ7" s="2404">
        <v>54.500000000000007</v>
      </c>
      <c r="FK7" s="2404">
        <v>54.83</v>
      </c>
      <c r="FL7" s="2404">
        <v>54.49</v>
      </c>
      <c r="FM7" s="2404">
        <v>54.84</v>
      </c>
      <c r="FN7" s="2404">
        <v>55.33</v>
      </c>
      <c r="FO7" s="2404">
        <v>54.179999999999993</v>
      </c>
      <c r="FP7" s="2404">
        <v>54.64</v>
      </c>
      <c r="FQ7" s="2404">
        <v>54.300000000000004</v>
      </c>
      <c r="FR7" s="2404">
        <v>55.16</v>
      </c>
      <c r="FS7" s="2404">
        <v>56.45</v>
      </c>
      <c r="FT7" s="2404">
        <v>56.44</v>
      </c>
      <c r="FU7" s="2404">
        <v>55.53</v>
      </c>
      <c r="FV7" s="2404">
        <v>55.1</v>
      </c>
      <c r="FW7" s="2404">
        <v>54.24</v>
      </c>
      <c r="FX7" s="2404">
        <v>53.11</v>
      </c>
      <c r="FY7" s="2404">
        <v>53.410000000000004</v>
      </c>
      <c r="FZ7" s="2404">
        <v>54.400000000000006</v>
      </c>
      <c r="GA7" s="2404">
        <v>54.010000000000005</v>
      </c>
      <c r="GB7" s="2404">
        <v>54.21</v>
      </c>
      <c r="GC7" s="2404">
        <v>52.7</v>
      </c>
      <c r="GD7" s="2404">
        <v>52.5</v>
      </c>
      <c r="GE7" s="2404">
        <v>52.89</v>
      </c>
      <c r="GF7" s="2404">
        <v>52.769999999999996</v>
      </c>
      <c r="GG7" s="2404">
        <v>52.53</v>
      </c>
      <c r="GH7" s="2404">
        <v>52.15</v>
      </c>
      <c r="GI7" s="2404">
        <v>51.300000000000004</v>
      </c>
      <c r="GJ7" s="2404">
        <v>49.76</v>
      </c>
      <c r="GK7" s="2404">
        <v>48.699999999999996</v>
      </c>
      <c r="GL7" s="2404">
        <v>48.209999999999994</v>
      </c>
      <c r="GM7" s="2404">
        <v>50.8</v>
      </c>
      <c r="GN7" s="2404">
        <v>50.519999999999996</v>
      </c>
      <c r="GO7" s="2404">
        <v>49.49</v>
      </c>
      <c r="GP7" s="2404">
        <v>49.38</v>
      </c>
      <c r="GQ7" s="2404">
        <v>51.93</v>
      </c>
      <c r="GR7" s="2404">
        <v>51.570000000000007</v>
      </c>
      <c r="GS7" s="2404">
        <v>52.480000000000004</v>
      </c>
      <c r="GT7" s="2404">
        <v>52.959999999999994</v>
      </c>
      <c r="GU7" s="2404">
        <v>53.74</v>
      </c>
      <c r="GV7" s="2404">
        <v>51.76</v>
      </c>
      <c r="GW7" s="2404">
        <v>53.010000000000005</v>
      </c>
      <c r="GX7" s="2404">
        <v>52.66</v>
      </c>
      <c r="GY7" s="2404">
        <v>52.49</v>
      </c>
      <c r="GZ7" s="2404">
        <v>52.410000000000004</v>
      </c>
      <c r="HA7" s="2404">
        <v>52.93</v>
      </c>
      <c r="HB7" s="2404">
        <v>53.43</v>
      </c>
      <c r="HC7" s="2405">
        <v>53.53</v>
      </c>
      <c r="HD7" s="2404">
        <v>54.63</v>
      </c>
      <c r="HE7" s="2404">
        <v>54.31</v>
      </c>
      <c r="HF7" s="2405">
        <v>54.66</v>
      </c>
      <c r="HG7" s="2404">
        <v>54.620000000000005</v>
      </c>
      <c r="HH7" s="2404">
        <v>55.74</v>
      </c>
      <c r="HI7" s="2404">
        <v>55.46</v>
      </c>
      <c r="HJ7" s="2404">
        <v>55.279999999999994</v>
      </c>
      <c r="HK7" s="2404">
        <v>55.510000000000005</v>
      </c>
      <c r="HL7" s="2404">
        <v>55.46</v>
      </c>
      <c r="HM7" s="2404">
        <v>55.900000000000006</v>
      </c>
      <c r="HN7" s="2404">
        <v>56.06</v>
      </c>
      <c r="HO7" s="2404">
        <v>56.64</v>
      </c>
      <c r="HP7" s="2404">
        <v>56.06</v>
      </c>
      <c r="HQ7" s="2404">
        <v>57.589999999999996</v>
      </c>
      <c r="HR7" s="2404">
        <v>59.040000000000006</v>
      </c>
      <c r="HS7" s="2404">
        <v>58.89</v>
      </c>
    </row>
    <row r="8" spans="1:227" ht="21" customHeight="1" x14ac:dyDescent="0.3">
      <c r="A8" s="2403" t="s">
        <v>4531</v>
      </c>
      <c r="B8" s="2404">
        <v>23.05</v>
      </c>
      <c r="C8" s="2404">
        <v>23.86</v>
      </c>
      <c r="D8" s="2404">
        <v>24.71</v>
      </c>
      <c r="E8" s="2404">
        <v>25.31</v>
      </c>
      <c r="F8" s="2404">
        <v>25.07</v>
      </c>
      <c r="G8" s="2404">
        <v>25.44</v>
      </c>
      <c r="H8" s="2404">
        <v>24.65</v>
      </c>
      <c r="I8" s="2404">
        <v>24.4</v>
      </c>
      <c r="J8" s="2404">
        <v>24.37</v>
      </c>
      <c r="K8" s="2404">
        <v>24.87</v>
      </c>
      <c r="L8" s="2404">
        <v>24.09</v>
      </c>
      <c r="M8" s="2404">
        <v>23.88</v>
      </c>
      <c r="N8" s="2404">
        <v>23.26</v>
      </c>
      <c r="O8" s="2404">
        <v>23.22</v>
      </c>
      <c r="P8" s="2404">
        <v>23.6</v>
      </c>
      <c r="Q8" s="2404">
        <v>24.66</v>
      </c>
      <c r="R8" s="2404">
        <v>24.82</v>
      </c>
      <c r="S8" s="2404">
        <v>25.17</v>
      </c>
      <c r="T8" s="2404">
        <v>26.15</v>
      </c>
      <c r="U8" s="2404">
        <v>26.51</v>
      </c>
      <c r="V8" s="2404">
        <v>25.98</v>
      </c>
      <c r="W8" s="2404">
        <v>25.21</v>
      </c>
      <c r="X8" s="2404">
        <v>24.75</v>
      </c>
      <c r="Y8" s="2404">
        <v>23.83</v>
      </c>
      <c r="Z8" s="2404">
        <v>25.83</v>
      </c>
      <c r="AA8" s="2404">
        <v>25.41</v>
      </c>
      <c r="AB8" s="2404">
        <v>25.96</v>
      </c>
      <c r="AC8" s="2404">
        <v>26.24</v>
      </c>
      <c r="AD8" s="2404">
        <v>25.55</v>
      </c>
      <c r="AE8" s="2404">
        <v>26.25</v>
      </c>
      <c r="AF8" s="2404">
        <v>26.03</v>
      </c>
      <c r="AG8" s="2404">
        <v>27.15</v>
      </c>
      <c r="AH8" s="2404">
        <v>27.88</v>
      </c>
      <c r="AI8" s="2404">
        <v>27.79</v>
      </c>
      <c r="AJ8" s="2404">
        <v>27.89</v>
      </c>
      <c r="AK8" s="2404">
        <v>27.36</v>
      </c>
      <c r="AL8" s="2404">
        <v>27.78</v>
      </c>
      <c r="AM8" s="2404">
        <v>27.29</v>
      </c>
      <c r="AN8" s="2404">
        <v>26.92</v>
      </c>
      <c r="AO8" s="2404">
        <v>26.67</v>
      </c>
      <c r="AP8" s="2404">
        <v>27.01</v>
      </c>
      <c r="AQ8" s="2404">
        <v>27.02</v>
      </c>
      <c r="AR8" s="2404">
        <v>26.48</v>
      </c>
      <c r="AS8" s="2404">
        <v>25.83</v>
      </c>
      <c r="AT8" s="2404">
        <v>26.37</v>
      </c>
      <c r="AU8" s="2404">
        <v>26.32</v>
      </c>
      <c r="AV8" s="2404">
        <v>26.66</v>
      </c>
      <c r="AW8" s="2404">
        <v>26.52</v>
      </c>
      <c r="AX8" s="2404">
        <v>27.26</v>
      </c>
      <c r="AY8" s="2404">
        <v>27.8</v>
      </c>
      <c r="AZ8" s="2404">
        <v>27.19</v>
      </c>
      <c r="BA8" s="2404">
        <v>27.76</v>
      </c>
      <c r="BB8" s="2404">
        <v>28.02</v>
      </c>
      <c r="BC8" s="2404">
        <v>28.11</v>
      </c>
      <c r="BD8" s="2404">
        <v>28.6</v>
      </c>
      <c r="BE8" s="2404">
        <v>29.37</v>
      </c>
      <c r="BF8" s="2404">
        <v>28.84</v>
      </c>
      <c r="BG8" s="2404">
        <v>28.25</v>
      </c>
      <c r="BH8" s="2404">
        <v>28.58</v>
      </c>
      <c r="BI8" s="2404">
        <v>28.46</v>
      </c>
      <c r="BJ8" s="2404">
        <v>27.4</v>
      </c>
      <c r="BK8" s="2404">
        <v>26.4</v>
      </c>
      <c r="BL8" s="2404">
        <v>26.07</v>
      </c>
      <c r="BM8" s="2404">
        <v>26.84</v>
      </c>
      <c r="BN8" s="2404">
        <v>27.363700000000001</v>
      </c>
      <c r="BO8" s="2404">
        <v>27.070799999999998</v>
      </c>
      <c r="BP8" s="2404">
        <v>27.028600000000001</v>
      </c>
      <c r="BQ8" s="2404">
        <v>27.75</v>
      </c>
      <c r="BR8" s="2404">
        <v>26.030200000000001</v>
      </c>
      <c r="BS8" s="2404">
        <v>27.543900000000001</v>
      </c>
      <c r="BT8" s="2404">
        <v>26.832599999999999</v>
      </c>
      <c r="BU8" s="2404">
        <v>26.9102</v>
      </c>
      <c r="BV8" s="2404">
        <v>25.618500000000001</v>
      </c>
      <c r="BW8" s="2404">
        <v>26.8565</v>
      </c>
      <c r="BX8" s="2404">
        <v>26.243600000000001</v>
      </c>
      <c r="BY8" s="2404">
        <v>25.290500000000002</v>
      </c>
      <c r="BZ8" s="2404">
        <v>26.493600000000001</v>
      </c>
      <c r="CA8" s="2404">
        <v>27.8292</v>
      </c>
      <c r="CB8" s="2404">
        <v>33.240400000000001</v>
      </c>
      <c r="CC8" s="2404">
        <v>34.240400000000001</v>
      </c>
      <c r="CD8" s="2404">
        <v>36.168199999999999</v>
      </c>
      <c r="CE8" s="2404">
        <v>37.496499999999997</v>
      </c>
      <c r="CF8" s="2404">
        <v>35.847799999999999</v>
      </c>
      <c r="CG8" s="2404">
        <v>34.9191</v>
      </c>
      <c r="CH8" s="2404">
        <v>35.516800000000003</v>
      </c>
      <c r="CI8" s="2404">
        <v>34.719099999999997</v>
      </c>
      <c r="CJ8" s="2404">
        <v>34.7348</v>
      </c>
      <c r="CK8" s="2404">
        <v>34.563699999999997</v>
      </c>
      <c r="CL8" s="2404">
        <v>35.354500000000002</v>
      </c>
      <c r="CM8" s="2404">
        <v>35.363900000000001</v>
      </c>
      <c r="CN8" s="2404">
        <v>34.321399999999997</v>
      </c>
      <c r="CO8" s="2404">
        <v>35.4818</v>
      </c>
      <c r="CP8" s="2404">
        <v>37.631</v>
      </c>
      <c r="CQ8" s="2404">
        <v>36.192216935872509</v>
      </c>
      <c r="CR8" s="2404">
        <v>37.821877308377502</v>
      </c>
      <c r="CS8" s="2404">
        <v>37.219917508368873</v>
      </c>
      <c r="CT8" s="2404">
        <v>38.030318317742591</v>
      </c>
      <c r="CU8" s="2404">
        <v>37.397090542433666</v>
      </c>
      <c r="CV8" s="2404">
        <v>38.398233090495204</v>
      </c>
      <c r="CW8" s="2404">
        <v>37.330712340682318</v>
      </c>
      <c r="CX8" s="2404">
        <v>37.162393104391363</v>
      </c>
      <c r="CY8" s="2404">
        <v>35.747713129363255</v>
      </c>
      <c r="CZ8" s="2404">
        <v>34.869090701984298</v>
      </c>
      <c r="DA8" s="2404">
        <v>35.450514349747344</v>
      </c>
      <c r="DB8" s="2404">
        <v>36.120491087199873</v>
      </c>
      <c r="DC8" s="2404">
        <v>37.154141270855305</v>
      </c>
      <c r="DD8" s="2404">
        <v>37.349127179501671</v>
      </c>
      <c r="DE8" s="2404">
        <v>38.851794048499187</v>
      </c>
      <c r="DF8" s="2404">
        <v>37.451097051576163</v>
      </c>
      <c r="DG8" s="2404">
        <v>38.436976986220429</v>
      </c>
      <c r="DH8" s="2404">
        <v>38.923089766284477</v>
      </c>
      <c r="DI8" s="2404">
        <v>39.202769408927452</v>
      </c>
      <c r="DJ8" s="2404">
        <v>36.854965424509523</v>
      </c>
      <c r="DK8" s="2404">
        <v>36.236119514273106</v>
      </c>
      <c r="DL8" s="2404">
        <v>37.138350371748196</v>
      </c>
      <c r="DM8" s="2404">
        <v>38.936352352371884</v>
      </c>
      <c r="DN8" s="2404">
        <v>39.920747363666543</v>
      </c>
      <c r="DO8" s="2404">
        <v>40.605514524767266</v>
      </c>
      <c r="DP8" s="2404">
        <v>39.877171772575444</v>
      </c>
      <c r="DQ8" s="2404">
        <v>40.135376081692662</v>
      </c>
      <c r="DR8" s="2404">
        <v>39.767120968869634</v>
      </c>
      <c r="DS8" s="2404">
        <v>38.236477661312456</v>
      </c>
      <c r="DT8" s="2404">
        <v>36.266761483454907</v>
      </c>
      <c r="DU8" s="2404">
        <v>34.07411397709302</v>
      </c>
      <c r="DV8" s="2404">
        <v>33.970538491751711</v>
      </c>
      <c r="DW8" s="2404">
        <v>33.697482595387164</v>
      </c>
      <c r="DX8" s="2404">
        <v>32.230965810489437</v>
      </c>
      <c r="DY8" s="2404">
        <v>31.388335783391476</v>
      </c>
      <c r="DZ8" s="2404">
        <v>31.92442258285098</v>
      </c>
      <c r="EA8" s="2404">
        <v>32.110977551623179</v>
      </c>
      <c r="EB8" s="2404">
        <v>32.027660234362443</v>
      </c>
      <c r="EC8" s="2404">
        <v>31.884550718549914</v>
      </c>
      <c r="ED8" s="2404">
        <v>31.347868020467789</v>
      </c>
      <c r="EE8" s="2404">
        <v>30.27992693005519</v>
      </c>
      <c r="EF8" s="2404">
        <v>29.302344743655862</v>
      </c>
      <c r="EG8" s="2404">
        <v>30.1024054923767</v>
      </c>
      <c r="EH8" s="2404">
        <v>30.254649525692013</v>
      </c>
      <c r="EI8" s="2404">
        <v>30.114528189356157</v>
      </c>
      <c r="EJ8" s="2404">
        <v>29.979010822972629</v>
      </c>
      <c r="EK8" s="2404">
        <v>30.401556704455686</v>
      </c>
      <c r="EL8" s="2404">
        <v>30.473484408435827</v>
      </c>
      <c r="EM8" s="2404">
        <v>30.239180374258986</v>
      </c>
      <c r="EN8" s="2404">
        <v>30.220516284028687</v>
      </c>
      <c r="EO8" s="2404">
        <v>29.244391751543585</v>
      </c>
      <c r="EP8" s="2404">
        <v>29.131282976020845</v>
      </c>
      <c r="EQ8" s="2404">
        <v>27.189367636533095</v>
      </c>
      <c r="ER8" s="2404">
        <v>27.052096734483751</v>
      </c>
      <c r="ES8" s="2404">
        <v>28.263223244574245</v>
      </c>
      <c r="ET8" s="2404">
        <v>28.452828945854574</v>
      </c>
      <c r="EU8" s="2404">
        <v>30.898646839001891</v>
      </c>
      <c r="EV8" s="2404">
        <v>30.2958</v>
      </c>
      <c r="EW8" s="2404">
        <v>29.172507142857143</v>
      </c>
      <c r="EX8" s="2404">
        <v>29.384114285714301</v>
      </c>
      <c r="EY8" s="2404">
        <v>29.230035714285702</v>
      </c>
      <c r="EZ8" s="2404">
        <v>29.7573857142857</v>
      </c>
      <c r="FA8" s="2404">
        <v>30.322835714285699</v>
      </c>
      <c r="FB8" s="2404">
        <v>30.3886</v>
      </c>
      <c r="FC8" s="2404">
        <v>30.203600000000002</v>
      </c>
      <c r="FD8" s="2404">
        <v>30.495799999999999</v>
      </c>
      <c r="FE8" s="2404">
        <v>30.7272</v>
      </c>
      <c r="FF8" s="2404">
        <v>32.443199999999997</v>
      </c>
      <c r="FG8" s="2404">
        <v>32.218899999999998</v>
      </c>
      <c r="FH8" s="2404">
        <v>33.5443</v>
      </c>
      <c r="FI8" s="2404">
        <v>32.682299999999998</v>
      </c>
      <c r="FJ8" s="2404">
        <v>35.639299999999999</v>
      </c>
      <c r="FK8" s="2404">
        <v>35.415900000000001</v>
      </c>
      <c r="FL8" s="2404">
        <v>35.313099999999999</v>
      </c>
      <c r="FM8" s="2404">
        <v>36.005099999999999</v>
      </c>
      <c r="FN8" s="2404">
        <v>35.028599999999997</v>
      </c>
      <c r="FO8" s="2404">
        <v>32.769500000000001</v>
      </c>
      <c r="FP8" s="2404">
        <v>31.680399999999999</v>
      </c>
      <c r="FQ8" s="2404">
        <v>32.275399999999998</v>
      </c>
      <c r="FR8" s="2404">
        <v>32.506799999999998</v>
      </c>
      <c r="FS8" s="2404">
        <v>32.517400000000002</v>
      </c>
      <c r="FT8" s="2404">
        <v>32.482399999999998</v>
      </c>
      <c r="FU8" s="2404">
        <v>32.203600000000002</v>
      </c>
      <c r="FV8" s="2404">
        <v>31.680399999999999</v>
      </c>
      <c r="FW8" s="2404">
        <v>31.308199999999999</v>
      </c>
      <c r="FX8" s="2404">
        <v>30.5946</v>
      </c>
      <c r="FY8" s="2404">
        <v>30.828800000000001</v>
      </c>
      <c r="FZ8" s="2404">
        <v>31.016100000000002</v>
      </c>
      <c r="GA8" s="2404">
        <v>30.957000000000001</v>
      </c>
      <c r="GB8" s="2404">
        <v>30.5686</v>
      </c>
      <c r="GC8" s="2404">
        <v>30.732399999999998</v>
      </c>
      <c r="GD8" s="2404">
        <v>31.609200000000001</v>
      </c>
      <c r="GE8" s="2404">
        <v>32.191800000000001</v>
      </c>
      <c r="GF8" s="2404">
        <v>32.018500000000003</v>
      </c>
      <c r="GG8" s="2404">
        <v>32.4041</v>
      </c>
      <c r="GH8" s="2404">
        <v>32.023299999999999</v>
      </c>
      <c r="GI8" s="2404">
        <v>31.444900000000001</v>
      </c>
      <c r="GJ8" s="2404">
        <v>31.557300000000001</v>
      </c>
      <c r="GK8" s="2404">
        <v>30.891100000000002</v>
      </c>
      <c r="GL8" s="2404">
        <v>31.264600000000002</v>
      </c>
      <c r="GM8" s="2404">
        <v>30.989899999999999</v>
      </c>
      <c r="GN8" s="2404">
        <v>31.7242</v>
      </c>
      <c r="GO8" s="2404">
        <v>32.031999999999996</v>
      </c>
      <c r="GP8" s="2404">
        <v>31.407499999999999</v>
      </c>
      <c r="GQ8" s="2404">
        <v>32.137900000000002</v>
      </c>
      <c r="GR8" s="2404">
        <v>32.058500000000002</v>
      </c>
      <c r="GS8" s="2404">
        <v>33.3035</v>
      </c>
      <c r="GT8" s="2404">
        <v>33.652500000000003</v>
      </c>
      <c r="GU8" s="2404">
        <v>33.893599999999999</v>
      </c>
      <c r="GV8" s="2404">
        <v>34.637999999999998</v>
      </c>
      <c r="GW8" s="2404">
        <v>34.439</v>
      </c>
      <c r="GX8" s="2404">
        <v>34.009399999999999</v>
      </c>
      <c r="GY8" s="2404">
        <v>34.102499999999999</v>
      </c>
      <c r="GZ8" s="2404">
        <v>34.089599999999997</v>
      </c>
      <c r="HA8" s="2404">
        <v>34.3461</v>
      </c>
      <c r="HB8" s="2404">
        <v>34.949300000000001</v>
      </c>
      <c r="HC8" s="2405">
        <v>36.931399999999996</v>
      </c>
      <c r="HD8" s="2404">
        <v>38.290100000000002</v>
      </c>
      <c r="HE8" s="2404">
        <v>37.967700000000001</v>
      </c>
      <c r="HF8" s="2405">
        <v>37.967199999999998</v>
      </c>
      <c r="HG8" s="2404">
        <v>38.886600000000001</v>
      </c>
      <c r="HH8" s="2404">
        <v>38.319800000000001</v>
      </c>
      <c r="HI8" s="2404">
        <v>38.475099999999998</v>
      </c>
      <c r="HJ8" s="2404">
        <v>39.052700000000002</v>
      </c>
      <c r="HK8" s="2404">
        <v>39.104700000000001</v>
      </c>
      <c r="HL8" s="2404">
        <v>38.894100000000002</v>
      </c>
      <c r="HM8" s="2404">
        <v>38.6203</v>
      </c>
      <c r="HN8" s="2404">
        <v>38.171199999999999</v>
      </c>
      <c r="HO8" s="2404">
        <v>37.189599999999999</v>
      </c>
      <c r="HP8" s="2404">
        <v>37.755699999999997</v>
      </c>
      <c r="HQ8" s="2404">
        <v>37.634099999999997</v>
      </c>
      <c r="HR8" s="2404">
        <v>39.2714</v>
      </c>
      <c r="HS8" s="2404">
        <v>39.5946</v>
      </c>
    </row>
    <row r="9" spans="1:227" ht="21" customHeight="1" x14ac:dyDescent="0.3">
      <c r="A9" s="2403" t="s">
        <v>4532</v>
      </c>
      <c r="B9" s="2404">
        <v>39.5</v>
      </c>
      <c r="C9" s="2404">
        <v>39.53</v>
      </c>
      <c r="D9" s="2404">
        <v>39.369999999999997</v>
      </c>
      <c r="E9" s="2404">
        <v>38.880000000000003</v>
      </c>
      <c r="F9" s="2404">
        <v>38.69</v>
      </c>
      <c r="G9" s="2404">
        <v>38.61</v>
      </c>
      <c r="H9" s="2404">
        <v>38.42</v>
      </c>
      <c r="I9" s="2404">
        <v>38.11</v>
      </c>
      <c r="J9" s="2404">
        <v>37.68</v>
      </c>
      <c r="K9" s="2404">
        <v>38.72</v>
      </c>
      <c r="L9" s="2404">
        <v>37.39</v>
      </c>
      <c r="M9" s="2404">
        <v>37.200000000000003</v>
      </c>
      <c r="N9" s="2404">
        <v>36.71</v>
      </c>
      <c r="O9" s="2404">
        <v>37.770000000000003</v>
      </c>
      <c r="P9" s="2404">
        <v>39.159999999999997</v>
      </c>
      <c r="Q9" s="2404">
        <v>40.520000000000003</v>
      </c>
      <c r="R9" s="2404">
        <v>40.22</v>
      </c>
      <c r="S9" s="2404">
        <v>39.08</v>
      </c>
      <c r="T9" s="2404">
        <v>37.67</v>
      </c>
      <c r="U9" s="2404">
        <v>37.450000000000003</v>
      </c>
      <c r="V9" s="2404">
        <v>37.92</v>
      </c>
      <c r="W9" s="2404">
        <v>35.92</v>
      </c>
      <c r="X9" s="2404">
        <v>35.01</v>
      </c>
      <c r="Y9" s="2404">
        <v>34.89</v>
      </c>
      <c r="Z9" s="2404">
        <v>35.369999999999997</v>
      </c>
      <c r="AA9" s="2404">
        <v>36.479999999999997</v>
      </c>
      <c r="AB9" s="2404">
        <v>36.630000000000003</v>
      </c>
      <c r="AC9" s="2404">
        <v>36.6</v>
      </c>
      <c r="AD9" s="2404">
        <v>36.32</v>
      </c>
      <c r="AE9" s="2404">
        <v>36.69</v>
      </c>
      <c r="AF9" s="2404">
        <v>36.270000000000003</v>
      </c>
      <c r="AG9" s="2404">
        <v>36.159999999999997</v>
      </c>
      <c r="AH9" s="2404">
        <v>36.06</v>
      </c>
      <c r="AI9" s="2404">
        <v>37.68</v>
      </c>
      <c r="AJ9" s="2404">
        <v>38.229999999999997</v>
      </c>
      <c r="AK9" s="2404">
        <v>39.9</v>
      </c>
      <c r="AL9" s="2404">
        <v>39.07</v>
      </c>
      <c r="AM9" s="2404">
        <v>39.06</v>
      </c>
      <c r="AN9" s="2404">
        <v>39.67</v>
      </c>
      <c r="AO9" s="2404">
        <v>40.1</v>
      </c>
      <c r="AP9" s="2404">
        <v>40.44</v>
      </c>
      <c r="AQ9" s="2404">
        <v>41.97</v>
      </c>
      <c r="AR9" s="2404">
        <v>42.34</v>
      </c>
      <c r="AS9" s="2404">
        <v>42.2</v>
      </c>
      <c r="AT9" s="2404">
        <v>43.46</v>
      </c>
      <c r="AU9" s="2404">
        <v>43.72</v>
      </c>
      <c r="AV9" s="2404">
        <v>43.05</v>
      </c>
      <c r="AW9" s="2404">
        <v>44.19</v>
      </c>
      <c r="AX9" s="2404">
        <v>44.69</v>
      </c>
      <c r="AY9" s="2404">
        <v>43.96</v>
      </c>
      <c r="AZ9" s="2404">
        <v>43.06</v>
      </c>
      <c r="BA9" s="2404">
        <v>43.77</v>
      </c>
      <c r="BB9" s="2404">
        <v>46.09</v>
      </c>
      <c r="BC9" s="2404">
        <v>46.26</v>
      </c>
      <c r="BD9" s="2404">
        <v>46.86</v>
      </c>
      <c r="BE9" s="2404">
        <v>48.75</v>
      </c>
      <c r="BF9" s="2404">
        <v>49.24</v>
      </c>
      <c r="BG9" s="2404">
        <v>48.73</v>
      </c>
      <c r="BH9" s="2404">
        <v>48.8</v>
      </c>
      <c r="BI9" s="2404">
        <v>48.86</v>
      </c>
      <c r="BJ9" s="2404">
        <v>48.2</v>
      </c>
      <c r="BK9" s="2404">
        <v>48.52</v>
      </c>
      <c r="BL9" s="2404">
        <v>49.31</v>
      </c>
      <c r="BM9" s="2404">
        <v>47.73</v>
      </c>
      <c r="BN9" s="2404">
        <v>48.086100000000002</v>
      </c>
      <c r="BO9" s="2404">
        <v>46.983499999999999</v>
      </c>
      <c r="BP9" s="2404">
        <v>46.712400000000002</v>
      </c>
      <c r="BQ9" s="2404">
        <v>48.061999999999998</v>
      </c>
      <c r="BR9" s="2404">
        <v>46.351199999999999</v>
      </c>
      <c r="BS9" s="2404">
        <v>42.833500000000001</v>
      </c>
      <c r="BT9" s="2404">
        <v>41.456099999999999</v>
      </c>
      <c r="BU9" s="2404">
        <v>43.562100000000001</v>
      </c>
      <c r="BV9" s="2404">
        <v>43.444899999999997</v>
      </c>
      <c r="BW9" s="2404">
        <v>46.621499999999997</v>
      </c>
      <c r="BX9" s="2404">
        <v>43.881500000000003</v>
      </c>
      <c r="BY9" s="2404">
        <v>41.286200000000001</v>
      </c>
      <c r="BZ9" s="2404">
        <v>42.832299999999996</v>
      </c>
      <c r="CA9" s="2404">
        <v>40.188099999999999</v>
      </c>
      <c r="CB9" s="2404">
        <v>41.925800000000002</v>
      </c>
      <c r="CC9" s="2404">
        <v>42.5319</v>
      </c>
      <c r="CD9" s="2404">
        <v>42.685299999999998</v>
      </c>
      <c r="CE9" s="2404">
        <v>42.953899999999997</v>
      </c>
      <c r="CF9" s="2404">
        <v>44.591799999999999</v>
      </c>
      <c r="CG9" s="2404">
        <v>43.173200000000001</v>
      </c>
      <c r="CH9" s="2404">
        <v>44.6023</v>
      </c>
      <c r="CI9" s="2404">
        <v>43.169600000000003</v>
      </c>
      <c r="CJ9" s="2404">
        <v>43.700699999999998</v>
      </c>
      <c r="CK9" s="2404">
        <v>43.552500000000002</v>
      </c>
      <c r="CL9" s="2404">
        <v>43.598599999999998</v>
      </c>
      <c r="CM9" s="2404">
        <v>42.632599999999996</v>
      </c>
      <c r="CN9" s="2404">
        <v>42.175199999999997</v>
      </c>
      <c r="CO9" s="2404">
        <v>41.384399999999999</v>
      </c>
      <c r="CP9" s="2404">
        <v>43.67</v>
      </c>
      <c r="CQ9" s="2404">
        <v>39.448201547168935</v>
      </c>
      <c r="CR9" s="2404">
        <v>39.807171491282311</v>
      </c>
      <c r="CS9" s="2404">
        <v>38.940702517048976</v>
      </c>
      <c r="CT9" s="2404">
        <v>38.357676988847587</v>
      </c>
      <c r="CU9" s="2404">
        <v>39.309670401978977</v>
      </c>
      <c r="CV9" s="2404">
        <v>39.246129680337006</v>
      </c>
      <c r="CW9" s="2404">
        <v>38.149468486249788</v>
      </c>
      <c r="CX9" s="2404">
        <v>37.183644760024301</v>
      </c>
      <c r="CY9" s="2404">
        <v>35.816256987951803</v>
      </c>
      <c r="CZ9" s="2404">
        <v>34.477882160048139</v>
      </c>
      <c r="DA9" s="2404">
        <v>33.865590774155997</v>
      </c>
      <c r="DB9" s="2404">
        <v>32.66852165460282</v>
      </c>
      <c r="DC9" s="2404">
        <v>31.954230491382464</v>
      </c>
      <c r="DD9" s="2404">
        <v>30.867356745335403</v>
      </c>
      <c r="DE9" s="2404">
        <v>30.221697560238344</v>
      </c>
      <c r="DF9" s="2404">
        <v>30.178709401172526</v>
      </c>
      <c r="DG9" s="2404">
        <v>33.62739457612939</v>
      </c>
      <c r="DH9" s="2404">
        <v>35.734081954259914</v>
      </c>
      <c r="DI9" s="2404">
        <v>35.48793805414352</v>
      </c>
      <c r="DJ9" s="2404">
        <v>36.013985038337374</v>
      </c>
      <c r="DK9" s="2404">
        <v>36.115987691686847</v>
      </c>
      <c r="DL9" s="2404">
        <v>36.033456365461852</v>
      </c>
      <c r="DM9" s="2404">
        <v>35.55844419374759</v>
      </c>
      <c r="DN9" s="2404">
        <v>37.986345356006368</v>
      </c>
      <c r="DO9" s="2404">
        <v>37.886444081551858</v>
      </c>
      <c r="DP9" s="2404">
        <v>37.308728804994054</v>
      </c>
      <c r="DQ9" s="2404">
        <v>36.717520231807505</v>
      </c>
      <c r="DR9" s="2404">
        <v>37.432022630238933</v>
      </c>
      <c r="DS9" s="2404">
        <v>36.767619413407822</v>
      </c>
      <c r="DT9" s="2404">
        <v>36.517736578751105</v>
      </c>
      <c r="DU9" s="2404">
        <v>35.514635228848817</v>
      </c>
      <c r="DV9" s="2404">
        <v>36.574475718197725</v>
      </c>
      <c r="DW9" s="2404">
        <v>37.291945083088955</v>
      </c>
      <c r="DX9" s="2404">
        <v>37.914640898203594</v>
      </c>
      <c r="DY9" s="2404">
        <v>37.485402302991581</v>
      </c>
      <c r="DZ9" s="2404">
        <v>36.943646837407833</v>
      </c>
      <c r="EA9" s="2404">
        <v>36.229906972916744</v>
      </c>
      <c r="EB9" s="2404">
        <v>36.115347599771439</v>
      </c>
      <c r="EC9" s="2404">
        <v>36.265731638744462</v>
      </c>
      <c r="ED9" s="2404">
        <v>36.433260847058826</v>
      </c>
      <c r="EE9" s="2404">
        <v>35.79830679178211</v>
      </c>
      <c r="EF9" s="2404">
        <v>35.808276566125294</v>
      </c>
      <c r="EG9" s="2404">
        <v>36.065237773776971</v>
      </c>
      <c r="EH9" s="2404">
        <v>35.872774966760751</v>
      </c>
      <c r="EI9" s="2404">
        <v>35.728443351112084</v>
      </c>
      <c r="EJ9" s="2404">
        <v>35.500689623456935</v>
      </c>
      <c r="EK9" s="2404">
        <v>35.38919677655678</v>
      </c>
      <c r="EL9" s="2404">
        <v>35.485694226741309</v>
      </c>
      <c r="EM9" s="2404">
        <v>35.611374769673148</v>
      </c>
      <c r="EN9" s="2404">
        <v>35.700639656787608</v>
      </c>
      <c r="EO9" s="2404">
        <v>35.993321870406305</v>
      </c>
      <c r="EP9" s="2404">
        <v>36.000137087200514</v>
      </c>
      <c r="EQ9" s="2404">
        <v>35.810162066397275</v>
      </c>
      <c r="ER9" s="2404">
        <v>35.841276067364639</v>
      </c>
      <c r="ES9" s="2404">
        <v>36.522306029154798</v>
      </c>
      <c r="ET9" s="2404">
        <v>37.280387021659237</v>
      </c>
      <c r="EU9" s="2404">
        <v>40.419455994428112</v>
      </c>
      <c r="EV9" s="2404">
        <v>37.976633333333332</v>
      </c>
      <c r="EW9" s="2404">
        <v>36.994566666666664</v>
      </c>
      <c r="EX9" s="2404">
        <v>36.639416666666698</v>
      </c>
      <c r="EY9" s="2404">
        <v>35.592550000000003</v>
      </c>
      <c r="EZ9" s="2404">
        <v>34.777000000000001</v>
      </c>
      <c r="FA9" s="2404">
        <v>34.794699999999999</v>
      </c>
      <c r="FB9" s="2404">
        <v>36.288499999999999</v>
      </c>
      <c r="FC9" s="2404">
        <v>36.440600000000003</v>
      </c>
      <c r="FD9" s="2404">
        <v>36.009500000000003</v>
      </c>
      <c r="FE9" s="2404">
        <v>36.143000000000001</v>
      </c>
      <c r="FF9" s="2404">
        <v>36.311799999999998</v>
      </c>
      <c r="FG9" s="2404">
        <v>35.845700000000001</v>
      </c>
      <c r="FH9" s="2404">
        <v>35.8232</v>
      </c>
      <c r="FI9" s="2404">
        <v>36.262</v>
      </c>
      <c r="FJ9" s="2404">
        <v>36.349600000000002</v>
      </c>
      <c r="FK9" s="2404">
        <v>36.191299999999998</v>
      </c>
      <c r="FL9" s="2404">
        <v>35.980600000000003</v>
      </c>
      <c r="FM9" s="2404">
        <v>36.078699999999998</v>
      </c>
      <c r="FN9" s="2404">
        <v>36.220399999999998</v>
      </c>
      <c r="FO9" s="2404">
        <v>36.327199999999998</v>
      </c>
      <c r="FP9" s="2404">
        <v>36.166899999999998</v>
      </c>
      <c r="FQ9" s="2404">
        <v>35.318600000000004</v>
      </c>
      <c r="FR9" s="2404">
        <v>35.506399999999999</v>
      </c>
      <c r="FS9" s="2404">
        <v>35.472099999999998</v>
      </c>
      <c r="FT9" s="2404">
        <v>34.999699999999997</v>
      </c>
      <c r="FU9" s="2404">
        <v>34.625500000000002</v>
      </c>
      <c r="FV9" s="2404">
        <v>34.211799999999997</v>
      </c>
      <c r="FW9" s="2404">
        <v>33.4512</v>
      </c>
      <c r="FX9" s="2404">
        <v>32.945</v>
      </c>
      <c r="FY9" s="2404">
        <v>33.762999999999998</v>
      </c>
      <c r="FZ9" s="2404">
        <v>33.996600000000001</v>
      </c>
      <c r="GA9" s="2404">
        <v>33.723799999999997</v>
      </c>
      <c r="GB9" s="2404">
        <v>33.5077</v>
      </c>
      <c r="GC9" s="2404">
        <v>32.832299999999996</v>
      </c>
      <c r="GD9" s="2404">
        <v>33.509700000000002</v>
      </c>
      <c r="GE9" s="2404">
        <v>34.056699999999999</v>
      </c>
      <c r="GF9" s="2404">
        <v>34.950099999999999</v>
      </c>
      <c r="GG9" s="2404">
        <v>34.860599999999998</v>
      </c>
      <c r="GH9" s="2404">
        <v>35.224400000000003</v>
      </c>
      <c r="GI9" s="2404">
        <v>34.923099999999998</v>
      </c>
      <c r="GJ9" s="2404">
        <v>34.927799999999998</v>
      </c>
      <c r="GK9" s="2404">
        <v>34.878500000000003</v>
      </c>
      <c r="GL9" s="2404">
        <v>34.901499999999999</v>
      </c>
      <c r="GM9" s="2404">
        <v>34.420099999999998</v>
      </c>
      <c r="GN9" s="2404">
        <v>34.543500000000002</v>
      </c>
      <c r="GO9" s="2404">
        <v>34.7044</v>
      </c>
      <c r="GP9" s="2404">
        <v>34.902299999999997</v>
      </c>
      <c r="GQ9" s="2404">
        <v>35.454799999999999</v>
      </c>
      <c r="GR9" s="2404">
        <v>35.390300000000003</v>
      </c>
      <c r="GS9" s="2404">
        <v>36.011299999999999</v>
      </c>
      <c r="GT9" s="2404">
        <v>35.581099999999999</v>
      </c>
      <c r="GU9" s="2404">
        <v>35.438299999999998</v>
      </c>
      <c r="GV9" s="2404">
        <v>35.729500000000002</v>
      </c>
      <c r="GW9" s="2404">
        <v>35.8949</v>
      </c>
      <c r="GX9" s="2404">
        <v>35.934199999999997</v>
      </c>
      <c r="GY9" s="2404">
        <v>36.470500000000001</v>
      </c>
      <c r="GZ9" s="2404">
        <v>36.669600000000003</v>
      </c>
      <c r="HA9" s="2404">
        <v>37.376800000000003</v>
      </c>
      <c r="HB9" s="2404">
        <v>37.795699999999997</v>
      </c>
      <c r="HC9" s="2405">
        <v>38.32</v>
      </c>
      <c r="HD9" s="2404">
        <v>38.1419</v>
      </c>
      <c r="HE9" s="2404">
        <v>38.218000000000004</v>
      </c>
      <c r="HF9" s="2405">
        <v>38.493299999999998</v>
      </c>
      <c r="HG9" s="2404">
        <v>37.824399999999997</v>
      </c>
      <c r="HH9" s="2404">
        <v>37.554299999999998</v>
      </c>
      <c r="HI9" s="2404">
        <v>37.569299999999998</v>
      </c>
      <c r="HJ9" s="2404">
        <v>37.593800000000002</v>
      </c>
      <c r="HK9" s="2404">
        <v>37.037700000000001</v>
      </c>
      <c r="HL9" s="2404">
        <v>36.859099999999998</v>
      </c>
      <c r="HM9" s="2404">
        <v>36.767299999999999</v>
      </c>
      <c r="HN9" s="2404">
        <v>37.0261</v>
      </c>
      <c r="HO9" s="2404">
        <v>37.728200000000001</v>
      </c>
      <c r="HP9" s="2404">
        <v>38.241199999999999</v>
      </c>
      <c r="HQ9" s="2404">
        <v>38.467100000000002</v>
      </c>
      <c r="HR9" s="2404">
        <v>40.401299999999999</v>
      </c>
      <c r="HS9" s="2404">
        <v>40.056699999999999</v>
      </c>
    </row>
    <row r="10" spans="1:227" ht="21" customHeight="1" x14ac:dyDescent="0.3">
      <c r="A10" s="2403" t="s">
        <v>4533</v>
      </c>
      <c r="B10" s="2404">
        <v>12.75</v>
      </c>
      <c r="C10" s="2404">
        <v>13.77</v>
      </c>
      <c r="D10" s="2404">
        <v>14.71</v>
      </c>
      <c r="E10" s="2404">
        <v>14.88</v>
      </c>
      <c r="F10" s="2404">
        <v>14.22</v>
      </c>
      <c r="G10" s="2404">
        <v>14.18</v>
      </c>
      <c r="H10" s="2404">
        <v>14.15</v>
      </c>
      <c r="I10" s="2404">
        <v>14.55</v>
      </c>
      <c r="J10" s="2404">
        <v>14.9</v>
      </c>
      <c r="K10" s="2404">
        <v>15.62</v>
      </c>
      <c r="L10" s="2404">
        <v>15.77</v>
      </c>
      <c r="M10" s="2404">
        <v>15.92</v>
      </c>
      <c r="N10" s="2404">
        <v>15.48</v>
      </c>
      <c r="O10" s="2404">
        <v>15.59</v>
      </c>
      <c r="P10" s="2404">
        <v>16.22</v>
      </c>
      <c r="Q10" s="2404">
        <v>17.29</v>
      </c>
      <c r="R10" s="2404">
        <v>17.46</v>
      </c>
      <c r="S10" s="2404">
        <v>16.96</v>
      </c>
      <c r="T10" s="2404">
        <v>17.38</v>
      </c>
      <c r="U10" s="2404">
        <v>17.75</v>
      </c>
      <c r="V10" s="2404">
        <v>18.29</v>
      </c>
      <c r="W10" s="2404">
        <v>17.739999999999998</v>
      </c>
      <c r="X10" s="2404">
        <v>17.7</v>
      </c>
      <c r="Y10" s="2404">
        <v>18.079999999999998</v>
      </c>
      <c r="Z10" s="2404">
        <v>17.95</v>
      </c>
      <c r="AA10" s="2404">
        <v>17.57</v>
      </c>
      <c r="AB10" s="2404">
        <v>18.11</v>
      </c>
      <c r="AC10" s="2404">
        <v>18.02</v>
      </c>
      <c r="AD10" s="2404">
        <v>18.239999999999998</v>
      </c>
      <c r="AE10" s="2404">
        <v>18.899999999999999</v>
      </c>
      <c r="AF10" s="2404">
        <v>19.440000000000001</v>
      </c>
      <c r="AG10" s="2404">
        <v>19.8</v>
      </c>
      <c r="AH10" s="2404">
        <v>20.64</v>
      </c>
      <c r="AI10" s="2404">
        <v>20.65</v>
      </c>
      <c r="AJ10" s="2404">
        <v>20.65</v>
      </c>
      <c r="AK10" s="2404">
        <v>20.91</v>
      </c>
      <c r="AL10" s="2404">
        <v>21.53</v>
      </c>
      <c r="AM10" s="2404">
        <v>21.03</v>
      </c>
      <c r="AN10" s="2404">
        <v>20.93</v>
      </c>
      <c r="AO10" s="2404">
        <v>20.56</v>
      </c>
      <c r="AP10" s="2404">
        <v>20.84</v>
      </c>
      <c r="AQ10" s="2404">
        <v>21.28</v>
      </c>
      <c r="AR10" s="2404">
        <v>21.66</v>
      </c>
      <c r="AS10" s="2404">
        <v>21.78</v>
      </c>
      <c r="AT10" s="2404">
        <v>21.26</v>
      </c>
      <c r="AU10" s="2404">
        <v>21.21</v>
      </c>
      <c r="AV10" s="2404">
        <v>20.61</v>
      </c>
      <c r="AW10" s="2404">
        <v>19.170000000000002</v>
      </c>
      <c r="AX10" s="2404">
        <v>19.87</v>
      </c>
      <c r="AY10" s="2404">
        <v>20.12</v>
      </c>
      <c r="AZ10" s="2404">
        <v>19.09</v>
      </c>
      <c r="BA10" s="2404">
        <v>19.739999999999998</v>
      </c>
      <c r="BB10" s="2404">
        <v>21.42</v>
      </c>
      <c r="BC10" s="2404">
        <v>21.56</v>
      </c>
      <c r="BD10" s="2404">
        <v>22.13</v>
      </c>
      <c r="BE10" s="2404">
        <v>22.78</v>
      </c>
      <c r="BF10" s="2404">
        <v>23.78</v>
      </c>
      <c r="BG10" s="2404">
        <v>23.25</v>
      </c>
      <c r="BH10" s="2404">
        <v>23.43</v>
      </c>
      <c r="BI10" s="2404">
        <v>23.61</v>
      </c>
      <c r="BJ10" s="2404">
        <v>23.96</v>
      </c>
      <c r="BK10" s="2404">
        <v>23.37</v>
      </c>
      <c r="BL10" s="2404">
        <v>24.71</v>
      </c>
      <c r="BM10" s="2404">
        <v>24.59</v>
      </c>
      <c r="BN10" s="2404">
        <v>22.378499999999999</v>
      </c>
      <c r="BO10" s="2404">
        <v>23.5595</v>
      </c>
      <c r="BP10" s="2404">
        <v>23.744900000000001</v>
      </c>
      <c r="BQ10" s="2404">
        <v>23.664000000000001</v>
      </c>
      <c r="BR10" s="2404">
        <v>22.620100000000001</v>
      </c>
      <c r="BS10" s="2404">
        <v>22.884499999999999</v>
      </c>
      <c r="BT10" s="2404">
        <v>22.8843</v>
      </c>
      <c r="BU10" s="2404">
        <v>21.301300000000001</v>
      </c>
      <c r="BV10" s="2404">
        <v>20.659300000000002</v>
      </c>
      <c r="BW10" s="2404">
        <v>22.065799999999999</v>
      </c>
      <c r="BX10" s="2404">
        <v>21.183299999999999</v>
      </c>
      <c r="BY10" s="2404">
        <v>19.969200000000001</v>
      </c>
      <c r="BZ10" s="2404">
        <v>20.2379</v>
      </c>
      <c r="CA10" s="2404">
        <v>19.410599999999999</v>
      </c>
      <c r="CB10" s="2404">
        <v>19.113299999999999</v>
      </c>
      <c r="CC10" s="2404">
        <v>17.889099999999999</v>
      </c>
      <c r="CD10" s="2404">
        <v>18.799499999999998</v>
      </c>
      <c r="CE10" s="2404">
        <v>17.034300000000002</v>
      </c>
      <c r="CF10" s="2404">
        <v>17.554300000000001</v>
      </c>
      <c r="CG10" s="2404">
        <v>19.397200000000002</v>
      </c>
      <c r="CH10" s="2404">
        <v>19.4407</v>
      </c>
      <c r="CI10" s="2404">
        <v>20.904</v>
      </c>
      <c r="CJ10" s="2404">
        <v>21.625800000000002</v>
      </c>
      <c r="CK10" s="2404">
        <v>21.570499999999999</v>
      </c>
      <c r="CL10" s="2404">
        <v>22.291499999999999</v>
      </c>
      <c r="CM10" s="2404">
        <v>22.784600000000001</v>
      </c>
      <c r="CN10" s="2404">
        <v>22.831800000000001</v>
      </c>
      <c r="CO10" s="2404">
        <v>22.0383</v>
      </c>
      <c r="CP10" s="2404">
        <v>23.433</v>
      </c>
      <c r="CQ10" s="2404">
        <v>22.51049273070306</v>
      </c>
      <c r="CR10" s="2404">
        <v>22.336767871231114</v>
      </c>
      <c r="CS10" s="2404">
        <v>22.793092906244446</v>
      </c>
      <c r="CT10" s="2404">
        <v>23.060329477308553</v>
      </c>
      <c r="CU10" s="2404">
        <v>23.337104069673778</v>
      </c>
      <c r="CV10" s="2404">
        <v>24.118294648096278</v>
      </c>
      <c r="CW10" s="2404">
        <v>23.589894136371111</v>
      </c>
      <c r="CX10" s="2404">
        <v>22.795094819590112</v>
      </c>
      <c r="CY10" s="2404">
        <v>22.416091104349775</v>
      </c>
      <c r="CZ10" s="2404">
        <v>22.725342012365555</v>
      </c>
      <c r="DA10" s="2404">
        <v>23.661131014326443</v>
      </c>
      <c r="DB10" s="2404">
        <v>24.056207648872835</v>
      </c>
      <c r="DC10" s="2404">
        <v>24.924314847970226</v>
      </c>
      <c r="DD10" s="2404">
        <v>24.388963015491996</v>
      </c>
      <c r="DE10" s="2404">
        <v>22.70873714052378</v>
      </c>
      <c r="DF10" s="2404">
        <v>23.871387011537891</v>
      </c>
      <c r="DG10" s="2404">
        <v>22.792030638855557</v>
      </c>
      <c r="DH10" s="2404">
        <v>23.24533933484139</v>
      </c>
      <c r="DI10" s="2404">
        <v>24.529134306086224</v>
      </c>
      <c r="DJ10" s="2404">
        <v>24.848610985568889</v>
      </c>
      <c r="DK10" s="2404">
        <v>24.240495011753776</v>
      </c>
      <c r="DL10" s="2404">
        <v>24.386561242900221</v>
      </c>
      <c r="DM10" s="2404">
        <v>22.994650279172497</v>
      </c>
      <c r="DN10" s="2404">
        <v>25.090290364783996</v>
      </c>
      <c r="DO10" s="2404">
        <v>25.666515317183556</v>
      </c>
      <c r="DP10" s="2404">
        <v>24.988856378657555</v>
      </c>
      <c r="DQ10" s="2404">
        <v>25.917974672244668</v>
      </c>
      <c r="DR10" s="2404">
        <v>25.930719278911337</v>
      </c>
      <c r="DS10" s="2404">
        <v>25.869438811000002</v>
      </c>
      <c r="DT10" s="2404">
        <v>25.712930900833335</v>
      </c>
      <c r="DU10" s="2404">
        <v>25.786687684722221</v>
      </c>
      <c r="DV10" s="2404">
        <v>25.993485631277778</v>
      </c>
      <c r="DW10" s="2404">
        <v>26.439144016611113</v>
      </c>
      <c r="DX10" s="2404">
        <v>26.966896213611111</v>
      </c>
      <c r="DY10" s="2404">
        <v>25.538747780277777</v>
      </c>
      <c r="DZ10" s="2404">
        <v>24.589657090833335</v>
      </c>
      <c r="EA10" s="2404">
        <v>25.075136399722222</v>
      </c>
      <c r="EB10" s="2404">
        <v>24.438111794388888</v>
      </c>
      <c r="EC10" s="2404">
        <v>25.846341576055554</v>
      </c>
      <c r="ED10" s="2404">
        <v>25.441311304833334</v>
      </c>
      <c r="EE10" s="2404">
        <v>25.097562516388887</v>
      </c>
      <c r="EF10" s="2404">
        <v>25.265607173611116</v>
      </c>
      <c r="EG10" s="2404">
        <v>25.208304772833337</v>
      </c>
      <c r="EH10" s="2404">
        <v>25.829731957499998</v>
      </c>
      <c r="EI10" s="2404">
        <v>26.674977349277782</v>
      </c>
      <c r="EJ10" s="2404">
        <v>26.255111351833335</v>
      </c>
      <c r="EK10" s="2404">
        <v>26.230697952915552</v>
      </c>
      <c r="EL10" s="2404">
        <v>27.007198896257776</v>
      </c>
      <c r="EM10" s="2404">
        <v>26.397489492166667</v>
      </c>
      <c r="EN10" s="2404">
        <v>26.24299726927778</v>
      </c>
      <c r="EO10" s="2404">
        <v>24.955523281944444</v>
      </c>
      <c r="EP10" s="2404">
        <v>25.060287828</v>
      </c>
      <c r="EQ10" s="2404">
        <v>25.157002229314816</v>
      </c>
      <c r="ER10" s="2404">
        <v>25.316669506111111</v>
      </c>
      <c r="ES10" s="2404">
        <v>24.275116100962965</v>
      </c>
      <c r="ET10" s="2404">
        <v>25.584405469518515</v>
      </c>
      <c r="EU10" s="2404">
        <v>27.762022222222225</v>
      </c>
      <c r="EV10" s="2404">
        <v>27.3523</v>
      </c>
      <c r="EW10" s="2404">
        <v>25.777077777777784</v>
      </c>
      <c r="EX10" s="2404">
        <v>24.469088888888901</v>
      </c>
      <c r="EY10" s="2404">
        <v>23.854211111111098</v>
      </c>
      <c r="EZ10" s="2404">
        <v>23.145122222222199</v>
      </c>
      <c r="FA10" s="2404">
        <v>23.173088888888898</v>
      </c>
      <c r="FB10" s="2404">
        <v>24.788699999999999</v>
      </c>
      <c r="FC10" s="2404">
        <v>24.2318</v>
      </c>
      <c r="FD10" s="2404">
        <v>25.1433</v>
      </c>
      <c r="FE10" s="2404">
        <v>23.898800000000001</v>
      </c>
      <c r="FF10" s="2404">
        <v>24.179200000000002</v>
      </c>
      <c r="FG10" s="2404">
        <v>24.9588</v>
      </c>
      <c r="FH10" s="2404">
        <v>25.107399999999998</v>
      </c>
      <c r="FI10" s="2404">
        <v>24.468599999999999</v>
      </c>
      <c r="FJ10" s="2404">
        <v>25.961500000000001</v>
      </c>
      <c r="FK10" s="2404">
        <v>25.9983</v>
      </c>
      <c r="FL10" s="2404">
        <v>26.372199999999999</v>
      </c>
      <c r="FM10" s="2404">
        <v>26.509</v>
      </c>
      <c r="FN10" s="2404">
        <v>26.286000000000001</v>
      </c>
      <c r="FO10" s="2404">
        <v>26.3979</v>
      </c>
      <c r="FP10" s="2404">
        <v>25.744499999999999</v>
      </c>
      <c r="FQ10" s="2404">
        <v>26.7254</v>
      </c>
      <c r="FR10" s="2404">
        <v>26.3264</v>
      </c>
      <c r="FS10" s="2404">
        <v>25.459700000000002</v>
      </c>
      <c r="FT10" s="2404">
        <v>24.820699999999999</v>
      </c>
      <c r="FU10" s="2404">
        <v>25.330200000000001</v>
      </c>
      <c r="FV10" s="2404">
        <v>25.985800000000001</v>
      </c>
      <c r="FW10" s="2404">
        <v>25.9604</v>
      </c>
      <c r="FX10" s="2404">
        <v>24.278199999999998</v>
      </c>
      <c r="FY10" s="2404">
        <v>25.091000000000001</v>
      </c>
      <c r="FZ10" s="2404">
        <v>24.087199999999999</v>
      </c>
      <c r="GA10" s="2404">
        <v>23.754300000000001</v>
      </c>
      <c r="GB10" s="2404">
        <v>24.5001</v>
      </c>
      <c r="GC10" s="2404">
        <v>24.525700000000001</v>
      </c>
      <c r="GD10" s="2404">
        <v>24.519500000000001</v>
      </c>
      <c r="GE10" s="2404">
        <v>24.781300000000002</v>
      </c>
      <c r="GF10" s="2404">
        <v>24.8064</v>
      </c>
      <c r="GG10" s="2404">
        <v>24.666899999999998</v>
      </c>
      <c r="GH10" s="2404">
        <v>24.0899</v>
      </c>
      <c r="GI10" s="2404">
        <v>23.918500000000002</v>
      </c>
      <c r="GJ10" s="2404">
        <v>23.341799999999999</v>
      </c>
      <c r="GK10" s="2404">
        <v>23.226700000000001</v>
      </c>
      <c r="GL10" s="2404">
        <v>23.229900000000001</v>
      </c>
      <c r="GM10" s="2404">
        <v>24.190100000000001</v>
      </c>
      <c r="GN10" s="2404">
        <v>23.577200000000001</v>
      </c>
      <c r="GO10" s="2404">
        <v>24.167999999999999</v>
      </c>
      <c r="GP10" s="2404">
        <v>23.9114</v>
      </c>
      <c r="GQ10" s="2404">
        <v>24.210599999999999</v>
      </c>
      <c r="GR10" s="2404">
        <v>23.883400000000002</v>
      </c>
      <c r="GS10" s="2404">
        <v>23.7179</v>
      </c>
      <c r="GT10" s="2404">
        <v>24.327100000000002</v>
      </c>
      <c r="GU10" s="2404">
        <v>24.3324</v>
      </c>
      <c r="GV10" s="2404">
        <v>23.286899999999999</v>
      </c>
      <c r="GW10" s="2404">
        <v>23.3642</v>
      </c>
      <c r="GX10" s="2404">
        <v>23.827000000000002</v>
      </c>
      <c r="GY10" s="2404">
        <v>24.0488</v>
      </c>
      <c r="GZ10" s="2404">
        <v>25.0014</v>
      </c>
      <c r="HA10" s="2404">
        <v>24.353300000000001</v>
      </c>
      <c r="HB10" s="2404">
        <v>23.860099999999999</v>
      </c>
      <c r="HC10" s="2405">
        <v>24.175999999999998</v>
      </c>
      <c r="HD10" s="2404">
        <v>25.098600000000001</v>
      </c>
      <c r="HE10" s="2404">
        <v>25.355899999999998</v>
      </c>
      <c r="HF10" s="2405">
        <v>26.327300000000001</v>
      </c>
      <c r="HG10" s="2404">
        <v>27.2437</v>
      </c>
      <c r="HH10" s="2404">
        <v>27.300799999999999</v>
      </c>
      <c r="HI10" s="2404">
        <v>26.832000000000001</v>
      </c>
      <c r="HJ10" s="2404">
        <v>27.108599999999999</v>
      </c>
      <c r="HK10" s="2404">
        <v>28.620799999999999</v>
      </c>
      <c r="HL10" s="2404">
        <v>29.0428</v>
      </c>
      <c r="HM10" s="2404">
        <v>28.953199999999999</v>
      </c>
      <c r="HN10" s="2404">
        <v>29.848600000000001</v>
      </c>
      <c r="HO10" s="2404">
        <v>28.857500000000002</v>
      </c>
      <c r="HP10" s="2404">
        <v>29.880299999999998</v>
      </c>
      <c r="HQ10" s="2404">
        <v>30.008099999999999</v>
      </c>
      <c r="HR10" s="2404">
        <v>30.4741</v>
      </c>
      <c r="HS10" s="2404">
        <v>30.4391</v>
      </c>
    </row>
    <row r="11" spans="1:227" ht="21" customHeight="1" x14ac:dyDescent="0.3">
      <c r="A11" s="2403" t="s">
        <v>4534</v>
      </c>
      <c r="B11" s="2404">
        <v>16.850000000000001</v>
      </c>
      <c r="C11" s="2404">
        <v>17.010000000000002</v>
      </c>
      <c r="D11" s="2404">
        <v>17.2</v>
      </c>
      <c r="E11" s="2404">
        <v>17.27</v>
      </c>
      <c r="F11" s="2404">
        <v>17.170000000000002</v>
      </c>
      <c r="G11" s="2404">
        <v>17.29</v>
      </c>
      <c r="H11" s="2404">
        <v>16.989999999999998</v>
      </c>
      <c r="I11" s="2404">
        <v>17.09</v>
      </c>
      <c r="J11" s="2404">
        <v>17.05</v>
      </c>
      <c r="K11" s="2404">
        <v>17.14</v>
      </c>
      <c r="L11" s="2404">
        <v>16.64</v>
      </c>
      <c r="M11" s="2404">
        <v>16.309999999999999</v>
      </c>
      <c r="N11" s="2404">
        <v>15.88</v>
      </c>
      <c r="O11" s="2404">
        <v>15.78</v>
      </c>
      <c r="P11" s="2404">
        <v>16.29</v>
      </c>
      <c r="Q11" s="2404">
        <v>16.98</v>
      </c>
      <c r="R11" s="2404">
        <v>17.11</v>
      </c>
      <c r="S11" s="2404">
        <v>16.95</v>
      </c>
      <c r="T11" s="2404">
        <v>16.96</v>
      </c>
      <c r="U11" s="2404">
        <v>16.8</v>
      </c>
      <c r="V11" s="2404">
        <v>16.64</v>
      </c>
      <c r="W11" s="2404">
        <v>16.010000000000002</v>
      </c>
      <c r="X11" s="2404">
        <v>15.57</v>
      </c>
      <c r="Y11" s="2404">
        <v>15.47</v>
      </c>
      <c r="Z11" s="2404">
        <v>16.2</v>
      </c>
      <c r="AA11" s="2404">
        <v>16.579999999999998</v>
      </c>
      <c r="AB11" s="2404">
        <v>16.940000000000001</v>
      </c>
      <c r="AC11" s="2404">
        <v>16.760000000000002</v>
      </c>
      <c r="AD11" s="2404">
        <v>16.75</v>
      </c>
      <c r="AE11" s="2404">
        <v>16.95</v>
      </c>
      <c r="AF11" s="2404">
        <v>17.22</v>
      </c>
      <c r="AG11" s="2404">
        <v>17.48</v>
      </c>
      <c r="AH11" s="2404">
        <v>17.66</v>
      </c>
      <c r="AI11" s="2404">
        <v>17.62</v>
      </c>
      <c r="AJ11" s="2404">
        <v>17.760000000000002</v>
      </c>
      <c r="AK11" s="2404">
        <v>17.940000000000001</v>
      </c>
      <c r="AL11" s="2404">
        <v>18</v>
      </c>
      <c r="AM11" s="2404">
        <v>17.89</v>
      </c>
      <c r="AN11" s="2404">
        <v>17.77</v>
      </c>
      <c r="AO11" s="2404">
        <v>18.16</v>
      </c>
      <c r="AP11" s="2404">
        <v>17.98</v>
      </c>
      <c r="AQ11" s="2404">
        <v>18.22</v>
      </c>
      <c r="AR11" s="2404">
        <v>18.25</v>
      </c>
      <c r="AS11" s="2404">
        <v>18.37</v>
      </c>
      <c r="AT11" s="2404">
        <v>18.72</v>
      </c>
      <c r="AU11" s="2404">
        <v>19.16</v>
      </c>
      <c r="AV11" s="2404">
        <v>19.239999999999998</v>
      </c>
      <c r="AW11" s="2404">
        <v>19.36</v>
      </c>
      <c r="AX11" s="2404">
        <v>19.82</v>
      </c>
      <c r="AY11" s="2404">
        <v>19.899999999999999</v>
      </c>
      <c r="AZ11" s="2404">
        <v>19.75</v>
      </c>
      <c r="BA11" s="2404">
        <v>20.18</v>
      </c>
      <c r="BB11" s="2404">
        <v>20.92</v>
      </c>
      <c r="BC11" s="2404">
        <v>20.84</v>
      </c>
      <c r="BD11" s="2404">
        <v>21.32</v>
      </c>
      <c r="BE11" s="2404">
        <v>21.82</v>
      </c>
      <c r="BF11" s="2404">
        <v>22.09</v>
      </c>
      <c r="BG11" s="2404">
        <v>22.16</v>
      </c>
      <c r="BH11" s="2404">
        <v>22.06</v>
      </c>
      <c r="BI11" s="2404">
        <v>22.04</v>
      </c>
      <c r="BJ11" s="2404">
        <v>21.58</v>
      </c>
      <c r="BK11" s="2404">
        <v>21.06</v>
      </c>
      <c r="BL11" s="2404">
        <v>21.09</v>
      </c>
      <c r="BM11" s="2404">
        <v>21.22</v>
      </c>
      <c r="BN11" s="2404">
        <v>20.9954</v>
      </c>
      <c r="BO11" s="2404">
        <v>21.017099999999999</v>
      </c>
      <c r="BP11" s="2404">
        <v>21.5122</v>
      </c>
      <c r="BQ11" s="2404">
        <v>21.28</v>
      </c>
      <c r="BR11" s="2404">
        <v>20.305299999999999</v>
      </c>
      <c r="BS11" s="2404">
        <v>20.776700000000002</v>
      </c>
      <c r="BT11" s="2404">
        <v>20.2807</v>
      </c>
      <c r="BU11" s="2404">
        <v>19.541499999999999</v>
      </c>
      <c r="BV11" s="2404">
        <v>19.653500000000001</v>
      </c>
      <c r="BW11" s="2404">
        <v>20.8475</v>
      </c>
      <c r="BX11" s="2404">
        <v>20.518699999999999</v>
      </c>
      <c r="BY11" s="2404">
        <v>20.022099999999998</v>
      </c>
      <c r="BZ11" s="2404">
        <v>20.439599999999999</v>
      </c>
      <c r="CA11" s="2404">
        <v>20.322500000000002</v>
      </c>
      <c r="CB11" s="2404">
        <v>22.139800000000001</v>
      </c>
      <c r="CC11" s="2404">
        <v>21.678899999999999</v>
      </c>
      <c r="CD11" s="2404">
        <v>22.704000000000001</v>
      </c>
      <c r="CE11" s="2404">
        <v>22.2697</v>
      </c>
      <c r="CF11" s="2404">
        <v>22.7026</v>
      </c>
      <c r="CG11" s="2404">
        <v>22.583300000000001</v>
      </c>
      <c r="CH11" s="2404">
        <v>23.343699999999998</v>
      </c>
      <c r="CI11" s="2404">
        <v>23.0563</v>
      </c>
      <c r="CJ11" s="2404">
        <v>22.9482</v>
      </c>
      <c r="CK11" s="2404">
        <v>22.869599999999998</v>
      </c>
      <c r="CL11" s="2404">
        <v>22.714200000000002</v>
      </c>
      <c r="CM11" s="2404">
        <v>22.4344</v>
      </c>
      <c r="CN11" s="2404">
        <v>22.424900000000001</v>
      </c>
      <c r="CO11" s="2404">
        <v>22.178899999999999</v>
      </c>
      <c r="CP11" s="2404">
        <v>24.553999999999998</v>
      </c>
      <c r="CQ11" s="2404">
        <v>22.979750736309903</v>
      </c>
      <c r="CR11" s="2404">
        <v>23.495568976502462</v>
      </c>
      <c r="CS11" s="2404">
        <v>23.604589318060253</v>
      </c>
      <c r="CT11" s="2404">
        <v>23.620461858123285</v>
      </c>
      <c r="CU11" s="2404">
        <v>23.824710124065025</v>
      </c>
      <c r="CV11" s="2404">
        <v>24.344978340879724</v>
      </c>
      <c r="CW11" s="2404">
        <v>23.827363422350967</v>
      </c>
      <c r="CX11" s="2404">
        <v>23.861557086273912</v>
      </c>
      <c r="CY11" s="2404">
        <v>23.450030409655408</v>
      </c>
      <c r="CZ11" s="2404">
        <v>23.184874091554882</v>
      </c>
      <c r="DA11" s="2404">
        <v>23.349825866339689</v>
      </c>
      <c r="DB11" s="2404">
        <v>23.635256762272142</v>
      </c>
      <c r="DC11" s="2404">
        <v>23.940245247973078</v>
      </c>
      <c r="DD11" s="2404">
        <v>23.82665098114591</v>
      </c>
      <c r="DE11" s="2404">
        <v>22.950400022204978</v>
      </c>
      <c r="DF11" s="2404">
        <v>23.632280686171832</v>
      </c>
      <c r="DG11" s="2404">
        <v>23.13748750823979</v>
      </c>
      <c r="DH11" s="2404">
        <v>23.213978027797367</v>
      </c>
      <c r="DI11" s="2404">
        <v>23.817876536408367</v>
      </c>
      <c r="DJ11" s="2404">
        <v>23.753362621030423</v>
      </c>
      <c r="DK11" s="2404">
        <v>23.642961968781471</v>
      </c>
      <c r="DL11" s="2404">
        <v>24.061781927536874</v>
      </c>
      <c r="DM11" s="2404">
        <v>23.806851042410237</v>
      </c>
      <c r="DN11" s="2404">
        <v>24.851950656125886</v>
      </c>
      <c r="DO11" s="2404">
        <v>25.472975659131631</v>
      </c>
      <c r="DP11" s="2404">
        <v>24.990812427548175</v>
      </c>
      <c r="DQ11" s="2404">
        <v>25.397186926426055</v>
      </c>
      <c r="DR11" s="2404">
        <v>25.915181864363976</v>
      </c>
      <c r="DS11" s="2404">
        <v>25.816646508587684</v>
      </c>
      <c r="DT11" s="2404">
        <v>25.538142405657677</v>
      </c>
      <c r="DU11" s="2404">
        <v>24.982501117539673</v>
      </c>
      <c r="DV11" s="2404">
        <v>25.290554705950132</v>
      </c>
      <c r="DW11" s="2404">
        <v>25.58136703605134</v>
      </c>
      <c r="DX11" s="2404">
        <v>25.598557554753821</v>
      </c>
      <c r="DY11" s="2404">
        <v>25.1295938683676</v>
      </c>
      <c r="DZ11" s="2404">
        <v>24.989095079094763</v>
      </c>
      <c r="EA11" s="2404">
        <v>24.77068293294829</v>
      </c>
      <c r="EB11" s="2404">
        <v>24.706018811918657</v>
      </c>
      <c r="EC11" s="2404">
        <v>24.888127646674622</v>
      </c>
      <c r="ED11" s="2404">
        <v>24.91482989172415</v>
      </c>
      <c r="EE11" s="2404">
        <v>24.70227848317171</v>
      </c>
      <c r="EF11" s="2404">
        <v>24.312816946908935</v>
      </c>
      <c r="EG11" s="2404">
        <v>24.179187798932041</v>
      </c>
      <c r="EH11" s="2404">
        <v>24.302293572645016</v>
      </c>
      <c r="EI11" s="2404">
        <v>24.406026689994746</v>
      </c>
      <c r="EJ11" s="2404">
        <v>24.457851961206529</v>
      </c>
      <c r="EK11" s="2404">
        <v>24.635790605659434</v>
      </c>
      <c r="EL11" s="2404">
        <v>24.749635173370081</v>
      </c>
      <c r="EM11" s="2404">
        <v>24.966644486821696</v>
      </c>
      <c r="EN11" s="2404">
        <v>25.140169893714752</v>
      </c>
      <c r="EO11" s="2404">
        <v>25.119507805074029</v>
      </c>
      <c r="EP11" s="2404">
        <v>25.024942088192258</v>
      </c>
      <c r="EQ11" s="2404">
        <v>24.666615786501861</v>
      </c>
      <c r="ER11" s="2404">
        <v>24.469160197967962</v>
      </c>
      <c r="ES11" s="2404">
        <v>24.69420624172421</v>
      </c>
      <c r="ET11" s="2404">
        <v>25.025246252105951</v>
      </c>
      <c r="EU11" s="2404">
        <v>27.000790426380341</v>
      </c>
      <c r="EV11" s="2404">
        <v>27.2225</v>
      </c>
      <c r="EW11" s="2404">
        <v>26.839264285714282</v>
      </c>
      <c r="EX11" s="2404">
        <v>26.736764285714301</v>
      </c>
      <c r="EY11" s="2404">
        <v>26.4370642857143</v>
      </c>
      <c r="EZ11" s="2404">
        <v>25.530464285714299</v>
      </c>
      <c r="FA11" s="2404">
        <v>25.565721428571401</v>
      </c>
      <c r="FB11" s="2404">
        <v>26.311399999999999</v>
      </c>
      <c r="FC11" s="2404">
        <v>26.285799999999998</v>
      </c>
      <c r="FD11" s="2404">
        <v>26.028400000000001</v>
      </c>
      <c r="FE11" s="2404">
        <v>25.8611</v>
      </c>
      <c r="FF11" s="2404">
        <v>26.150500000000001</v>
      </c>
      <c r="FG11" s="2404">
        <v>26.811499999999999</v>
      </c>
      <c r="FH11" s="2404">
        <v>26.834199999999999</v>
      </c>
      <c r="FI11" s="2404">
        <v>26.410399999999999</v>
      </c>
      <c r="FJ11" s="2404">
        <v>27.2182</v>
      </c>
      <c r="FK11" s="2404">
        <v>27.197399999999998</v>
      </c>
      <c r="FL11" s="2404">
        <v>26.751300000000001</v>
      </c>
      <c r="FM11" s="2404">
        <v>26.782399999999999</v>
      </c>
      <c r="FN11" s="2404">
        <v>26.443100000000001</v>
      </c>
      <c r="FO11" s="2404">
        <v>25.991</v>
      </c>
      <c r="FP11" s="2404">
        <v>25.6418</v>
      </c>
      <c r="FQ11" s="2404">
        <v>25.877600000000001</v>
      </c>
      <c r="FR11" s="2404">
        <v>26.131799999999998</v>
      </c>
      <c r="FS11" s="2404">
        <v>26.1341</v>
      </c>
      <c r="FT11" s="2404">
        <v>25.9358</v>
      </c>
      <c r="FU11" s="2404">
        <v>25.883700000000001</v>
      </c>
      <c r="FV11" s="2404">
        <v>25.8001</v>
      </c>
      <c r="FW11" s="2404">
        <v>25.548999999999999</v>
      </c>
      <c r="FX11" s="2404">
        <v>24.9389</v>
      </c>
      <c r="FY11" s="2404">
        <v>25.588999999999999</v>
      </c>
      <c r="FZ11" s="2404">
        <v>25.830100000000002</v>
      </c>
      <c r="GA11" s="2404">
        <v>25.766400000000001</v>
      </c>
      <c r="GB11" s="2404">
        <v>25.8325</v>
      </c>
      <c r="GC11" s="2404">
        <v>25.5182</v>
      </c>
      <c r="GD11" s="2404">
        <v>25.610900000000001</v>
      </c>
      <c r="GE11" s="2404">
        <v>26.152999999999999</v>
      </c>
      <c r="GF11" s="2404">
        <v>26.448499999999999</v>
      </c>
      <c r="GG11" s="2404">
        <v>26.371500000000001</v>
      </c>
      <c r="GH11" s="2404">
        <v>26.038</v>
      </c>
      <c r="GI11" s="2404">
        <v>25.710899999999999</v>
      </c>
      <c r="GJ11" s="2404">
        <v>25.6419</v>
      </c>
      <c r="GK11" s="2404">
        <v>25.692</v>
      </c>
      <c r="GL11" s="2404">
        <v>25.577300000000001</v>
      </c>
      <c r="GM11" s="2404">
        <v>25.686399999999999</v>
      </c>
      <c r="GN11" s="2404">
        <v>25.706</v>
      </c>
      <c r="GO11" s="2404">
        <v>25.94</v>
      </c>
      <c r="GP11" s="2404">
        <v>25.864599999999999</v>
      </c>
      <c r="GQ11" s="2404">
        <v>26.2959</v>
      </c>
      <c r="GR11" s="2404">
        <v>26.294799999999999</v>
      </c>
      <c r="GS11" s="2404">
        <v>26.386700000000001</v>
      </c>
      <c r="GT11" s="2404">
        <v>26.8</v>
      </c>
      <c r="GU11" s="2404">
        <v>26.904299999999999</v>
      </c>
      <c r="GV11" s="2404">
        <v>26.587800000000001</v>
      </c>
      <c r="GW11" s="2404">
        <v>26.942900000000002</v>
      </c>
      <c r="GX11" s="2404">
        <v>27.209299999999999</v>
      </c>
      <c r="GY11" s="2404">
        <v>27.372699999999998</v>
      </c>
      <c r="GZ11" s="2404">
        <v>27.569400000000002</v>
      </c>
      <c r="HA11" s="2404">
        <v>27.561199999999999</v>
      </c>
      <c r="HB11" s="2404">
        <v>27.2971</v>
      </c>
      <c r="HC11" s="2405">
        <v>28.151299999999999</v>
      </c>
      <c r="HD11" s="2404">
        <v>28.992699999999999</v>
      </c>
      <c r="HE11" s="2404">
        <v>28.896599999999999</v>
      </c>
      <c r="HF11" s="2405">
        <v>29.4085</v>
      </c>
      <c r="HG11" s="2404">
        <v>29.6736</v>
      </c>
      <c r="HH11" s="2404">
        <v>29.837499999999999</v>
      </c>
      <c r="HI11" s="2404">
        <v>29.729900000000001</v>
      </c>
      <c r="HJ11" s="2404">
        <v>29.9374</v>
      </c>
      <c r="HK11" s="2404">
        <v>30.439299999999999</v>
      </c>
      <c r="HL11" s="2404">
        <v>30.4053</v>
      </c>
      <c r="HM11" s="2404">
        <v>30.371500000000001</v>
      </c>
      <c r="HN11" s="2404">
        <v>30.547499999999999</v>
      </c>
      <c r="HO11" s="2404">
        <v>30.645499999999998</v>
      </c>
      <c r="HP11" s="2404">
        <v>31.037600000000001</v>
      </c>
      <c r="HQ11" s="2404">
        <v>31.2685</v>
      </c>
      <c r="HR11" s="2404">
        <v>32.337899999999998</v>
      </c>
      <c r="HS11" s="2404">
        <v>32.105600000000003</v>
      </c>
    </row>
    <row r="12" spans="1:227" ht="21" customHeight="1" x14ac:dyDescent="0.3">
      <c r="A12" s="2403" t="s">
        <v>4535</v>
      </c>
      <c r="B12" s="2404">
        <v>2.71</v>
      </c>
      <c r="C12" s="2404">
        <v>2.92</v>
      </c>
      <c r="D12" s="2404">
        <v>3.18</v>
      </c>
      <c r="E12" s="2404">
        <v>2.95</v>
      </c>
      <c r="F12" s="2404">
        <v>3</v>
      </c>
      <c r="G12" s="2404">
        <v>2.85</v>
      </c>
      <c r="H12" s="2404">
        <v>2.87</v>
      </c>
      <c r="I12" s="2404">
        <v>3</v>
      </c>
      <c r="J12" s="2404">
        <v>3.25</v>
      </c>
      <c r="K12" s="2404">
        <v>3.46</v>
      </c>
      <c r="L12" s="2404">
        <v>3.38</v>
      </c>
      <c r="M12" s="2404">
        <v>3.55</v>
      </c>
      <c r="N12" s="2404">
        <v>3.52</v>
      </c>
      <c r="O12" s="2404">
        <v>3.96</v>
      </c>
      <c r="P12" s="2404">
        <v>3.57</v>
      </c>
      <c r="Q12" s="2404">
        <v>4</v>
      </c>
      <c r="R12" s="2404">
        <v>4.0999999999999996</v>
      </c>
      <c r="S12" s="2404">
        <v>4.0599999999999996</v>
      </c>
      <c r="T12" s="2404">
        <v>4.13</v>
      </c>
      <c r="U12" s="2404">
        <v>4.2300000000000004</v>
      </c>
      <c r="V12" s="2404">
        <v>4.5</v>
      </c>
      <c r="W12" s="2404">
        <v>4.12</v>
      </c>
      <c r="X12" s="2404">
        <v>3.79</v>
      </c>
      <c r="Y12" s="2404">
        <v>3.99</v>
      </c>
      <c r="Z12" s="2404">
        <v>4.33</v>
      </c>
      <c r="AA12" s="2404">
        <v>4.13</v>
      </c>
      <c r="AB12" s="2404">
        <v>4.47</v>
      </c>
      <c r="AC12" s="2404">
        <v>4.63</v>
      </c>
      <c r="AD12" s="2404">
        <v>4.66</v>
      </c>
      <c r="AE12" s="2404">
        <v>4.37</v>
      </c>
      <c r="AF12" s="2404">
        <v>4.5599999999999996</v>
      </c>
      <c r="AG12" s="2404">
        <v>4.8099999999999996</v>
      </c>
      <c r="AH12" s="2404">
        <v>5.04</v>
      </c>
      <c r="AI12" s="2404">
        <v>5.15</v>
      </c>
      <c r="AJ12" s="2404">
        <v>4.95</v>
      </c>
      <c r="AK12" s="2404">
        <v>4.75</v>
      </c>
      <c r="AL12" s="2404">
        <v>4.87</v>
      </c>
      <c r="AM12" s="2404">
        <v>4.49</v>
      </c>
      <c r="AN12" s="2404">
        <v>4.5199999999999996</v>
      </c>
      <c r="AO12" s="2404">
        <v>4.59</v>
      </c>
      <c r="AP12" s="2404">
        <v>4.67</v>
      </c>
      <c r="AQ12" s="2404">
        <v>4.88</v>
      </c>
      <c r="AR12" s="2404">
        <v>4.6500000000000004</v>
      </c>
      <c r="AS12" s="2404">
        <v>4.83</v>
      </c>
      <c r="AT12" s="2404">
        <v>4.9800000000000004</v>
      </c>
      <c r="AU12" s="2404">
        <v>5.15</v>
      </c>
      <c r="AV12" s="2404">
        <v>5.12</v>
      </c>
      <c r="AW12" s="2404">
        <v>5.13</v>
      </c>
      <c r="AX12" s="2404">
        <v>5.14</v>
      </c>
      <c r="AY12" s="2404">
        <v>4.74</v>
      </c>
      <c r="AZ12" s="2404">
        <v>4.4800000000000004</v>
      </c>
      <c r="BA12" s="2404">
        <v>4.7</v>
      </c>
      <c r="BB12" s="2404">
        <v>4.72</v>
      </c>
      <c r="BC12" s="2404">
        <v>4.41</v>
      </c>
      <c r="BD12" s="2404">
        <v>4.54</v>
      </c>
      <c r="BE12" s="2404">
        <v>4.83</v>
      </c>
      <c r="BF12" s="2404">
        <v>4.97</v>
      </c>
      <c r="BG12" s="2404">
        <v>4.7699999999999996</v>
      </c>
      <c r="BH12" s="2404">
        <v>4.75</v>
      </c>
      <c r="BI12" s="2404">
        <v>4.6399999999999997</v>
      </c>
      <c r="BJ12" s="2404">
        <v>4.6399999999999997</v>
      </c>
      <c r="BK12" s="2404">
        <v>4.5599999999999996</v>
      </c>
      <c r="BL12" s="2404">
        <v>4.6100000000000003</v>
      </c>
      <c r="BM12" s="2404">
        <v>4.5599999999999996</v>
      </c>
      <c r="BN12" s="2404">
        <v>4.5206999999999997</v>
      </c>
      <c r="BO12" s="2404">
        <v>4.5956000000000001</v>
      </c>
      <c r="BP12" s="2404">
        <v>4.8032000000000004</v>
      </c>
      <c r="BQ12" s="2404">
        <v>4.5529999999999999</v>
      </c>
      <c r="BR12" s="2404">
        <v>4.3357000000000001</v>
      </c>
      <c r="BS12" s="2404">
        <v>4.0781999999999998</v>
      </c>
      <c r="BT12" s="2404">
        <v>3.7519</v>
      </c>
      <c r="BU12" s="2404">
        <v>3.3517999999999999</v>
      </c>
      <c r="BV12" s="2404">
        <v>3.5573999999999999</v>
      </c>
      <c r="BW12" s="2404">
        <v>3.7837999999999998</v>
      </c>
      <c r="BX12" s="2404">
        <v>3.5583</v>
      </c>
      <c r="BY12" s="2404">
        <v>3.7401</v>
      </c>
      <c r="BZ12" s="2404">
        <v>3.7854000000000001</v>
      </c>
      <c r="CA12" s="2404">
        <v>3.5169000000000001</v>
      </c>
      <c r="CB12" s="2404">
        <v>3.3273000000000001</v>
      </c>
      <c r="CC12" s="2404">
        <v>3.3462999999999998</v>
      </c>
      <c r="CD12" s="2404">
        <v>3.5257999999999998</v>
      </c>
      <c r="CE12" s="2404">
        <v>3.3893</v>
      </c>
      <c r="CF12" s="2404">
        <v>3.5701000000000001</v>
      </c>
      <c r="CG12" s="2404">
        <v>3.6092</v>
      </c>
      <c r="CH12" s="2404">
        <v>4.0724</v>
      </c>
      <c r="CI12" s="2404">
        <v>4.1806000000000001</v>
      </c>
      <c r="CJ12" s="2404">
        <v>4.2778</v>
      </c>
      <c r="CK12" s="2404">
        <v>4.2488999999999999</v>
      </c>
      <c r="CL12" s="2404">
        <v>4.2328000000000001</v>
      </c>
      <c r="CM12" s="2404">
        <v>4.3078000000000003</v>
      </c>
      <c r="CN12" s="2404">
        <v>4.08</v>
      </c>
      <c r="CO12" s="2404">
        <v>4.1981000000000002</v>
      </c>
      <c r="CP12" s="2404">
        <v>4.5529999999999999</v>
      </c>
      <c r="CQ12" s="2404">
        <v>4.2662881482292896</v>
      </c>
      <c r="CR12" s="2404">
        <v>4.3535725233239067</v>
      </c>
      <c r="CS12" s="2404">
        <v>4.4865622356295907</v>
      </c>
      <c r="CT12" s="2404">
        <v>4.3900698063661805</v>
      </c>
      <c r="CU12" s="2404">
        <v>4.4187592485586178</v>
      </c>
      <c r="CV12" s="2404">
        <v>4.7503250125142289</v>
      </c>
      <c r="CW12" s="2404">
        <v>4.2975873036653569</v>
      </c>
      <c r="CX12" s="2404">
        <v>4.3563444364321553</v>
      </c>
      <c r="CY12" s="2404">
        <v>4.3519041504246037</v>
      </c>
      <c r="CZ12" s="2404">
        <v>4.3385934646244273</v>
      </c>
      <c r="DA12" s="2404">
        <v>4.1803338495633389</v>
      </c>
      <c r="DB12" s="2404">
        <v>4.3043798954782542</v>
      </c>
      <c r="DC12" s="2404">
        <v>4.3045015357541692</v>
      </c>
      <c r="DD12" s="2404">
        <v>4.0919531515976555</v>
      </c>
      <c r="DE12" s="2404">
        <v>3.7402603868307662</v>
      </c>
      <c r="DF12" s="2404">
        <v>3.8001448787588425</v>
      </c>
      <c r="DG12" s="2404">
        <v>3.620326359587414</v>
      </c>
      <c r="DH12" s="2404">
        <v>3.7169001136883479</v>
      </c>
      <c r="DI12" s="2404">
        <v>3.8416332838487675</v>
      </c>
      <c r="DJ12" s="2404">
        <v>3.9856940794946629</v>
      </c>
      <c r="DK12" s="2404">
        <v>3.8804111840386954</v>
      </c>
      <c r="DL12" s="2404">
        <v>3.8606235174531576</v>
      </c>
      <c r="DM12" s="2404">
        <v>3.6140125567878885</v>
      </c>
      <c r="DN12" s="2404">
        <v>3.8222119233774383</v>
      </c>
      <c r="DO12" s="2404">
        <v>3.8982737788837141</v>
      </c>
      <c r="DP12" s="2404">
        <v>3.7075567501245077</v>
      </c>
      <c r="DQ12" s="2404">
        <v>3.8035214549025018</v>
      </c>
      <c r="DR12" s="2404">
        <v>3.6821802638359498</v>
      </c>
      <c r="DS12" s="2404">
        <v>3.6104313236909489</v>
      </c>
      <c r="DT12" s="2404">
        <v>3.7007841237688299</v>
      </c>
      <c r="DU12" s="2404">
        <v>3.4514575122022371</v>
      </c>
      <c r="DV12" s="2404">
        <v>3.5684358295906375</v>
      </c>
      <c r="DW12" s="2404">
        <v>3.4586282264401969</v>
      </c>
      <c r="DX12" s="2404">
        <v>3.5433765177716734</v>
      </c>
      <c r="DY12" s="2404">
        <v>3.1577101274674666</v>
      </c>
      <c r="DZ12" s="2404">
        <v>3.1948623579755697</v>
      </c>
      <c r="EA12" s="2404">
        <v>3.2216301226697301</v>
      </c>
      <c r="EB12" s="2404">
        <v>3.0618062191133828</v>
      </c>
      <c r="EC12" s="2404">
        <v>3.1069691383618969</v>
      </c>
      <c r="ED12" s="2404">
        <v>3.1246810292932805</v>
      </c>
      <c r="EE12" s="2404">
        <v>3.0611223955103966</v>
      </c>
      <c r="EF12" s="2404">
        <v>2.9708024823330113</v>
      </c>
      <c r="EG12" s="2404">
        <v>2.7589730951480038</v>
      </c>
      <c r="EH12" s="2404">
        <v>2.8939377336566787</v>
      </c>
      <c r="EI12" s="2404">
        <v>2.9199374237218771</v>
      </c>
      <c r="EJ12" s="2404">
        <v>2.9219567255974672</v>
      </c>
      <c r="EK12" s="2404">
        <v>2.9761863492894265</v>
      </c>
      <c r="EL12" s="2404">
        <v>2.9283808905926496</v>
      </c>
      <c r="EM12" s="2404">
        <v>2.9214277143540328</v>
      </c>
      <c r="EN12" s="2404">
        <v>2.9595329964046955</v>
      </c>
      <c r="EO12" s="2404">
        <v>2.8501250640782794</v>
      </c>
      <c r="EP12" s="2404">
        <v>2.9477639444256361</v>
      </c>
      <c r="EQ12" s="2404">
        <v>2.9278357367228431</v>
      </c>
      <c r="ER12" s="2404">
        <v>2.8050403330500502</v>
      </c>
      <c r="ES12" s="2404">
        <v>2.8945578415356863</v>
      </c>
      <c r="ET12" s="2404">
        <v>2.9460658295365638</v>
      </c>
      <c r="EU12" s="2404">
        <v>3.0635138642632573</v>
      </c>
      <c r="EV12" s="2404">
        <v>3.0590000000000002</v>
      </c>
      <c r="EW12" s="2404">
        <v>2.9862785714285707</v>
      </c>
      <c r="EX12" s="2404">
        <v>2.9436285714285702</v>
      </c>
      <c r="EY12" s="2404">
        <v>2.86625714285714</v>
      </c>
      <c r="EZ12" s="2404">
        <v>2.7198214285714299</v>
      </c>
      <c r="FA12" s="2404">
        <v>2.6221357142857098</v>
      </c>
      <c r="FB12" s="2404">
        <v>2.6720000000000002</v>
      </c>
      <c r="FC12" s="2404">
        <v>2.5907</v>
      </c>
      <c r="FD12" s="2404">
        <v>2.3746</v>
      </c>
      <c r="FE12" s="2404">
        <v>2.2907000000000002</v>
      </c>
      <c r="FF12" s="2404">
        <v>2.2873999999999999</v>
      </c>
      <c r="FG12" s="2404">
        <v>2.4315000000000002</v>
      </c>
      <c r="FH12" s="2404">
        <v>2.5362</v>
      </c>
      <c r="FI12" s="2404">
        <v>2.3243999999999998</v>
      </c>
      <c r="FJ12" s="2404">
        <v>2.4796</v>
      </c>
      <c r="FK12" s="2404">
        <v>2.6006999999999998</v>
      </c>
      <c r="FL12" s="2404">
        <v>2.5194000000000001</v>
      </c>
      <c r="FM12" s="2404">
        <v>2.6360000000000001</v>
      </c>
      <c r="FN12" s="2404">
        <v>2.6785999999999999</v>
      </c>
      <c r="FO12" s="2404">
        <v>2.6633</v>
      </c>
      <c r="FP12" s="2404">
        <v>2.7271000000000001</v>
      </c>
      <c r="FQ12" s="2404">
        <v>2.7238000000000002</v>
      </c>
      <c r="FR12" s="2404">
        <v>2.8247</v>
      </c>
      <c r="FS12" s="2404">
        <v>2.7096</v>
      </c>
      <c r="FT12" s="2404">
        <v>2.7097000000000002</v>
      </c>
      <c r="FU12" s="2404">
        <v>2.7347999999999999</v>
      </c>
      <c r="FV12" s="2404">
        <v>2.7322000000000002</v>
      </c>
      <c r="FW12" s="2404">
        <v>2.6675</v>
      </c>
      <c r="FX12" s="2404">
        <v>2.6036999999999999</v>
      </c>
      <c r="FY12" s="2404">
        <v>2.5693000000000001</v>
      </c>
      <c r="FZ12" s="2404">
        <v>2.5045999999999999</v>
      </c>
      <c r="GA12" s="2404">
        <v>2.5432999999999999</v>
      </c>
      <c r="GB12" s="2404">
        <v>2.7852999999999999</v>
      </c>
      <c r="GC12" s="2404">
        <v>2.7909000000000002</v>
      </c>
      <c r="GD12" s="2404">
        <v>2.895</v>
      </c>
      <c r="GE12" s="2404">
        <v>2.9039000000000001</v>
      </c>
      <c r="GF12" s="2404">
        <v>2.8492000000000002</v>
      </c>
      <c r="GG12" s="2404">
        <v>2.8247</v>
      </c>
      <c r="GH12" s="2404">
        <v>2.597</v>
      </c>
      <c r="GI12" s="2404">
        <v>2.6678000000000002</v>
      </c>
      <c r="GJ12" s="2404">
        <v>2.3935</v>
      </c>
      <c r="GK12" s="2404">
        <v>2.5019999999999998</v>
      </c>
      <c r="GL12" s="2404">
        <v>2.4319000000000002</v>
      </c>
      <c r="GM12" s="2404">
        <v>2.5908000000000002</v>
      </c>
      <c r="GN12" s="2404">
        <v>2.4462999999999999</v>
      </c>
      <c r="GO12" s="2404">
        <v>2.6341000000000001</v>
      </c>
      <c r="GP12" s="2404">
        <v>2.5160999999999998</v>
      </c>
      <c r="GQ12" s="2404">
        <v>2.4579</v>
      </c>
      <c r="GR12" s="2404">
        <v>2.5116999999999998</v>
      </c>
      <c r="GS12" s="2404">
        <v>2.4714</v>
      </c>
      <c r="GT12" s="2404">
        <v>2.5762999999999998</v>
      </c>
      <c r="GU12" s="2404">
        <v>2.6141000000000001</v>
      </c>
      <c r="GV12" s="2404">
        <v>2.4220999999999999</v>
      </c>
      <c r="GW12" s="2404">
        <v>2.4758</v>
      </c>
      <c r="GX12" s="2404">
        <v>2.4906000000000001</v>
      </c>
      <c r="GY12" s="2404">
        <v>2.5632000000000001</v>
      </c>
      <c r="GZ12" s="2404">
        <v>2.657</v>
      </c>
      <c r="HA12" s="2404">
        <v>2.5634000000000001</v>
      </c>
      <c r="HB12" s="2404">
        <v>2.4659</v>
      </c>
      <c r="HC12" s="2405">
        <v>2.2543000000000002</v>
      </c>
      <c r="HD12" s="2404">
        <v>2.2732000000000001</v>
      </c>
      <c r="HE12" s="2404">
        <v>2.3576999999999999</v>
      </c>
      <c r="HF12" s="2405">
        <v>2.3938999999999999</v>
      </c>
      <c r="HG12" s="2404">
        <v>2.4481000000000002</v>
      </c>
      <c r="HH12" s="2404">
        <v>2.4681000000000002</v>
      </c>
      <c r="HI12" s="2404">
        <v>2.4256000000000002</v>
      </c>
      <c r="HJ12" s="2404">
        <v>2.5213999999999999</v>
      </c>
      <c r="HK12" s="2404">
        <v>2.6941999999999999</v>
      </c>
      <c r="HL12" s="2404">
        <v>2.7728999999999999</v>
      </c>
      <c r="HM12" s="2404">
        <v>2.67</v>
      </c>
      <c r="HN12" s="2404">
        <v>2.7208000000000001</v>
      </c>
      <c r="HO12" s="2404">
        <v>2.7879</v>
      </c>
      <c r="HP12" s="2404">
        <v>2.9077999999999999</v>
      </c>
      <c r="HQ12" s="2404">
        <v>3.0270000000000001</v>
      </c>
      <c r="HR12" s="2404">
        <v>3.0672000000000001</v>
      </c>
      <c r="HS12" s="2404">
        <v>3.0150000000000001</v>
      </c>
    </row>
    <row r="13" spans="1:227" ht="21" customHeight="1" x14ac:dyDescent="0.3">
      <c r="A13" s="2403" t="s">
        <v>4536</v>
      </c>
      <c r="B13" s="2404">
        <v>17.87</v>
      </c>
      <c r="C13" s="2404">
        <v>18.78</v>
      </c>
      <c r="D13" s="2404">
        <v>19.48</v>
      </c>
      <c r="E13" s="2404">
        <v>20.260000000000002</v>
      </c>
      <c r="F13" s="2404">
        <v>20.239999999999998</v>
      </c>
      <c r="G13" s="2404">
        <v>20.03</v>
      </c>
      <c r="H13" s="2404">
        <v>20.07</v>
      </c>
      <c r="I13" s="2404">
        <v>20.16</v>
      </c>
      <c r="J13" s="2404">
        <v>20.02</v>
      </c>
      <c r="K13" s="2404">
        <v>21.23</v>
      </c>
      <c r="L13" s="2404">
        <v>21.08</v>
      </c>
      <c r="M13" s="2404">
        <v>20.61</v>
      </c>
      <c r="N13" s="2404">
        <v>20.32</v>
      </c>
      <c r="O13" s="2404">
        <v>20.34</v>
      </c>
      <c r="P13" s="2404">
        <v>21.62</v>
      </c>
      <c r="Q13" s="2404">
        <v>21.81</v>
      </c>
      <c r="R13" s="2404">
        <v>21.77</v>
      </c>
      <c r="S13" s="2404">
        <v>20.79</v>
      </c>
      <c r="T13" s="2404">
        <v>21.87</v>
      </c>
      <c r="U13" s="2404">
        <v>21.61</v>
      </c>
      <c r="V13" s="2404">
        <v>21.84</v>
      </c>
      <c r="W13" s="2404">
        <v>21.6</v>
      </c>
      <c r="X13" s="2404">
        <v>20.73</v>
      </c>
      <c r="Y13" s="2404">
        <v>20.5</v>
      </c>
      <c r="Z13" s="2404">
        <v>21.07</v>
      </c>
      <c r="AA13" s="2404">
        <v>21.66</v>
      </c>
      <c r="AB13" s="2404">
        <v>22.72</v>
      </c>
      <c r="AC13" s="2404">
        <v>22.5</v>
      </c>
      <c r="AD13" s="2404">
        <v>22.32</v>
      </c>
      <c r="AE13" s="2404">
        <v>22.56</v>
      </c>
      <c r="AF13" s="2404">
        <v>22.87</v>
      </c>
      <c r="AG13" s="2404">
        <v>23.97</v>
      </c>
      <c r="AH13" s="2404">
        <v>25.13</v>
      </c>
      <c r="AI13" s="2404">
        <v>25.15</v>
      </c>
      <c r="AJ13" s="2404">
        <v>24.23</v>
      </c>
      <c r="AK13" s="2404">
        <v>24.43</v>
      </c>
      <c r="AL13" s="2404">
        <v>24.63</v>
      </c>
      <c r="AM13" s="2404">
        <v>23.67</v>
      </c>
      <c r="AN13" s="2404">
        <v>23.14</v>
      </c>
      <c r="AO13" s="2404">
        <v>23.22</v>
      </c>
      <c r="AP13" s="2404">
        <v>23.64</v>
      </c>
      <c r="AQ13" s="2404">
        <v>23.58</v>
      </c>
      <c r="AR13" s="2404">
        <v>23.85</v>
      </c>
      <c r="AS13" s="2404">
        <v>23.42</v>
      </c>
      <c r="AT13" s="2404">
        <v>23.52</v>
      </c>
      <c r="AU13" s="2404">
        <v>24.02</v>
      </c>
      <c r="AV13" s="2404">
        <v>23.42</v>
      </c>
      <c r="AW13" s="2404">
        <v>23.9</v>
      </c>
      <c r="AX13" s="2404">
        <v>24.65</v>
      </c>
      <c r="AY13" s="2404">
        <v>25.64</v>
      </c>
      <c r="AZ13" s="2404">
        <v>25.23</v>
      </c>
      <c r="BA13" s="2404">
        <v>25.63</v>
      </c>
      <c r="BB13" s="2404">
        <v>26.68</v>
      </c>
      <c r="BC13" s="2404">
        <v>26.42</v>
      </c>
      <c r="BD13" s="2404">
        <v>26.56</v>
      </c>
      <c r="BE13" s="2404">
        <v>27.71</v>
      </c>
      <c r="BF13" s="2404">
        <v>27.56</v>
      </c>
      <c r="BG13" s="2404">
        <v>26.95</v>
      </c>
      <c r="BH13" s="2404">
        <v>27.48</v>
      </c>
      <c r="BI13" s="2404">
        <v>27.2</v>
      </c>
      <c r="BJ13" s="2404">
        <v>26.9</v>
      </c>
      <c r="BK13" s="2404">
        <v>26.01</v>
      </c>
      <c r="BL13" s="2404">
        <v>26.04</v>
      </c>
      <c r="BM13" s="2404">
        <v>26.46</v>
      </c>
      <c r="BN13" s="2404">
        <v>26.400200000000002</v>
      </c>
      <c r="BO13" s="2404">
        <v>26.584900000000001</v>
      </c>
      <c r="BP13" s="2404">
        <v>26.7209</v>
      </c>
      <c r="BQ13" s="2404">
        <v>27.303999999999998</v>
      </c>
      <c r="BR13" s="2404">
        <v>25.878499999999999</v>
      </c>
      <c r="BS13" s="2404">
        <v>27.0215</v>
      </c>
      <c r="BT13" s="2404">
        <v>26.695599999999999</v>
      </c>
      <c r="BU13" s="2404">
        <v>26.8569</v>
      </c>
      <c r="BV13" s="2404">
        <v>25.628499999999999</v>
      </c>
      <c r="BW13" s="2404">
        <v>26.9651</v>
      </c>
      <c r="BX13" s="2404">
        <v>27.309100000000001</v>
      </c>
      <c r="BY13" s="2404">
        <v>26.000499999999999</v>
      </c>
      <c r="BZ13" s="2404">
        <v>26.302299999999999</v>
      </c>
      <c r="CA13" s="2404">
        <v>26.456700000000001</v>
      </c>
      <c r="CB13" s="2404">
        <v>28.609500000000001</v>
      </c>
      <c r="CC13" s="2404">
        <v>27.107099999999999</v>
      </c>
      <c r="CD13" s="2404">
        <v>30.787600000000001</v>
      </c>
      <c r="CE13" s="2404">
        <v>29.009</v>
      </c>
      <c r="CF13" s="2404">
        <v>29.9011</v>
      </c>
      <c r="CG13" s="2404">
        <v>29.859300000000001</v>
      </c>
      <c r="CH13" s="2404">
        <v>30.399699999999999</v>
      </c>
      <c r="CI13" s="2404">
        <v>30.834900000000001</v>
      </c>
      <c r="CJ13" s="2404">
        <v>30.603999999999999</v>
      </c>
      <c r="CK13" s="2404">
        <v>30.225899999999999</v>
      </c>
      <c r="CL13" s="2404">
        <v>30.743400000000001</v>
      </c>
      <c r="CM13" s="2404">
        <v>30.523499999999999</v>
      </c>
      <c r="CN13" s="2404">
        <v>29.996300000000002</v>
      </c>
      <c r="CO13" s="2404">
        <v>30.463799999999999</v>
      </c>
      <c r="CP13" s="2404">
        <v>29.658999999999999</v>
      </c>
      <c r="CQ13" s="2404">
        <v>29.932387020470024</v>
      </c>
      <c r="CR13" s="2404">
        <v>31.006065967336447</v>
      </c>
      <c r="CS13" s="2404">
        <v>31.667320192111127</v>
      </c>
      <c r="CT13" s="2404">
        <v>31.002429732801833</v>
      </c>
      <c r="CU13" s="2404">
        <v>31.312560317647158</v>
      </c>
      <c r="CV13" s="2404">
        <v>33.26648573910277</v>
      </c>
      <c r="CW13" s="2404">
        <v>32.417885079418781</v>
      </c>
      <c r="CX13" s="2404">
        <v>32.648237071259658</v>
      </c>
      <c r="CY13" s="2404">
        <v>32.119593530142126</v>
      </c>
      <c r="CZ13" s="2404">
        <v>32.453339202412096</v>
      </c>
      <c r="DA13" s="2404">
        <v>33.7003869210346</v>
      </c>
      <c r="DB13" s="2404">
        <v>34.802824043659051</v>
      </c>
      <c r="DC13" s="2404">
        <v>35.848340580052046</v>
      </c>
      <c r="DD13" s="2404">
        <v>34.942476068757806</v>
      </c>
      <c r="DE13" s="2404">
        <v>32.858827248066497</v>
      </c>
      <c r="DF13" s="2404">
        <v>33.739890855462278</v>
      </c>
      <c r="DG13" s="2404">
        <v>32.419063314337926</v>
      </c>
      <c r="DH13" s="2404">
        <v>31.944445927649429</v>
      </c>
      <c r="DI13" s="2404">
        <v>32.549865851118632</v>
      </c>
      <c r="DJ13" s="2404">
        <v>32.988249011225641</v>
      </c>
      <c r="DK13" s="2404">
        <v>32.769669209929454</v>
      </c>
      <c r="DL13" s="2404">
        <v>32.673095466142037</v>
      </c>
      <c r="DM13" s="2404">
        <v>31.46935338162195</v>
      </c>
      <c r="DN13" s="2404">
        <v>32.985705936886248</v>
      </c>
      <c r="DO13" s="2404">
        <v>32.286280264023411</v>
      </c>
      <c r="DP13" s="2404">
        <v>32.461569632904229</v>
      </c>
      <c r="DQ13" s="2404">
        <v>33.12353255262245</v>
      </c>
      <c r="DR13" s="2404">
        <v>33.804537399921053</v>
      </c>
      <c r="DS13" s="2404">
        <v>33.900937943332458</v>
      </c>
      <c r="DT13" s="2404">
        <v>34.000860569091984</v>
      </c>
      <c r="DU13" s="2404">
        <v>33.880883901578464</v>
      </c>
      <c r="DV13" s="2404">
        <v>33.598031437847332</v>
      </c>
      <c r="DW13" s="2404">
        <v>33.295861056000511</v>
      </c>
      <c r="DX13" s="2404">
        <v>33.545808047010063</v>
      </c>
      <c r="DY13" s="2404">
        <v>33.049334960454381</v>
      </c>
      <c r="DZ13" s="2404">
        <v>33.338557746409883</v>
      </c>
      <c r="EA13" s="2404">
        <v>33.741992337888043</v>
      </c>
      <c r="EB13" s="2404">
        <v>33.692889019657507</v>
      </c>
      <c r="EC13" s="2404">
        <v>34.366963186970331</v>
      </c>
      <c r="ED13" s="2404">
        <v>34.099848636950199</v>
      </c>
      <c r="EE13" s="2404">
        <v>34.089317010338014</v>
      </c>
      <c r="EF13" s="2404">
        <v>34.493984546866109</v>
      </c>
      <c r="EG13" s="2404">
        <v>34.265764580679743</v>
      </c>
      <c r="EH13" s="2404">
        <v>34.519829125290215</v>
      </c>
      <c r="EI13" s="2404">
        <v>34.543414154852449</v>
      </c>
      <c r="EJ13" s="2404">
        <v>34.616587209475725</v>
      </c>
      <c r="EK13" s="2404">
        <v>34.275326012044609</v>
      </c>
      <c r="EL13" s="2404">
        <v>34.512134630468196</v>
      </c>
      <c r="EM13" s="2404">
        <v>34.071467668531454</v>
      </c>
      <c r="EN13" s="2404">
        <v>34.108328458431558</v>
      </c>
      <c r="EO13" s="2404">
        <v>33.506337416692084</v>
      </c>
      <c r="EP13" s="2404">
        <v>33.280490755568088</v>
      </c>
      <c r="EQ13" s="2404">
        <v>33.150796174633285</v>
      </c>
      <c r="ER13" s="2404">
        <v>32.553019100693419</v>
      </c>
      <c r="ES13" s="2404">
        <v>36.063031378199504</v>
      </c>
      <c r="ET13" s="2404">
        <v>35.536138469291238</v>
      </c>
      <c r="EU13" s="2404">
        <v>38.169667996803135</v>
      </c>
      <c r="EV13" s="2404">
        <v>38.182985714285714</v>
      </c>
      <c r="EW13" s="2404">
        <v>38.26246428571428</v>
      </c>
      <c r="EX13" s="2404">
        <v>38.563585714285701</v>
      </c>
      <c r="EY13" s="2404">
        <v>37.409700000000001</v>
      </c>
      <c r="EZ13" s="2404">
        <v>37.461314285714302</v>
      </c>
      <c r="FA13" s="2404">
        <v>37.356064285714297</v>
      </c>
      <c r="FB13" s="2404">
        <v>37.1175</v>
      </c>
      <c r="FC13" s="2404">
        <v>35.9041</v>
      </c>
      <c r="FD13" s="2404">
        <v>37.100099999999998</v>
      </c>
      <c r="FE13" s="2404">
        <v>36.229300000000002</v>
      </c>
      <c r="FF13" s="2404">
        <v>36.792400000000001</v>
      </c>
      <c r="FG13" s="2404">
        <v>37.400599999999997</v>
      </c>
      <c r="FH13" s="2404">
        <v>37.299900000000001</v>
      </c>
      <c r="FI13" s="2404">
        <v>36.595799999999997</v>
      </c>
      <c r="FJ13" s="2404">
        <v>37.314</v>
      </c>
      <c r="FK13" s="2404">
        <v>37.3157</v>
      </c>
      <c r="FL13" s="2404">
        <v>36.978900000000003</v>
      </c>
      <c r="FM13" s="2404">
        <v>37.720399999999998</v>
      </c>
      <c r="FN13" s="2404">
        <v>37.125300000000003</v>
      </c>
      <c r="FO13" s="2404">
        <v>36.414299999999997</v>
      </c>
      <c r="FP13" s="2404">
        <v>36.206000000000003</v>
      </c>
      <c r="FQ13" s="2404">
        <v>36.781199999999998</v>
      </c>
      <c r="FR13" s="2404">
        <v>36.263500000000001</v>
      </c>
      <c r="FS13" s="2404">
        <v>36.354199999999999</v>
      </c>
      <c r="FT13" s="2404">
        <v>36.230499999999999</v>
      </c>
      <c r="FU13" s="2404">
        <v>36.554299999999998</v>
      </c>
      <c r="FV13" s="2404">
        <v>36.958500000000001</v>
      </c>
      <c r="FW13" s="2404">
        <v>35.652299999999997</v>
      </c>
      <c r="FX13" s="2404">
        <v>35.055300000000003</v>
      </c>
      <c r="FY13" s="2404">
        <v>35.7042</v>
      </c>
      <c r="FZ13" s="2404">
        <v>35.206400000000002</v>
      </c>
      <c r="GA13" s="2404">
        <v>35.178899999999999</v>
      </c>
      <c r="GB13" s="2404">
        <v>35.158499999999997</v>
      </c>
      <c r="GC13" s="2404">
        <v>35.618000000000002</v>
      </c>
      <c r="GD13" s="2404">
        <v>36.009900000000002</v>
      </c>
      <c r="GE13" s="2404">
        <v>35.813800000000001</v>
      </c>
      <c r="GF13" s="2404">
        <v>35.322899999999997</v>
      </c>
      <c r="GG13" s="2404">
        <v>35.604199999999999</v>
      </c>
      <c r="GH13" s="2404">
        <v>35.619799999999998</v>
      </c>
      <c r="GI13" s="2404">
        <v>35.282800000000002</v>
      </c>
      <c r="GJ13" s="2404">
        <v>36.072299999999998</v>
      </c>
      <c r="GK13" s="2404">
        <v>35.859200000000001</v>
      </c>
      <c r="GL13" s="2404">
        <v>35.159100000000002</v>
      </c>
      <c r="GM13" s="2404">
        <v>35.2151</v>
      </c>
      <c r="GN13" s="2404">
        <v>35.510899999999999</v>
      </c>
      <c r="GO13" s="2404">
        <v>35.076900000000002</v>
      </c>
      <c r="GP13" s="2404">
        <v>34.817500000000003</v>
      </c>
      <c r="GQ13" s="2404">
        <v>35.6873</v>
      </c>
      <c r="GR13" s="2404">
        <v>35.038200000000003</v>
      </c>
      <c r="GS13" s="2404">
        <v>36.0914</v>
      </c>
      <c r="GT13" s="2404">
        <v>37.082299999999996</v>
      </c>
      <c r="GU13" s="2404">
        <v>37.077300000000001</v>
      </c>
      <c r="GV13" s="2404">
        <v>37.271700000000003</v>
      </c>
      <c r="GW13" s="2404">
        <v>37.4465</v>
      </c>
      <c r="GX13" s="2404">
        <v>37.391800000000003</v>
      </c>
      <c r="GY13" s="2404">
        <v>37.347700000000003</v>
      </c>
      <c r="GZ13" s="2404">
        <v>38.2134</v>
      </c>
      <c r="HA13" s="2404">
        <v>38.555799999999998</v>
      </c>
      <c r="HB13" s="2404">
        <v>39.309699999999999</v>
      </c>
      <c r="HC13" s="2405">
        <v>41.644599999999997</v>
      </c>
      <c r="HD13" s="2404">
        <v>41.856999999999999</v>
      </c>
      <c r="HE13" s="2404">
        <v>42.307000000000002</v>
      </c>
      <c r="HF13" s="2405">
        <v>42.946599999999997</v>
      </c>
      <c r="HG13" s="2404">
        <v>44.6905</v>
      </c>
      <c r="HH13" s="2404">
        <v>44.685499999999998</v>
      </c>
      <c r="HI13" s="2404">
        <v>44.082000000000001</v>
      </c>
      <c r="HJ13" s="2404">
        <v>44.515700000000002</v>
      </c>
      <c r="HK13" s="2404">
        <v>44.889200000000002</v>
      </c>
      <c r="HL13" s="2404">
        <v>45.4298</v>
      </c>
      <c r="HM13" s="2404">
        <v>45.2986</v>
      </c>
      <c r="HN13" s="2404">
        <v>44.6571</v>
      </c>
      <c r="HO13" s="2404">
        <v>43.6023</v>
      </c>
      <c r="HP13" s="2404">
        <v>45.139899999999997</v>
      </c>
      <c r="HQ13" s="2404">
        <v>45.832900000000002</v>
      </c>
      <c r="HR13" s="2404">
        <v>47.029699999999998</v>
      </c>
      <c r="HS13" s="2404">
        <v>47.7468</v>
      </c>
    </row>
    <row r="14" spans="1:227" ht="21" customHeight="1" x14ac:dyDescent="0.3">
      <c r="A14" s="2403" t="s">
        <v>4537</v>
      </c>
      <c r="B14" s="2404">
        <v>30.524999999999999</v>
      </c>
      <c r="C14" s="2404">
        <v>30.447800000000001</v>
      </c>
      <c r="D14" s="2404">
        <v>30.369299999999999</v>
      </c>
      <c r="E14" s="2404">
        <v>30.158100000000001</v>
      </c>
      <c r="F14" s="2404">
        <v>29.989899999999999</v>
      </c>
      <c r="G14" s="2404">
        <v>29.904</v>
      </c>
      <c r="H14" s="2404">
        <v>29.880700000000001</v>
      </c>
      <c r="I14" s="2404">
        <v>29.8596</v>
      </c>
      <c r="J14" s="2404">
        <v>29.727</v>
      </c>
      <c r="K14" s="2404">
        <v>29.448899999999998</v>
      </c>
      <c r="L14" s="2404">
        <v>28.6342</v>
      </c>
      <c r="M14" s="2404">
        <v>28.0688</v>
      </c>
      <c r="N14" s="2404">
        <v>27.745000000000001</v>
      </c>
      <c r="O14" s="2404">
        <v>27.694099999999999</v>
      </c>
      <c r="P14" s="2404">
        <v>27.87</v>
      </c>
      <c r="Q14" s="2404">
        <v>29.495999999999999</v>
      </c>
      <c r="R14" s="2404">
        <v>29.777999999999999</v>
      </c>
      <c r="S14" s="2404">
        <v>29.445</v>
      </c>
      <c r="T14" s="2404">
        <v>28.992000000000001</v>
      </c>
      <c r="U14" s="2404">
        <v>28.841999999999999</v>
      </c>
      <c r="V14" s="2404">
        <v>28.405000000000001</v>
      </c>
      <c r="W14" s="2404">
        <v>26.8216</v>
      </c>
      <c r="X14" s="2404">
        <v>26.234999999999999</v>
      </c>
      <c r="Y14" s="2404">
        <v>26.097000000000001</v>
      </c>
      <c r="Z14" s="2404">
        <v>26.909300000000002</v>
      </c>
      <c r="AA14" s="2404">
        <v>27.959599999999998</v>
      </c>
      <c r="AB14" s="2404">
        <v>28.475999999999999</v>
      </c>
      <c r="AC14" s="2404">
        <v>28.454999999999998</v>
      </c>
      <c r="AD14" s="2404">
        <v>28.556000000000001</v>
      </c>
      <c r="AE14" s="2404">
        <v>28.727</v>
      </c>
      <c r="AF14" s="2404">
        <v>28.8154</v>
      </c>
      <c r="AG14" s="2404">
        <v>28.775500000000001</v>
      </c>
      <c r="AH14" s="2404">
        <v>28.696999999999999</v>
      </c>
      <c r="AI14" s="2404">
        <v>28.486999999999998</v>
      </c>
      <c r="AJ14" s="2404">
        <v>28.808</v>
      </c>
      <c r="AK14" s="2404">
        <v>29.294</v>
      </c>
      <c r="AL14" s="2404">
        <v>29.3139</v>
      </c>
      <c r="AM14" s="2404">
        <v>29.457999999999998</v>
      </c>
      <c r="AN14" s="2404">
        <v>29.6083</v>
      </c>
      <c r="AO14" s="2404">
        <v>29.8581</v>
      </c>
      <c r="AP14" s="2404">
        <v>29.977499999999999</v>
      </c>
      <c r="AQ14" s="2404">
        <v>30.4557</v>
      </c>
      <c r="AR14" s="2404">
        <v>30.542400000000001</v>
      </c>
      <c r="AS14" s="2404">
        <v>30.7453</v>
      </c>
      <c r="AT14" s="2404">
        <v>30.7883</v>
      </c>
      <c r="AU14" s="2404">
        <v>30.813199999999998</v>
      </c>
      <c r="AV14" s="2404">
        <v>30.8841</v>
      </c>
      <c r="AW14" s="2404">
        <v>30.957999999999998</v>
      </c>
      <c r="AX14" s="2404">
        <v>30.9801</v>
      </c>
      <c r="AY14" s="2404">
        <v>30.9785</v>
      </c>
      <c r="AZ14" s="2404">
        <v>31.011800000000001</v>
      </c>
      <c r="BA14" s="2404">
        <v>31.5261</v>
      </c>
      <c r="BB14" s="2404">
        <v>32.523099999999999</v>
      </c>
      <c r="BC14" s="2404">
        <v>32.689799999999998</v>
      </c>
      <c r="BD14" s="2404">
        <v>32.935400000000001</v>
      </c>
      <c r="BE14" s="2404">
        <v>33.223300000000002</v>
      </c>
      <c r="BF14" s="2404">
        <v>33.424599999999998</v>
      </c>
      <c r="BG14" s="2404">
        <v>33.630299999999998</v>
      </c>
      <c r="BH14" s="2404">
        <v>33.241900000000001</v>
      </c>
      <c r="BI14" s="2404">
        <v>32.928400000000003</v>
      </c>
      <c r="BJ14" s="2404">
        <v>32.288200000000003</v>
      </c>
      <c r="BK14" s="2404">
        <v>31.929099999999998</v>
      </c>
      <c r="BL14" s="2404">
        <v>32.023899999999998</v>
      </c>
      <c r="BM14" s="2404">
        <v>31.774100000000001</v>
      </c>
      <c r="BN14" s="2404">
        <v>31.686900000000001</v>
      </c>
      <c r="BO14" s="2404">
        <v>31.081499999999998</v>
      </c>
      <c r="BP14" s="2404">
        <v>30.901299999999999</v>
      </c>
      <c r="BQ14" s="2404">
        <v>30.527000000000001</v>
      </c>
      <c r="BR14" s="2404">
        <v>29.049900000000001</v>
      </c>
      <c r="BS14" s="2404">
        <v>29.220500000000001</v>
      </c>
      <c r="BT14" s="2404">
        <v>28.053999999999998</v>
      </c>
      <c r="BU14" s="2404">
        <v>26.780799999999999</v>
      </c>
      <c r="BV14" s="2404">
        <v>26.6051</v>
      </c>
      <c r="BW14" s="2404">
        <v>28.183700000000002</v>
      </c>
      <c r="BX14" s="2404">
        <v>27.7088</v>
      </c>
      <c r="BY14" s="2404">
        <v>27.177299999999999</v>
      </c>
      <c r="BZ14" s="2404">
        <v>28.766400000000001</v>
      </c>
      <c r="CA14" s="2404">
        <v>28.901900000000001</v>
      </c>
      <c r="CB14" s="2404">
        <v>32.505499999999998</v>
      </c>
      <c r="CC14" s="2404">
        <v>32.383499999999998</v>
      </c>
      <c r="CD14" s="2404">
        <v>32.446300000000001</v>
      </c>
      <c r="CE14" s="2404">
        <v>33.317</v>
      </c>
      <c r="CF14" s="2404">
        <v>34.681100000000001</v>
      </c>
      <c r="CG14" s="2404">
        <v>34.050600000000003</v>
      </c>
      <c r="CH14" s="2404">
        <v>34.295999999999999</v>
      </c>
      <c r="CI14" s="2404">
        <v>33.1843</v>
      </c>
      <c r="CJ14" s="2404">
        <v>33.032400000000003</v>
      </c>
      <c r="CK14" s="2404">
        <v>32.719000000000001</v>
      </c>
      <c r="CL14" s="2404">
        <v>32.546700000000001</v>
      </c>
      <c r="CM14" s="2404">
        <v>31.5246</v>
      </c>
      <c r="CN14" s="2404">
        <v>31.084399999999999</v>
      </c>
      <c r="CO14" s="2404">
        <v>30.486699999999999</v>
      </c>
      <c r="CP14" s="2404">
        <v>34.206000000000003</v>
      </c>
      <c r="CQ14" s="2404">
        <v>31.098413933076927</v>
      </c>
      <c r="CR14" s="2404">
        <v>31.691057399999998</v>
      </c>
      <c r="CS14" s="2404">
        <v>30.924607939999998</v>
      </c>
      <c r="CT14" s="2404">
        <v>30.510382406428576</v>
      </c>
      <c r="CU14" s="2404">
        <v>31.298728171071428</v>
      </c>
      <c r="CV14" s="2404">
        <v>31.171405866428568</v>
      </c>
      <c r="CW14" s="2404">
        <v>30.495615851785715</v>
      </c>
      <c r="CX14" s="2404">
        <v>30.221834158571429</v>
      </c>
      <c r="CY14" s="2404">
        <v>29.437642964285711</v>
      </c>
      <c r="CZ14" s="2404">
        <v>28.309520411071425</v>
      </c>
      <c r="DA14" s="2404">
        <v>28.633557865714288</v>
      </c>
      <c r="DB14" s="2404">
        <v>28.897772164999999</v>
      </c>
      <c r="DC14" s="2404">
        <v>28.670885417857143</v>
      </c>
      <c r="DD14" s="2404">
        <v>28.550806060714283</v>
      </c>
      <c r="DE14" s="2404">
        <v>29.588867412142861</v>
      </c>
      <c r="DF14" s="2404">
        <v>29.426150412142853</v>
      </c>
      <c r="DG14" s="2404">
        <v>29.811181982142852</v>
      </c>
      <c r="DH14" s="2404">
        <v>30.044272552857141</v>
      </c>
      <c r="DI14" s="2404">
        <v>29.734324928571425</v>
      </c>
      <c r="DJ14" s="2404">
        <v>29.492417607142862</v>
      </c>
      <c r="DK14" s="2404">
        <v>29.576342892857145</v>
      </c>
      <c r="DL14" s="2404">
        <v>29.638123822857136</v>
      </c>
      <c r="DM14" s="2404">
        <v>30.495616589285721</v>
      </c>
      <c r="DN14" s="2404">
        <v>31.517259767857144</v>
      </c>
      <c r="DO14" s="2404">
        <v>31.602478607142853</v>
      </c>
      <c r="DP14" s="2404">
        <v>31.095365642857143</v>
      </c>
      <c r="DQ14" s="2404">
        <v>30.958002892857138</v>
      </c>
      <c r="DR14" s="2404">
        <v>31.488185839285709</v>
      </c>
      <c r="DS14" s="2404">
        <v>31.369702410714286</v>
      </c>
      <c r="DT14" s="2404">
        <v>31.019555</v>
      </c>
      <c r="DU14" s="2404">
        <v>30.764621428571427</v>
      </c>
      <c r="DV14" s="2404">
        <v>31.144433571428571</v>
      </c>
      <c r="DW14" s="2404">
        <v>31.512893214285715</v>
      </c>
      <c r="DX14" s="2404">
        <v>31.359302499999995</v>
      </c>
      <c r="DY14" s="2404">
        <v>31.460323214285715</v>
      </c>
      <c r="DZ14" s="2404">
        <v>31.397255714285713</v>
      </c>
      <c r="EA14" s="2404">
        <v>31.29974285714286</v>
      </c>
      <c r="EB14" s="2404">
        <v>31.289606785714287</v>
      </c>
      <c r="EC14" s="2404">
        <v>31.063426428571436</v>
      </c>
      <c r="ED14" s="2404">
        <v>30.695694000000003</v>
      </c>
      <c r="EE14" s="2404">
        <v>30.848288999999998</v>
      </c>
      <c r="EF14" s="2404">
        <v>30.594651428571431</v>
      </c>
      <c r="EG14" s="2404">
        <v>30.699379642857146</v>
      </c>
      <c r="EH14" s="2404">
        <v>30.636903571428572</v>
      </c>
      <c r="EI14" s="2404">
        <v>30.61483464285714</v>
      </c>
      <c r="EJ14" s="2404">
        <v>30.532384714285719</v>
      </c>
      <c r="EK14" s="2404">
        <v>30.724977142857146</v>
      </c>
      <c r="EL14" s="2404">
        <v>30.710060499999994</v>
      </c>
      <c r="EM14" s="2404">
        <v>30.907627796571425</v>
      </c>
      <c r="EN14" s="2404">
        <v>31.164286348999998</v>
      </c>
      <c r="EO14" s="2404">
        <v>31.730047428571428</v>
      </c>
      <c r="EP14" s="2404">
        <v>31.747250407142854</v>
      </c>
      <c r="EQ14" s="2404">
        <v>31.903080589285715</v>
      </c>
      <c r="ER14" s="2404">
        <v>32.097679571428571</v>
      </c>
      <c r="ES14" s="2404">
        <v>33.123232842857142</v>
      </c>
      <c r="ET14" s="2404">
        <v>33.661349539285716</v>
      </c>
      <c r="EU14" s="2404">
        <v>36.814109928571433</v>
      </c>
      <c r="EV14" s="2404">
        <v>35.702300000000001</v>
      </c>
      <c r="EW14" s="2404">
        <v>35.877392857142858</v>
      </c>
      <c r="EX14" s="2404">
        <v>35.744807142857098</v>
      </c>
      <c r="EY14" s="2404">
        <v>36.0229</v>
      </c>
      <c r="EZ14" s="2404">
        <v>35.800971428571401</v>
      </c>
      <c r="FA14" s="2404">
        <v>36.150064285714301</v>
      </c>
      <c r="FB14" s="2404">
        <v>36.5837</v>
      </c>
      <c r="FC14" s="2404">
        <v>36.865000000000002</v>
      </c>
      <c r="FD14" s="2404">
        <v>36.531199999999998</v>
      </c>
      <c r="FE14" s="2404">
        <v>36.616900000000001</v>
      </c>
      <c r="FF14" s="2404">
        <v>36.545900000000003</v>
      </c>
      <c r="FG14" s="2404">
        <v>35.995600000000003</v>
      </c>
      <c r="FH14" s="2404">
        <v>35.8185</v>
      </c>
      <c r="FI14" s="2404">
        <v>36.176699999999997</v>
      </c>
      <c r="FJ14" s="2404">
        <v>36.445599999999999</v>
      </c>
      <c r="FK14" s="2404">
        <v>36.415999999999997</v>
      </c>
      <c r="FL14" s="2404">
        <v>36.211399999999998</v>
      </c>
      <c r="FM14" s="2404">
        <v>36.305799999999998</v>
      </c>
      <c r="FN14" s="2404">
        <v>36.522300000000001</v>
      </c>
      <c r="FO14" s="2404">
        <v>36.749899999999997</v>
      </c>
      <c r="FP14" s="2404">
        <v>36.8155</v>
      </c>
      <c r="FQ14" s="2404">
        <v>36.4724</v>
      </c>
      <c r="FR14" s="2404">
        <v>36.432200000000002</v>
      </c>
      <c r="FS14" s="2404">
        <v>36.278599999999997</v>
      </c>
      <c r="FT14" s="2404">
        <v>35.915100000000002</v>
      </c>
      <c r="FU14" s="2404">
        <v>35.539400000000001</v>
      </c>
      <c r="FV14" s="2404">
        <v>35.2395</v>
      </c>
      <c r="FW14" s="2404">
        <v>34.428400000000003</v>
      </c>
      <c r="FX14" s="2404">
        <v>33.698900000000002</v>
      </c>
      <c r="FY14" s="2404">
        <v>34.591200000000001</v>
      </c>
      <c r="FZ14" s="2404">
        <v>34.972900000000003</v>
      </c>
      <c r="GA14" s="2404">
        <v>34.556800000000003</v>
      </c>
      <c r="GB14" s="2404">
        <v>34.346400000000003</v>
      </c>
      <c r="GC14" s="2404">
        <v>33.329500000000003</v>
      </c>
      <c r="GD14" s="2404">
        <v>33.771099999999997</v>
      </c>
      <c r="GE14" s="2404">
        <v>34.098799999999997</v>
      </c>
      <c r="GF14" s="2404">
        <v>34.742100000000001</v>
      </c>
      <c r="GG14" s="2404">
        <v>35.031399999999998</v>
      </c>
      <c r="GH14" s="2404">
        <v>35.237900000000003</v>
      </c>
      <c r="GI14" s="2404">
        <v>34.724299999999999</v>
      </c>
      <c r="GJ14" s="2404">
        <v>34.7971</v>
      </c>
      <c r="GK14" s="2404">
        <v>34.843600000000002</v>
      </c>
      <c r="GL14" s="2404">
        <v>35.168599999999998</v>
      </c>
      <c r="GM14" s="2404">
        <v>34.924300000000002</v>
      </c>
      <c r="GN14" s="2404">
        <v>34.814300000000003</v>
      </c>
      <c r="GO14" s="2404">
        <v>34.650700000000001</v>
      </c>
      <c r="GP14" s="2404">
        <v>34.608600000000003</v>
      </c>
      <c r="GQ14" s="2404">
        <v>35.361400000000003</v>
      </c>
      <c r="GR14" s="2404">
        <v>35.529299999999999</v>
      </c>
      <c r="GS14" s="2404">
        <v>36.097900000000003</v>
      </c>
      <c r="GT14" s="2404">
        <v>35.998600000000003</v>
      </c>
      <c r="GU14" s="2404">
        <v>36.563600000000001</v>
      </c>
      <c r="GV14" s="2404">
        <v>36.618600000000001</v>
      </c>
      <c r="GW14" s="2404">
        <v>36.92</v>
      </c>
      <c r="GX14" s="2404">
        <v>36.7121</v>
      </c>
      <c r="GY14" s="2404">
        <v>37.0886</v>
      </c>
      <c r="GZ14" s="2404">
        <v>36.8279</v>
      </c>
      <c r="HA14" s="2404">
        <v>37.227899999999998</v>
      </c>
      <c r="HB14" s="2404">
        <v>37.862900000000003</v>
      </c>
      <c r="HC14" s="2405">
        <v>39.722099999999998</v>
      </c>
      <c r="HD14" s="2404">
        <v>40.508600000000001</v>
      </c>
      <c r="HE14" s="2404">
        <v>40.474299999999999</v>
      </c>
      <c r="HF14" s="2405">
        <v>40.609299999999998</v>
      </c>
      <c r="HG14" s="2404">
        <v>40.314300000000003</v>
      </c>
      <c r="HH14" s="2404">
        <v>40.181399999999996</v>
      </c>
      <c r="HI14" s="2404">
        <v>40.334299999999999</v>
      </c>
      <c r="HJ14" s="2404">
        <v>40.472900000000003</v>
      </c>
      <c r="HK14" s="2404">
        <v>40.346400000000003</v>
      </c>
      <c r="HL14" s="2404">
        <v>39.854999999999997</v>
      </c>
      <c r="HM14" s="2404">
        <v>40.06</v>
      </c>
      <c r="HN14" s="2404">
        <v>40.211399999999998</v>
      </c>
      <c r="HO14" s="2404">
        <v>40.905700000000003</v>
      </c>
      <c r="HP14" s="2404">
        <v>40.765700000000002</v>
      </c>
      <c r="HQ14" s="2404">
        <v>40.965000000000003</v>
      </c>
      <c r="HR14" s="2404">
        <v>43.034999999999997</v>
      </c>
      <c r="HS14" s="2404">
        <v>43.024999999999999</v>
      </c>
    </row>
    <row r="15" spans="1:227" ht="21" customHeight="1" x14ac:dyDescent="0.3">
      <c r="A15" s="2403" t="s">
        <v>4538</v>
      </c>
      <c r="B15" s="2404">
        <v>43.18</v>
      </c>
      <c r="C15" s="2407">
        <v>44.386000000000003</v>
      </c>
      <c r="D15" s="2407">
        <v>44.524999999999999</v>
      </c>
      <c r="E15" s="2407">
        <v>46.073999999999998</v>
      </c>
      <c r="F15" s="2407">
        <v>47.101999999999997</v>
      </c>
      <c r="G15" s="2407">
        <v>46.304000000000002</v>
      </c>
      <c r="H15" s="2407">
        <v>46.771000000000001</v>
      </c>
      <c r="I15" s="2404">
        <v>46.61</v>
      </c>
      <c r="J15" s="2404">
        <v>46.116999999999997</v>
      </c>
      <c r="K15" s="2404">
        <v>47.216000000000001</v>
      </c>
      <c r="L15" s="2404">
        <v>47.295000000000002</v>
      </c>
      <c r="M15" s="2404">
        <v>44.259</v>
      </c>
      <c r="N15" s="2404">
        <v>43.691000000000003</v>
      </c>
      <c r="O15" s="2404">
        <v>44.118000000000002</v>
      </c>
      <c r="P15" s="2404">
        <v>45.951000000000001</v>
      </c>
      <c r="Q15" s="2404">
        <v>48.694000000000003</v>
      </c>
      <c r="R15" s="2404">
        <v>48.04</v>
      </c>
      <c r="S15" s="2404">
        <v>46.353999999999999</v>
      </c>
      <c r="T15" s="2404">
        <v>48.322000000000003</v>
      </c>
      <c r="U15" s="2404">
        <v>48.853000000000002</v>
      </c>
      <c r="V15" s="2404">
        <v>48.627000000000002</v>
      </c>
      <c r="W15" s="2404">
        <v>47.731999999999999</v>
      </c>
      <c r="X15" s="2404">
        <v>47.548000000000002</v>
      </c>
      <c r="Y15" s="2404">
        <v>48.542000000000002</v>
      </c>
      <c r="Z15" s="2404">
        <v>49.323999999999998</v>
      </c>
      <c r="AA15" s="2404">
        <v>49.692</v>
      </c>
      <c r="AB15" s="2404">
        <v>52.329000000000001</v>
      </c>
      <c r="AC15" s="2404">
        <v>51.55</v>
      </c>
      <c r="AD15" s="2404">
        <v>52.045000000000002</v>
      </c>
      <c r="AE15" s="2404">
        <v>51.734000000000002</v>
      </c>
      <c r="AF15" s="2404">
        <v>51.884</v>
      </c>
      <c r="AG15" s="2404">
        <v>52.762</v>
      </c>
      <c r="AH15" s="2404">
        <v>54.296999999999997</v>
      </c>
      <c r="AI15" s="2404">
        <v>54.890999999999998</v>
      </c>
      <c r="AJ15" s="2404">
        <v>54.314999999999998</v>
      </c>
      <c r="AK15" s="2404">
        <v>55.073</v>
      </c>
      <c r="AL15" s="2404">
        <v>55.978999999999999</v>
      </c>
      <c r="AM15" s="2404">
        <v>53.478000000000002</v>
      </c>
      <c r="AN15" s="2404">
        <v>53.539000000000001</v>
      </c>
      <c r="AO15" s="2404">
        <v>52.404000000000003</v>
      </c>
      <c r="AP15" s="2404">
        <v>53.588000000000001</v>
      </c>
      <c r="AQ15" s="2404">
        <v>53.716000000000001</v>
      </c>
      <c r="AR15" s="2404">
        <v>54.262999999999998</v>
      </c>
      <c r="AS15" s="2404">
        <v>52.902000000000001</v>
      </c>
      <c r="AT15" s="2404">
        <v>53.271999999999998</v>
      </c>
      <c r="AU15" s="2404">
        <v>54.683</v>
      </c>
      <c r="AV15" s="2404">
        <v>53.929000000000002</v>
      </c>
      <c r="AW15" s="2404">
        <v>54.22</v>
      </c>
      <c r="AX15" s="2404">
        <v>56.003</v>
      </c>
      <c r="AY15" s="2404">
        <v>58.566000000000003</v>
      </c>
      <c r="AZ15" s="2404">
        <v>57.018999999999998</v>
      </c>
      <c r="BA15" s="2404">
        <v>59.027999999999999</v>
      </c>
      <c r="BB15" s="2404">
        <v>62.463000000000001</v>
      </c>
      <c r="BC15" s="2404">
        <v>62.011000000000003</v>
      </c>
      <c r="BD15" s="2404">
        <v>63.615000000000002</v>
      </c>
      <c r="BE15" s="2404">
        <v>66.048000000000002</v>
      </c>
      <c r="BF15" s="2404">
        <v>66.947999999999993</v>
      </c>
      <c r="BG15" s="2404">
        <v>66.697999999999993</v>
      </c>
      <c r="BH15" s="2404">
        <v>65.614000000000004</v>
      </c>
      <c r="BI15" s="2404">
        <v>64.734999999999999</v>
      </c>
      <c r="BJ15" s="2404">
        <v>64.495999999999995</v>
      </c>
      <c r="BK15" s="2404">
        <v>62.920999999999999</v>
      </c>
      <c r="BL15" s="2404">
        <v>64.143000000000001</v>
      </c>
      <c r="BM15" s="2404">
        <v>64.445999999999998</v>
      </c>
      <c r="BN15" s="2404">
        <v>63.834200000000003</v>
      </c>
      <c r="BO15" s="2404">
        <v>62.857300000000002</v>
      </c>
      <c r="BP15" s="2404">
        <v>63.932000000000002</v>
      </c>
      <c r="BQ15" s="2404">
        <v>62.945999999999998</v>
      </c>
      <c r="BR15" s="2404">
        <v>57.971699999999998</v>
      </c>
      <c r="BS15" s="2404">
        <v>58.133299999999998</v>
      </c>
      <c r="BT15" s="2404">
        <v>55.6599</v>
      </c>
      <c r="BU15" s="2404">
        <v>53.235599999999998</v>
      </c>
      <c r="BV15" s="2404">
        <v>52.2166</v>
      </c>
      <c r="BW15" s="2404">
        <v>55.817300000000003</v>
      </c>
      <c r="BX15" s="2404">
        <v>55.3277</v>
      </c>
      <c r="BY15" s="2404">
        <v>53.9086</v>
      </c>
      <c r="BZ15" s="2404">
        <v>52.817399999999999</v>
      </c>
      <c r="CA15" s="2404">
        <v>52.112699999999997</v>
      </c>
      <c r="CB15" s="2404">
        <v>53.389299999999999</v>
      </c>
      <c r="CC15" s="2404">
        <v>50.124200000000002</v>
      </c>
      <c r="CD15" s="2404">
        <v>47.036299999999997</v>
      </c>
      <c r="CE15" s="2404">
        <v>47.578200000000002</v>
      </c>
      <c r="CF15" s="2404">
        <v>49.756799999999998</v>
      </c>
      <c r="CG15" s="2404">
        <v>48.8322</v>
      </c>
      <c r="CH15" s="2404">
        <v>50.966900000000003</v>
      </c>
      <c r="CI15" s="2404">
        <v>53.001100000000001</v>
      </c>
      <c r="CJ15" s="2404">
        <v>54.921500000000002</v>
      </c>
      <c r="CK15" s="2404">
        <v>54.136899999999997</v>
      </c>
      <c r="CL15" s="2404">
        <v>52.886899999999997</v>
      </c>
      <c r="CM15" s="2404">
        <v>50.505400000000002</v>
      </c>
      <c r="CN15" s="2404">
        <v>51.4604</v>
      </c>
      <c r="CO15" s="2404">
        <v>50.496299999999998</v>
      </c>
      <c r="CP15" s="2404">
        <v>49.55</v>
      </c>
      <c r="CQ15" s="2404">
        <v>48.587814802792302</v>
      </c>
      <c r="CR15" s="2404">
        <v>48.981586617321433</v>
      </c>
      <c r="CS15" s="2404">
        <v>48.966664830478564</v>
      </c>
      <c r="CT15" s="2404">
        <v>48.637702474021424</v>
      </c>
      <c r="CU15" s="2404">
        <v>48.625294256664276</v>
      </c>
      <c r="CV15" s="2404">
        <v>48.12643753362142</v>
      </c>
      <c r="CW15" s="2404">
        <v>48.370444436303565</v>
      </c>
      <c r="CX15" s="2404">
        <v>48.661779718099993</v>
      </c>
      <c r="CY15" s="2404">
        <v>47.340736482496425</v>
      </c>
      <c r="CZ15" s="2404">
        <v>47.190617604623206</v>
      </c>
      <c r="DA15" s="2404">
        <v>47.380979298199989</v>
      </c>
      <c r="DB15" s="2404">
        <v>46.549084587582136</v>
      </c>
      <c r="DC15" s="2404">
        <v>46.872216986271432</v>
      </c>
      <c r="DD15" s="2404">
        <v>46.860547210771422</v>
      </c>
      <c r="DE15" s="2404">
        <v>46.209313203796412</v>
      </c>
      <c r="DF15" s="2404">
        <v>47.012618907300002</v>
      </c>
      <c r="DG15" s="2404">
        <v>46.467314002428566</v>
      </c>
      <c r="DH15" s="2404">
        <v>46.292920075242861</v>
      </c>
      <c r="DI15" s="2404">
        <v>46.765990060400007</v>
      </c>
      <c r="DJ15" s="2404">
        <v>46.955281256471423</v>
      </c>
      <c r="DK15" s="2404">
        <v>47.236627918985711</v>
      </c>
      <c r="DL15" s="2404">
        <v>48.2266464617</v>
      </c>
      <c r="DM15" s="2404">
        <v>47.181287631271424</v>
      </c>
      <c r="DN15" s="2404">
        <v>49.111795523014294</v>
      </c>
      <c r="DO15" s="2404">
        <v>49.63146250165714</v>
      </c>
      <c r="DP15" s="2404">
        <v>49.102599088457147</v>
      </c>
      <c r="DQ15" s="2404">
        <v>50.330642255371437</v>
      </c>
      <c r="DR15" s="2404">
        <v>50.629900554928568</v>
      </c>
      <c r="DS15" s="2404">
        <v>50.352595541100008</v>
      </c>
      <c r="DT15" s="2404">
        <v>50.113020677514285</v>
      </c>
      <c r="DU15" s="2404">
        <v>48.579095241225716</v>
      </c>
      <c r="DV15" s="2404">
        <v>47.207986411474288</v>
      </c>
      <c r="DW15" s="2404">
        <v>47.915250278286997</v>
      </c>
      <c r="DX15" s="2404">
        <v>48.583635174580913</v>
      </c>
      <c r="DY15" s="2404">
        <v>47.913722834848215</v>
      </c>
      <c r="DZ15" s="2404">
        <v>47.96572247854386</v>
      </c>
      <c r="EA15" s="2404">
        <v>47.653405013778219</v>
      </c>
      <c r="EB15" s="2404">
        <v>48.541106597875583</v>
      </c>
      <c r="EC15" s="2404">
        <v>50.168646486396469</v>
      </c>
      <c r="ED15" s="2404">
        <v>49.056532251360579</v>
      </c>
      <c r="EE15" s="2404">
        <v>50.342079243689867</v>
      </c>
      <c r="EF15" s="2404">
        <v>50.325583764873144</v>
      </c>
      <c r="EG15" s="2404">
        <v>50.72126809093561</v>
      </c>
      <c r="EH15" s="2404">
        <v>51.004097996633398</v>
      </c>
      <c r="EI15" s="2404">
        <v>50.735561352640353</v>
      </c>
      <c r="EJ15" s="2404">
        <v>51.252853766102774</v>
      </c>
      <c r="EK15" s="2404">
        <v>51.289893658692144</v>
      </c>
      <c r="EL15" s="2404">
        <v>52.172424024731058</v>
      </c>
      <c r="EM15" s="2404">
        <v>52.169690267036849</v>
      </c>
      <c r="EN15" s="2404">
        <v>51.626303118861593</v>
      </c>
      <c r="EO15" s="2404">
        <v>51.628338585041242</v>
      </c>
      <c r="EP15" s="2404">
        <v>50.772412170343372</v>
      </c>
      <c r="EQ15" s="2404">
        <v>50.118145790247247</v>
      </c>
      <c r="ER15" s="2404">
        <v>49.940272977390698</v>
      </c>
      <c r="ES15" s="2404">
        <v>49.93993427772142</v>
      </c>
      <c r="ET15" s="2404">
        <v>52.027201670143597</v>
      </c>
      <c r="EU15" s="2404">
        <v>54.543888858919495</v>
      </c>
      <c r="EV15" s="2404">
        <v>55.057200000000002</v>
      </c>
      <c r="EW15" s="2404">
        <v>55.000778571428569</v>
      </c>
      <c r="EX15" s="2404">
        <v>56.199135714285703</v>
      </c>
      <c r="EY15" s="2404">
        <v>56.227649999999997</v>
      </c>
      <c r="EZ15" s="2404">
        <v>55.235821428571398</v>
      </c>
      <c r="FA15" s="2404">
        <v>54.813821428571401</v>
      </c>
      <c r="FB15" s="2404">
        <v>56.055199999999999</v>
      </c>
      <c r="FC15" s="2404">
        <v>55.4039</v>
      </c>
      <c r="FD15" s="2404">
        <v>54.146799999999999</v>
      </c>
      <c r="FE15" s="2404">
        <v>52.590899999999998</v>
      </c>
      <c r="FF15" s="2404">
        <v>50.658299999999997</v>
      </c>
      <c r="FG15" s="2404">
        <v>51.6297</v>
      </c>
      <c r="FH15" s="2404">
        <v>52.458300000000001</v>
      </c>
      <c r="FI15" s="2404">
        <v>53.108699999999999</v>
      </c>
      <c r="FJ15" s="2404">
        <v>48.970799999999997</v>
      </c>
      <c r="FK15" s="2404">
        <v>48.079500000000003</v>
      </c>
      <c r="FL15" s="2404">
        <v>47.506399999999999</v>
      </c>
      <c r="FM15" s="2404">
        <v>47.102800000000002</v>
      </c>
      <c r="FN15" s="2404">
        <v>44.533999999999999</v>
      </c>
      <c r="FO15" s="2404">
        <v>45.888199999999998</v>
      </c>
      <c r="FP15" s="2404">
        <v>45.218600000000002</v>
      </c>
      <c r="FQ15" s="2404">
        <v>45.644300000000001</v>
      </c>
      <c r="FR15" s="2404">
        <v>45.299599999999998</v>
      </c>
      <c r="FS15" s="2404">
        <v>45.284700000000001</v>
      </c>
      <c r="FT15" s="2404">
        <v>46.363900000000001</v>
      </c>
      <c r="FU15" s="2404">
        <v>45.545499999999997</v>
      </c>
      <c r="FV15" s="2404">
        <v>45.868099999999998</v>
      </c>
      <c r="FW15" s="2404">
        <v>45.1556</v>
      </c>
      <c r="FX15" s="2404">
        <v>43.507599999999996</v>
      </c>
      <c r="FY15" s="2404">
        <v>46.338200000000001</v>
      </c>
      <c r="FZ15" s="2404">
        <v>46.141399999999997</v>
      </c>
      <c r="GA15" s="2404">
        <v>46.517000000000003</v>
      </c>
      <c r="GB15" s="2404">
        <v>46.183199999999999</v>
      </c>
      <c r="GC15" s="2404">
        <v>46.766300000000001</v>
      </c>
      <c r="GD15" s="2404">
        <v>46.901800000000001</v>
      </c>
      <c r="GE15" s="2404">
        <v>47.8337</v>
      </c>
      <c r="GF15" s="2404">
        <v>47.8977</v>
      </c>
      <c r="GG15" s="2404">
        <v>46.5396</v>
      </c>
      <c r="GH15" s="2404">
        <v>46.155200000000001</v>
      </c>
      <c r="GI15" s="2404">
        <v>45.529800000000002</v>
      </c>
      <c r="GJ15" s="2404">
        <v>45.222299999999997</v>
      </c>
      <c r="GK15" s="2404">
        <v>45.5184</v>
      </c>
      <c r="GL15" s="2404">
        <v>44.631599999999999</v>
      </c>
      <c r="GM15" s="2404">
        <v>44.569699999999997</v>
      </c>
      <c r="GN15" s="2404">
        <v>44.1036</v>
      </c>
      <c r="GO15" s="2404">
        <v>45.424199999999999</v>
      </c>
      <c r="GP15" s="2404">
        <v>45.9634</v>
      </c>
      <c r="GQ15" s="2404">
        <v>46.1496</v>
      </c>
      <c r="GR15" s="2404">
        <v>45.932000000000002</v>
      </c>
      <c r="GS15" s="2404">
        <v>45.470100000000002</v>
      </c>
      <c r="GT15" s="2404">
        <v>45.566899999999997</v>
      </c>
      <c r="GU15" s="2404">
        <v>44.402799999999999</v>
      </c>
      <c r="GV15" s="2404">
        <v>44.573900000000002</v>
      </c>
      <c r="GW15" s="2404">
        <v>45.351799999999997</v>
      </c>
      <c r="GX15" s="2404">
        <v>47.456200000000003</v>
      </c>
      <c r="GY15" s="2404">
        <v>47.874099999999999</v>
      </c>
      <c r="GZ15" s="2404">
        <v>48.296500000000002</v>
      </c>
      <c r="HA15" s="2404">
        <v>48.731299999999997</v>
      </c>
      <c r="HB15" s="2404">
        <v>48.740299999999998</v>
      </c>
      <c r="HC15" s="2405">
        <v>49.059100000000001</v>
      </c>
      <c r="HD15" s="2404">
        <v>50.564</v>
      </c>
      <c r="HE15" s="2404">
        <v>49.980200000000004</v>
      </c>
      <c r="HF15" s="2405">
        <v>50.048999999999999</v>
      </c>
      <c r="HG15" s="2404">
        <v>52.932499999999997</v>
      </c>
      <c r="HH15" s="2404">
        <v>53.704700000000003</v>
      </c>
      <c r="HI15" s="2404">
        <v>51.9208</v>
      </c>
      <c r="HJ15" s="2404">
        <v>52.409399999999998</v>
      </c>
      <c r="HK15" s="2404">
        <v>53.884599999999999</v>
      </c>
      <c r="HL15" s="2404">
        <v>54.3643</v>
      </c>
      <c r="HM15" s="2404">
        <v>54.996000000000002</v>
      </c>
      <c r="HN15" s="2404">
        <v>56.257599999999996</v>
      </c>
      <c r="HO15" s="2404">
        <v>56.26</v>
      </c>
      <c r="HP15" s="2404">
        <v>56.973700000000001</v>
      </c>
      <c r="HQ15" s="2404">
        <v>58.241500000000002</v>
      </c>
      <c r="HR15" s="2404">
        <v>59.7547</v>
      </c>
      <c r="HS15" s="2404">
        <v>60.161700000000003</v>
      </c>
    </row>
    <row r="16" spans="1:227" ht="21" customHeight="1" x14ac:dyDescent="0.3">
      <c r="A16" s="2403" t="s">
        <v>3323</v>
      </c>
      <c r="B16" s="2404">
        <v>26.338999999999999</v>
      </c>
      <c r="C16" s="2404">
        <v>27.518699999999999</v>
      </c>
      <c r="D16" s="2404">
        <v>28.536300000000001</v>
      </c>
      <c r="E16" s="2404">
        <v>29.829899999999999</v>
      </c>
      <c r="F16" s="2404">
        <v>29.496200000000002</v>
      </c>
      <c r="G16" s="2404">
        <v>29.462499999999999</v>
      </c>
      <c r="H16" s="2404">
        <v>29.4025</v>
      </c>
      <c r="I16" s="2404">
        <v>29.5045</v>
      </c>
      <c r="J16" s="2404">
        <v>29.545999999999999</v>
      </c>
      <c r="K16" s="2404">
        <v>30.859100000000002</v>
      </c>
      <c r="L16" s="2404">
        <v>30.937000000000001</v>
      </c>
      <c r="M16" s="2404">
        <v>30.142800000000001</v>
      </c>
      <c r="N16" s="2404">
        <v>30.0062</v>
      </c>
      <c r="O16" s="2404">
        <v>30.721</v>
      </c>
      <c r="P16" s="2404">
        <v>33.030999999999999</v>
      </c>
      <c r="Q16" s="2404">
        <v>33.676000000000002</v>
      </c>
      <c r="R16" s="2404">
        <v>33.713000000000001</v>
      </c>
      <c r="S16" s="2404">
        <v>31.965</v>
      </c>
      <c r="T16" s="2404">
        <v>33.642000000000003</v>
      </c>
      <c r="U16" s="2404">
        <v>33.475999999999999</v>
      </c>
      <c r="V16" s="2404">
        <v>33.796999999999997</v>
      </c>
      <c r="W16" s="2404">
        <v>33.689300000000003</v>
      </c>
      <c r="X16" s="2404">
        <v>32.340000000000003</v>
      </c>
      <c r="Y16" s="2404">
        <v>32.271000000000001</v>
      </c>
      <c r="Z16" s="2404">
        <v>32.844099999999997</v>
      </c>
      <c r="AA16" s="2404">
        <v>33.470300000000002</v>
      </c>
      <c r="AB16" s="2404">
        <v>34.741999999999997</v>
      </c>
      <c r="AC16" s="2404">
        <v>34.414999999999999</v>
      </c>
      <c r="AD16" s="2404">
        <v>34.444000000000003</v>
      </c>
      <c r="AE16" s="2404">
        <v>34.755000000000003</v>
      </c>
      <c r="AF16" s="2404">
        <v>35.546500000000002</v>
      </c>
      <c r="AG16" s="2404">
        <v>36.704000000000001</v>
      </c>
      <c r="AH16" s="2404">
        <v>38.103999999999999</v>
      </c>
      <c r="AI16" s="2404">
        <v>38.814</v>
      </c>
      <c r="AJ16" s="2404">
        <v>37.548999999999999</v>
      </c>
      <c r="AK16" s="2404">
        <v>37.868000000000002</v>
      </c>
      <c r="AL16" s="2404">
        <v>37.916200000000003</v>
      </c>
      <c r="AM16" s="2404">
        <v>36.561100000000003</v>
      </c>
      <c r="AN16" s="2404">
        <v>35.816800000000001</v>
      </c>
      <c r="AO16" s="2404">
        <v>36.225999999999999</v>
      </c>
      <c r="AP16" s="2404">
        <v>36.662199999999999</v>
      </c>
      <c r="AQ16" s="2404">
        <v>36.7258</v>
      </c>
      <c r="AR16" s="2404">
        <v>36.864400000000003</v>
      </c>
      <c r="AS16" s="2404">
        <v>36.273400000000002</v>
      </c>
      <c r="AT16" s="2404">
        <v>36.654299999999999</v>
      </c>
      <c r="AU16" s="2404">
        <v>37.408700000000003</v>
      </c>
      <c r="AV16" s="2404">
        <v>36.766199999999998</v>
      </c>
      <c r="AW16" s="2404">
        <v>37.799599999999998</v>
      </c>
      <c r="AX16" s="2404">
        <v>38.997700000000002</v>
      </c>
      <c r="AY16" s="2404">
        <v>40.0535</v>
      </c>
      <c r="AZ16" s="2404">
        <v>39.732999999999997</v>
      </c>
      <c r="BA16" s="2404">
        <v>40.588200000000001</v>
      </c>
      <c r="BB16" s="2404">
        <v>42.280900000000003</v>
      </c>
      <c r="BC16" s="2404">
        <v>42.276699999999998</v>
      </c>
      <c r="BD16" s="2404">
        <v>42.838099999999997</v>
      </c>
      <c r="BE16" s="2404">
        <v>44.976599999999998</v>
      </c>
      <c r="BF16" s="2404">
        <v>45.2014</v>
      </c>
      <c r="BG16" s="2404">
        <v>44.018900000000002</v>
      </c>
      <c r="BH16" s="2404">
        <v>44.060600000000001</v>
      </c>
      <c r="BI16" s="2404">
        <v>43.934800000000003</v>
      </c>
      <c r="BJ16" s="2404">
        <v>44.017800000000001</v>
      </c>
      <c r="BK16" s="2404">
        <v>42.677900000000001</v>
      </c>
      <c r="BL16" s="2404">
        <v>43.055100000000003</v>
      </c>
      <c r="BM16" s="2404">
        <v>43.5075</v>
      </c>
      <c r="BN16" s="2404">
        <v>43.31</v>
      </c>
      <c r="BO16" s="2404">
        <v>44.014000000000003</v>
      </c>
      <c r="BP16" s="2404">
        <v>44.644500000000001</v>
      </c>
      <c r="BQ16" s="2404">
        <v>44.981000000000002</v>
      </c>
      <c r="BR16" s="2404">
        <v>42.744599999999998</v>
      </c>
      <c r="BS16" s="2404">
        <v>43.457900000000002</v>
      </c>
      <c r="BT16" s="2404">
        <v>42.442700000000002</v>
      </c>
      <c r="BU16" s="2404">
        <v>42.131100000000004</v>
      </c>
      <c r="BV16" s="2404">
        <v>41.3</v>
      </c>
      <c r="BW16" s="2404">
        <v>43.816899999999997</v>
      </c>
      <c r="BX16" s="2404">
        <v>43.8369</v>
      </c>
      <c r="BY16" s="2404">
        <v>42.416699999999999</v>
      </c>
      <c r="BZ16" s="2404">
        <v>42.512700000000002</v>
      </c>
      <c r="CA16" s="2404">
        <v>41.542099999999998</v>
      </c>
      <c r="CB16" s="2404">
        <v>41.881700000000002</v>
      </c>
      <c r="CC16" s="2404">
        <v>42.017099999999999</v>
      </c>
      <c r="CD16" s="2404">
        <v>45.8855</v>
      </c>
      <c r="CE16" s="2404">
        <v>43.244900000000001</v>
      </c>
      <c r="CF16" s="2404">
        <v>44.335299999999997</v>
      </c>
      <c r="CG16" s="2404">
        <v>45.1967</v>
      </c>
      <c r="CH16" s="2404">
        <v>45.727699999999999</v>
      </c>
      <c r="CI16" s="2404">
        <v>46.409599999999998</v>
      </c>
      <c r="CJ16" s="2404">
        <v>46.553400000000003</v>
      </c>
      <c r="CK16" s="2404">
        <v>46.226500000000001</v>
      </c>
      <c r="CL16" s="2404">
        <v>46.473300000000002</v>
      </c>
      <c r="CM16" s="2404">
        <v>46.006399999999999</v>
      </c>
      <c r="CN16" s="2404">
        <v>46.085799999999999</v>
      </c>
      <c r="CO16" s="2404">
        <v>45.865099999999998</v>
      </c>
      <c r="CP16" s="2404">
        <v>42.158999999999999</v>
      </c>
      <c r="CQ16" s="2404">
        <v>40.622972605876917</v>
      </c>
      <c r="CR16" s="2404">
        <v>40.087579830928568</v>
      </c>
      <c r="CS16" s="2404">
        <v>41.991412514764285</v>
      </c>
      <c r="CT16" s="2404">
        <v>42.374601034849995</v>
      </c>
      <c r="CU16" s="2404">
        <v>40.968014155464289</v>
      </c>
      <c r="CV16" s="2404">
        <v>41.46114882847143</v>
      </c>
      <c r="CW16" s="2404">
        <v>41.505838961249992</v>
      </c>
      <c r="CX16" s="2404">
        <v>41.59055171262856</v>
      </c>
      <c r="CY16" s="2404">
        <v>41.591498532192865</v>
      </c>
      <c r="CZ16" s="2404">
        <v>41.958064683475712</v>
      </c>
      <c r="DA16" s="2404">
        <v>41.162790416385725</v>
      </c>
      <c r="DB16" s="2404">
        <v>41.929360814999995</v>
      </c>
      <c r="DC16" s="2404">
        <v>41.108748995942854</v>
      </c>
      <c r="DD16" s="2404">
        <v>41.469267576242849</v>
      </c>
      <c r="DE16" s="2404">
        <v>40.051926928689284</v>
      </c>
      <c r="DF16" s="2404">
        <v>41.231816091221425</v>
      </c>
      <c r="DG16" s="2404">
        <v>39.73811034642857</v>
      </c>
      <c r="DH16" s="2404">
        <v>38.891305696657142</v>
      </c>
      <c r="DI16" s="2404">
        <v>39.216950931907142</v>
      </c>
      <c r="DJ16" s="2404">
        <v>39.755935543153569</v>
      </c>
      <c r="DK16" s="2404">
        <v>39.49447556677142</v>
      </c>
      <c r="DL16" s="2404">
        <v>39.25653294364286</v>
      </c>
      <c r="DM16" s="2404">
        <v>37.778190084602144</v>
      </c>
      <c r="DN16" s="2404">
        <v>39.623347659744645</v>
      </c>
      <c r="DO16" s="2404">
        <v>38.805086212804284</v>
      </c>
      <c r="DP16" s="2404">
        <v>38.929039212390009</v>
      </c>
      <c r="DQ16" s="2404">
        <v>40.039116003607141</v>
      </c>
      <c r="DR16" s="2404">
        <v>40.815382433249987</v>
      </c>
      <c r="DS16" s="2404">
        <v>40.787190317571422</v>
      </c>
      <c r="DT16" s="2404">
        <v>40.959065943753714</v>
      </c>
      <c r="DU16" s="2404">
        <v>41.667635898698862</v>
      </c>
      <c r="DV16" s="2404">
        <v>40.910784850588001</v>
      </c>
      <c r="DW16" s="2404">
        <v>40.417067676165935</v>
      </c>
      <c r="DX16" s="2404">
        <v>41.063542470582533</v>
      </c>
      <c r="DY16" s="2404">
        <v>41.032046511723209</v>
      </c>
      <c r="DZ16" s="2404">
        <v>41.014782706131861</v>
      </c>
      <c r="EA16" s="2404">
        <v>41.482777248362858</v>
      </c>
      <c r="EB16" s="2404">
        <v>41.468139454924597</v>
      </c>
      <c r="EC16" s="2404">
        <v>41.91562775355758</v>
      </c>
      <c r="ED16" s="2404">
        <v>41.98481148966755</v>
      </c>
      <c r="EE16" s="2404">
        <v>41.871151829096327</v>
      </c>
      <c r="EF16" s="2404">
        <v>42.109469035381949</v>
      </c>
      <c r="EG16" s="2404">
        <v>41.79894451240056</v>
      </c>
      <c r="EH16" s="2404">
        <v>41.888804510271434</v>
      </c>
      <c r="EI16" s="2404">
        <v>41.992796924623619</v>
      </c>
      <c r="EJ16" s="2404">
        <v>42.073712382800309</v>
      </c>
      <c r="EK16" s="2404">
        <v>41.690934236403209</v>
      </c>
      <c r="EL16" s="2404">
        <v>41.808072754420678</v>
      </c>
      <c r="EM16" s="2404">
        <v>41.30187515609429</v>
      </c>
      <c r="EN16" s="2404">
        <v>41.052703753629608</v>
      </c>
      <c r="EO16" s="2404">
        <v>40.313736930036661</v>
      </c>
      <c r="EP16" s="2404">
        <v>40.003648085912339</v>
      </c>
      <c r="EQ16" s="2404">
        <v>39.71930690080422</v>
      </c>
      <c r="ER16" s="2404">
        <v>39.017671124151313</v>
      </c>
      <c r="ES16" s="2404">
        <v>37.517692214466059</v>
      </c>
      <c r="ET16" s="2404">
        <v>37.78567505676876</v>
      </c>
      <c r="EU16" s="2404">
        <v>39.846689167127863</v>
      </c>
      <c r="EV16" s="2404">
        <v>39.6736</v>
      </c>
      <c r="EW16" s="2404">
        <v>39.295942857142855</v>
      </c>
      <c r="EX16" s="2404">
        <v>39.986150000000002</v>
      </c>
      <c r="EY16" s="2404">
        <v>39.430678571428601</v>
      </c>
      <c r="EZ16" s="2404">
        <v>40.297685714285699</v>
      </c>
      <c r="FA16" s="2404">
        <v>40.700814285714301</v>
      </c>
      <c r="FB16" s="2404">
        <v>40.186700000000002</v>
      </c>
      <c r="FC16" s="2404">
        <v>39.035400000000003</v>
      </c>
      <c r="FD16" s="2404">
        <v>39.929099999999998</v>
      </c>
      <c r="FE16" s="2404">
        <v>40.027200000000001</v>
      </c>
      <c r="FF16" s="2404">
        <v>39.921900000000001</v>
      </c>
      <c r="FG16" s="2404">
        <v>40.753599999999999</v>
      </c>
      <c r="FH16" s="2404">
        <v>40.814100000000003</v>
      </c>
      <c r="FI16" s="2404">
        <v>40.286299999999997</v>
      </c>
      <c r="FJ16" s="2404">
        <v>40.502200000000002</v>
      </c>
      <c r="FK16" s="2404">
        <v>40.391800000000003</v>
      </c>
      <c r="FL16" s="2404">
        <v>40.401800000000001</v>
      </c>
      <c r="FM16" s="2404">
        <v>40.728499999999997</v>
      </c>
      <c r="FN16" s="2404">
        <v>40.060400000000001</v>
      </c>
      <c r="FO16" s="2404">
        <v>39.075400000000002</v>
      </c>
      <c r="FP16" s="2404">
        <v>38.763500000000001</v>
      </c>
      <c r="FQ16" s="2404">
        <v>39.0291</v>
      </c>
      <c r="FR16" s="2404">
        <v>38.562800000000003</v>
      </c>
      <c r="FS16" s="2404">
        <v>38.713299999999997</v>
      </c>
      <c r="FT16" s="2404">
        <v>39.0002</v>
      </c>
      <c r="FU16" s="2404">
        <v>39.694600000000001</v>
      </c>
      <c r="FV16" s="2404">
        <v>40.288699999999999</v>
      </c>
      <c r="FW16" s="2404">
        <v>40.350900000000003</v>
      </c>
      <c r="FX16" s="2404">
        <v>39.985900000000001</v>
      </c>
      <c r="FY16" s="2404">
        <v>40.6997</v>
      </c>
      <c r="FZ16" s="2404">
        <v>40.676400000000001</v>
      </c>
      <c r="GA16" s="2404">
        <v>41.003799999999998</v>
      </c>
      <c r="GB16" s="2404">
        <v>41.045499999999997</v>
      </c>
      <c r="GC16" s="2404">
        <v>41.247399999999999</v>
      </c>
      <c r="GD16" s="2404">
        <v>41.242699999999999</v>
      </c>
      <c r="GE16" s="2404">
        <v>41.9861</v>
      </c>
      <c r="GF16" s="2404">
        <v>42.165100000000002</v>
      </c>
      <c r="GG16" s="2404">
        <v>40.831000000000003</v>
      </c>
      <c r="GH16" s="2404">
        <v>41.0244</v>
      </c>
      <c r="GI16" s="2404">
        <v>40.631999999999998</v>
      </c>
      <c r="GJ16" s="2404">
        <v>40.567399999999999</v>
      </c>
      <c r="GK16" s="2404">
        <v>40.539099999999998</v>
      </c>
      <c r="GL16" s="2404">
        <v>39.854399999999998</v>
      </c>
      <c r="GM16" s="2404">
        <v>39.749899999999997</v>
      </c>
      <c r="GN16" s="2404">
        <v>39.755899999999997</v>
      </c>
      <c r="GO16" s="2404">
        <v>39.8157</v>
      </c>
      <c r="GP16" s="2404">
        <v>39.332500000000003</v>
      </c>
      <c r="GQ16" s="2404">
        <v>39.668599999999998</v>
      </c>
      <c r="GR16" s="2404">
        <v>39.723500000000001</v>
      </c>
      <c r="GS16" s="2404">
        <v>40.147399999999998</v>
      </c>
      <c r="GT16" s="2404">
        <v>40.888599999999997</v>
      </c>
      <c r="GU16" s="2404">
        <v>40.7607</v>
      </c>
      <c r="GV16" s="2404">
        <v>40.431600000000003</v>
      </c>
      <c r="GW16" s="2404">
        <v>40.360900000000001</v>
      </c>
      <c r="GX16" s="2404">
        <v>41.007899999999999</v>
      </c>
      <c r="GY16" s="2404">
        <v>40.841700000000003</v>
      </c>
      <c r="GZ16" s="2404">
        <v>41.268099999999997</v>
      </c>
      <c r="HA16" s="2404">
        <v>41.042700000000004</v>
      </c>
      <c r="HB16" s="2404">
        <v>41.628100000000003</v>
      </c>
      <c r="HC16" s="2405">
        <v>43.835599999999999</v>
      </c>
      <c r="HD16" s="2404">
        <v>44.073399999999999</v>
      </c>
      <c r="HE16" s="2404">
        <v>44.9786</v>
      </c>
      <c r="HF16" s="2405">
        <v>45.7042</v>
      </c>
      <c r="HG16" s="2404">
        <v>47.9863</v>
      </c>
      <c r="HH16" s="2404">
        <v>47.9328</v>
      </c>
      <c r="HI16" s="2404">
        <v>47.437600000000003</v>
      </c>
      <c r="HJ16" s="2404">
        <v>47.3872</v>
      </c>
      <c r="HK16" s="2404">
        <v>48.372399999999999</v>
      </c>
      <c r="HL16" s="2404">
        <v>49.054099999999998</v>
      </c>
      <c r="HM16" s="2404">
        <v>48.561399999999999</v>
      </c>
      <c r="HN16" s="2404">
        <v>48.959400000000002</v>
      </c>
      <c r="HO16" s="2404">
        <v>47.984699999999997</v>
      </c>
      <c r="HP16" s="2404">
        <v>49.513300000000001</v>
      </c>
      <c r="HQ16" s="2404">
        <v>50.069299999999998</v>
      </c>
      <c r="HR16" s="2404">
        <v>51.359200000000001</v>
      </c>
      <c r="HS16" s="2404">
        <v>51.272300000000001</v>
      </c>
    </row>
    <row r="17" spans="1:227" ht="9.75" customHeight="1" thickBot="1" x14ac:dyDescent="0.35">
      <c r="A17" s="2408"/>
      <c r="B17" s="2409"/>
      <c r="C17" s="2409"/>
      <c r="D17" s="2410"/>
      <c r="E17" s="2410"/>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c r="AS17" s="2410"/>
      <c r="AT17" s="2410"/>
      <c r="AU17" s="2409"/>
      <c r="AV17" s="2409"/>
      <c r="AW17" s="2409"/>
      <c r="AX17" s="2409"/>
      <c r="AY17" s="2409"/>
      <c r="AZ17" s="2409"/>
      <c r="BA17" s="2409"/>
      <c r="BB17" s="2409"/>
      <c r="BC17" s="2409"/>
      <c r="BD17" s="2409"/>
      <c r="BE17" s="2409"/>
      <c r="BF17" s="2409"/>
      <c r="BG17" s="2409"/>
      <c r="BH17" s="2409"/>
      <c r="BI17" s="2409"/>
      <c r="BJ17" s="2409"/>
      <c r="BK17" s="2409"/>
      <c r="BL17" s="2409"/>
      <c r="BM17" s="2410"/>
      <c r="BN17" s="2410"/>
      <c r="BO17" s="2410"/>
      <c r="BP17" s="2410"/>
      <c r="BQ17" s="2410"/>
      <c r="BR17" s="2410"/>
      <c r="BS17" s="2410"/>
      <c r="BT17" s="2410"/>
      <c r="BU17" s="2410"/>
      <c r="BV17" s="2410"/>
      <c r="BW17" s="2410"/>
      <c r="BX17" s="2410"/>
      <c r="BY17" s="2410"/>
      <c r="BZ17" s="2410"/>
      <c r="CA17" s="2410"/>
      <c r="CB17" s="2410"/>
      <c r="CC17" s="2410"/>
      <c r="CD17" s="2410"/>
      <c r="CE17" s="2410"/>
      <c r="CF17" s="2410"/>
      <c r="CG17" s="2410"/>
      <c r="CH17" s="2410"/>
      <c r="CI17" s="2410"/>
      <c r="CJ17" s="2410"/>
      <c r="CK17" s="2410"/>
      <c r="CL17" s="2410"/>
      <c r="CM17" s="2410"/>
      <c r="CN17" s="2410"/>
      <c r="CO17" s="2410"/>
      <c r="CP17" s="2410"/>
      <c r="CQ17" s="2410"/>
      <c r="CR17" s="2410"/>
      <c r="CS17" s="2410"/>
      <c r="CT17" s="2410"/>
      <c r="CU17" s="2410"/>
      <c r="CV17" s="2410"/>
      <c r="CW17" s="2410"/>
      <c r="CX17" s="2410"/>
      <c r="CY17" s="2410"/>
      <c r="CZ17" s="2410"/>
      <c r="DA17" s="2410"/>
      <c r="DB17" s="2410"/>
      <c r="DC17" s="2410"/>
      <c r="DD17" s="2410"/>
      <c r="DE17" s="2410"/>
      <c r="DF17" s="2410"/>
      <c r="DG17" s="2410"/>
      <c r="DH17" s="2410"/>
      <c r="DI17" s="2410"/>
      <c r="DJ17" s="2410"/>
      <c r="DK17" s="2410"/>
      <c r="DL17" s="2410"/>
      <c r="DM17" s="2410"/>
      <c r="DN17" s="2410"/>
      <c r="DO17" s="2410"/>
      <c r="DP17" s="2410"/>
      <c r="DQ17" s="2410"/>
      <c r="DR17" s="2410"/>
      <c r="DS17" s="2410"/>
      <c r="DT17" s="2410"/>
      <c r="DU17" s="2410"/>
      <c r="DV17" s="2410"/>
      <c r="DW17" s="2410"/>
      <c r="DX17" s="2410"/>
      <c r="DY17" s="2410"/>
      <c r="DZ17" s="2410"/>
      <c r="EA17" s="2410"/>
      <c r="EB17" s="2410"/>
      <c r="EC17" s="2410"/>
      <c r="ED17" s="2410"/>
      <c r="EE17" s="2410"/>
      <c r="EF17" s="2410"/>
      <c r="EG17" s="2410"/>
      <c r="EH17" s="2410"/>
      <c r="EI17" s="2410"/>
      <c r="EJ17" s="2410"/>
      <c r="EK17" s="2410"/>
      <c r="EL17" s="2410"/>
      <c r="EM17" s="2410"/>
      <c r="EN17" s="2410"/>
      <c r="EO17" s="2410"/>
      <c r="EP17" s="2410"/>
      <c r="EQ17" s="2410"/>
      <c r="ER17" s="2410"/>
      <c r="ES17" s="2410"/>
      <c r="ET17" s="2410"/>
      <c r="EU17" s="2410"/>
      <c r="EV17" s="2410"/>
      <c r="EW17" s="2410"/>
      <c r="EX17" s="2410"/>
      <c r="EY17" s="2410"/>
      <c r="EZ17" s="2410"/>
      <c r="FA17" s="2410"/>
      <c r="FB17" s="2410"/>
      <c r="FC17" s="2410"/>
      <c r="FD17" s="2410"/>
      <c r="FE17" s="2410"/>
      <c r="FF17" s="2410"/>
      <c r="FG17" s="2410"/>
      <c r="FH17" s="2410"/>
      <c r="FI17" s="2410"/>
      <c r="FJ17" s="2410"/>
      <c r="FK17" s="2410"/>
      <c r="FL17" s="2410"/>
      <c r="FM17" s="2410"/>
      <c r="FN17" s="2410"/>
      <c r="FO17" s="2410"/>
      <c r="FP17" s="2410"/>
      <c r="FQ17" s="2410"/>
      <c r="FR17" s="2410"/>
      <c r="FS17" s="2410"/>
      <c r="FT17" s="2410"/>
      <c r="FU17" s="2410"/>
      <c r="FV17" s="2410"/>
      <c r="FW17" s="2410"/>
      <c r="FX17" s="2410"/>
      <c r="FY17" s="2410"/>
      <c r="FZ17" s="2410"/>
      <c r="GA17" s="2410"/>
      <c r="GB17" s="2410"/>
      <c r="GC17" s="2410"/>
      <c r="GD17" s="2410"/>
      <c r="GE17" s="2410"/>
      <c r="GF17" s="2410"/>
      <c r="GG17" s="2410"/>
      <c r="GH17" s="2410"/>
      <c r="GI17" s="2410"/>
      <c r="GJ17" s="2410"/>
      <c r="GK17" s="2410"/>
      <c r="GL17" s="2410"/>
      <c r="GM17" s="2410"/>
      <c r="GN17" s="2410"/>
      <c r="GO17" s="2410"/>
      <c r="GP17" s="2410"/>
      <c r="GQ17" s="2410"/>
      <c r="GR17" s="2410"/>
      <c r="GS17" s="2410"/>
      <c r="GT17" s="2410"/>
      <c r="GU17" s="2410"/>
      <c r="GV17" s="2410"/>
      <c r="GW17" s="2410"/>
      <c r="GX17" s="2410"/>
      <c r="GY17" s="2410"/>
      <c r="GZ17" s="2410"/>
      <c r="HA17" s="2410"/>
      <c r="HB17" s="2410"/>
      <c r="HC17" s="2411"/>
      <c r="HD17" s="2410"/>
      <c r="HE17" s="2410"/>
      <c r="HF17" s="2411"/>
      <c r="HG17" s="2410"/>
      <c r="HH17" s="2410"/>
      <c r="HI17" s="2410"/>
      <c r="HJ17" s="2410"/>
      <c r="HK17" s="2410"/>
      <c r="HL17" s="2410"/>
      <c r="HM17" s="2410"/>
      <c r="HN17" s="2410"/>
      <c r="HO17" s="2410"/>
      <c r="HP17" s="2410"/>
      <c r="HQ17" s="2410"/>
      <c r="HR17" s="2410"/>
      <c r="HS17" s="2410"/>
    </row>
    <row r="18" spans="1:227" s="2416" customFormat="1" ht="17.25" thickTop="1" x14ac:dyDescent="0.3">
      <c r="A18" s="2412" t="s">
        <v>4539</v>
      </c>
      <c r="B18" s="2413"/>
      <c r="C18" s="2413"/>
      <c r="D18" s="2413"/>
      <c r="E18" s="2413"/>
      <c r="F18" s="2413"/>
      <c r="G18" s="2413"/>
      <c r="H18" s="2413"/>
      <c r="I18" s="2413"/>
      <c r="J18" s="2413"/>
      <c r="K18" s="2413"/>
      <c r="L18" s="2413"/>
      <c r="M18" s="2413"/>
      <c r="N18" s="2413"/>
      <c r="O18" s="2413"/>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3"/>
      <c r="AN18" s="2413"/>
      <c r="AO18" s="2413"/>
      <c r="AP18" s="2413"/>
      <c r="AQ18" s="2413"/>
      <c r="AR18" s="2413"/>
      <c r="AS18" s="2413"/>
      <c r="AT18" s="2413"/>
      <c r="AU18" s="2413"/>
      <c r="AV18" s="2413"/>
      <c r="AW18" s="2413"/>
      <c r="AX18" s="2413"/>
      <c r="AY18" s="2413"/>
      <c r="AZ18" s="2413"/>
      <c r="BA18" s="2413"/>
      <c r="BB18" s="2413"/>
      <c r="BC18" s="2413"/>
      <c r="BD18" s="2413"/>
      <c r="BE18" s="2413"/>
      <c r="BF18" s="2413"/>
      <c r="BG18" s="2413"/>
      <c r="BH18" s="2413"/>
      <c r="BI18" s="2413"/>
      <c r="BJ18" s="2413"/>
      <c r="BK18" s="2413"/>
      <c r="BL18" s="2413"/>
      <c r="BM18" s="2413"/>
      <c r="BN18" s="2413"/>
      <c r="BO18" s="2413"/>
      <c r="BP18" s="2413"/>
      <c r="BQ18" s="2413"/>
      <c r="BR18" s="2413"/>
      <c r="BS18" s="2413"/>
      <c r="BT18" s="2413"/>
      <c r="BU18" s="2413"/>
      <c r="BV18" s="2413"/>
      <c r="BW18" s="2413"/>
      <c r="BX18" s="2413"/>
      <c r="BY18" s="2413"/>
      <c r="BZ18" s="2413"/>
      <c r="CA18" s="2413"/>
      <c r="CB18" s="2413"/>
      <c r="CC18" s="2413"/>
      <c r="CD18" s="2413"/>
      <c r="CE18" s="2413"/>
      <c r="CF18" s="2413"/>
      <c r="CG18" s="2413"/>
      <c r="CH18" s="2413"/>
      <c r="CI18" s="2413"/>
      <c r="CJ18" s="2413"/>
      <c r="CK18" s="2413"/>
      <c r="CL18" s="2413"/>
      <c r="CM18" s="2413"/>
      <c r="CN18" s="2413"/>
      <c r="CO18" s="2413"/>
      <c r="CP18" s="2413"/>
      <c r="CQ18" s="2413"/>
      <c r="CR18" s="2413"/>
      <c r="CS18" s="2413"/>
      <c r="CT18" s="2413"/>
      <c r="CU18" s="2413"/>
      <c r="CV18" s="2413"/>
      <c r="CW18" s="2413"/>
      <c r="CX18" s="2413"/>
      <c r="CY18" s="2413"/>
      <c r="CZ18" s="2413"/>
      <c r="DA18" s="2413"/>
      <c r="DB18" s="2413"/>
      <c r="DC18" s="2413"/>
      <c r="DD18" s="2413"/>
      <c r="DE18" s="2413"/>
      <c r="DF18" s="2413"/>
      <c r="DG18" s="2413"/>
      <c r="DH18" s="2413"/>
      <c r="DI18" s="2413"/>
      <c r="DJ18" s="2413"/>
      <c r="DK18" s="2413"/>
      <c r="DL18" s="2413"/>
      <c r="DM18" s="2413"/>
      <c r="DN18" s="2413"/>
      <c r="DO18" s="2413"/>
      <c r="DP18" s="2413"/>
      <c r="DQ18" s="2413"/>
      <c r="DR18" s="2413"/>
      <c r="DS18" s="2413"/>
      <c r="DT18" s="2413"/>
      <c r="DU18" s="2413"/>
      <c r="DV18" s="2413"/>
      <c r="DW18" s="2413"/>
      <c r="DX18" s="2413"/>
      <c r="DY18" s="2413"/>
      <c r="DZ18" s="2413"/>
      <c r="EA18" s="2413"/>
      <c r="EB18" s="2413"/>
      <c r="EC18" s="2413"/>
      <c r="ED18" s="2415"/>
      <c r="EE18" s="2413"/>
      <c r="EF18" s="2413"/>
      <c r="EG18" s="2413"/>
      <c r="EH18" s="2413"/>
      <c r="EI18" s="2413"/>
      <c r="EJ18" s="2413"/>
      <c r="EK18" s="2413"/>
      <c r="EL18" s="2413"/>
      <c r="EM18" s="2413"/>
      <c r="EN18" s="2413"/>
      <c r="EO18" s="2413"/>
      <c r="EP18" s="2413"/>
      <c r="EQ18" s="2413"/>
      <c r="ER18" s="2413"/>
      <c r="ES18" s="2413"/>
      <c r="ET18" s="2413"/>
      <c r="EU18" s="2413"/>
      <c r="EV18" s="2413"/>
      <c r="EW18" s="2413"/>
      <c r="EX18" s="2413"/>
      <c r="EY18" s="2413"/>
      <c r="EZ18" s="2413"/>
      <c r="FA18" s="2413"/>
      <c r="FB18" s="2413"/>
      <c r="FC18" s="2413"/>
      <c r="FD18" s="2413"/>
      <c r="FE18" s="2413"/>
      <c r="FF18" s="2413"/>
      <c r="FG18" s="2413"/>
      <c r="FH18" s="2413"/>
      <c r="FI18" s="2413"/>
    </row>
    <row r="19" spans="1:227" s="2416" customFormat="1" x14ac:dyDescent="0.3">
      <c r="A19" s="2417" t="s">
        <v>3553</v>
      </c>
      <c r="B19" s="2413"/>
      <c r="C19" s="2413"/>
      <c r="D19" s="2413"/>
      <c r="E19" s="2413"/>
      <c r="F19" s="2413"/>
      <c r="G19" s="2413"/>
      <c r="H19" s="2413"/>
      <c r="I19" s="2413"/>
      <c r="J19" s="2413"/>
      <c r="K19" s="2413"/>
      <c r="L19" s="2413"/>
      <c r="M19" s="2413"/>
      <c r="N19" s="2413"/>
      <c r="O19" s="2413"/>
      <c r="P19" s="2413"/>
      <c r="Q19" s="2413"/>
      <c r="R19" s="2413"/>
      <c r="S19" s="2413"/>
      <c r="T19" s="2413"/>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c r="AS19" s="2413"/>
      <c r="AT19" s="2413"/>
      <c r="AU19" s="2413"/>
      <c r="AV19" s="2413"/>
      <c r="AW19" s="2413"/>
      <c r="AX19" s="2413"/>
      <c r="AY19" s="2413"/>
      <c r="AZ19" s="2413"/>
      <c r="BA19" s="2413"/>
      <c r="BB19" s="2413"/>
      <c r="BC19" s="2413"/>
      <c r="BD19" s="2413"/>
      <c r="BE19" s="2413"/>
      <c r="BF19" s="2413"/>
      <c r="BG19" s="2413"/>
      <c r="BH19" s="2413"/>
      <c r="BI19" s="2413"/>
      <c r="BJ19" s="2413"/>
      <c r="BK19" s="2413"/>
      <c r="BL19" s="2413"/>
      <c r="BM19" s="2413"/>
      <c r="BN19" s="2413"/>
      <c r="BO19" s="2413"/>
      <c r="BP19" s="2413"/>
      <c r="BQ19" s="2413"/>
      <c r="BR19" s="2413"/>
      <c r="BS19" s="2413"/>
      <c r="BT19" s="2413"/>
      <c r="BU19" s="2413"/>
      <c r="BV19" s="2413"/>
      <c r="BW19" s="2413"/>
      <c r="BX19" s="2413"/>
      <c r="BY19" s="2413"/>
      <c r="BZ19" s="2413"/>
      <c r="CA19" s="2413"/>
      <c r="CB19" s="2413"/>
      <c r="CC19" s="2413"/>
      <c r="CD19" s="2413"/>
      <c r="CE19" s="2413"/>
      <c r="CF19" s="2413"/>
      <c r="CG19" s="2413"/>
      <c r="CH19" s="2413"/>
      <c r="CI19" s="2413"/>
      <c r="CJ19" s="2413"/>
      <c r="CK19" s="2413"/>
      <c r="CL19" s="2413"/>
      <c r="CM19" s="2413"/>
      <c r="CN19" s="2413"/>
      <c r="CO19" s="2413"/>
      <c r="CP19" s="2413"/>
      <c r="CQ19" s="2413"/>
      <c r="CR19" s="2413"/>
      <c r="CS19" s="2413"/>
      <c r="CT19" s="2413"/>
      <c r="CU19" s="2413"/>
      <c r="CV19" s="2413"/>
      <c r="CW19" s="2413"/>
      <c r="CX19" s="2413"/>
      <c r="CY19" s="2413"/>
      <c r="CZ19" s="2413"/>
      <c r="DA19" s="2413"/>
      <c r="DB19" s="2413"/>
      <c r="DC19" s="2413"/>
      <c r="DD19" s="2413"/>
      <c r="DE19" s="2413"/>
      <c r="DF19" s="2413"/>
      <c r="DG19" s="2413"/>
      <c r="DH19" s="2413"/>
      <c r="DI19" s="2413"/>
      <c r="DJ19" s="2413"/>
      <c r="DK19" s="2413"/>
      <c r="DL19" s="2413"/>
      <c r="DM19" s="2413"/>
      <c r="DN19" s="2413"/>
      <c r="DO19" s="2413"/>
      <c r="DP19" s="2413"/>
      <c r="DQ19" s="2413"/>
      <c r="DR19" s="2413"/>
      <c r="DS19" s="2413"/>
      <c r="DT19" s="2413"/>
      <c r="DU19" s="2413"/>
      <c r="DV19" s="2413"/>
      <c r="DW19" s="2413"/>
      <c r="DX19" s="2413"/>
      <c r="DY19" s="2413"/>
      <c r="DZ19" s="2413"/>
      <c r="EA19" s="2413"/>
      <c r="EB19" s="2413"/>
      <c r="EC19" s="2413"/>
      <c r="ED19" s="2415"/>
      <c r="EE19" s="2413"/>
      <c r="EF19" s="2413"/>
      <c r="EG19" s="2413"/>
      <c r="EH19" s="2413"/>
      <c r="EI19" s="2413"/>
      <c r="EJ19" s="2413"/>
      <c r="EK19" s="2413"/>
      <c r="EL19" s="2413"/>
      <c r="EM19" s="2413"/>
      <c r="EN19" s="2413"/>
      <c r="EO19" s="2413"/>
      <c r="EP19" s="2413"/>
      <c r="EQ19" s="2413"/>
      <c r="ER19" s="2413"/>
      <c r="ES19" s="2413"/>
      <c r="ET19" s="2413"/>
      <c r="EU19" s="2413"/>
      <c r="EV19" s="2413"/>
      <c r="EW19" s="2413"/>
      <c r="EX19" s="2413"/>
      <c r="EY19" s="2413"/>
      <c r="EZ19" s="2413"/>
      <c r="FA19" s="2413"/>
      <c r="FB19" s="2413"/>
      <c r="FC19" s="2413"/>
      <c r="FD19" s="2413"/>
      <c r="FE19" s="2413"/>
      <c r="FF19" s="2413"/>
      <c r="FG19" s="2413"/>
      <c r="FH19" s="2413"/>
      <c r="FI19" s="2413"/>
    </row>
    <row r="20" spans="1:227" s="2416" customFormat="1" x14ac:dyDescent="0.3">
      <c r="A20" s="2417"/>
      <c r="B20" s="2413"/>
      <c r="C20" s="2413"/>
      <c r="D20" s="2413"/>
      <c r="E20" s="2413"/>
      <c r="F20" s="2413"/>
      <c r="G20" s="2413"/>
      <c r="H20" s="2413"/>
      <c r="I20" s="2413"/>
      <c r="J20" s="2413"/>
      <c r="K20" s="2413"/>
      <c r="L20" s="241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c r="AS20" s="2413"/>
      <c r="AT20" s="2413"/>
      <c r="AU20" s="2413"/>
      <c r="AV20" s="2413"/>
      <c r="AW20" s="2413"/>
      <c r="AX20" s="2413"/>
      <c r="AY20" s="2413"/>
      <c r="AZ20" s="2413"/>
      <c r="BA20" s="2413"/>
      <c r="BB20" s="2413"/>
      <c r="BC20" s="2413"/>
      <c r="BD20" s="2413"/>
      <c r="BE20" s="2413"/>
      <c r="BF20" s="2413"/>
      <c r="BG20" s="2413"/>
      <c r="BH20" s="2413"/>
      <c r="BI20" s="2413"/>
      <c r="BJ20" s="2413"/>
      <c r="BK20" s="2413"/>
      <c r="BL20" s="2413"/>
      <c r="BM20" s="2413"/>
      <c r="BN20" s="2413"/>
      <c r="BO20" s="2413"/>
      <c r="BP20" s="2413"/>
      <c r="BQ20" s="2413"/>
      <c r="BR20" s="2413"/>
      <c r="BS20" s="2413"/>
      <c r="BT20" s="2413"/>
      <c r="BU20" s="2413"/>
      <c r="BV20" s="2413"/>
      <c r="BW20" s="2413"/>
      <c r="BX20" s="2413"/>
      <c r="BY20" s="2413"/>
      <c r="BZ20" s="2413"/>
      <c r="CA20" s="2413"/>
      <c r="CB20" s="2413"/>
      <c r="CC20" s="2413"/>
      <c r="CD20" s="2413"/>
      <c r="CE20" s="2413"/>
      <c r="CF20" s="2413"/>
      <c r="CG20" s="2413"/>
      <c r="CH20" s="2413"/>
      <c r="CI20" s="2413"/>
      <c r="CJ20" s="2413"/>
      <c r="CK20" s="2413"/>
      <c r="CL20" s="2413"/>
      <c r="CM20" s="2413"/>
      <c r="CN20" s="2413"/>
      <c r="CO20" s="2413"/>
      <c r="CP20" s="2413"/>
      <c r="CQ20" s="2413"/>
      <c r="CR20" s="2413"/>
      <c r="CS20" s="2413"/>
      <c r="CT20" s="2413"/>
      <c r="CU20" s="2413"/>
      <c r="CV20" s="2413"/>
      <c r="CW20" s="2413"/>
      <c r="CX20" s="2413"/>
      <c r="CY20" s="2413"/>
      <c r="CZ20" s="2413"/>
      <c r="DA20" s="2413"/>
      <c r="DB20" s="2413"/>
      <c r="DC20" s="2413"/>
      <c r="DD20" s="2413"/>
      <c r="DE20" s="2413"/>
      <c r="DF20" s="2413"/>
      <c r="DG20" s="2413"/>
      <c r="DH20" s="2413"/>
      <c r="DI20" s="2413"/>
      <c r="DJ20" s="2413"/>
      <c r="DK20" s="2413"/>
      <c r="DL20" s="2413"/>
      <c r="DM20" s="2413"/>
      <c r="DN20" s="2413"/>
      <c r="DO20" s="2413"/>
      <c r="DP20" s="2413"/>
      <c r="DQ20" s="2413"/>
      <c r="DR20" s="2413"/>
      <c r="DS20" s="2413"/>
      <c r="DT20" s="2413"/>
      <c r="DU20" s="2413"/>
      <c r="DV20" s="2413"/>
      <c r="DW20" s="2413"/>
      <c r="DX20" s="2413"/>
      <c r="DY20" s="2413"/>
      <c r="DZ20" s="2413"/>
      <c r="EA20" s="2413"/>
      <c r="EB20" s="2413"/>
      <c r="EC20" s="2413"/>
      <c r="ED20" s="2415"/>
      <c r="EE20" s="2413"/>
      <c r="EF20" s="2413"/>
      <c r="EG20" s="2413"/>
      <c r="EH20" s="2413"/>
      <c r="EI20" s="2413"/>
      <c r="EJ20" s="2413"/>
      <c r="EK20" s="2413"/>
      <c r="EL20" s="2413"/>
      <c r="EM20" s="2413"/>
      <c r="EN20" s="2413"/>
      <c r="EO20" s="2413"/>
      <c r="EP20" s="2413"/>
      <c r="EQ20" s="2413"/>
      <c r="ER20" s="2413"/>
      <c r="ES20" s="2413"/>
      <c r="ET20" s="2413"/>
      <c r="EU20" s="2413"/>
      <c r="EV20" s="2413"/>
      <c r="EW20" s="2413"/>
      <c r="EX20" s="2413"/>
      <c r="EY20" s="2413"/>
      <c r="EZ20" s="2413"/>
      <c r="FA20" s="2413"/>
      <c r="FB20" s="2413"/>
      <c r="FC20" s="2413"/>
      <c r="FD20" s="2413"/>
      <c r="FE20" s="2413"/>
      <c r="FF20" s="2413"/>
      <c r="FG20" s="2413"/>
      <c r="FH20" s="2413"/>
      <c r="FI20" s="2413"/>
    </row>
    <row r="21" spans="1:227" ht="21" thickBot="1" x14ac:dyDescent="0.4">
      <c r="A21" s="2396" t="s">
        <v>4540</v>
      </c>
      <c r="B21" s="2397"/>
      <c r="C21" s="2397"/>
      <c r="D21" s="2397"/>
      <c r="E21" s="2397"/>
      <c r="F21" s="2397"/>
      <c r="G21" s="2397"/>
      <c r="H21" s="2397"/>
      <c r="I21" s="2397"/>
      <c r="J21" s="2397"/>
      <c r="K21" s="2397"/>
      <c r="L21" s="2397"/>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c r="AS21" s="2397"/>
      <c r="AT21" s="2397"/>
      <c r="AU21" s="2397"/>
      <c r="AV21" s="2397"/>
      <c r="AW21" s="2397"/>
      <c r="AX21" s="2397"/>
      <c r="AY21" s="2397"/>
      <c r="AZ21" s="2397"/>
      <c r="BA21" s="2397"/>
      <c r="BB21" s="2397"/>
      <c r="BC21" s="2397"/>
      <c r="BD21" s="2397"/>
      <c r="BE21" s="2397"/>
      <c r="BF21" s="2397"/>
      <c r="BG21" s="2397"/>
      <c r="BH21" s="2397"/>
      <c r="BI21" s="2397"/>
      <c r="BJ21" s="2397"/>
      <c r="BK21" s="2397"/>
      <c r="BL21" s="2397"/>
      <c r="BM21" s="2397"/>
      <c r="BN21" s="2397"/>
      <c r="BO21" s="2397"/>
      <c r="BP21" s="2397"/>
      <c r="BQ21" s="2397"/>
      <c r="BR21" s="2397"/>
      <c r="BS21" s="2397"/>
      <c r="BT21" s="2397"/>
      <c r="BU21" s="2397"/>
      <c r="BV21" s="2397"/>
      <c r="BW21" s="2397"/>
      <c r="BX21" s="2397"/>
      <c r="BY21" s="2397"/>
      <c r="BZ21" s="2397"/>
      <c r="CA21" s="2397"/>
      <c r="CB21" s="2397"/>
      <c r="CC21" s="2397"/>
      <c r="CD21" s="2397"/>
      <c r="CE21" s="2397"/>
      <c r="CF21" s="2397"/>
      <c r="CG21" s="2397"/>
      <c r="CH21" s="2397"/>
      <c r="CI21" s="2397"/>
      <c r="CJ21" s="2397"/>
      <c r="CK21" s="2397"/>
      <c r="CL21" s="2397"/>
      <c r="CM21" s="2397"/>
      <c r="CN21" s="2397"/>
      <c r="CO21" s="2397"/>
      <c r="CP21" s="2397"/>
      <c r="CQ21" s="2397"/>
      <c r="CR21" s="2397"/>
      <c r="CS21" s="2397"/>
      <c r="CT21" s="2397"/>
      <c r="CU21" s="2397"/>
      <c r="CV21" s="2397"/>
      <c r="CW21" s="2397"/>
      <c r="CX21" s="2397"/>
      <c r="CY21" s="2397"/>
      <c r="CZ21" s="2397"/>
      <c r="DA21" s="2397"/>
      <c r="DB21" s="2397"/>
      <c r="DC21" s="2397"/>
      <c r="DD21" s="2397"/>
      <c r="DE21" s="2397"/>
      <c r="DF21" s="2397"/>
      <c r="DG21" s="2397"/>
      <c r="DH21" s="2397"/>
      <c r="DI21" s="2397"/>
      <c r="DJ21" s="2397"/>
      <c r="DK21" s="2397"/>
      <c r="DL21" s="2397"/>
      <c r="DM21" s="2397"/>
      <c r="DN21" s="2397"/>
      <c r="DO21" s="2397"/>
      <c r="DP21" s="2397"/>
      <c r="DQ21" s="2397"/>
      <c r="DR21" s="2397"/>
      <c r="DS21" s="2397"/>
      <c r="DT21" s="2397"/>
      <c r="DU21" s="2397"/>
      <c r="DV21" s="2397"/>
      <c r="DW21" s="2397"/>
      <c r="DX21" s="2397"/>
      <c r="DY21" s="2397"/>
      <c r="DZ21" s="2397"/>
      <c r="EA21" s="2397"/>
      <c r="EB21" s="2397"/>
      <c r="EC21" s="2397"/>
      <c r="ED21" s="2397"/>
      <c r="EE21" s="2397"/>
      <c r="EF21" s="2397"/>
      <c r="EG21" s="2397"/>
      <c r="EH21" s="2397"/>
      <c r="EI21" s="2397"/>
      <c r="EJ21" s="2397"/>
      <c r="EK21" s="2397"/>
      <c r="EL21" s="2397"/>
      <c r="EM21" s="2397"/>
      <c r="EN21" s="2397"/>
      <c r="EO21" s="2397"/>
      <c r="EP21" s="2397"/>
      <c r="EQ21" s="2397"/>
      <c r="ER21" s="2397"/>
      <c r="ES21" s="2397"/>
      <c r="ET21" s="2397"/>
      <c r="EU21" s="2397"/>
      <c r="EV21" s="2397"/>
      <c r="EW21" s="2397"/>
      <c r="EX21" s="2397"/>
      <c r="EY21" s="2397"/>
      <c r="EZ21" s="2397"/>
      <c r="FA21" s="2397"/>
      <c r="FB21" s="2397"/>
      <c r="FC21" s="2397"/>
      <c r="FD21" s="2397"/>
      <c r="FE21" s="2397"/>
      <c r="FF21" s="2397"/>
      <c r="FG21" s="2397"/>
      <c r="FH21" s="2397"/>
      <c r="FI21" s="2397"/>
    </row>
    <row r="22" spans="1:227" ht="17.25" thickTop="1" x14ac:dyDescent="0.3">
      <c r="A22" s="2399" t="s">
        <v>4526</v>
      </c>
      <c r="B22" s="2400">
        <v>37258</v>
      </c>
      <c r="C22" s="2400">
        <v>37289</v>
      </c>
      <c r="D22" s="2400">
        <v>37378</v>
      </c>
      <c r="E22" s="2400">
        <v>37409</v>
      </c>
      <c r="F22" s="2400">
        <v>37439</v>
      </c>
      <c r="G22" s="2400">
        <v>37470</v>
      </c>
      <c r="H22" s="2400">
        <v>37501</v>
      </c>
      <c r="I22" s="2400">
        <v>37531</v>
      </c>
      <c r="J22" s="2400">
        <v>37562</v>
      </c>
      <c r="K22" s="2400">
        <v>37592</v>
      </c>
      <c r="L22" s="2400">
        <v>37623</v>
      </c>
      <c r="M22" s="2400">
        <v>37654</v>
      </c>
      <c r="N22" s="2400">
        <v>37682</v>
      </c>
      <c r="O22" s="2400">
        <v>37713</v>
      </c>
      <c r="P22" s="2400">
        <v>37743</v>
      </c>
      <c r="Q22" s="2400">
        <v>37774</v>
      </c>
      <c r="R22" s="2400">
        <v>37804</v>
      </c>
      <c r="S22" s="2400">
        <v>37835</v>
      </c>
      <c r="T22" s="2400">
        <v>37866</v>
      </c>
      <c r="U22" s="2400">
        <v>37896</v>
      </c>
      <c r="V22" s="2400">
        <v>37927</v>
      </c>
      <c r="W22" s="2400">
        <v>37957</v>
      </c>
      <c r="X22" s="2400">
        <v>37988</v>
      </c>
      <c r="Y22" s="2400">
        <v>38019</v>
      </c>
      <c r="Z22" s="2400">
        <v>38048</v>
      </c>
      <c r="AA22" s="2400">
        <v>38079</v>
      </c>
      <c r="AB22" s="2400">
        <v>38109</v>
      </c>
      <c r="AC22" s="2400">
        <v>38140</v>
      </c>
      <c r="AD22" s="2400">
        <v>38170</v>
      </c>
      <c r="AE22" s="2400">
        <v>38201</v>
      </c>
      <c r="AF22" s="2400">
        <v>38232</v>
      </c>
      <c r="AG22" s="2400">
        <v>38262</v>
      </c>
      <c r="AH22" s="2400">
        <v>38293</v>
      </c>
      <c r="AI22" s="2400">
        <v>38323</v>
      </c>
      <c r="AJ22" s="2400">
        <v>38354</v>
      </c>
      <c r="AK22" s="2400">
        <v>38413</v>
      </c>
      <c r="AL22" s="2400">
        <v>38444</v>
      </c>
      <c r="AM22" s="2400">
        <v>38474</v>
      </c>
      <c r="AN22" s="2400">
        <v>38505</v>
      </c>
      <c r="AO22" s="2400">
        <v>38535</v>
      </c>
      <c r="AP22" s="2400">
        <v>38565</v>
      </c>
      <c r="AQ22" s="2400">
        <v>38596</v>
      </c>
      <c r="AR22" s="2400">
        <v>38626</v>
      </c>
      <c r="AS22" s="2400">
        <v>38657</v>
      </c>
      <c r="AT22" s="2400">
        <v>38687</v>
      </c>
      <c r="AU22" s="2400">
        <v>38718</v>
      </c>
      <c r="AV22" s="2400">
        <v>38749</v>
      </c>
      <c r="AW22" s="2400">
        <v>38777</v>
      </c>
      <c r="AX22" s="2400">
        <v>38808</v>
      </c>
      <c r="AY22" s="2400">
        <v>38838</v>
      </c>
      <c r="AZ22" s="2400">
        <v>38869</v>
      </c>
      <c r="BA22" s="2400">
        <v>38899</v>
      </c>
      <c r="BB22" s="2400">
        <v>38930</v>
      </c>
      <c r="BC22" s="2400">
        <v>38961</v>
      </c>
      <c r="BD22" s="2400">
        <v>38991</v>
      </c>
      <c r="BE22" s="2400">
        <v>39022</v>
      </c>
      <c r="BF22" s="2400">
        <v>39052</v>
      </c>
      <c r="BG22" s="2400">
        <v>39083</v>
      </c>
      <c r="BH22" s="2400">
        <v>39114</v>
      </c>
      <c r="BI22" s="2400">
        <v>39142</v>
      </c>
      <c r="BJ22" s="2400">
        <v>39173</v>
      </c>
      <c r="BK22" s="2400">
        <v>39203</v>
      </c>
      <c r="BL22" s="2400">
        <v>39234</v>
      </c>
      <c r="BM22" s="2400">
        <v>39264</v>
      </c>
      <c r="BN22" s="2400">
        <v>39295</v>
      </c>
      <c r="BO22" s="2400">
        <v>39326</v>
      </c>
      <c r="BP22" s="2400">
        <v>39356</v>
      </c>
      <c r="BQ22" s="2400">
        <v>39387</v>
      </c>
      <c r="BR22" s="2400">
        <v>39417</v>
      </c>
      <c r="BS22" s="2400">
        <v>39448</v>
      </c>
      <c r="BT22" s="2400">
        <v>39479</v>
      </c>
      <c r="BU22" s="2400">
        <v>39508</v>
      </c>
      <c r="BV22" s="2400">
        <v>39539</v>
      </c>
      <c r="BW22" s="2400">
        <v>39569</v>
      </c>
      <c r="BX22" s="2400">
        <v>39600</v>
      </c>
      <c r="BY22" s="2400">
        <v>39630</v>
      </c>
      <c r="BZ22" s="2400">
        <v>39661</v>
      </c>
      <c r="CA22" s="2400">
        <v>39692</v>
      </c>
      <c r="CB22" s="2400">
        <v>39722</v>
      </c>
      <c r="CC22" s="2400">
        <v>39753</v>
      </c>
      <c r="CD22" s="2400">
        <v>39783</v>
      </c>
      <c r="CE22" s="2400">
        <v>39814</v>
      </c>
      <c r="CF22" s="2400">
        <v>39845</v>
      </c>
      <c r="CG22" s="2400">
        <v>39873</v>
      </c>
      <c r="CH22" s="2400">
        <v>39904</v>
      </c>
      <c r="CI22" s="2400">
        <v>39934</v>
      </c>
      <c r="CJ22" s="2400">
        <v>39965</v>
      </c>
      <c r="CK22" s="2400">
        <v>39995</v>
      </c>
      <c r="CL22" s="2400">
        <v>40026</v>
      </c>
      <c r="CM22" s="2400">
        <v>40057</v>
      </c>
      <c r="CN22" s="2400">
        <v>40087</v>
      </c>
      <c r="CO22" s="2400">
        <v>40118</v>
      </c>
      <c r="CP22" s="2400">
        <v>40299</v>
      </c>
      <c r="CQ22" s="2400">
        <v>40360</v>
      </c>
      <c r="CR22" s="2400">
        <v>40391</v>
      </c>
      <c r="CS22" s="2400">
        <v>40422</v>
      </c>
      <c r="CT22" s="2400">
        <v>40452</v>
      </c>
      <c r="CU22" s="2400">
        <v>40483</v>
      </c>
      <c r="CV22" s="2400">
        <v>40513</v>
      </c>
      <c r="CW22" s="2400">
        <v>40544</v>
      </c>
      <c r="CX22" s="2400">
        <v>40575</v>
      </c>
      <c r="CY22" s="2400">
        <v>40603</v>
      </c>
      <c r="CZ22" s="2400">
        <v>40634</v>
      </c>
      <c r="DA22" s="2400">
        <v>40664</v>
      </c>
      <c r="DB22" s="2400">
        <v>40695</v>
      </c>
      <c r="DC22" s="2400">
        <v>40725</v>
      </c>
      <c r="DD22" s="2400">
        <v>40756</v>
      </c>
      <c r="DE22" s="2400">
        <v>40787</v>
      </c>
      <c r="DF22" s="2400">
        <f t="shared" ref="DF22:FQ22" si="3">DF3</f>
        <v>40817</v>
      </c>
      <c r="DG22" s="2400">
        <f t="shared" si="3"/>
        <v>40848</v>
      </c>
      <c r="DH22" s="2400">
        <f t="shared" si="3"/>
        <v>40878</v>
      </c>
      <c r="DI22" s="2400">
        <f t="shared" si="3"/>
        <v>40909</v>
      </c>
      <c r="DJ22" s="2400">
        <f t="shared" si="3"/>
        <v>40940</v>
      </c>
      <c r="DK22" s="2400">
        <f t="shared" si="3"/>
        <v>40969</v>
      </c>
      <c r="DL22" s="2400">
        <f t="shared" si="3"/>
        <v>41000</v>
      </c>
      <c r="DM22" s="2400">
        <f t="shared" si="3"/>
        <v>41030</v>
      </c>
      <c r="DN22" s="2400">
        <f t="shared" si="3"/>
        <v>41061</v>
      </c>
      <c r="DO22" s="2400">
        <f t="shared" si="3"/>
        <v>41091</v>
      </c>
      <c r="DP22" s="2400">
        <f t="shared" si="3"/>
        <v>41122</v>
      </c>
      <c r="DQ22" s="2400">
        <f t="shared" si="3"/>
        <v>41153</v>
      </c>
      <c r="DR22" s="2400">
        <f t="shared" si="3"/>
        <v>41183</v>
      </c>
      <c r="DS22" s="2400">
        <f t="shared" si="3"/>
        <v>41214</v>
      </c>
      <c r="DT22" s="2400">
        <f t="shared" si="3"/>
        <v>41245</v>
      </c>
      <c r="DU22" s="2400">
        <f t="shared" si="3"/>
        <v>41276</v>
      </c>
      <c r="DV22" s="2400">
        <f t="shared" si="3"/>
        <v>41307</v>
      </c>
      <c r="DW22" s="2400">
        <f t="shared" si="3"/>
        <v>41338</v>
      </c>
      <c r="DX22" s="2400">
        <f t="shared" si="3"/>
        <v>41369</v>
      </c>
      <c r="DY22" s="2400">
        <f t="shared" si="3"/>
        <v>41400</v>
      </c>
      <c r="DZ22" s="2400">
        <f t="shared" si="3"/>
        <v>41431</v>
      </c>
      <c r="EA22" s="2400">
        <f t="shared" si="3"/>
        <v>41462</v>
      </c>
      <c r="EB22" s="2400">
        <f t="shared" si="3"/>
        <v>41493</v>
      </c>
      <c r="EC22" s="2400">
        <f t="shared" si="3"/>
        <v>41524</v>
      </c>
      <c r="ED22" s="2400">
        <f t="shared" si="3"/>
        <v>41555</v>
      </c>
      <c r="EE22" s="2400">
        <f t="shared" si="3"/>
        <v>41586</v>
      </c>
      <c r="EF22" s="2400">
        <f t="shared" si="3"/>
        <v>41617</v>
      </c>
      <c r="EG22" s="2400">
        <f t="shared" si="3"/>
        <v>41648</v>
      </c>
      <c r="EH22" s="2400">
        <f t="shared" si="3"/>
        <v>41679</v>
      </c>
      <c r="EI22" s="2400">
        <f t="shared" si="3"/>
        <v>41710</v>
      </c>
      <c r="EJ22" s="2400">
        <f t="shared" si="3"/>
        <v>41741</v>
      </c>
      <c r="EK22" s="2400">
        <f t="shared" si="3"/>
        <v>41772</v>
      </c>
      <c r="EL22" s="2400">
        <f t="shared" si="3"/>
        <v>41803</v>
      </c>
      <c r="EM22" s="2400">
        <f t="shared" si="3"/>
        <v>41834</v>
      </c>
      <c r="EN22" s="2400">
        <f t="shared" si="3"/>
        <v>41865</v>
      </c>
      <c r="EO22" s="2400">
        <f t="shared" si="3"/>
        <v>41896</v>
      </c>
      <c r="EP22" s="2400">
        <f t="shared" si="3"/>
        <v>41927</v>
      </c>
      <c r="EQ22" s="2400">
        <f t="shared" si="3"/>
        <v>41958</v>
      </c>
      <c r="ER22" s="2400">
        <f t="shared" si="3"/>
        <v>41989</v>
      </c>
      <c r="ES22" s="2400">
        <f t="shared" si="3"/>
        <v>42020</v>
      </c>
      <c r="ET22" s="2400">
        <f t="shared" si="3"/>
        <v>42051</v>
      </c>
      <c r="EU22" s="2400">
        <f t="shared" si="3"/>
        <v>42082</v>
      </c>
      <c r="EV22" s="2400">
        <f t="shared" si="3"/>
        <v>42113</v>
      </c>
      <c r="EW22" s="2400">
        <f t="shared" si="3"/>
        <v>42144</v>
      </c>
      <c r="EX22" s="2400">
        <f t="shared" si="3"/>
        <v>42175</v>
      </c>
      <c r="EY22" s="2400">
        <f t="shared" si="3"/>
        <v>42206</v>
      </c>
      <c r="EZ22" s="2400">
        <f t="shared" si="3"/>
        <v>42237</v>
      </c>
      <c r="FA22" s="2400">
        <f t="shared" si="3"/>
        <v>42268</v>
      </c>
      <c r="FB22" s="2400">
        <f t="shared" si="3"/>
        <v>42299</v>
      </c>
      <c r="FC22" s="2400">
        <f t="shared" si="3"/>
        <v>42330</v>
      </c>
      <c r="FD22" s="2400">
        <f t="shared" si="3"/>
        <v>42361</v>
      </c>
      <c r="FE22" s="2400">
        <f t="shared" si="3"/>
        <v>42392</v>
      </c>
      <c r="FF22" s="2400">
        <f t="shared" si="3"/>
        <v>42423</v>
      </c>
      <c r="FG22" s="2400">
        <f t="shared" si="3"/>
        <v>42454</v>
      </c>
      <c r="FH22" s="2400">
        <f t="shared" si="3"/>
        <v>42485</v>
      </c>
      <c r="FI22" s="2400">
        <f t="shared" si="3"/>
        <v>42516</v>
      </c>
      <c r="FJ22" s="2400">
        <f t="shared" si="3"/>
        <v>42547</v>
      </c>
      <c r="FK22" s="2400">
        <f t="shared" si="3"/>
        <v>42578</v>
      </c>
      <c r="FL22" s="2400">
        <f t="shared" si="3"/>
        <v>42609</v>
      </c>
      <c r="FM22" s="2400">
        <f t="shared" si="3"/>
        <v>42640</v>
      </c>
      <c r="FN22" s="2400">
        <f t="shared" si="3"/>
        <v>42671</v>
      </c>
      <c r="FO22" s="2400">
        <f t="shared" si="3"/>
        <v>42702</v>
      </c>
      <c r="FP22" s="2400">
        <f t="shared" si="3"/>
        <v>42733</v>
      </c>
      <c r="FQ22" s="2400">
        <f t="shared" si="3"/>
        <v>42764</v>
      </c>
      <c r="FR22" s="2400">
        <f t="shared" ref="FR22:HQ22" si="4">FR3</f>
        <v>42792</v>
      </c>
      <c r="FS22" s="2400">
        <f t="shared" si="4"/>
        <v>42820</v>
      </c>
      <c r="FT22" s="2400">
        <f t="shared" si="4"/>
        <v>42848</v>
      </c>
      <c r="FU22" s="2400">
        <f t="shared" si="4"/>
        <v>42876</v>
      </c>
      <c r="FV22" s="2400">
        <f t="shared" si="4"/>
        <v>42904</v>
      </c>
      <c r="FW22" s="2400">
        <f t="shared" si="4"/>
        <v>42932</v>
      </c>
      <c r="FX22" s="2400">
        <f t="shared" si="4"/>
        <v>42960</v>
      </c>
      <c r="FY22" s="2400">
        <f t="shared" si="4"/>
        <v>42988</v>
      </c>
      <c r="FZ22" s="2400">
        <f t="shared" si="4"/>
        <v>43016</v>
      </c>
      <c r="GA22" s="2400">
        <f t="shared" si="4"/>
        <v>43044</v>
      </c>
      <c r="GB22" s="2400">
        <f t="shared" si="4"/>
        <v>43072</v>
      </c>
      <c r="GC22" s="2400">
        <f t="shared" si="4"/>
        <v>43101</v>
      </c>
      <c r="GD22" s="2400">
        <f t="shared" si="4"/>
        <v>43132</v>
      </c>
      <c r="GE22" s="2400">
        <f t="shared" si="4"/>
        <v>43163</v>
      </c>
      <c r="GF22" s="2400">
        <f t="shared" si="4"/>
        <v>43194</v>
      </c>
      <c r="GG22" s="2400">
        <f t="shared" si="4"/>
        <v>43225</v>
      </c>
      <c r="GH22" s="2400">
        <f t="shared" si="4"/>
        <v>43256</v>
      </c>
      <c r="GI22" s="3875">
        <f t="shared" si="4"/>
        <v>43287</v>
      </c>
      <c r="GJ22" s="3875">
        <f t="shared" si="4"/>
        <v>43318</v>
      </c>
      <c r="GK22" s="3875">
        <f t="shared" si="4"/>
        <v>43349</v>
      </c>
      <c r="GL22" s="3875">
        <f t="shared" si="4"/>
        <v>43380</v>
      </c>
      <c r="GM22" s="3875">
        <f t="shared" si="4"/>
        <v>43411</v>
      </c>
      <c r="GN22" s="3875">
        <f t="shared" si="4"/>
        <v>43442</v>
      </c>
      <c r="GO22" s="3875">
        <f t="shared" si="4"/>
        <v>43473</v>
      </c>
      <c r="GP22" s="3875">
        <f t="shared" si="4"/>
        <v>43504</v>
      </c>
      <c r="GQ22" s="3875">
        <f t="shared" si="4"/>
        <v>43535</v>
      </c>
      <c r="GR22" s="3875">
        <f t="shared" si="4"/>
        <v>43566</v>
      </c>
      <c r="GS22" s="3875">
        <f t="shared" si="4"/>
        <v>43597</v>
      </c>
      <c r="GT22" s="3871">
        <f t="shared" si="4"/>
        <v>43628</v>
      </c>
      <c r="GU22" s="3875">
        <f t="shared" si="4"/>
        <v>43659</v>
      </c>
      <c r="GV22" s="3875">
        <f t="shared" si="4"/>
        <v>43690</v>
      </c>
      <c r="GW22" s="3875">
        <f t="shared" si="4"/>
        <v>43721</v>
      </c>
      <c r="GX22" s="3871">
        <f t="shared" si="4"/>
        <v>43752</v>
      </c>
      <c r="GY22" s="3875">
        <f t="shared" si="4"/>
        <v>43783</v>
      </c>
      <c r="GZ22" s="3875">
        <f t="shared" si="4"/>
        <v>43814</v>
      </c>
      <c r="HA22" s="3875">
        <f t="shared" si="4"/>
        <v>43845</v>
      </c>
      <c r="HB22" s="3871">
        <f t="shared" si="4"/>
        <v>43876</v>
      </c>
      <c r="HC22" s="3873">
        <f t="shared" si="4"/>
        <v>43907</v>
      </c>
      <c r="HD22" s="3871">
        <f t="shared" si="4"/>
        <v>43938</v>
      </c>
      <c r="HE22" s="3871">
        <f t="shared" si="4"/>
        <v>43969</v>
      </c>
      <c r="HF22" s="3873">
        <f t="shared" si="4"/>
        <v>44000</v>
      </c>
      <c r="HG22" s="3871">
        <f t="shared" si="4"/>
        <v>44031</v>
      </c>
      <c r="HH22" s="3871">
        <f t="shared" si="4"/>
        <v>44062</v>
      </c>
      <c r="HI22" s="3871">
        <f t="shared" si="4"/>
        <v>44093</v>
      </c>
      <c r="HJ22" s="3871">
        <f t="shared" si="4"/>
        <v>44124</v>
      </c>
      <c r="HK22" s="3871">
        <f t="shared" si="4"/>
        <v>44155</v>
      </c>
      <c r="HL22" s="3871">
        <f t="shared" si="4"/>
        <v>44186</v>
      </c>
      <c r="HM22" s="3871">
        <f t="shared" si="4"/>
        <v>44217</v>
      </c>
      <c r="HN22" s="3871">
        <f t="shared" si="4"/>
        <v>44248</v>
      </c>
      <c r="HO22" s="3871">
        <f t="shared" si="4"/>
        <v>44279</v>
      </c>
      <c r="HP22" s="3871">
        <f t="shared" si="4"/>
        <v>44310</v>
      </c>
      <c r="HQ22" s="3871">
        <f t="shared" si="4"/>
        <v>44341</v>
      </c>
      <c r="HR22" s="3871">
        <f>HR3</f>
        <v>44371</v>
      </c>
      <c r="HS22" s="3871">
        <f>HS3</f>
        <v>44401</v>
      </c>
    </row>
    <row r="23" spans="1:227" ht="17.25" thickBot="1" x14ac:dyDescent="0.35">
      <c r="A23" s="2401" t="s">
        <v>4527</v>
      </c>
      <c r="B23" s="2402"/>
      <c r="C23" s="2402"/>
      <c r="D23" s="2402"/>
      <c r="E23" s="2402"/>
      <c r="F23" s="2402"/>
      <c r="G23" s="2402"/>
      <c r="H23" s="2402"/>
      <c r="I23" s="2402"/>
      <c r="J23" s="2402"/>
      <c r="K23" s="2402"/>
      <c r="L23" s="2402"/>
      <c r="M23" s="2402"/>
      <c r="N23" s="2402"/>
      <c r="O23" s="2402"/>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c r="AL23" s="2402"/>
      <c r="AM23" s="2402"/>
      <c r="AN23" s="2402"/>
      <c r="AO23" s="2402"/>
      <c r="AP23" s="2402"/>
      <c r="AQ23" s="2402"/>
      <c r="AR23" s="2402"/>
      <c r="AS23" s="2402"/>
      <c r="AT23" s="2402"/>
      <c r="AU23" s="2402"/>
      <c r="AV23" s="2402"/>
      <c r="AW23" s="2402"/>
      <c r="AX23" s="2402"/>
      <c r="AY23" s="2402"/>
      <c r="AZ23" s="2402"/>
      <c r="BA23" s="2402"/>
      <c r="BB23" s="2402"/>
      <c r="BC23" s="2402"/>
      <c r="BD23" s="2402"/>
      <c r="BE23" s="2402"/>
      <c r="BF23" s="2402"/>
      <c r="BG23" s="2402"/>
      <c r="BH23" s="2402"/>
      <c r="BI23" s="2402"/>
      <c r="BJ23" s="2402"/>
      <c r="BK23" s="2402"/>
      <c r="BL23" s="2402"/>
      <c r="BM23" s="2402"/>
      <c r="BN23" s="2402"/>
      <c r="BO23" s="2402"/>
      <c r="BP23" s="2402"/>
      <c r="BQ23" s="2402"/>
      <c r="BR23" s="2402"/>
      <c r="BS23" s="2402"/>
      <c r="BT23" s="2402"/>
      <c r="BU23" s="2402"/>
      <c r="BV23" s="2402"/>
      <c r="BW23" s="2402"/>
      <c r="BX23" s="2402"/>
      <c r="BY23" s="2402"/>
      <c r="BZ23" s="2402"/>
      <c r="CA23" s="2402"/>
      <c r="CB23" s="2402"/>
      <c r="CC23" s="2402"/>
      <c r="CD23" s="2402"/>
      <c r="CE23" s="2402"/>
      <c r="CF23" s="2402"/>
      <c r="CG23" s="2402"/>
      <c r="CH23" s="2402"/>
      <c r="CI23" s="2402"/>
      <c r="CJ23" s="2402"/>
      <c r="CK23" s="2402"/>
      <c r="CL23" s="2402"/>
      <c r="CM23" s="2402"/>
      <c r="CN23" s="2402"/>
      <c r="CO23" s="2402"/>
      <c r="CP23" s="2402"/>
      <c r="CQ23" s="2402"/>
      <c r="CR23" s="2402"/>
      <c r="CS23" s="2402"/>
      <c r="CT23" s="2402"/>
      <c r="CU23" s="2402"/>
      <c r="CV23" s="2402"/>
      <c r="CW23" s="2402"/>
      <c r="CX23" s="2402"/>
      <c r="CY23" s="2402"/>
      <c r="CZ23" s="2402"/>
      <c r="DA23" s="2402"/>
      <c r="DB23" s="2402"/>
      <c r="DC23" s="2402"/>
      <c r="DD23" s="2402"/>
      <c r="DE23" s="2402"/>
      <c r="DF23" s="2402"/>
      <c r="DG23" s="2402"/>
      <c r="DH23" s="2402"/>
      <c r="DI23" s="2402"/>
      <c r="DJ23" s="2402"/>
      <c r="DK23" s="2402"/>
      <c r="DL23" s="2402"/>
      <c r="DM23" s="2402"/>
      <c r="DN23" s="2402"/>
      <c r="DO23" s="2402"/>
      <c r="DP23" s="2402"/>
      <c r="DQ23" s="2402"/>
      <c r="DR23" s="2402"/>
      <c r="DS23" s="2402"/>
      <c r="DT23" s="2402"/>
      <c r="DU23" s="2402"/>
      <c r="DV23" s="2402"/>
      <c r="DW23" s="2402"/>
      <c r="DX23" s="2402"/>
      <c r="DY23" s="2402"/>
      <c r="DZ23" s="2402"/>
      <c r="EA23" s="2402"/>
      <c r="EB23" s="2402"/>
      <c r="EC23" s="2402"/>
      <c r="ED23" s="2402"/>
      <c r="EE23" s="2402"/>
      <c r="EF23" s="2402"/>
      <c r="EG23" s="2402"/>
      <c r="EH23" s="2402"/>
      <c r="EI23" s="2402"/>
      <c r="EJ23" s="2402"/>
      <c r="EK23" s="2402"/>
      <c r="EL23" s="2402"/>
      <c r="EM23" s="2402"/>
      <c r="EN23" s="2402"/>
      <c r="EO23" s="2402"/>
      <c r="EP23" s="2402"/>
      <c r="EQ23" s="2402"/>
      <c r="ER23" s="2402"/>
      <c r="ES23" s="2402"/>
      <c r="ET23" s="2402"/>
      <c r="EU23" s="2402"/>
      <c r="EV23" s="2402"/>
      <c r="EW23" s="2402"/>
      <c r="EX23" s="2402"/>
      <c r="EY23" s="2402"/>
      <c r="EZ23" s="2402"/>
      <c r="FA23" s="2402"/>
      <c r="FB23" s="2402"/>
      <c r="FC23" s="2402"/>
      <c r="FD23" s="2402"/>
      <c r="FE23" s="2402"/>
      <c r="FF23" s="2402"/>
      <c r="FG23" s="2402"/>
      <c r="FH23" s="2402"/>
      <c r="FI23" s="2402"/>
      <c r="FJ23" s="2402"/>
      <c r="FK23" s="2402"/>
      <c r="FL23" s="2402"/>
      <c r="FM23" s="2402"/>
      <c r="FN23" s="2402"/>
      <c r="FO23" s="2402"/>
      <c r="FP23" s="2402"/>
      <c r="FQ23" s="2402"/>
      <c r="FR23" s="2402"/>
      <c r="FS23" s="2402"/>
      <c r="FT23" s="2402"/>
      <c r="FU23" s="2402"/>
      <c r="FV23" s="2402"/>
      <c r="FW23" s="2402"/>
      <c r="FX23" s="2402"/>
      <c r="FY23" s="2402"/>
      <c r="FZ23" s="2402"/>
      <c r="GA23" s="2402"/>
      <c r="GB23" s="2402"/>
      <c r="GC23" s="2402"/>
      <c r="GD23" s="2402"/>
      <c r="GE23" s="2402"/>
      <c r="GF23" s="2402"/>
      <c r="GG23" s="2402"/>
      <c r="GH23" s="2402"/>
      <c r="GI23" s="3877"/>
      <c r="GJ23" s="3876"/>
      <c r="GK23" s="3876"/>
      <c r="GL23" s="3876"/>
      <c r="GM23" s="3876"/>
      <c r="GN23" s="3876"/>
      <c r="GO23" s="3876"/>
      <c r="GP23" s="3876"/>
      <c r="GQ23" s="3876"/>
      <c r="GR23" s="3876"/>
      <c r="GS23" s="3876"/>
      <c r="GT23" s="3878"/>
      <c r="GU23" s="3876"/>
      <c r="GV23" s="3876"/>
      <c r="GW23" s="3876"/>
      <c r="GX23" s="3878"/>
      <c r="GY23" s="3876"/>
      <c r="GZ23" s="3876"/>
      <c r="HA23" s="3876"/>
      <c r="HB23" s="3872"/>
      <c r="HC23" s="3874"/>
      <c r="HD23" s="3872"/>
      <c r="HE23" s="3872"/>
      <c r="HF23" s="3874"/>
      <c r="HG23" s="3872"/>
      <c r="HH23" s="3872"/>
      <c r="HI23" s="3872"/>
      <c r="HJ23" s="3872"/>
      <c r="HK23" s="3872"/>
      <c r="HL23" s="3872"/>
      <c r="HM23" s="3872"/>
      <c r="HN23" s="3872"/>
      <c r="HO23" s="3872"/>
      <c r="HP23" s="3872"/>
      <c r="HQ23" s="3872"/>
      <c r="HR23" s="3872"/>
      <c r="HS23" s="3872"/>
    </row>
    <row r="24" spans="1:227" ht="21.75" customHeight="1" x14ac:dyDescent="0.3">
      <c r="A24" s="2403" t="s">
        <v>4528</v>
      </c>
      <c r="B24" s="2404">
        <v>15.824999999999999</v>
      </c>
      <c r="C24" s="2404">
        <v>15.736000000000001</v>
      </c>
      <c r="D24" s="2404">
        <v>16.807727272727274</v>
      </c>
      <c r="E24" s="2404">
        <v>17.321000000000002</v>
      </c>
      <c r="F24" s="2404">
        <v>16.746521739130436</v>
      </c>
      <c r="G24" s="2404">
        <v>16.2985714285714</v>
      </c>
      <c r="H24" s="2404">
        <v>16.420500000000001</v>
      </c>
      <c r="I24" s="2404">
        <v>16.502600000000001</v>
      </c>
      <c r="J24" s="2404">
        <v>16.757999999999999</v>
      </c>
      <c r="K24" s="2404">
        <v>16.746500000000001</v>
      </c>
      <c r="L24" s="2404">
        <v>17.021000000000001</v>
      </c>
      <c r="M24" s="2404">
        <v>16.774999999999999</v>
      </c>
      <c r="N24" s="2404">
        <v>16.820499999999999</v>
      </c>
      <c r="O24" s="2404">
        <v>16.925000000000001</v>
      </c>
      <c r="P24" s="2404">
        <v>18.078099999999999</v>
      </c>
      <c r="Q24" s="2404">
        <v>19.045000000000002</v>
      </c>
      <c r="R24" s="2404">
        <v>19.766999999999999</v>
      </c>
      <c r="S24" s="2404">
        <v>19.231999999999999</v>
      </c>
      <c r="T24" s="2404">
        <v>19.481000000000002</v>
      </c>
      <c r="U24" s="2404">
        <v>20.094999999999999</v>
      </c>
      <c r="V24" s="2404">
        <v>20.541</v>
      </c>
      <c r="W24" s="2404">
        <v>20.177</v>
      </c>
      <c r="X24" s="2404">
        <v>20.393000000000001</v>
      </c>
      <c r="Y24" s="2404">
        <v>20.273</v>
      </c>
      <c r="Z24" s="2404">
        <v>19.875</v>
      </c>
      <c r="AA24" s="2404">
        <v>20.445</v>
      </c>
      <c r="AB24" s="2404">
        <v>19.911999999999999</v>
      </c>
      <c r="AC24" s="2404">
        <v>19.760000000000002</v>
      </c>
      <c r="AD24" s="2404">
        <v>20.459</v>
      </c>
      <c r="AE24" s="2404">
        <v>20.385999999999999</v>
      </c>
      <c r="AF24" s="2404">
        <v>20.271999999999998</v>
      </c>
      <c r="AG24" s="2404">
        <v>21.173999999999999</v>
      </c>
      <c r="AH24" s="2404">
        <v>22.21</v>
      </c>
      <c r="AI24" s="2404">
        <v>22.016999999999999</v>
      </c>
      <c r="AJ24" s="2404">
        <v>21.998999999999999</v>
      </c>
      <c r="AK24" s="2404">
        <v>22.949000000000002</v>
      </c>
      <c r="AL24" s="2404">
        <v>22.725000000000001</v>
      </c>
      <c r="AM24" s="2404">
        <v>22.585999999999999</v>
      </c>
      <c r="AN24" s="2404">
        <v>22.712700000000002</v>
      </c>
      <c r="AO24" s="2404">
        <v>22.446000000000002</v>
      </c>
      <c r="AP24" s="2404">
        <v>22.8643</v>
      </c>
      <c r="AQ24" s="2404">
        <v>23.132400000000001</v>
      </c>
      <c r="AR24" s="2404">
        <v>23.1129</v>
      </c>
      <c r="AS24" s="2404">
        <v>22.605799999999999</v>
      </c>
      <c r="AT24" s="2404">
        <v>22.9314</v>
      </c>
      <c r="AU24" s="2404">
        <v>23.199000000000002</v>
      </c>
      <c r="AV24" s="2404">
        <v>22.966000000000001</v>
      </c>
      <c r="AW24" s="2404">
        <v>22.6386</v>
      </c>
      <c r="AX24" s="2404">
        <v>22.902999999999999</v>
      </c>
      <c r="AY24" s="2404">
        <v>23.784500000000001</v>
      </c>
      <c r="AZ24" s="2404">
        <v>23.0745</v>
      </c>
      <c r="BA24" s="2404">
        <v>23.6295</v>
      </c>
      <c r="BB24" s="2404">
        <v>24.693300000000001</v>
      </c>
      <c r="BC24" s="2404">
        <v>24.946200000000001</v>
      </c>
      <c r="BD24" s="2404">
        <v>25.091899999999999</v>
      </c>
      <c r="BE24" s="2404">
        <v>26.064</v>
      </c>
      <c r="BF24" s="2404">
        <v>26.707999999999998</v>
      </c>
      <c r="BG24" s="2404">
        <v>26.759499999999999</v>
      </c>
      <c r="BH24" s="2404">
        <v>26.646100000000001</v>
      </c>
      <c r="BI24" s="2404">
        <v>26.481000000000002</v>
      </c>
      <c r="BJ24" s="2404">
        <v>27.138999999999999</v>
      </c>
      <c r="BK24" s="2404">
        <v>26.309100000000001</v>
      </c>
      <c r="BL24" s="2404">
        <v>26.992000000000001</v>
      </c>
      <c r="BM24" s="2404">
        <v>27.722300000000001</v>
      </c>
      <c r="BN24" s="2404">
        <v>26.2166</v>
      </c>
      <c r="BO24" s="2404">
        <v>26.647600000000001</v>
      </c>
      <c r="BP24" s="2404">
        <v>27.867799999999999</v>
      </c>
      <c r="BQ24" s="2404">
        <v>27.524999999999999</v>
      </c>
      <c r="BR24" s="2404">
        <v>26.2134</v>
      </c>
      <c r="BS24" s="2404">
        <v>25.8324</v>
      </c>
      <c r="BT24" s="2404">
        <v>26.4071</v>
      </c>
      <c r="BU24" s="2404">
        <v>25.279800000000002</v>
      </c>
      <c r="BV24" s="2404">
        <v>24.8523</v>
      </c>
      <c r="BW24" s="2404">
        <v>26.385000000000002</v>
      </c>
      <c r="BX24" s="2404">
        <v>26.586300000000001</v>
      </c>
      <c r="BY24" s="2404">
        <v>26.410699999999999</v>
      </c>
      <c r="BZ24" s="2404">
        <v>24.974799999999998</v>
      </c>
      <c r="CA24" s="2404">
        <v>24.301400000000001</v>
      </c>
      <c r="CB24" s="2404">
        <v>21.485099999999999</v>
      </c>
      <c r="CC24" s="2404">
        <v>21.5411</v>
      </c>
      <c r="CD24" s="2404">
        <v>22.0108</v>
      </c>
      <c r="CE24" s="2404">
        <v>22.5198</v>
      </c>
      <c r="CF24" s="2404">
        <v>22.138999999999999</v>
      </c>
      <c r="CG24" s="2404">
        <v>23.0684</v>
      </c>
      <c r="CH24" s="2404">
        <v>24.5871</v>
      </c>
      <c r="CI24" s="2404">
        <v>25.926429999999993</v>
      </c>
      <c r="CJ24" s="2404">
        <v>26.753404545454554</v>
      </c>
      <c r="CK24" s="2404">
        <v>26.610808695652167</v>
      </c>
      <c r="CL24" s="2404">
        <v>27.443220000000007</v>
      </c>
      <c r="CM24" s="2404">
        <v>27.693085714285708</v>
      </c>
      <c r="CN24" s="2404">
        <v>28.572818181818182</v>
      </c>
      <c r="CO24" s="2404">
        <v>28.594170000000002</v>
      </c>
      <c r="CP24" s="2404">
        <v>29.11</v>
      </c>
      <c r="CQ24" s="2404">
        <v>28.145677124721249</v>
      </c>
      <c r="CR24" s="2404">
        <v>28.351412763083577</v>
      </c>
      <c r="CS24" s="2404">
        <v>29.51271716679905</v>
      </c>
      <c r="CT24" s="2404">
        <v>30.112859290085709</v>
      </c>
      <c r="CU24" s="2404">
        <v>30.62334452555762</v>
      </c>
      <c r="CV24" s="2404">
        <v>31.222964875904054</v>
      </c>
      <c r="CW24" s="2404">
        <v>30.973330877776778</v>
      </c>
      <c r="CX24" s="2404">
        <v>30.766630119998712</v>
      </c>
      <c r="CY24" s="2404">
        <v>30.185050539688721</v>
      </c>
      <c r="CZ24" s="2404">
        <v>30.626423231730449</v>
      </c>
      <c r="DA24" s="2404">
        <v>30.63291965911311</v>
      </c>
      <c r="DB24" s="2404">
        <v>30.588510575347904</v>
      </c>
      <c r="DC24" s="2404">
        <v>31.257842370683864</v>
      </c>
      <c r="DD24" s="2404">
        <v>30.338127937876607</v>
      </c>
      <c r="DE24" s="2404">
        <v>30.012847556634835</v>
      </c>
      <c r="DF24" s="2404">
        <v>30.044773087857056</v>
      </c>
      <c r="DG24" s="2404">
        <v>30.051936631125955</v>
      </c>
      <c r="DH24" s="2404">
        <v>30.448734150137327</v>
      </c>
      <c r="DI24" s="2404">
        <v>31.346826834617055</v>
      </c>
      <c r="DJ24" s="2404">
        <v>32.006741442801321</v>
      </c>
      <c r="DK24" s="2404">
        <v>31.463934301725295</v>
      </c>
      <c r="DL24" s="2404">
        <v>30.891312718159249</v>
      </c>
      <c r="DM24" s="2404">
        <v>30.139375669120376</v>
      </c>
      <c r="DN24" s="2404">
        <v>31.017520678579249</v>
      </c>
      <c r="DO24" s="2404">
        <v>32.716449988451366</v>
      </c>
      <c r="DP24" s="2404">
        <v>32.97830074259879</v>
      </c>
      <c r="DQ24" s="2404">
        <v>32.306321025177965</v>
      </c>
      <c r="DR24" s="2404">
        <v>32.379576310038559</v>
      </c>
      <c r="DS24" s="2404">
        <v>32.976346461467429</v>
      </c>
      <c r="DT24" s="2404">
        <v>32.787822204921696</v>
      </c>
      <c r="DU24" s="2404">
        <v>32.641434351236455</v>
      </c>
      <c r="DV24" s="2404">
        <v>32.049381330959399</v>
      </c>
      <c r="DW24" s="2404">
        <v>32.56816313380024</v>
      </c>
      <c r="DX24" s="2404">
        <v>32.750384317993891</v>
      </c>
      <c r="DY24" s="2404">
        <v>31.312009630054817</v>
      </c>
      <c r="DZ24" s="2404">
        <v>29.674019484442255</v>
      </c>
      <c r="EA24" s="2404">
        <v>28.972899921082785</v>
      </c>
      <c r="EB24" s="2404">
        <v>28.340327447582993</v>
      </c>
      <c r="EC24" s="2404">
        <v>29.093401423140858</v>
      </c>
      <c r="ED24" s="2404">
        <v>29.405447123024093</v>
      </c>
      <c r="EE24" s="2404">
        <v>28.924969813243415</v>
      </c>
      <c r="EF24" s="2404">
        <v>27.66930745943236</v>
      </c>
      <c r="EG24" s="2404">
        <v>27.309297484783777</v>
      </c>
      <c r="EH24" s="2404">
        <v>27.598533308154916</v>
      </c>
      <c r="EI24" s="2404">
        <v>27.774729092959443</v>
      </c>
      <c r="EJ24" s="2404">
        <v>28.54556493539835</v>
      </c>
      <c r="EK24" s="2404">
        <v>28.579737740632449</v>
      </c>
      <c r="EL24" s="2404">
        <v>28.885532443254988</v>
      </c>
      <c r="EM24" s="2404">
        <v>28.988925133151792</v>
      </c>
      <c r="EN24" s="2404">
        <v>28.948715285669369</v>
      </c>
      <c r="EO24" s="2404">
        <v>28.689527531565069</v>
      </c>
      <c r="EP24" s="2404">
        <v>28.005397208605316</v>
      </c>
      <c r="EQ24" s="2404">
        <v>27.699195397116664</v>
      </c>
      <c r="ER24" s="2404">
        <v>26.491476234877517</v>
      </c>
      <c r="ES24" s="2404">
        <v>26.539923631380638</v>
      </c>
      <c r="ET24" s="2404">
        <v>26.160875222559135</v>
      </c>
      <c r="EU24" s="2404">
        <v>27.911084673896259</v>
      </c>
      <c r="EV24" s="2404">
        <v>28.420718181818177</v>
      </c>
      <c r="EW24" s="2404">
        <v>28.224261699670471</v>
      </c>
      <c r="EX24" s="2404">
        <v>27.65150292207791</v>
      </c>
      <c r="EY24" s="2404">
        <v>26.826481987577637</v>
      </c>
      <c r="EZ24" s="2404">
        <v>26.326057142857138</v>
      </c>
      <c r="FA24" s="2404">
        <v>25.432307823129246</v>
      </c>
      <c r="FB24" s="2404">
        <v>26.195169155844159</v>
      </c>
      <c r="FC24" s="2404">
        <v>26.431757894736837</v>
      </c>
      <c r="FD24" s="2404">
        <v>26.652754545454549</v>
      </c>
      <c r="FE24" s="2404">
        <v>25.791029999999999</v>
      </c>
      <c r="FF24" s="2404">
        <v>26.042021052631579</v>
      </c>
      <c r="FG24" s="2404">
        <v>27.239104545454541</v>
      </c>
      <c r="FH24" s="2404">
        <v>27.604154999999999</v>
      </c>
      <c r="FI24" s="2404">
        <v>26.446367482517477</v>
      </c>
      <c r="FJ24" s="2404">
        <v>26.917727272727276</v>
      </c>
      <c r="FK24" s="2404">
        <v>27.511389999999999</v>
      </c>
      <c r="FL24" s="2404">
        <v>27.688913636363637</v>
      </c>
      <c r="FM24" s="2404">
        <v>27.568233333333328</v>
      </c>
      <c r="FN24" s="2404">
        <v>27.843599999999999</v>
      </c>
      <c r="FO24" s="2404">
        <v>27.656290476190467</v>
      </c>
      <c r="FP24" s="2404">
        <v>27.105699999999999</v>
      </c>
      <c r="FQ24" s="2404">
        <v>27.436142857142858</v>
      </c>
      <c r="FR24" s="2404">
        <v>28.06808823529412</v>
      </c>
      <c r="FS24" s="2404">
        <v>27.764013636363632</v>
      </c>
      <c r="FT24" s="2404">
        <v>27.375375000000002</v>
      </c>
      <c r="FU24" s="2404">
        <v>26.591549999999998</v>
      </c>
      <c r="FV24" s="2404">
        <v>26.908628571428569</v>
      </c>
      <c r="FW24" s="2404">
        <v>27.373261904761904</v>
      </c>
      <c r="FX24" s="2404">
        <v>27.065830434782605</v>
      </c>
      <c r="FY24" s="2404">
        <v>27.224357142857148</v>
      </c>
      <c r="FZ24" s="2404">
        <v>27.11134175824176</v>
      </c>
      <c r="GA24" s="2404">
        <v>26.614339999999999</v>
      </c>
      <c r="GB24" s="2404">
        <v>26.519024999999999</v>
      </c>
      <c r="GC24" s="2404">
        <v>27.014311111111109</v>
      </c>
      <c r="GD24" s="2404">
        <v>26.384488235294121</v>
      </c>
      <c r="GE24" s="2404">
        <v>26.279152380952382</v>
      </c>
      <c r="GF24" s="2404">
        <v>26.508276190476188</v>
      </c>
      <c r="GG24" s="2404">
        <v>26.578440909090908</v>
      </c>
      <c r="GH24" s="2404">
        <v>26.441223809523812</v>
      </c>
      <c r="GI24" s="2404">
        <v>26.019131818181823</v>
      </c>
      <c r="GJ24" s="2404">
        <v>25.769240909090911</v>
      </c>
      <c r="GK24" s="2404">
        <v>25.222594736842108</v>
      </c>
      <c r="GL24" s="2404">
        <v>25.034526086956525</v>
      </c>
      <c r="GM24" s="2404">
        <v>25.546044999999999</v>
      </c>
      <c r="GN24" s="2404">
        <v>25.178629999999998</v>
      </c>
      <c r="GO24" s="2404">
        <v>24.997885000000004</v>
      </c>
      <c r="GP24" s="2404">
        <v>24.945966666666667</v>
      </c>
      <c r="GQ24" s="2404">
        <v>25.017220242914984</v>
      </c>
      <c r="GR24" s="2404">
        <v>25.328040909090909</v>
      </c>
      <c r="GS24" s="2404">
        <v>24.947881818181813</v>
      </c>
      <c r="GT24" s="2404">
        <v>25.205257894736842</v>
      </c>
      <c r="GU24" s="2404">
        <v>25.646654545454542</v>
      </c>
      <c r="GV24" s="2404">
        <v>24.833795454545452</v>
      </c>
      <c r="GW24" s="2404">
        <v>25.171436842105265</v>
      </c>
      <c r="GX24" s="2404">
        <v>25.187362876254181</v>
      </c>
      <c r="GY24" s="2404">
        <v>25.371052631578955</v>
      </c>
      <c r="GZ24" s="2404">
        <v>25.583695000000002</v>
      </c>
      <c r="HA24" s="2404">
        <v>25.564295238095237</v>
      </c>
      <c r="HB24" s="2404">
        <v>25.297631578947371</v>
      </c>
      <c r="HC24" s="2405">
        <v>24.314580000000003</v>
      </c>
      <c r="HD24" s="2404">
        <v>25.492868181818178</v>
      </c>
      <c r="HE24" s="2404">
        <v>26.554264999999997</v>
      </c>
      <c r="HF24" s="2405">
        <v>28.052681818181824</v>
      </c>
      <c r="HG24" s="2404">
        <v>28.62844347826087</v>
      </c>
      <c r="HH24" s="2404">
        <v>29.137599999999992</v>
      </c>
      <c r="HI24" s="2404">
        <v>29.36781818181818</v>
      </c>
      <c r="HJ24" s="2404">
        <v>28.974818181818179</v>
      </c>
      <c r="HK24" s="2404">
        <v>29.608645000000003</v>
      </c>
      <c r="HL24" s="2404">
        <v>30.355072727272727</v>
      </c>
      <c r="HM24" s="2404">
        <v>31.07511052631579</v>
      </c>
      <c r="HN24" s="2418">
        <v>31.438083333333331</v>
      </c>
      <c r="HO24" s="2418">
        <v>31.537754999999997</v>
      </c>
      <c r="HP24" s="2418">
        <v>31.713204999999999</v>
      </c>
      <c r="HQ24" s="2418">
        <v>32.005870000000002</v>
      </c>
      <c r="HR24" s="2418">
        <v>31.983872727272725</v>
      </c>
      <c r="HS24" s="2418">
        <v>32.279000000000003</v>
      </c>
    </row>
    <row r="25" spans="1:227" ht="21" customHeight="1" x14ac:dyDescent="0.3">
      <c r="A25" s="2403" t="s">
        <v>4529</v>
      </c>
      <c r="B25" s="2404">
        <v>3.944</v>
      </c>
      <c r="C25" s="2404">
        <v>3.95</v>
      </c>
      <c r="D25" s="2406">
        <v>3.9350000000000001</v>
      </c>
      <c r="E25" s="2406">
        <v>3.92</v>
      </c>
      <c r="F25" s="2406">
        <v>3.89</v>
      </c>
      <c r="G25" s="2406">
        <v>3.8719047619047622</v>
      </c>
      <c r="H25" s="2406">
        <v>3.87</v>
      </c>
      <c r="I25" s="2406">
        <v>3.87</v>
      </c>
      <c r="J25" s="2406">
        <v>3.8490000000000002</v>
      </c>
      <c r="K25" s="2404">
        <v>3.8325</v>
      </c>
      <c r="L25" s="2404">
        <v>3.7559999999999998</v>
      </c>
      <c r="M25" s="2404">
        <v>3.6349999999999998</v>
      </c>
      <c r="N25" s="2404">
        <v>3.6</v>
      </c>
      <c r="O25" s="2404">
        <v>3.58</v>
      </c>
      <c r="P25" s="2404">
        <v>3.5979999999999999</v>
      </c>
      <c r="Q25" s="2404">
        <v>3.698</v>
      </c>
      <c r="R25" s="2404">
        <v>3.85</v>
      </c>
      <c r="S25" s="2404">
        <v>3.81</v>
      </c>
      <c r="T25" s="2404">
        <v>3.8029999999999999</v>
      </c>
      <c r="U25" s="2404">
        <v>3.7639999999999998</v>
      </c>
      <c r="V25" s="2404">
        <v>3.7170000000000001</v>
      </c>
      <c r="W25" s="2404">
        <v>3.552</v>
      </c>
      <c r="X25" s="2404">
        <v>3.444</v>
      </c>
      <c r="Y25" s="2404">
        <v>3.3879999999999999</v>
      </c>
      <c r="Z25" s="2404">
        <v>3.4289999999999998</v>
      </c>
      <c r="AA25" s="2404">
        <v>3.55</v>
      </c>
      <c r="AB25" s="2404">
        <v>3.653</v>
      </c>
      <c r="AC25" s="2404">
        <v>3.681</v>
      </c>
      <c r="AD25" s="2404">
        <v>3.69</v>
      </c>
      <c r="AE25" s="2404">
        <v>3.7050000000000001</v>
      </c>
      <c r="AF25" s="2404">
        <v>3.7280000000000002</v>
      </c>
      <c r="AG25" s="2404">
        <v>3.7370000000000001</v>
      </c>
      <c r="AH25" s="2404">
        <v>3.7330000000000001</v>
      </c>
      <c r="AI25" s="2404">
        <v>3.7090000000000001</v>
      </c>
      <c r="AJ25" s="2404">
        <v>3.7149999999999999</v>
      </c>
      <c r="AK25" s="2404">
        <v>3.7759999999999998</v>
      </c>
      <c r="AL25" s="2404">
        <v>3.7970000000000002</v>
      </c>
      <c r="AM25" s="2404">
        <v>3.8069999999999999</v>
      </c>
      <c r="AN25" s="2404">
        <v>3.8355000000000001</v>
      </c>
      <c r="AO25" s="2404">
        <v>3.8605</v>
      </c>
      <c r="AP25" s="2404">
        <v>3.8904000000000001</v>
      </c>
      <c r="AQ25" s="2404">
        <v>3.9195000000000002</v>
      </c>
      <c r="AR25" s="2404">
        <v>3.9857</v>
      </c>
      <c r="AS25" s="2404">
        <v>4.0057999999999998</v>
      </c>
      <c r="AT25" s="2404">
        <v>4.0217999999999998</v>
      </c>
      <c r="AU25" s="2404">
        <v>4.0262000000000002</v>
      </c>
      <c r="AV25" s="2404">
        <v>4.0309999999999997</v>
      </c>
      <c r="AW25" s="2404">
        <v>4.0414000000000003</v>
      </c>
      <c r="AX25" s="2404">
        <v>4.0540000000000003</v>
      </c>
      <c r="AY25" s="2404">
        <v>4.0590999999999999</v>
      </c>
      <c r="AZ25" s="2404">
        <v>4.0518000000000001</v>
      </c>
      <c r="BA25" s="2404">
        <v>4.0838000000000001</v>
      </c>
      <c r="BB25" s="2404">
        <v>4.1894999999999998</v>
      </c>
      <c r="BC25" s="2404">
        <v>4.2595000000000001</v>
      </c>
      <c r="BD25" s="2404">
        <v>4.2824</v>
      </c>
      <c r="BE25" s="2404">
        <v>4.3230000000000004</v>
      </c>
      <c r="BF25" s="2404">
        <v>4.3535000000000004</v>
      </c>
      <c r="BG25" s="2406">
        <v>4.3643000000000001</v>
      </c>
      <c r="BH25" s="2406">
        <v>4.3367000000000004</v>
      </c>
      <c r="BI25" s="2406">
        <v>4.29</v>
      </c>
      <c r="BJ25" s="2406">
        <v>4.2300000000000004</v>
      </c>
      <c r="BK25" s="2406">
        <v>4.1150000000000002</v>
      </c>
      <c r="BL25" s="2406">
        <v>4.1239999999999997</v>
      </c>
      <c r="BM25" s="2406">
        <v>4.1063999999999998</v>
      </c>
      <c r="BN25" s="2406">
        <v>4.0639000000000003</v>
      </c>
      <c r="BO25" s="2406">
        <v>4.0692000000000004</v>
      </c>
      <c r="BP25" s="2406">
        <v>4.0201000000000002</v>
      </c>
      <c r="BQ25" s="2406">
        <v>3.9750000000000001</v>
      </c>
      <c r="BR25" s="2406">
        <v>3.8677999999999999</v>
      </c>
      <c r="BS25" s="2406">
        <v>3.7618999999999998</v>
      </c>
      <c r="BT25" s="2406">
        <v>3.7162999999999999</v>
      </c>
      <c r="BU25" s="2406">
        <v>3.5333999999999999</v>
      </c>
      <c r="BV25" s="2406">
        <v>3.4279999999999999</v>
      </c>
      <c r="BW25" s="2406">
        <v>3.5682</v>
      </c>
      <c r="BX25" s="2406">
        <v>3.5886999999999998</v>
      </c>
      <c r="BY25" s="2406">
        <v>3.5314999999999999</v>
      </c>
      <c r="BZ25" s="2406">
        <v>3.6297999999999999</v>
      </c>
      <c r="CA25" s="2406">
        <v>3.8166000000000002</v>
      </c>
      <c r="CB25" s="2406">
        <v>4.0038999999999998</v>
      </c>
      <c r="CC25" s="2406">
        <v>4.2247000000000003</v>
      </c>
      <c r="CD25" s="2406">
        <v>4.2255000000000003</v>
      </c>
      <c r="CE25" s="2406">
        <v>4.2687999999999997</v>
      </c>
      <c r="CF25" s="2406">
        <v>4.3912000000000004</v>
      </c>
      <c r="CG25" s="2406">
        <v>4.4798</v>
      </c>
      <c r="CH25" s="2406">
        <v>4.4484000000000004</v>
      </c>
      <c r="CI25" s="2406">
        <v>4.3799949999999992</v>
      </c>
      <c r="CJ25" s="2406">
        <v>4.302868181818182</v>
      </c>
      <c r="CK25" s="2406">
        <v>4.2725304347826087</v>
      </c>
      <c r="CL25" s="2404">
        <v>4.2408299999999999</v>
      </c>
      <c r="CM25" s="2404">
        <v>4.154823809523811</v>
      </c>
      <c r="CN25" s="2404">
        <v>4.0675681818181815</v>
      </c>
      <c r="CO25" s="2404">
        <v>4.01098</v>
      </c>
      <c r="CP25" s="2404">
        <v>4.2949999999999999</v>
      </c>
      <c r="CQ25" s="2404">
        <v>4.1397233009506147</v>
      </c>
      <c r="CR25" s="2404">
        <v>4.0513598840255449</v>
      </c>
      <c r="CS25" s="2404">
        <v>4.0570222195653614</v>
      </c>
      <c r="CT25" s="2404">
        <v>3.9561081576010793</v>
      </c>
      <c r="CU25" s="2404">
        <v>3.9941304059057607</v>
      </c>
      <c r="CV25" s="2404">
        <v>4.0453675058209004</v>
      </c>
      <c r="CW25" s="2404">
        <v>4.0020943947118344</v>
      </c>
      <c r="CX25" s="2404">
        <v>3.9158040984083908</v>
      </c>
      <c r="CY25" s="2404">
        <v>3.8337018952404534</v>
      </c>
      <c r="CZ25" s="2404">
        <v>3.7226266249915567</v>
      </c>
      <c r="DA25" s="2404">
        <v>3.6846279947251364</v>
      </c>
      <c r="DB25" s="2404">
        <v>3.7038986978030337</v>
      </c>
      <c r="DC25" s="2404">
        <v>3.7242329538244947</v>
      </c>
      <c r="DD25" s="2404">
        <v>3.7013727373927763</v>
      </c>
      <c r="DE25" s="2404">
        <v>3.7653233678275151</v>
      </c>
      <c r="DF25" s="2404">
        <v>3.8225422460528868</v>
      </c>
      <c r="DG25" s="2404">
        <v>3.8303576279951685</v>
      </c>
      <c r="DH25" s="2404">
        <v>3.8659267781003384</v>
      </c>
      <c r="DI25" s="2404">
        <v>3.8776913305966039</v>
      </c>
      <c r="DJ25" s="2404">
        <v>3.8457417095633</v>
      </c>
      <c r="DK25" s="2404">
        <v>3.8394627452982077</v>
      </c>
      <c r="DL25" s="2404">
        <v>3.844529935446976</v>
      </c>
      <c r="DM25" s="2404">
        <v>3.8861132595433365</v>
      </c>
      <c r="DN25" s="2404">
        <v>3.9970594903172452</v>
      </c>
      <c r="DO25" s="2404">
        <v>4.0933269093644506</v>
      </c>
      <c r="DP25" s="2404">
        <v>4.0593048413268411</v>
      </c>
      <c r="DQ25" s="2404">
        <v>4.0065480539397695</v>
      </c>
      <c r="DR25" s="2404">
        <v>4.0518552961772629</v>
      </c>
      <c r="DS25" s="2404">
        <v>4.0853108383199217</v>
      </c>
      <c r="DT25" s="2404">
        <v>4.0428057794796608</v>
      </c>
      <c r="DU25" s="2404">
        <v>4.0093602332428988</v>
      </c>
      <c r="DV25" s="2404">
        <v>4.0029797157687179</v>
      </c>
      <c r="DW25" s="2404">
        <v>4.0531676688266911</v>
      </c>
      <c r="DX25" s="2404">
        <v>4.0658595276324272</v>
      </c>
      <c r="DY25" s="2404">
        <v>4.0734062964751097</v>
      </c>
      <c r="DZ25" s="2404">
        <v>4.0545434617280769</v>
      </c>
      <c r="EA25" s="2404">
        <v>4.0692461571548089</v>
      </c>
      <c r="EB25" s="2404">
        <v>4.0474646880086169</v>
      </c>
      <c r="EC25" s="2404">
        <v>4.0483060896194214</v>
      </c>
      <c r="ED25" s="2404">
        <v>3.994001043322748</v>
      </c>
      <c r="EE25" s="2404">
        <v>4.0024543721341335</v>
      </c>
      <c r="EF25" s="2404">
        <v>3.9741298950721502</v>
      </c>
      <c r="EG25" s="2404">
        <v>3.9709928615014882</v>
      </c>
      <c r="EH25" s="2404">
        <v>3.9690177476675097</v>
      </c>
      <c r="EI25" s="2404">
        <v>3.9491306510276805</v>
      </c>
      <c r="EJ25" s="2404">
        <v>3.9565069696744315</v>
      </c>
      <c r="EK25" s="2404">
        <v>3.9627021492662351</v>
      </c>
      <c r="EL25" s="2404">
        <v>3.9791333478303379</v>
      </c>
      <c r="EM25" s="2404">
        <v>3.9830000037749587</v>
      </c>
      <c r="EN25" s="2404">
        <v>4.0150017416178541</v>
      </c>
      <c r="EO25" s="2404">
        <v>4.0807757896613772</v>
      </c>
      <c r="EP25" s="2404">
        <v>4.1108433765428183</v>
      </c>
      <c r="EQ25" s="2404">
        <v>4.1321208584248721</v>
      </c>
      <c r="ER25" s="2404">
        <v>4.1473992686136985</v>
      </c>
      <c r="ES25" s="2404">
        <v>4.2397546115615823</v>
      </c>
      <c r="ET25" s="2404">
        <v>4.3296182219818471</v>
      </c>
      <c r="EU25" s="2404">
        <v>4.6509403101232278</v>
      </c>
      <c r="EV25" s="2404">
        <v>4.7499839766267886</v>
      </c>
      <c r="EW25" s="2404">
        <v>4.6146958416950827</v>
      </c>
      <c r="EX25" s="2404">
        <v>4.6288069930069931</v>
      </c>
      <c r="EY25" s="2404">
        <v>4.6684983277591963</v>
      </c>
      <c r="EZ25" s="2404">
        <v>4.6643828362114066</v>
      </c>
      <c r="FA25" s="2404">
        <v>4.6609353741496609</v>
      </c>
      <c r="FB25" s="2404">
        <v>4.6978584415584423</v>
      </c>
      <c r="FC25" s="2404">
        <v>4.7699999999999996</v>
      </c>
      <c r="FD25" s="2404">
        <v>4.7508954545454545</v>
      </c>
      <c r="FE25" s="2404">
        <v>4.7356900000000008</v>
      </c>
      <c r="FF25" s="2404">
        <v>4.6988210526315797</v>
      </c>
      <c r="FG25" s="2404">
        <v>4.6935227272727271</v>
      </c>
      <c r="FH25" s="2404">
        <v>4.6450799999999992</v>
      </c>
      <c r="FI25" s="2404">
        <v>4.6567716783216779</v>
      </c>
      <c r="FJ25" s="2404">
        <v>4.6965818181818184</v>
      </c>
      <c r="FK25" s="2404">
        <v>4.7174049999999994</v>
      </c>
      <c r="FL25" s="2404">
        <v>4.6911999999999994</v>
      </c>
      <c r="FM25" s="2404">
        <v>4.6921571428571429</v>
      </c>
      <c r="FN25" s="2404">
        <v>4.7193523809523796</v>
      </c>
      <c r="FO25" s="2404">
        <v>4.7416190476190474</v>
      </c>
      <c r="FP25" s="2404">
        <v>4.7631409090909083</v>
      </c>
      <c r="FQ25" s="2404">
        <v>4.7506904761904751</v>
      </c>
      <c r="FR25" s="2404">
        <v>4.7221000000000002</v>
      </c>
      <c r="FS25" s="2404">
        <v>4.7001818181818189</v>
      </c>
      <c r="FT25" s="2404">
        <v>4.6803650000000001</v>
      </c>
      <c r="FU25" s="2404">
        <v>4.6072727272727283</v>
      </c>
      <c r="FV25" s="2404">
        <v>4.5793999999999997</v>
      </c>
      <c r="FW25" s="2404">
        <v>4.5113952380952371</v>
      </c>
      <c r="FX25" s="2404">
        <v>4.3838826086956528</v>
      </c>
      <c r="FY25" s="2404">
        <v>4.3833333333333329</v>
      </c>
      <c r="FZ25" s="2404">
        <v>4.4713736263736266</v>
      </c>
      <c r="GA25" s="2404">
        <v>4.485595</v>
      </c>
      <c r="GB25" s="2404">
        <v>4.45</v>
      </c>
      <c r="GC25" s="2404">
        <v>4.356866666666666</v>
      </c>
      <c r="GD25" s="2404">
        <v>4.2966647058823524</v>
      </c>
      <c r="GE25" s="2404">
        <v>4.3298428571428564</v>
      </c>
      <c r="GF25" s="2404">
        <v>4.4062095238095251</v>
      </c>
      <c r="GG25" s="2404">
        <v>4.5138272727272728</v>
      </c>
      <c r="GH25" s="2404">
        <v>4.5095904761904775</v>
      </c>
      <c r="GI25" s="2404">
        <v>4.4931863636363643</v>
      </c>
      <c r="GJ25" s="2404">
        <v>4.4902772727272726</v>
      </c>
      <c r="GK25" s="2404">
        <v>4.4821052631578953</v>
      </c>
      <c r="GL25" s="2404">
        <v>4.5067913043478258</v>
      </c>
      <c r="GM25" s="2404">
        <v>4.5163849999999996</v>
      </c>
      <c r="GN25" s="2404">
        <v>4.4977600000000013</v>
      </c>
      <c r="GO25" s="2404">
        <v>4.4708699999999997</v>
      </c>
      <c r="GP25" s="2404">
        <v>4.4712777777777779</v>
      </c>
      <c r="GQ25" s="2404">
        <v>4.5159960526315803</v>
      </c>
      <c r="GR25" s="2404">
        <v>4.5539636363636369</v>
      </c>
      <c r="GS25" s="2404">
        <v>4.5930272727272721</v>
      </c>
      <c r="GT25" s="2404">
        <v>4.6560789473684228</v>
      </c>
      <c r="GU25" s="2404">
        <v>4.7102590909090916</v>
      </c>
      <c r="GV25" s="2404">
        <v>4.6929181818181824</v>
      </c>
      <c r="GW25" s="2404">
        <v>4.731505263157894</v>
      </c>
      <c r="GX25" s="2404">
        <v>4.7414789855072472</v>
      </c>
      <c r="GY25" s="2404">
        <v>4.7638210526315783</v>
      </c>
      <c r="GZ25" s="2404">
        <v>4.7797999999999998</v>
      </c>
      <c r="HA25" s="2404">
        <v>4.8039666666666667</v>
      </c>
      <c r="HB25" s="2404">
        <v>4.8831789473684202</v>
      </c>
      <c r="HC25" s="2405">
        <v>5.0419299999999989</v>
      </c>
      <c r="HD25" s="2404">
        <v>5.2323681818181829</v>
      </c>
      <c r="HE25" s="2404">
        <v>5.271865</v>
      </c>
      <c r="HF25" s="2405">
        <v>5.2622954545454546</v>
      </c>
      <c r="HG25" s="2404">
        <v>5.2660782608695653</v>
      </c>
      <c r="HH25" s="2404">
        <v>5.2353047619047608</v>
      </c>
      <c r="HI25" s="2404">
        <v>5.2448499999999996</v>
      </c>
      <c r="HJ25" s="2404">
        <v>5.2530818181818191</v>
      </c>
      <c r="HK25" s="2404">
        <v>5.2590000000000003</v>
      </c>
      <c r="HL25" s="2404">
        <v>5.2147363636363631</v>
      </c>
      <c r="HM25" s="2404">
        <v>5.1973263157894749</v>
      </c>
      <c r="HN25" s="2418">
        <v>5.2358111111111105</v>
      </c>
      <c r="HO25" s="2418">
        <v>5.2815649999999996</v>
      </c>
      <c r="HP25" s="2418">
        <v>5.3171700000000017</v>
      </c>
      <c r="HQ25" s="2418">
        <v>5.3274300000000006</v>
      </c>
      <c r="HR25" s="2418">
        <v>5.4024045454545471</v>
      </c>
      <c r="HS25" s="2418">
        <v>5.6100636363636358</v>
      </c>
    </row>
    <row r="26" spans="1:227" ht="21" customHeight="1" x14ac:dyDescent="0.3">
      <c r="A26" s="2403" t="s">
        <v>4530</v>
      </c>
      <c r="B26" s="2404">
        <v>64</v>
      </c>
      <c r="C26" s="2404">
        <v>64</v>
      </c>
      <c r="D26" s="2406">
        <v>63.18181818181818</v>
      </c>
      <c r="E26" s="2406">
        <v>63</v>
      </c>
      <c r="F26" s="2406">
        <v>63</v>
      </c>
      <c r="G26" s="2406">
        <v>63</v>
      </c>
      <c r="H26" s="2406">
        <v>63</v>
      </c>
      <c r="I26" s="2406">
        <v>63</v>
      </c>
      <c r="J26" s="2406">
        <v>63</v>
      </c>
      <c r="K26" s="2404">
        <v>63</v>
      </c>
      <c r="L26" s="2404">
        <v>61.905000000000001</v>
      </c>
      <c r="M26" s="2404">
        <v>60.052999999999997</v>
      </c>
      <c r="N26" s="2404">
        <v>59.6</v>
      </c>
      <c r="O26" s="2404">
        <v>59.713999999999999</v>
      </c>
      <c r="P26" s="2404">
        <v>60.286000000000001</v>
      </c>
      <c r="Q26" s="2404">
        <v>62.332999999999998</v>
      </c>
      <c r="R26" s="2404">
        <v>65.652000000000001</v>
      </c>
      <c r="S26" s="2404">
        <v>65</v>
      </c>
      <c r="T26" s="2404">
        <v>64.951999999999998</v>
      </c>
      <c r="U26" s="2404">
        <v>64.912999999999997</v>
      </c>
      <c r="V26" s="2404">
        <v>64.052999999999997</v>
      </c>
      <c r="W26" s="2404">
        <v>60.908999999999999</v>
      </c>
      <c r="X26" s="2404">
        <v>59.158000000000001</v>
      </c>
      <c r="Y26" s="2404">
        <v>58.555999999999997</v>
      </c>
      <c r="Z26" s="2404">
        <v>59.908999999999999</v>
      </c>
      <c r="AA26" s="2404">
        <v>63.591000000000001</v>
      </c>
      <c r="AB26" s="2404">
        <v>63.619</v>
      </c>
      <c r="AC26" s="2404">
        <v>63.591000000000001</v>
      </c>
      <c r="AD26" s="2404">
        <v>63</v>
      </c>
      <c r="AE26" s="2404">
        <v>63</v>
      </c>
      <c r="AF26" s="2404">
        <v>63.591000000000001</v>
      </c>
      <c r="AG26" s="2404">
        <v>64</v>
      </c>
      <c r="AH26" s="2404">
        <v>64.95</v>
      </c>
      <c r="AI26" s="2404">
        <v>66</v>
      </c>
      <c r="AJ26" s="2404">
        <v>66.736999999999995</v>
      </c>
      <c r="AK26" s="2404">
        <v>68</v>
      </c>
      <c r="AL26" s="2404">
        <v>68.048000000000002</v>
      </c>
      <c r="AM26" s="2404">
        <v>68.817999999999998</v>
      </c>
      <c r="AN26" s="2404">
        <v>68.954499999999996</v>
      </c>
      <c r="AO26" s="2404">
        <v>69.238100000000003</v>
      </c>
      <c r="AP26" s="2404">
        <v>69.912999999999997</v>
      </c>
      <c r="AQ26" s="2404">
        <v>69.952399999999997</v>
      </c>
      <c r="AR26" s="2404">
        <v>69.285700000000006</v>
      </c>
      <c r="AS26" s="2404">
        <v>68.052599999999998</v>
      </c>
      <c r="AT26" s="2404">
        <v>68.590900000000005</v>
      </c>
      <c r="AU26" s="2404">
        <v>70.714299999999994</v>
      </c>
      <c r="AV26" s="2404">
        <v>70.947000000000003</v>
      </c>
      <c r="AW26" s="2404">
        <v>70.863600000000005</v>
      </c>
      <c r="AX26" s="2404">
        <v>70.3</v>
      </c>
      <c r="AY26" s="2404">
        <v>69.409099999999995</v>
      </c>
      <c r="AZ26" s="2404">
        <v>68.590900000000005</v>
      </c>
      <c r="BA26" s="2404">
        <v>68.523799999999994</v>
      </c>
      <c r="BB26" s="2404">
        <v>70.095200000000006</v>
      </c>
      <c r="BC26" s="2404">
        <v>71.952399999999997</v>
      </c>
      <c r="BD26" s="2404">
        <v>73.523799999999994</v>
      </c>
      <c r="BE26" s="2404">
        <v>75.429000000000002</v>
      </c>
      <c r="BF26" s="2404">
        <v>76.25</v>
      </c>
      <c r="BG26" s="2406">
        <v>77.333299999999994</v>
      </c>
      <c r="BH26" s="2406">
        <v>77</v>
      </c>
      <c r="BI26" s="2406">
        <v>76.400000000000006</v>
      </c>
      <c r="BJ26" s="2406">
        <v>78.285700000000006</v>
      </c>
      <c r="BK26" s="2406">
        <v>78.954499999999996</v>
      </c>
      <c r="BL26" s="2406">
        <v>79.286000000000001</v>
      </c>
      <c r="BM26" s="2406">
        <v>79.818200000000004</v>
      </c>
      <c r="BN26" s="2406">
        <v>77.960899999999995</v>
      </c>
      <c r="BO26" s="2406">
        <v>78.775000000000006</v>
      </c>
      <c r="BP26" s="2406">
        <v>79.109099999999998</v>
      </c>
      <c r="BQ26" s="2406">
        <v>78.573999999999998</v>
      </c>
      <c r="BR26" s="2406">
        <v>76.646000000000001</v>
      </c>
      <c r="BS26" s="2406">
        <v>74.816500000000005</v>
      </c>
      <c r="BT26" s="2406">
        <v>73.027900000000002</v>
      </c>
      <c r="BU26" s="2406">
        <v>68.251099999999994</v>
      </c>
      <c r="BV26" s="2406">
        <v>66.897599999999997</v>
      </c>
      <c r="BW26" s="2406">
        <v>66.310500000000005</v>
      </c>
      <c r="BX26" s="2406">
        <v>65.688999999999993</v>
      </c>
      <c r="BY26" s="2406">
        <v>64.503900000000002</v>
      </c>
      <c r="BZ26" s="2406">
        <v>66.189499999999995</v>
      </c>
      <c r="CA26" s="2406">
        <v>65.544300000000007</v>
      </c>
      <c r="CB26" s="2406">
        <v>64.2667</v>
      </c>
      <c r="CC26" s="2406">
        <v>67.496499999999997</v>
      </c>
      <c r="CD26" s="2406">
        <v>67.920500000000004</v>
      </c>
      <c r="CE26" s="2406">
        <v>68.508399999999995</v>
      </c>
      <c r="CF26" s="2406">
        <v>69.766300000000001</v>
      </c>
      <c r="CG26" s="2406">
        <v>68.474500000000006</v>
      </c>
      <c r="CH26" s="2406">
        <v>69.297700000000006</v>
      </c>
      <c r="CI26" s="2406">
        <v>70.414000000000001</v>
      </c>
      <c r="CJ26" s="2406">
        <v>70.378181818181801</v>
      </c>
      <c r="CK26" s="2406">
        <v>68.765652173913054</v>
      </c>
      <c r="CL26" s="2404">
        <v>68.421499999999995</v>
      </c>
      <c r="CM26" s="2404">
        <v>66.7895238095238</v>
      </c>
      <c r="CN26" s="2404">
        <v>67.749545454545455</v>
      </c>
      <c r="CO26" s="2404">
        <v>66.978500000000011</v>
      </c>
      <c r="CP26" s="2404">
        <v>73.066999999999993</v>
      </c>
      <c r="CQ26" s="2404">
        <v>68.86211647026289</v>
      </c>
      <c r="CR26" s="2404">
        <v>65.897031043300487</v>
      </c>
      <c r="CS26" s="2404">
        <v>68.7143630599695</v>
      </c>
      <c r="CT26" s="2404">
        <v>69.315748782257828</v>
      </c>
      <c r="CU26" s="2404">
        <v>69.015106149543314</v>
      </c>
      <c r="CV26" s="2404">
        <v>69.826788976955271</v>
      </c>
      <c r="CW26" s="2404">
        <v>68.781963729866419</v>
      </c>
      <c r="CX26" s="2404">
        <v>67.354186123825627</v>
      </c>
      <c r="CY26" s="2404">
        <v>66.600378798719831</v>
      </c>
      <c r="CZ26" s="2404">
        <v>65.435534396816664</v>
      </c>
      <c r="DA26" s="2404">
        <v>64.054022554769205</v>
      </c>
      <c r="DB26" s="2404">
        <v>64.523625062510192</v>
      </c>
      <c r="DC26" s="2404">
        <v>65.529838024875261</v>
      </c>
      <c r="DD26" s="2404">
        <v>63.960049655621326</v>
      </c>
      <c r="DE26" s="2404">
        <v>61.871562662503827</v>
      </c>
      <c r="DF26" s="2404">
        <v>60.68117150228219</v>
      </c>
      <c r="DG26" s="2404">
        <v>59.065912914166987</v>
      </c>
      <c r="DH26" s="2404">
        <v>57.524063303000275</v>
      </c>
      <c r="DI26" s="2404">
        <v>59.151084549498989</v>
      </c>
      <c r="DJ26" s="2404">
        <v>60.909380118662497</v>
      </c>
      <c r="DK26" s="2404">
        <v>59.521136390783639</v>
      </c>
      <c r="DL26" s="2404">
        <v>58.066947460780469</v>
      </c>
      <c r="DM26" s="2404">
        <v>55.803360862746779</v>
      </c>
      <c r="DN26" s="2404">
        <v>55.842307668425953</v>
      </c>
      <c r="DO26" s="2404">
        <v>57.697443963254521</v>
      </c>
      <c r="DP26" s="2404">
        <v>56.999271102326617</v>
      </c>
      <c r="DQ26" s="2404">
        <v>57.232107243719589</v>
      </c>
      <c r="DR26" s="2404">
        <v>59.58665711675684</v>
      </c>
      <c r="DS26" s="2404">
        <v>58.004173600543311</v>
      </c>
      <c r="DT26" s="2404">
        <v>57.638894749970497</v>
      </c>
      <c r="DU26" s="2404">
        <v>57.609843541962285</v>
      </c>
      <c r="DV26" s="2404">
        <v>58.055010188963131</v>
      </c>
      <c r="DW26" s="2404">
        <v>58.20180128203716</v>
      </c>
      <c r="DX26" s="2404">
        <v>58.300579408562825</v>
      </c>
      <c r="DY26" s="2404">
        <v>57.748225423895946</v>
      </c>
      <c r="DZ26" s="2404">
        <v>54.18540379427003</v>
      </c>
      <c r="EA26" s="2404">
        <v>53.167848544634005</v>
      </c>
      <c r="EB26" s="2404">
        <v>50.140160370057316</v>
      </c>
      <c r="EC26" s="2404">
        <v>49.463662008438085</v>
      </c>
      <c r="ED26" s="2404">
        <v>50.441485905898972</v>
      </c>
      <c r="EE26" s="2404">
        <v>49.82586874083551</v>
      </c>
      <c r="EF26" s="2404">
        <v>50.039273002512722</v>
      </c>
      <c r="EG26" s="2404">
        <v>49.909912047326046</v>
      </c>
      <c r="EH26" s="2404">
        <v>49.776925607413197</v>
      </c>
      <c r="EI26" s="2404">
        <v>50.468854333059326</v>
      </c>
      <c r="EJ26" s="2404">
        <v>51.115113666126312</v>
      </c>
      <c r="EK26" s="2404">
        <v>52.053061238770773</v>
      </c>
      <c r="EL26" s="2404">
        <v>51.921849129294024</v>
      </c>
      <c r="EM26" s="2404">
        <v>51.687319407542439</v>
      </c>
      <c r="EN26" s="2404">
        <v>51.404521458727785</v>
      </c>
      <c r="EO26" s="2404">
        <v>52.355809893256236</v>
      </c>
      <c r="EP26" s="2404">
        <v>52.292412944723353</v>
      </c>
      <c r="EQ26" s="2404">
        <v>52.25378799844195</v>
      </c>
      <c r="ER26" s="2404">
        <v>51.482302855878331</v>
      </c>
      <c r="ES26" s="2404">
        <v>53.229415132398096</v>
      </c>
      <c r="ET26" s="2404">
        <v>54.379256654384925</v>
      </c>
      <c r="EU26" s="2404">
        <v>58.065304680186152</v>
      </c>
      <c r="EV26" s="2404">
        <v>59.024381318498129</v>
      </c>
      <c r="EW26" s="2404">
        <v>56.433539082841584</v>
      </c>
      <c r="EX26" s="2404">
        <v>56.534195804195811</v>
      </c>
      <c r="EY26" s="2404">
        <v>57.16096989966556</v>
      </c>
      <c r="EZ26" s="2404">
        <v>55.885531135531131</v>
      </c>
      <c r="FA26" s="2404">
        <v>54.815384615384616</v>
      </c>
      <c r="FB26" s="2404">
        <v>56.26216783216784</v>
      </c>
      <c r="FC26" s="2404">
        <v>56.237368421052629</v>
      </c>
      <c r="FD26" s="2404">
        <v>55.68363636363636</v>
      </c>
      <c r="FE26" s="2404">
        <v>55.053500000000007</v>
      </c>
      <c r="FF26" s="2404">
        <v>53.870526315789469</v>
      </c>
      <c r="FG26" s="2404">
        <v>54.707727272727283</v>
      </c>
      <c r="FH26" s="2404">
        <v>54.536000000000016</v>
      </c>
      <c r="FI26" s="2404">
        <v>54.348333333333336</v>
      </c>
      <c r="FJ26" s="2404">
        <v>54.480000000000018</v>
      </c>
      <c r="FK26" s="2404">
        <v>54.701000000000001</v>
      </c>
      <c r="FL26" s="2404">
        <v>54.62863636363636</v>
      </c>
      <c r="FM26" s="2404">
        <v>54.701428571428572</v>
      </c>
      <c r="FN26" s="2404">
        <v>55.150952380952376</v>
      </c>
      <c r="FO26" s="2404">
        <v>54.634761904761909</v>
      </c>
      <c r="FP26" s="2404">
        <v>54.659090909090899</v>
      </c>
      <c r="FQ26" s="2404">
        <v>54.39238095238094</v>
      </c>
      <c r="FR26" s="2404">
        <v>54.883529411764705</v>
      </c>
      <c r="FS26" s="2404">
        <v>55.599999999999994</v>
      </c>
      <c r="FT26" s="2404">
        <v>56.533000000000001</v>
      </c>
      <c r="FU26" s="2404">
        <v>55.836818181818188</v>
      </c>
      <c r="FV26" s="2404">
        <v>55.51142857142856</v>
      </c>
      <c r="FW26" s="2404">
        <v>54.820952380952384</v>
      </c>
      <c r="FX26" s="2404">
        <v>53.668695652173895</v>
      </c>
      <c r="FY26" s="2404">
        <v>53.32</v>
      </c>
      <c r="FZ26" s="2404">
        <v>53.808730158730157</v>
      </c>
      <c r="GA26" s="2404">
        <v>51.431470000000012</v>
      </c>
      <c r="GB26" s="2404">
        <v>54.308500000000002</v>
      </c>
      <c r="GC26" s="2404">
        <v>53.764444444444436</v>
      </c>
      <c r="GD26" s="2404">
        <v>52.319411764705883</v>
      </c>
      <c r="GE26" s="2404">
        <v>52.385238095238101</v>
      </c>
      <c r="GF26" s="2404">
        <v>52.83142857142856</v>
      </c>
      <c r="GG26" s="2404">
        <v>52.677727272727267</v>
      </c>
      <c r="GH26" s="2404">
        <v>52.426666666666669</v>
      </c>
      <c r="GI26" s="2404">
        <v>51.56909090909091</v>
      </c>
      <c r="GJ26" s="2404">
        <v>50.928636363636365</v>
      </c>
      <c r="GK26" s="2404">
        <v>48.909473684210539</v>
      </c>
      <c r="GL26" s="2404">
        <v>48.245652173913051</v>
      </c>
      <c r="GM26" s="2404">
        <v>49.537999999999997</v>
      </c>
      <c r="GN26" s="2404">
        <v>49.970500000000001</v>
      </c>
      <c r="GO26" s="2404">
        <v>49.783999999999999</v>
      </c>
      <c r="GP26" s="2404">
        <v>49.534444444444446</v>
      </c>
      <c r="GQ26" s="2404">
        <v>51.31</v>
      </c>
      <c r="GR26" s="2404">
        <v>51.689090909090901</v>
      </c>
      <c r="GS26" s="2404">
        <v>51.907727272727271</v>
      </c>
      <c r="GT26" s="2404">
        <v>52.728421052631589</v>
      </c>
      <c r="GU26" s="2404">
        <v>53.740909090909092</v>
      </c>
      <c r="GV26" s="2404">
        <v>52.001363636363635</v>
      </c>
      <c r="GW26" s="2404">
        <v>52.23</v>
      </c>
      <c r="GX26" s="2404">
        <v>52.62264492753625</v>
      </c>
      <c r="GY26" s="2404">
        <v>52.41473684210527</v>
      </c>
      <c r="GZ26" s="2404">
        <v>52.742000000000004</v>
      </c>
      <c r="HA26" s="2404">
        <v>52.723809523809528</v>
      </c>
      <c r="HB26" s="2404">
        <v>53.433157894736844</v>
      </c>
      <c r="HC26" s="2405">
        <v>52.994499999999995</v>
      </c>
      <c r="HD26" s="2404">
        <v>53.550909090909087</v>
      </c>
      <c r="HE26" s="2404">
        <v>54.261000000000003</v>
      </c>
      <c r="HF26" s="2405">
        <v>54.161818181818191</v>
      </c>
      <c r="HG26" s="2404">
        <v>54.724782608695655</v>
      </c>
      <c r="HH26" s="2404">
        <v>54.649047619047614</v>
      </c>
      <c r="HI26" s="2404">
        <v>55.586363636363629</v>
      </c>
      <c r="HJ26" s="2404">
        <v>55.695000000000007</v>
      </c>
      <c r="HK26" s="2404">
        <v>55.261000000000003</v>
      </c>
      <c r="HL26" s="2404">
        <v>55.341818181818184</v>
      </c>
      <c r="HM26" s="2404">
        <v>55.525263157894734</v>
      </c>
      <c r="HN26" s="2418">
        <v>56.198333333333331</v>
      </c>
      <c r="HO26" s="2418">
        <v>56.720500000000001</v>
      </c>
      <c r="HP26" s="2418">
        <v>55.909500000000001</v>
      </c>
      <c r="HQ26" s="2418">
        <v>56.880500000000005</v>
      </c>
      <c r="HR26" s="2418">
        <v>57.430454545454538</v>
      </c>
      <c r="HS26" s="2418">
        <v>58.930999999999997</v>
      </c>
    </row>
    <row r="27" spans="1:227" ht="21" customHeight="1" x14ac:dyDescent="0.3">
      <c r="A27" s="2403" t="s">
        <v>4531</v>
      </c>
      <c r="B27" s="2404">
        <v>23.064</v>
      </c>
      <c r="C27" s="2404">
        <v>22.917999999999999</v>
      </c>
      <c r="D27" s="2404">
        <v>24.135454545454547</v>
      </c>
      <c r="E27" s="2404">
        <v>24.5855</v>
      </c>
      <c r="F27" s="2404">
        <v>25.547826086956523</v>
      </c>
      <c r="G27" s="2404">
        <v>25.21</v>
      </c>
      <c r="H27" s="2404">
        <v>24.834</v>
      </c>
      <c r="I27" s="2404">
        <v>24.187999999999999</v>
      </c>
      <c r="J27" s="2404">
        <v>24.542999999999999</v>
      </c>
      <c r="K27" s="2404">
        <v>24.344000000000001</v>
      </c>
      <c r="L27" s="2404">
        <v>24.503</v>
      </c>
      <c r="M27" s="2404">
        <v>23.597999999999999</v>
      </c>
      <c r="N27" s="2404">
        <v>23.508500000000002</v>
      </c>
      <c r="O27" s="2404">
        <v>23.114000000000001</v>
      </c>
      <c r="P27" s="2404">
        <v>23.763999999999999</v>
      </c>
      <c r="Q27" s="2404">
        <v>24.213999999999999</v>
      </c>
      <c r="R27" s="2404">
        <v>25.120999999999999</v>
      </c>
      <c r="S27" s="2404">
        <v>24.832999999999998</v>
      </c>
      <c r="T27" s="2404">
        <v>25.553999999999998</v>
      </c>
      <c r="U27" s="2404">
        <v>26.431000000000001</v>
      </c>
      <c r="V27" s="2404">
        <v>26.248000000000001</v>
      </c>
      <c r="W27" s="2404">
        <v>25.391999999999999</v>
      </c>
      <c r="X27" s="2404">
        <v>24.934999999999999</v>
      </c>
      <c r="Y27" s="2404">
        <v>24.466999999999999</v>
      </c>
      <c r="Z27" s="2404">
        <v>24.416</v>
      </c>
      <c r="AA27" s="2404">
        <v>25.539000000000001</v>
      </c>
      <c r="AB27" s="2404">
        <v>25.210999999999999</v>
      </c>
      <c r="AC27" s="2404">
        <v>26</v>
      </c>
      <c r="AD27" s="2404">
        <v>26.111999999999998</v>
      </c>
      <c r="AE27" s="2404">
        <v>25.981999999999999</v>
      </c>
      <c r="AF27" s="2404">
        <v>26.2</v>
      </c>
      <c r="AG27" s="2404">
        <v>26.487100000000002</v>
      </c>
      <c r="AH27" s="2404">
        <v>27.506</v>
      </c>
      <c r="AI27" s="2404">
        <v>27.577000000000002</v>
      </c>
      <c r="AJ27" s="2404">
        <v>27.818000000000001</v>
      </c>
      <c r="AK27" s="2404">
        <v>27.756</v>
      </c>
      <c r="AL27" s="2404">
        <v>27.359000000000002</v>
      </c>
      <c r="AM27" s="2404">
        <v>27.611000000000001</v>
      </c>
      <c r="AN27" s="2404">
        <v>27.252700000000001</v>
      </c>
      <c r="AO27" s="2404">
        <v>26.609000000000002</v>
      </c>
      <c r="AP27" s="2404">
        <v>27.1004</v>
      </c>
      <c r="AQ27" s="2404">
        <v>27.188099999999999</v>
      </c>
      <c r="AR27" s="2404">
        <v>26.686699999999998</v>
      </c>
      <c r="AS27" s="2404">
        <v>25.946300000000001</v>
      </c>
      <c r="AT27" s="2404">
        <v>26.076799999999999</v>
      </c>
      <c r="AU27" s="2404">
        <v>26.785699999999999</v>
      </c>
      <c r="AV27" s="2404">
        <v>26.277999999999999</v>
      </c>
      <c r="AW27" s="2404">
        <v>26.502300000000002</v>
      </c>
      <c r="AX27" s="2404">
        <v>26.616</v>
      </c>
      <c r="AY27" s="2404">
        <v>27.895900000000001</v>
      </c>
      <c r="AZ27" s="2404">
        <v>27.2209</v>
      </c>
      <c r="BA27" s="2404">
        <v>27.232900000000001</v>
      </c>
      <c r="BB27" s="2404">
        <v>27.9633</v>
      </c>
      <c r="BC27" s="2404">
        <v>28.203800000000001</v>
      </c>
      <c r="BD27" s="2404">
        <v>28.113800000000001</v>
      </c>
      <c r="BE27" s="2404">
        <v>28.952999999999999</v>
      </c>
      <c r="BF27" s="2404">
        <v>29.172499999999999</v>
      </c>
      <c r="BG27" s="2404">
        <v>28.543299999999999</v>
      </c>
      <c r="BH27" s="2404">
        <v>28.372199999999999</v>
      </c>
      <c r="BI27" s="2404">
        <v>28.734000000000002</v>
      </c>
      <c r="BJ27" s="2404">
        <v>27.9495</v>
      </c>
      <c r="BK27" s="2404">
        <v>26.569500000000001</v>
      </c>
      <c r="BL27" s="2404">
        <v>26.21</v>
      </c>
      <c r="BM27" s="2404">
        <v>26.345500000000001</v>
      </c>
      <c r="BN27" s="2404">
        <v>27.143699999999999</v>
      </c>
      <c r="BO27" s="2404">
        <v>27.432700000000001</v>
      </c>
      <c r="BP27" s="2404">
        <v>26.814900000000002</v>
      </c>
      <c r="BQ27" s="2404">
        <v>27.858000000000001</v>
      </c>
      <c r="BR27" s="2404">
        <v>26.7685</v>
      </c>
      <c r="BS27" s="2404">
        <v>27.181799999999999</v>
      </c>
      <c r="BT27" s="2404">
        <v>26.9299</v>
      </c>
      <c r="BU27" s="2404">
        <v>27.285499999999999</v>
      </c>
      <c r="BV27" s="2404">
        <v>25.956299999999999</v>
      </c>
      <c r="BW27" s="2404">
        <v>26.654499999999999</v>
      </c>
      <c r="BX27" s="2404">
        <v>26.114999999999998</v>
      </c>
      <c r="BY27" s="2404">
        <v>25.691700000000001</v>
      </c>
      <c r="BZ27" s="2404">
        <v>25.857199999999999</v>
      </c>
      <c r="CA27" s="2404">
        <v>27.831</v>
      </c>
      <c r="CB27" s="2404">
        <v>30.986899999999999</v>
      </c>
      <c r="CC27" s="2404">
        <v>33.819400000000002</v>
      </c>
      <c r="CD27" s="2404">
        <v>35.886499999999998</v>
      </c>
      <c r="CE27" s="2404">
        <v>36.633099999999999</v>
      </c>
      <c r="CF27" s="2404">
        <v>36.893300000000004</v>
      </c>
      <c r="CG27" s="2404">
        <v>35.534999999999997</v>
      </c>
      <c r="CH27" s="2404">
        <v>34.904299999999999</v>
      </c>
      <c r="CI27" s="2404">
        <v>35.160759999999996</v>
      </c>
      <c r="CJ27" s="2404">
        <v>34.542513636363637</v>
      </c>
      <c r="CK27" s="2404">
        <v>35.017826086956518</v>
      </c>
      <c r="CL27" s="2404">
        <v>34.668535000000006</v>
      </c>
      <c r="CM27" s="2404">
        <v>35.190357142857138</v>
      </c>
      <c r="CN27" s="2404">
        <v>34.917936363636365</v>
      </c>
      <c r="CO27" s="2404">
        <v>34.857955000000004</v>
      </c>
      <c r="CP27" s="2404">
        <v>36.341000000000001</v>
      </c>
      <c r="CQ27" s="2404">
        <v>36.692936567728495</v>
      </c>
      <c r="CR27" s="2404">
        <v>36.804159711674451</v>
      </c>
      <c r="CS27" s="2404">
        <v>37.304145467473447</v>
      </c>
      <c r="CT27" s="2404">
        <v>37.487636295544789</v>
      </c>
      <c r="CU27" s="2404">
        <v>37.514138550857908</v>
      </c>
      <c r="CV27" s="2404">
        <v>37.766634538297168</v>
      </c>
      <c r="CW27" s="2404">
        <v>37.671630673585121</v>
      </c>
      <c r="CX27" s="2404">
        <v>36.885271311999453</v>
      </c>
      <c r="CY27" s="2404">
        <v>36.555570874110728</v>
      </c>
      <c r="CZ27" s="2404">
        <v>34.779981581591322</v>
      </c>
      <c r="DA27" s="2404">
        <v>35.315543500984226</v>
      </c>
      <c r="DB27" s="2404">
        <v>35.837918929919418</v>
      </c>
      <c r="DC27" s="2404">
        <v>36.543245571885898</v>
      </c>
      <c r="DD27" s="2404">
        <v>37.429552990639543</v>
      </c>
      <c r="DE27" s="2404">
        <v>38.243639857628729</v>
      </c>
      <c r="DF27" s="2404">
        <v>38.736484118685929</v>
      </c>
      <c r="DG27" s="2404">
        <v>38.48350432443651</v>
      </c>
      <c r="DH27" s="2404">
        <v>38.625087226013278</v>
      </c>
      <c r="DI27" s="2404">
        <v>39.188945240356873</v>
      </c>
      <c r="DJ27" s="2404">
        <v>37.998642237088745</v>
      </c>
      <c r="DK27" s="2404">
        <v>36.183977166618781</v>
      </c>
      <c r="DL27" s="2404">
        <v>36.700277599609223</v>
      </c>
      <c r="DM27" s="2404">
        <v>37.906968637018529</v>
      </c>
      <c r="DN27" s="2404">
        <v>39.202847166653498</v>
      </c>
      <c r="DO27" s="2404">
        <v>40.254227585876507</v>
      </c>
      <c r="DP27" s="2404">
        <v>40.057874922647798</v>
      </c>
      <c r="DQ27" s="2404">
        <v>39.783699705703675</v>
      </c>
      <c r="DR27" s="2404">
        <v>39.872598431789662</v>
      </c>
      <c r="DS27" s="2404">
        <v>39.145606978037954</v>
      </c>
      <c r="DT27" s="2404">
        <v>37.462340886096506</v>
      </c>
      <c r="DU27" s="2404">
        <v>34.945188956792357</v>
      </c>
      <c r="DV27" s="2404">
        <v>33.399778495029103</v>
      </c>
      <c r="DW27" s="2404">
        <v>33.301104162296177</v>
      </c>
      <c r="DX27" s="2404">
        <v>32.350824463624043</v>
      </c>
      <c r="DY27" s="2404">
        <v>31.371727012550846</v>
      </c>
      <c r="DZ27" s="2404">
        <v>32.362808969993537</v>
      </c>
      <c r="EA27" s="2404">
        <v>31.750717539650321</v>
      </c>
      <c r="EB27" s="2404">
        <v>32.101845919306932</v>
      </c>
      <c r="EC27" s="2404">
        <v>31.690356082266469</v>
      </c>
      <c r="ED27" s="2404">
        <v>31.680007892852387</v>
      </c>
      <c r="EE27" s="2404">
        <v>31.080564652309043</v>
      </c>
      <c r="EF27" s="2404">
        <v>29.840342868529259</v>
      </c>
      <c r="EG27" s="2404">
        <v>29.696765803142085</v>
      </c>
      <c r="EH27" s="2404">
        <v>30.211728171016048</v>
      </c>
      <c r="EI27" s="2404">
        <v>30.02758163995486</v>
      </c>
      <c r="EJ27" s="2404">
        <v>29.965101993145879</v>
      </c>
      <c r="EK27" s="2404">
        <v>30.226598885773498</v>
      </c>
      <c r="EL27" s="2404">
        <v>30.29060766351046</v>
      </c>
      <c r="EM27" s="2404">
        <v>30.421112065951665</v>
      </c>
      <c r="EN27" s="2404">
        <v>30.287081348461829</v>
      </c>
      <c r="EO27" s="2404">
        <v>29.599232693570176</v>
      </c>
      <c r="EP27" s="2404">
        <v>29.610583457978592</v>
      </c>
      <c r="EQ27" s="2404">
        <v>27.66524845138121</v>
      </c>
      <c r="ER27" s="2404">
        <v>26.994365928296947</v>
      </c>
      <c r="ES27" s="2404">
        <v>27.837951303425388</v>
      </c>
      <c r="ET27" s="2404">
        <v>28.339993326350687</v>
      </c>
      <c r="EU27" s="2404">
        <v>30.05101365051954</v>
      </c>
      <c r="EV27" s="2404">
        <v>30.861281818181808</v>
      </c>
      <c r="EW27" s="2404">
        <v>29.640053883921961</v>
      </c>
      <c r="EX27" s="2404">
        <v>29.040578896103895</v>
      </c>
      <c r="EY27" s="2404">
        <v>29.371587267080734</v>
      </c>
      <c r="EZ27" s="2404">
        <v>29.353114285714273</v>
      </c>
      <c r="FA27" s="2404">
        <v>30.086576530612245</v>
      </c>
      <c r="FB27" s="2404">
        <v>30.332722727272721</v>
      </c>
      <c r="FC27" s="2404">
        <v>30.17728421052632</v>
      </c>
      <c r="FD27" s="2404">
        <v>30.2515</v>
      </c>
      <c r="FE27" s="2404">
        <v>31.204169999999998</v>
      </c>
      <c r="FF27" s="2404">
        <v>31.977263157894743</v>
      </c>
      <c r="FG27" s="2404">
        <v>32.257213636363637</v>
      </c>
      <c r="FH27" s="2404">
        <v>32.861810000000006</v>
      </c>
      <c r="FI27" s="2404">
        <v>33.21562902097903</v>
      </c>
      <c r="FJ27" s="2404">
        <v>34.604322727272738</v>
      </c>
      <c r="FK27" s="2404">
        <v>35.131309999999999</v>
      </c>
      <c r="FL27" s="2404">
        <v>35.894768181818179</v>
      </c>
      <c r="FM27" s="2404">
        <v>35.699580952380948</v>
      </c>
      <c r="FN27" s="2404">
        <v>35.28090952380952</v>
      </c>
      <c r="FO27" s="2404">
        <v>34.004328571428573</v>
      </c>
      <c r="FP27" s="2404">
        <v>31.859754545454543</v>
      </c>
      <c r="FQ27" s="2404">
        <v>32.065023809523815</v>
      </c>
      <c r="FR27" s="2404">
        <v>32.385811764705878</v>
      </c>
      <c r="FS27" s="2404">
        <v>32.263668181818176</v>
      </c>
      <c r="FT27" s="2404">
        <v>33.040974999999996</v>
      </c>
      <c r="FU27" s="2404">
        <v>31.934595454545459</v>
      </c>
      <c r="FV27" s="2404">
        <v>32.183528571428567</v>
      </c>
      <c r="FW27" s="2404">
        <v>31.298147619047615</v>
      </c>
      <c r="FX27" s="2404">
        <v>31.178030434782602</v>
      </c>
      <c r="FY27" s="2404">
        <v>30.874509523809518</v>
      </c>
      <c r="FZ27" s="2404">
        <v>30.833362271062274</v>
      </c>
      <c r="GA27" s="2404">
        <v>30.979524999999995</v>
      </c>
      <c r="GB27" s="2404">
        <v>30.733334999999993</v>
      </c>
      <c r="GC27" s="2404">
        <v>30.62445</v>
      </c>
      <c r="GD27" s="2404">
        <v>31.09055882352941</v>
      </c>
      <c r="GE27" s="2404">
        <v>31.952795238095231</v>
      </c>
      <c r="GF27" s="2404">
        <v>32.052776190476195</v>
      </c>
      <c r="GG27" s="2404">
        <v>32.202618181818188</v>
      </c>
      <c r="GH27" s="2404">
        <v>32.059228571428562</v>
      </c>
      <c r="GI27" s="2404">
        <v>31.554922727272718</v>
      </c>
      <c r="GJ27" s="2404">
        <v>31.646913636363635</v>
      </c>
      <c r="GK27" s="2404">
        <v>31.300663157894739</v>
      </c>
      <c r="GL27" s="2404">
        <v>31.22050434782609</v>
      </c>
      <c r="GM27" s="2404">
        <v>31.116050000000001</v>
      </c>
      <c r="GN27" s="2404">
        <v>31.234795000000002</v>
      </c>
      <c r="GO27" s="2404">
        <v>32.123505000000002</v>
      </c>
      <c r="GP27" s="2404">
        <v>31.675961111111114</v>
      </c>
      <c r="GQ27" s="2404">
        <v>31.80977368421053</v>
      </c>
      <c r="GR27" s="2404">
        <v>31.914404545454545</v>
      </c>
      <c r="GS27" s="2404">
        <v>32.671440909090904</v>
      </c>
      <c r="GT27" s="2404">
        <v>33.627968421052636</v>
      </c>
      <c r="GU27" s="2404">
        <v>33.922322727272736</v>
      </c>
      <c r="GV27" s="2404">
        <v>34.516959090909097</v>
      </c>
      <c r="GW27" s="2404">
        <v>34.380484210526312</v>
      </c>
      <c r="GX27" s="2404">
        <v>34.277679264214044</v>
      </c>
      <c r="GY27" s="2404">
        <v>34.157973684210525</v>
      </c>
      <c r="GZ27" s="2404">
        <v>34.098080000000003</v>
      </c>
      <c r="HA27" s="2404">
        <v>34.077385714285711</v>
      </c>
      <c r="HB27" s="2404">
        <v>34.457810526315789</v>
      </c>
      <c r="HC27" s="2405">
        <v>36.362370000000013</v>
      </c>
      <c r="HD27" s="2404">
        <v>37.527831818181816</v>
      </c>
      <c r="HE27" s="2404">
        <v>38.031750000000002</v>
      </c>
      <c r="HF27" s="2405">
        <v>37.811047202797205</v>
      </c>
      <c r="HG27" s="2404">
        <v>38.138956521739139</v>
      </c>
      <c r="HH27" s="2404">
        <v>38.17491428571428</v>
      </c>
      <c r="HI27" s="2404">
        <v>38.408949999999997</v>
      </c>
      <c r="HJ27" s="2404">
        <v>38.601686363636354</v>
      </c>
      <c r="HK27" s="2404">
        <v>38.97663</v>
      </c>
      <c r="HL27" s="2404">
        <v>38.850959090909086</v>
      </c>
      <c r="HM27" s="2404">
        <v>38.767936842105257</v>
      </c>
      <c r="HN27" s="2418">
        <v>38.4336611111111</v>
      </c>
      <c r="HO27" s="2418">
        <v>37.665884999999996</v>
      </c>
      <c r="HP27" s="2418">
        <v>37.769775000000003</v>
      </c>
      <c r="HQ27" s="2418">
        <v>37.768540000000002</v>
      </c>
      <c r="HR27" s="2418">
        <v>37.968599999999988</v>
      </c>
      <c r="HS27" s="2418">
        <v>39.408690909090915</v>
      </c>
    </row>
    <row r="28" spans="1:227" ht="21" customHeight="1" x14ac:dyDescent="0.3">
      <c r="A28" s="2403" t="s">
        <v>4532</v>
      </c>
      <c r="B28" s="2404">
        <v>39.436</v>
      </c>
      <c r="C28" s="2404">
        <v>39.646000000000001</v>
      </c>
      <c r="D28" s="2404">
        <v>39.457727272727276</v>
      </c>
      <c r="E28" s="2404">
        <v>39.142000000000003</v>
      </c>
      <c r="F28" s="2404">
        <v>38.796086956521734</v>
      </c>
      <c r="G28" s="2404">
        <v>38.712857142857146</v>
      </c>
      <c r="H28" s="2404">
        <v>38.537999999999997</v>
      </c>
      <c r="I28" s="2404">
        <v>38.296999999999997</v>
      </c>
      <c r="J28" s="2404">
        <v>37.993000000000002</v>
      </c>
      <c r="K28" s="2404">
        <v>37.825499999999998</v>
      </c>
      <c r="L28" s="2404">
        <v>38.017000000000003</v>
      </c>
      <c r="M28" s="2404">
        <v>37.140999999999998</v>
      </c>
      <c r="N28" s="2404">
        <v>36.915500000000002</v>
      </c>
      <c r="O28" s="2404">
        <v>37.182000000000002</v>
      </c>
      <c r="P28" s="2404">
        <v>39.506999999999998</v>
      </c>
      <c r="Q28" s="2404">
        <v>39.643999999999998</v>
      </c>
      <c r="R28" s="2404">
        <v>40.590000000000003</v>
      </c>
      <c r="S28" s="2404">
        <v>39.488999999999997</v>
      </c>
      <c r="T28" s="2404">
        <v>38.35</v>
      </c>
      <c r="U28" s="2404">
        <v>37.883000000000003</v>
      </c>
      <c r="V28" s="2404">
        <v>37.969000000000001</v>
      </c>
      <c r="W28" s="2404">
        <v>36.564</v>
      </c>
      <c r="X28" s="2404">
        <v>35.356999999999999</v>
      </c>
      <c r="Y28" s="2404">
        <v>34.877000000000002</v>
      </c>
      <c r="Z28" s="2404">
        <v>35.03</v>
      </c>
      <c r="AA28" s="2404">
        <v>35.975000000000001</v>
      </c>
      <c r="AB28" s="2404">
        <v>36.396999999999998</v>
      </c>
      <c r="AC28" s="2404">
        <v>36.655999999999999</v>
      </c>
      <c r="AD28" s="2404">
        <v>36.417999999999999</v>
      </c>
      <c r="AE28" s="2404">
        <v>36.195999999999998</v>
      </c>
      <c r="AF28" s="2404">
        <v>36.423000000000002</v>
      </c>
      <c r="AG28" s="2404">
        <v>36.216000000000001</v>
      </c>
      <c r="AH28" s="2404">
        <v>36.149000000000001</v>
      </c>
      <c r="AI28" s="2404">
        <v>36.567999999999998</v>
      </c>
      <c r="AJ28" s="2404">
        <v>37.551000000000002</v>
      </c>
      <c r="AK28" s="2404">
        <v>39.923999999999999</v>
      </c>
      <c r="AL28" s="2404">
        <v>39.326999999999998</v>
      </c>
      <c r="AM28" s="2404">
        <v>39.268999999999998</v>
      </c>
      <c r="AN28" s="2404">
        <v>39.335000000000001</v>
      </c>
      <c r="AO28" s="2404">
        <v>39.794800000000002</v>
      </c>
      <c r="AP28" s="2404">
        <v>40.283900000000003</v>
      </c>
      <c r="AQ28" s="2404">
        <v>41.495699999999999</v>
      </c>
      <c r="AR28" s="2404">
        <v>42.29</v>
      </c>
      <c r="AS28" s="2404">
        <v>41.866799999999998</v>
      </c>
      <c r="AT28" s="2404">
        <v>43.012700000000002</v>
      </c>
      <c r="AU28" s="2404">
        <v>43.567599999999999</v>
      </c>
      <c r="AV28" s="2404">
        <v>43.902999999999999</v>
      </c>
      <c r="AW28" s="2404">
        <v>43.833599999999997</v>
      </c>
      <c r="AX28" s="2404">
        <v>44.591000000000001</v>
      </c>
      <c r="AY28" s="2404">
        <v>44.249499999999998</v>
      </c>
      <c r="AZ28" s="2404">
        <v>43.354100000000003</v>
      </c>
      <c r="BA28" s="2404">
        <v>43.459499999999998</v>
      </c>
      <c r="BB28" s="2404">
        <v>45.168100000000003</v>
      </c>
      <c r="BC28" s="2404">
        <v>46.061</v>
      </c>
      <c r="BD28" s="2404">
        <v>46.639499999999998</v>
      </c>
      <c r="BE28" s="2404">
        <v>47.734000000000002</v>
      </c>
      <c r="BF28" s="2404">
        <v>48.984000000000002</v>
      </c>
      <c r="BG28" s="2404">
        <v>49.097099999999998</v>
      </c>
      <c r="BH28" s="2404">
        <v>49.232199999999999</v>
      </c>
      <c r="BI28" s="2404">
        <v>48.798499999999997</v>
      </c>
      <c r="BJ28" s="2404">
        <v>48.476199999999999</v>
      </c>
      <c r="BK28" s="2404">
        <v>48.274999999999999</v>
      </c>
      <c r="BL28" s="2404">
        <v>48.978999999999999</v>
      </c>
      <c r="BM28" s="2404">
        <v>48.316800000000001</v>
      </c>
      <c r="BN28" s="2404">
        <v>47.771099999999997</v>
      </c>
      <c r="BO28" s="2404">
        <v>47.591099999999997</v>
      </c>
      <c r="BP28" s="2404">
        <v>46.9343</v>
      </c>
      <c r="BQ28" s="2404">
        <v>47.74</v>
      </c>
      <c r="BR28" s="2404">
        <v>48.040500000000002</v>
      </c>
      <c r="BS28" s="2404">
        <v>43.557699999999997</v>
      </c>
      <c r="BT28" s="2404">
        <v>41.818800000000003</v>
      </c>
      <c r="BU28" s="2404">
        <v>43.066600000000001</v>
      </c>
      <c r="BV28" s="2404">
        <v>43.333599999999997</v>
      </c>
      <c r="BW28" s="2404">
        <v>45.686900000000001</v>
      </c>
      <c r="BX28" s="2404">
        <v>44.701799999999999</v>
      </c>
      <c r="BY28" s="2404">
        <v>41.885599999999997</v>
      </c>
      <c r="BZ28" s="2404">
        <v>42.515500000000003</v>
      </c>
      <c r="CA28" s="2404">
        <v>42.244399999999999</v>
      </c>
      <c r="CB28" s="2404">
        <v>41.433900000000001</v>
      </c>
      <c r="CC28" s="2404">
        <v>42.739100000000001</v>
      </c>
      <c r="CD28" s="2404">
        <v>42.6708</v>
      </c>
      <c r="CE28" s="2404">
        <v>42.601999999999997</v>
      </c>
      <c r="CF28" s="2404">
        <v>43.5608</v>
      </c>
      <c r="CG28" s="2404">
        <v>43.8474</v>
      </c>
      <c r="CH28" s="2404">
        <v>43.926299999999998</v>
      </c>
      <c r="CI28" s="2404">
        <v>44.148360000000004</v>
      </c>
      <c r="CJ28" s="2404">
        <v>43.427940909090907</v>
      </c>
      <c r="CK28" s="2404">
        <v>43.696795652173911</v>
      </c>
      <c r="CL28" s="2404">
        <v>43.597209999999997</v>
      </c>
      <c r="CM28" s="2404">
        <v>43.069500000000005</v>
      </c>
      <c r="CN28" s="2404">
        <v>42.462459090909086</v>
      </c>
      <c r="CO28" s="2404">
        <v>42.148665000000001</v>
      </c>
      <c r="CP28" s="2404">
        <v>43.081000000000003</v>
      </c>
      <c r="CQ28" s="2404">
        <v>39.937895645536898</v>
      </c>
      <c r="CR28" s="2404">
        <v>39.55914237400696</v>
      </c>
      <c r="CS28" s="2404">
        <v>39.417372924900988</v>
      </c>
      <c r="CT28" s="2404">
        <v>38.49104492208825</v>
      </c>
      <c r="CU28" s="2404">
        <v>38.97069638078392</v>
      </c>
      <c r="CV28" s="2404">
        <v>39.530661053928846</v>
      </c>
      <c r="CW28" s="2404">
        <v>38.868183072311083</v>
      </c>
      <c r="CX28" s="2404">
        <v>37.761709799743528</v>
      </c>
      <c r="CY28" s="2404">
        <v>35.791531683946189</v>
      </c>
      <c r="CZ28" s="2404">
        <v>34.818135279916362</v>
      </c>
      <c r="DA28" s="2404">
        <v>33.977819673215414</v>
      </c>
      <c r="DB28" s="2404">
        <v>32.883559788158692</v>
      </c>
      <c r="DC28" s="2404">
        <v>32.624999958574001</v>
      </c>
      <c r="DD28" s="2404">
        <v>31.386385145052337</v>
      </c>
      <c r="DE28" s="2404">
        <v>30.762696631073489</v>
      </c>
      <c r="DF28" s="2404">
        <v>29.640542669905425</v>
      </c>
      <c r="DG28" s="2404">
        <v>32.244454953418689</v>
      </c>
      <c r="DH28" s="2404">
        <v>34.977597749648723</v>
      </c>
      <c r="DI28" s="2404">
        <v>35.163721608102499</v>
      </c>
      <c r="DJ28" s="2404">
        <v>36.125749987164085</v>
      </c>
      <c r="DK28" s="2404">
        <v>36.220702657724836</v>
      </c>
      <c r="DL28" s="2404">
        <v>36.126301119529508</v>
      </c>
      <c r="DM28" s="2404">
        <v>36.049917131966311</v>
      </c>
      <c r="DN28" s="2404">
        <v>36.916167044965121</v>
      </c>
      <c r="DO28" s="2404">
        <v>38.064691042077662</v>
      </c>
      <c r="DP28" s="2404">
        <v>37.64769739794221</v>
      </c>
      <c r="DQ28" s="2404">
        <v>36.969313871329348</v>
      </c>
      <c r="DR28" s="2404">
        <v>37.225592061956483</v>
      </c>
      <c r="DS28" s="2404">
        <v>37.210445991888079</v>
      </c>
      <c r="DT28" s="2404">
        <v>36.666096770288704</v>
      </c>
      <c r="DU28" s="2404">
        <v>36.022249790839226</v>
      </c>
      <c r="DV28" s="2404">
        <v>35.806882000353134</v>
      </c>
      <c r="DW28" s="2404">
        <v>36.956361437067514</v>
      </c>
      <c r="DX28" s="2404">
        <v>37.708752624508335</v>
      </c>
      <c r="DY28" s="2404">
        <v>37.851470044382765</v>
      </c>
      <c r="DZ28" s="2404">
        <v>37.055406761635638</v>
      </c>
      <c r="EA28" s="2404">
        <v>36.636093107459786</v>
      </c>
      <c r="EB28" s="2404">
        <v>36.121856765613202</v>
      </c>
      <c r="EC28" s="2404">
        <v>36.139413997896391</v>
      </c>
      <c r="ED28" s="2404">
        <v>36.515088280192664</v>
      </c>
      <c r="EE28" s="2404">
        <v>36.267638309254338</v>
      </c>
      <c r="EF28" s="2404">
        <v>35.931483109352989</v>
      </c>
      <c r="EG28" s="2404">
        <v>36.00006798371323</v>
      </c>
      <c r="EH28" s="2404">
        <v>35.966403211027568</v>
      </c>
      <c r="EI28" s="2404">
        <v>35.681713379140021</v>
      </c>
      <c r="EJ28" s="2404">
        <v>35.600340719629031</v>
      </c>
      <c r="EK28" s="2404">
        <v>35.358600017449248</v>
      </c>
      <c r="EL28" s="2404">
        <v>35.483629022743216</v>
      </c>
      <c r="EM28" s="2404">
        <v>35.453118439564733</v>
      </c>
      <c r="EN28" s="2404">
        <v>35.593206610488338</v>
      </c>
      <c r="EO28" s="2404">
        <v>35.907769654866676</v>
      </c>
      <c r="EP28" s="2404">
        <v>36.029052333320266</v>
      </c>
      <c r="EQ28" s="2404">
        <v>35.879953383956739</v>
      </c>
      <c r="ER28" s="2404">
        <v>35.781862824863019</v>
      </c>
      <c r="ES28" s="2404">
        <v>36.209716382352909</v>
      </c>
      <c r="ET28" s="2404">
        <v>36.922384606408912</v>
      </c>
      <c r="EU28" s="2404">
        <v>39.596591888220843</v>
      </c>
      <c r="EV28" s="2404">
        <v>39.608453700802521</v>
      </c>
      <c r="EW28" s="2404">
        <v>37.190183892662176</v>
      </c>
      <c r="EX28" s="2404">
        <v>36.871540151515141</v>
      </c>
      <c r="EY28" s="2404">
        <v>35.93185869565216</v>
      </c>
      <c r="EZ28" s="2404">
        <v>35.439469047619063</v>
      </c>
      <c r="FA28" s="2404">
        <v>34.458628571428576</v>
      </c>
      <c r="FB28" s="2404">
        <v>35.583649242424244</v>
      </c>
      <c r="FC28" s="2404">
        <v>36.338905263157898</v>
      </c>
      <c r="FD28" s="2404">
        <v>36.179286363636351</v>
      </c>
      <c r="FE28" s="2404">
        <v>36.152335000000001</v>
      </c>
      <c r="FF28" s="2404">
        <v>36.042668421052632</v>
      </c>
      <c r="FG28" s="2404">
        <v>36.057649999999995</v>
      </c>
      <c r="FH28" s="2404">
        <v>35.791010000000007</v>
      </c>
      <c r="FI28" s="2404">
        <v>36.094162121212122</v>
      </c>
      <c r="FJ28" s="2404">
        <v>36.240186363636361</v>
      </c>
      <c r="FK28" s="2404">
        <v>36.212099999999992</v>
      </c>
      <c r="FL28" s="2404">
        <v>35.969122727272733</v>
      </c>
      <c r="FM28" s="2404">
        <v>35.958780952380948</v>
      </c>
      <c r="FN28" s="2404">
        <v>36.172214285714297</v>
      </c>
      <c r="FO28" s="2404">
        <v>36.177633333333333</v>
      </c>
      <c r="FP28" s="2404">
        <v>36.213154545454557</v>
      </c>
      <c r="FQ28" s="2404">
        <v>35.561447619047627</v>
      </c>
      <c r="FR28" s="2404">
        <v>35.439894117647057</v>
      </c>
      <c r="FS28" s="2404">
        <v>35.558627272727271</v>
      </c>
      <c r="FT28" s="2404">
        <v>35.279310000000002</v>
      </c>
      <c r="FU28" s="2404">
        <v>34.749613636363641</v>
      </c>
      <c r="FV28" s="2404">
        <v>34.516123809523812</v>
      </c>
      <c r="FW28" s="2404">
        <v>33.960390476190469</v>
      </c>
      <c r="FX28" s="2404">
        <v>33.14031739130435</v>
      </c>
      <c r="FY28" s="2404">
        <v>33.255428571428581</v>
      </c>
      <c r="FZ28" s="2404">
        <v>33.808292063492068</v>
      </c>
      <c r="GA28" s="2404">
        <v>33.867065000000004</v>
      </c>
      <c r="GB28" s="2404">
        <v>33.782739999999997</v>
      </c>
      <c r="GC28" s="2404">
        <v>33.201133333333331</v>
      </c>
      <c r="GD28" s="2404">
        <v>33.184935294117651</v>
      </c>
      <c r="GE28" s="2404">
        <v>33.599780952380947</v>
      </c>
      <c r="GF28" s="2404">
        <v>34.447152380952382</v>
      </c>
      <c r="GG28" s="2404">
        <v>35.267127272727272</v>
      </c>
      <c r="GH28" s="2404">
        <v>35.059314285714287</v>
      </c>
      <c r="GI28" s="2404">
        <v>35.058509090909091</v>
      </c>
      <c r="GJ28" s="2404">
        <v>35.071950000000001</v>
      </c>
      <c r="GK28" s="2404">
        <v>34.887831578947363</v>
      </c>
      <c r="GL28" s="2404">
        <v>34.993569565217385</v>
      </c>
      <c r="GM28" s="2404">
        <v>34.58719</v>
      </c>
      <c r="GN28" s="2404">
        <v>34.451575000000005</v>
      </c>
      <c r="GO28" s="2404">
        <v>34.54477</v>
      </c>
      <c r="GP28" s="2404">
        <v>35.041316666666674</v>
      </c>
      <c r="GQ28" s="2404">
        <v>35.334926315789474</v>
      </c>
      <c r="GR28" s="2404">
        <v>35.391572727272724</v>
      </c>
      <c r="GS28" s="2404">
        <v>35.669909090909094</v>
      </c>
      <c r="GT28" s="2404">
        <v>35.882557894736834</v>
      </c>
      <c r="GU28" s="2404">
        <v>35.727249999999998</v>
      </c>
      <c r="GV28" s="2404">
        <v>35.643545454545453</v>
      </c>
      <c r="GW28" s="2404">
        <v>35.742778947368421</v>
      </c>
      <c r="GX28" s="2404">
        <v>35.883989130434777</v>
      </c>
      <c r="GY28" s="2404">
        <v>36.480905263157894</v>
      </c>
      <c r="GZ28" s="2404">
        <v>36.791025000000005</v>
      </c>
      <c r="HA28" s="2404">
        <v>36.983295238095238</v>
      </c>
      <c r="HB28" s="2404">
        <v>37.727726315789468</v>
      </c>
      <c r="HC28" s="2405">
        <v>37.838364999999996</v>
      </c>
      <c r="HD28" s="2404">
        <v>38.17201363636363</v>
      </c>
      <c r="HE28" s="2404">
        <v>38.337014999999994</v>
      </c>
      <c r="HF28" s="2405">
        <v>38.33650757575758</v>
      </c>
      <c r="HG28" s="2404">
        <v>38.067634782608692</v>
      </c>
      <c r="HH28" s="2404">
        <v>37.588000000000001</v>
      </c>
      <c r="HI28" s="2404">
        <v>37.561377272727263</v>
      </c>
      <c r="HJ28" s="2404">
        <v>37.504059090909095</v>
      </c>
      <c r="HK28" s="2404">
        <v>37.354289999999999</v>
      </c>
      <c r="HL28" s="2404">
        <v>36.670890909090922</v>
      </c>
      <c r="HM28" s="2404">
        <v>36.791136842105267</v>
      </c>
      <c r="HN28" s="2418">
        <v>37.047822222222223</v>
      </c>
      <c r="HO28" s="2418">
        <v>37.398000000000003</v>
      </c>
      <c r="HP28" s="2418">
        <v>38.207839999999997</v>
      </c>
      <c r="HQ28" s="2418">
        <v>38.495399999999997</v>
      </c>
      <c r="HR28" s="2418">
        <v>38.912100000000002</v>
      </c>
      <c r="HS28" s="2418">
        <v>40.304390909090905</v>
      </c>
    </row>
    <row r="29" spans="1:227" ht="21" customHeight="1" x14ac:dyDescent="0.3">
      <c r="A29" s="2403" t="s">
        <v>4533</v>
      </c>
      <c r="B29" s="2404">
        <v>13.032999999999999</v>
      </c>
      <c r="C29" s="2404">
        <v>12.896000000000001</v>
      </c>
      <c r="D29" s="2404">
        <v>14.162727272727272</v>
      </c>
      <c r="E29" s="2404">
        <v>14.972999999999999</v>
      </c>
      <c r="F29" s="2404">
        <v>14.597826086956522</v>
      </c>
      <c r="G29" s="2404">
        <v>14.028095238095236</v>
      </c>
      <c r="H29" s="2404">
        <v>14.1715</v>
      </c>
      <c r="I29" s="2404">
        <v>14.493</v>
      </c>
      <c r="J29" s="2404">
        <v>14.914</v>
      </c>
      <c r="K29" s="2404">
        <v>15.263499999999999</v>
      </c>
      <c r="L29" s="2404">
        <v>15.872</v>
      </c>
      <c r="M29" s="2404">
        <v>15.72</v>
      </c>
      <c r="N29" s="2404">
        <v>15.5875</v>
      </c>
      <c r="O29" s="2404">
        <v>15.382999999999999</v>
      </c>
      <c r="P29" s="2404">
        <v>16.131</v>
      </c>
      <c r="Q29" s="2404">
        <v>16.722999999999999</v>
      </c>
      <c r="R29" s="2404">
        <v>17.559000000000001</v>
      </c>
      <c r="S29" s="2404">
        <v>17.260999999999999</v>
      </c>
      <c r="T29" s="2404">
        <v>17.262</v>
      </c>
      <c r="U29" s="2404">
        <v>17.518000000000001</v>
      </c>
      <c r="V29" s="2404">
        <v>18.094999999999999</v>
      </c>
      <c r="W29" s="2404">
        <v>17.77</v>
      </c>
      <c r="X29" s="2404">
        <v>17.911000000000001</v>
      </c>
      <c r="Y29" s="2404">
        <v>18.167000000000002</v>
      </c>
      <c r="Z29" s="2404">
        <v>17.675000000000001</v>
      </c>
      <c r="AA29" s="2404">
        <v>17.754999999999999</v>
      </c>
      <c r="AB29" s="2404">
        <v>17.506</v>
      </c>
      <c r="AC29" s="2404">
        <v>18.006</v>
      </c>
      <c r="AD29" s="2404">
        <v>18.602</v>
      </c>
      <c r="AE29" s="2404">
        <v>18.888000000000002</v>
      </c>
      <c r="AF29" s="2404">
        <v>19.125</v>
      </c>
      <c r="AG29" s="2404">
        <v>19.846</v>
      </c>
      <c r="AH29" s="2404">
        <v>20.285</v>
      </c>
      <c r="AI29" s="2404">
        <v>20.606000000000002</v>
      </c>
      <c r="AJ29" s="2404">
        <v>20.34</v>
      </c>
      <c r="AK29" s="2404">
        <v>21.437000000000001</v>
      </c>
      <c r="AL29" s="2404">
        <v>21.263000000000002</v>
      </c>
      <c r="AM29" s="2404">
        <v>21.292999999999999</v>
      </c>
      <c r="AN29" s="2404">
        <v>21.096800000000002</v>
      </c>
      <c r="AO29" s="2404">
        <v>20.357600000000001</v>
      </c>
      <c r="AP29" s="2404">
        <v>20.982199999999999</v>
      </c>
      <c r="AQ29" s="2404">
        <v>21.2376</v>
      </c>
      <c r="AR29" s="2404">
        <v>21.500499999999999</v>
      </c>
      <c r="AS29" s="2404">
        <v>21.2958</v>
      </c>
      <c r="AT29" s="2404">
        <v>21.538599999999999</v>
      </c>
      <c r="AU29" s="2404">
        <v>21.349499999999999</v>
      </c>
      <c r="AV29" s="2404">
        <v>20.96</v>
      </c>
      <c r="AW29" s="2404">
        <v>19.901399999999999</v>
      </c>
      <c r="AX29" s="2404">
        <v>19.489999999999998</v>
      </c>
      <c r="AY29" s="2404">
        <v>19.771799999999999</v>
      </c>
      <c r="AZ29" s="2404">
        <v>19.425000000000001</v>
      </c>
      <c r="BA29" s="2404">
        <v>19.514299999999999</v>
      </c>
      <c r="BB29" s="2404">
        <v>20.553799999999999</v>
      </c>
      <c r="BC29" s="2404">
        <v>21.561900000000001</v>
      </c>
      <c r="BD29" s="2404">
        <v>21.905200000000001</v>
      </c>
      <c r="BE29" s="2404">
        <v>22.344000000000001</v>
      </c>
      <c r="BF29" s="2404">
        <v>23.268999999999998</v>
      </c>
      <c r="BG29" s="2404">
        <v>23.484300000000001</v>
      </c>
      <c r="BH29" s="2404">
        <v>23.367799999999999</v>
      </c>
      <c r="BI29" s="2404">
        <v>23.218</v>
      </c>
      <c r="BJ29" s="2404">
        <v>24.038599999999999</v>
      </c>
      <c r="BK29" s="2404">
        <v>23.4041</v>
      </c>
      <c r="BL29" s="2404">
        <v>24.257000000000001</v>
      </c>
      <c r="BM29" s="2404">
        <v>25.135899999999999</v>
      </c>
      <c r="BN29" s="2404">
        <v>23.023800000000001</v>
      </c>
      <c r="BO29" s="2404">
        <v>22.616299999999999</v>
      </c>
      <c r="BP29" s="2404">
        <v>23.573699999999999</v>
      </c>
      <c r="BQ29" s="2404">
        <v>23.472000000000001</v>
      </c>
      <c r="BR29" s="2404">
        <v>23.108000000000001</v>
      </c>
      <c r="BS29" s="2404">
        <v>22.579000000000001</v>
      </c>
      <c r="BT29" s="2404">
        <v>22.976199999999999</v>
      </c>
      <c r="BU29" s="2404">
        <v>21.915099999999999</v>
      </c>
      <c r="BV29" s="2404">
        <v>21.020900000000001</v>
      </c>
      <c r="BW29" s="2404">
        <v>21.535699999999999</v>
      </c>
      <c r="BX29" s="2404">
        <v>21.2178</v>
      </c>
      <c r="BY29" s="2404">
        <v>20.662700000000001</v>
      </c>
      <c r="BZ29" s="2404">
        <v>19.956700000000001</v>
      </c>
      <c r="CA29" s="2404">
        <v>19.9053</v>
      </c>
      <c r="CB29" s="2404">
        <v>18.831800000000001</v>
      </c>
      <c r="CC29" s="2404">
        <v>18.3918</v>
      </c>
      <c r="CD29" s="2404">
        <v>18.1919</v>
      </c>
      <c r="CE29" s="2404">
        <v>18.204899999999999</v>
      </c>
      <c r="CF29" s="2404">
        <v>17.430399999999999</v>
      </c>
      <c r="CG29" s="2404">
        <v>18.282499999999999</v>
      </c>
      <c r="CH29" s="2404">
        <v>19.594899999999999</v>
      </c>
      <c r="CI29" s="2404">
        <v>20.31541</v>
      </c>
      <c r="CJ29" s="2404">
        <v>21.17899090909091</v>
      </c>
      <c r="CK29" s="2404">
        <v>21.218604347826087</v>
      </c>
      <c r="CL29" s="2404">
        <v>22.087624999999999</v>
      </c>
      <c r="CM29" s="2404">
        <v>23.580414285714284</v>
      </c>
      <c r="CN29" s="2404">
        <v>23.163427272727272</v>
      </c>
      <c r="CO29" s="2404">
        <v>22.614079999999998</v>
      </c>
      <c r="CP29" s="2404">
        <v>23.228000000000002</v>
      </c>
      <c r="CQ29" s="2404">
        <v>22.79133266136451</v>
      </c>
      <c r="CR29" s="2404">
        <v>22.424207013579487</v>
      </c>
      <c r="CS29" s="2404">
        <v>22.823253841367944</v>
      </c>
      <c r="CT29" s="2404">
        <v>22.973056234598953</v>
      </c>
      <c r="CU29" s="2404">
        <v>23.822062415806265</v>
      </c>
      <c r="CV29" s="2404">
        <v>23.589311083054984</v>
      </c>
      <c r="CW29" s="2404">
        <v>23.793835037775153</v>
      </c>
      <c r="CX29" s="2404">
        <v>23.274291373665559</v>
      </c>
      <c r="CY29" s="2404">
        <v>22.112259899809359</v>
      </c>
      <c r="CZ29" s="2404">
        <v>22.785644805416275</v>
      </c>
      <c r="DA29" s="2404">
        <v>22.792081135036174</v>
      </c>
      <c r="DB29" s="2404">
        <v>23.442328186606861</v>
      </c>
      <c r="DC29" s="2404">
        <v>24.460672710278985</v>
      </c>
      <c r="DD29" s="2404">
        <v>24.120391648367526</v>
      </c>
      <c r="DE29" s="2404">
        <v>23.750727086432804</v>
      </c>
      <c r="DF29" s="2404">
        <v>23.363209777267983</v>
      </c>
      <c r="DG29" s="2404">
        <v>22.861925431318667</v>
      </c>
      <c r="DH29" s="2404">
        <v>23.097784775065428</v>
      </c>
      <c r="DI29" s="2404">
        <v>24.042255927728966</v>
      </c>
      <c r="DJ29" s="2404">
        <v>24.806628818071388</v>
      </c>
      <c r="DK29" s="2404">
        <v>24.389100847014763</v>
      </c>
      <c r="DL29" s="2404">
        <v>24.333652215716523</v>
      </c>
      <c r="DM29" s="2404">
        <v>23.295605160487639</v>
      </c>
      <c r="DN29" s="2404">
        <v>24.137815669503901</v>
      </c>
      <c r="DO29" s="2404">
        <v>25.319302708733598</v>
      </c>
      <c r="DP29" s="2404">
        <v>25.489887082763506</v>
      </c>
      <c r="DQ29" s="2404">
        <v>25.361603913014918</v>
      </c>
      <c r="DR29" s="2404">
        <v>25.718963731262924</v>
      </c>
      <c r="DS29" s="2404">
        <v>25.892300488251333</v>
      </c>
      <c r="DT29" s="2404">
        <v>26.020411039298885</v>
      </c>
      <c r="DU29" s="2404">
        <v>26.029166852436511</v>
      </c>
      <c r="DV29" s="2404">
        <v>26.038909275979535</v>
      </c>
      <c r="DW29" s="2404">
        <v>26.040100052111107</v>
      </c>
      <c r="DX29" s="2404">
        <v>26.691449571038891</v>
      </c>
      <c r="DY29" s="2404">
        <v>26.046193761792928</v>
      </c>
      <c r="DZ29" s="2404">
        <v>24.837505363238886</v>
      </c>
      <c r="EA29" s="2404">
        <v>24.895025412248788</v>
      </c>
      <c r="EB29" s="2404">
        <v>24.818443941531747</v>
      </c>
      <c r="EC29" s="2404">
        <v>25.510332003805559</v>
      </c>
      <c r="ED29" s="2404">
        <v>25.81056567608454</v>
      </c>
      <c r="EE29" s="2404">
        <v>25.692442795211111</v>
      </c>
      <c r="EF29" s="2404">
        <v>25.363928138230161</v>
      </c>
      <c r="EG29" s="2404">
        <v>25.551446357657891</v>
      </c>
      <c r="EH29" s="2404">
        <v>25.557016947320989</v>
      </c>
      <c r="EI29" s="2404">
        <v>26.129053806464913</v>
      </c>
      <c r="EJ29" s="2404">
        <v>26.41463017083333</v>
      </c>
      <c r="EK29" s="2404">
        <v>26.447369924103278</v>
      </c>
      <c r="EL29" s="2404">
        <v>26.612299054678733</v>
      </c>
      <c r="EM29" s="2404">
        <v>26.881993364582225</v>
      </c>
      <c r="EN29" s="2404">
        <v>26.256316796132495</v>
      </c>
      <c r="EO29" s="2404">
        <v>25.849481770838391</v>
      </c>
      <c r="EP29" s="2404">
        <v>25.184205886664145</v>
      </c>
      <c r="EQ29" s="2404">
        <v>25.119393191177778</v>
      </c>
      <c r="ER29" s="2404">
        <v>24.969745873751766</v>
      </c>
      <c r="ES29" s="2404">
        <v>25.127509232477784</v>
      </c>
      <c r="ET29" s="2404">
        <v>25.051283573924184</v>
      </c>
      <c r="EU29" s="2404">
        <v>26.999128420412262</v>
      </c>
      <c r="EV29" s="2404">
        <v>27.926113636363638</v>
      </c>
      <c r="EW29" s="2404">
        <v>26.428923533333336</v>
      </c>
      <c r="EX29" s="2404">
        <v>25.095877777777776</v>
      </c>
      <c r="EY29" s="2404">
        <v>24.084295652173928</v>
      </c>
      <c r="EZ29" s="2404">
        <v>23.662931216931213</v>
      </c>
      <c r="FA29" s="2404">
        <v>22.874161904761909</v>
      </c>
      <c r="FB29" s="2404">
        <v>24.313945959595955</v>
      </c>
      <c r="FC29" s="2404">
        <v>24.256773684210529</v>
      </c>
      <c r="FD29" s="2404">
        <v>24.843150000000001</v>
      </c>
      <c r="FE29" s="2404">
        <v>24.077640000000006</v>
      </c>
      <c r="FF29" s="2404">
        <v>24.254894736842104</v>
      </c>
      <c r="FG29" s="2404">
        <v>24.487895454545455</v>
      </c>
      <c r="FH29" s="2404">
        <v>24.857639999999996</v>
      </c>
      <c r="FI29" s="2404">
        <v>24.605881313131317</v>
      </c>
      <c r="FJ29" s="2404">
        <v>25.621095454545458</v>
      </c>
      <c r="FK29" s="2404">
        <v>26.074574999999999</v>
      </c>
      <c r="FL29" s="2404">
        <v>26.305627272727278</v>
      </c>
      <c r="FM29" s="2404">
        <v>26.597980952380958</v>
      </c>
      <c r="FN29" s="2404">
        <v>26.214199999999998</v>
      </c>
      <c r="FO29" s="2404">
        <v>26.286304761904766</v>
      </c>
      <c r="FP29" s="2404">
        <v>26.008818181818182</v>
      </c>
      <c r="FQ29" s="2404">
        <v>26.249819047619049</v>
      </c>
      <c r="FR29" s="2404">
        <v>26.479970588235293</v>
      </c>
      <c r="FS29" s="2404">
        <v>25.576377272727271</v>
      </c>
      <c r="FT29" s="2404">
        <v>25.387839999999997</v>
      </c>
      <c r="FU29" s="2404">
        <v>24.873022727272726</v>
      </c>
      <c r="FV29" s="2404">
        <v>25.745214285714287</v>
      </c>
      <c r="FW29" s="2404">
        <v>25.863576190476195</v>
      </c>
      <c r="FX29" s="2404">
        <v>25.013873913043479</v>
      </c>
      <c r="FY29" s="2404">
        <v>24.782814285714284</v>
      </c>
      <c r="FZ29" s="2404">
        <v>24.584971428571436</v>
      </c>
      <c r="GA29" s="2404">
        <v>24.085895000000001</v>
      </c>
      <c r="GB29" s="2404">
        <v>24.194345000000002</v>
      </c>
      <c r="GC29" s="2404">
        <v>24.697649999999996</v>
      </c>
      <c r="GD29" s="2404">
        <v>24.516558823529415</v>
      </c>
      <c r="GE29" s="2404">
        <v>24.600561904761911</v>
      </c>
      <c r="GF29" s="2404">
        <v>25.06101428571429</v>
      </c>
      <c r="GG29" s="2404">
        <v>24.610900000000004</v>
      </c>
      <c r="GH29" s="2404">
        <v>24.572314285714285</v>
      </c>
      <c r="GI29" s="2404">
        <v>23.933599999999998</v>
      </c>
      <c r="GJ29" s="2404">
        <v>23.519763636363642</v>
      </c>
      <c r="GK29" s="2404">
        <v>23.174873684210528</v>
      </c>
      <c r="GL29" s="2404">
        <v>23.068904347826084</v>
      </c>
      <c r="GM29" s="2404">
        <v>23.953884999999996</v>
      </c>
      <c r="GN29" s="2404">
        <v>24.004555000000003</v>
      </c>
      <c r="GO29" s="2404">
        <v>23.776779999999995</v>
      </c>
      <c r="GP29" s="2404">
        <v>23.960055555555556</v>
      </c>
      <c r="GQ29" s="2404">
        <v>24.205956725146198</v>
      </c>
      <c r="GR29" s="2404">
        <v>24.001149999999996</v>
      </c>
      <c r="GS29" s="2404">
        <v>23.634527272727272</v>
      </c>
      <c r="GT29" s="2404">
        <v>24.019836842105263</v>
      </c>
      <c r="GU29" s="2404">
        <v>24.61151818181818</v>
      </c>
      <c r="GV29" s="2404">
        <v>23.659563636363643</v>
      </c>
      <c r="GW29" s="2404">
        <v>23.523405263157894</v>
      </c>
      <c r="GX29" s="2404">
        <v>23.549182608695652</v>
      </c>
      <c r="GY29" s="2404">
        <v>23.869326315789476</v>
      </c>
      <c r="GZ29" s="2404">
        <v>24.560659999999995</v>
      </c>
      <c r="HA29" s="2404">
        <v>24.677633333333336</v>
      </c>
      <c r="HB29" s="2404">
        <v>24.311684210526316</v>
      </c>
      <c r="HC29" s="2405">
        <v>23.697205</v>
      </c>
      <c r="HD29" s="2404">
        <v>24.378986363636372</v>
      </c>
      <c r="HE29" s="2404">
        <v>24.854155000000006</v>
      </c>
      <c r="HF29" s="2405">
        <v>26.239413636363643</v>
      </c>
      <c r="HG29" s="2404">
        <v>26.853852173913037</v>
      </c>
      <c r="HH29" s="2404">
        <v>26.759190476190479</v>
      </c>
      <c r="HI29" s="2404">
        <v>27.137299999999996</v>
      </c>
      <c r="HJ29" s="2404">
        <v>27.025145454545452</v>
      </c>
      <c r="HK29" s="2404">
        <v>28.009140000000002</v>
      </c>
      <c r="HL29" s="2404">
        <v>28.661009090909086</v>
      </c>
      <c r="HM29" s="2404">
        <v>28.994315789473681</v>
      </c>
      <c r="HN29" s="2418">
        <v>29.430772222222224</v>
      </c>
      <c r="HO29" s="2418">
        <v>29.260259999999999</v>
      </c>
      <c r="HP29" s="2418">
        <v>29.409049999999997</v>
      </c>
      <c r="HQ29" s="2418">
        <v>29.845354999999994</v>
      </c>
      <c r="HR29" s="2418">
        <v>29.832790909090907</v>
      </c>
      <c r="HS29" s="2418">
        <v>30.431868181818185</v>
      </c>
    </row>
    <row r="30" spans="1:227" ht="21" customHeight="1" x14ac:dyDescent="0.3">
      <c r="A30" s="2403" t="s">
        <v>4534</v>
      </c>
      <c r="B30" s="2404">
        <v>16.757999999999999</v>
      </c>
      <c r="C30" s="2404">
        <v>16.849</v>
      </c>
      <c r="D30" s="2404">
        <v>17.078181818181818</v>
      </c>
      <c r="E30" s="2404">
        <v>17.166499999999999</v>
      </c>
      <c r="F30" s="2404">
        <v>17.343478260869563</v>
      </c>
      <c r="G30" s="2404">
        <v>17.231428571428573</v>
      </c>
      <c r="H30" s="2404">
        <v>17.103999999999999</v>
      </c>
      <c r="I30" s="2404">
        <v>16.911999999999999</v>
      </c>
      <c r="J30" s="2404">
        <v>17.032</v>
      </c>
      <c r="K30" s="2407">
        <v>17.073</v>
      </c>
      <c r="L30" s="2407">
        <v>16.913</v>
      </c>
      <c r="M30" s="2407">
        <v>16.271000000000001</v>
      </c>
      <c r="N30" s="2407">
        <v>16.052</v>
      </c>
      <c r="O30" s="2407">
        <v>15.747999999999999</v>
      </c>
      <c r="P30" s="2407">
        <v>16.222999999999999</v>
      </c>
      <c r="Q30" s="2407">
        <v>16.672000000000001</v>
      </c>
      <c r="R30" s="2407">
        <v>17.152999999999999</v>
      </c>
      <c r="S30" s="2407">
        <v>16.992000000000001</v>
      </c>
      <c r="T30" s="2407">
        <v>17.003</v>
      </c>
      <c r="U30" s="2404">
        <v>16.86</v>
      </c>
      <c r="V30" s="2404">
        <v>16.742000000000001</v>
      </c>
      <c r="W30" s="2404">
        <v>16.170999999999999</v>
      </c>
      <c r="X30" s="2404">
        <v>15.781000000000001</v>
      </c>
      <c r="Y30" s="2404">
        <v>15.609</v>
      </c>
      <c r="Z30" s="2404">
        <v>15.728999999999999</v>
      </c>
      <c r="AA30" s="2404">
        <v>16.440999999999999</v>
      </c>
      <c r="AB30" s="2404">
        <v>16.666</v>
      </c>
      <c r="AC30" s="2404">
        <v>16.776</v>
      </c>
      <c r="AD30" s="2404">
        <v>16.826000000000001</v>
      </c>
      <c r="AE30" s="2404">
        <v>16.875</v>
      </c>
      <c r="AF30" s="2404">
        <v>17.148</v>
      </c>
      <c r="AG30" s="2404">
        <v>17.349</v>
      </c>
      <c r="AH30" s="2404">
        <v>17.59</v>
      </c>
      <c r="AI30" s="2404">
        <v>17.577000000000002</v>
      </c>
      <c r="AJ30" s="2404">
        <v>17.684999999999999</v>
      </c>
      <c r="AK30" s="2404">
        <v>18.064</v>
      </c>
      <c r="AL30" s="2404">
        <v>17.914999999999999</v>
      </c>
      <c r="AM30" s="2404">
        <v>17.977</v>
      </c>
      <c r="AN30" s="2404">
        <v>17.850000000000001</v>
      </c>
      <c r="AO30" s="2404">
        <v>17.839500000000001</v>
      </c>
      <c r="AP30" s="2404">
        <v>18.196999999999999</v>
      </c>
      <c r="AQ30" s="2404">
        <v>18.1129</v>
      </c>
      <c r="AR30" s="2404">
        <v>18.2514</v>
      </c>
      <c r="AS30" s="2404">
        <v>18.247900000000001</v>
      </c>
      <c r="AT30" s="2404">
        <v>18.5914</v>
      </c>
      <c r="AU30" s="2404">
        <v>19.083300000000001</v>
      </c>
      <c r="AV30" s="2404">
        <v>19.158000000000001</v>
      </c>
      <c r="AW30" s="2404">
        <v>19.287700000000001</v>
      </c>
      <c r="AX30" s="2404">
        <v>19.578499999999998</v>
      </c>
      <c r="AY30" s="2404">
        <v>19.8873</v>
      </c>
      <c r="AZ30" s="2404">
        <v>19.724499999999999</v>
      </c>
      <c r="BA30" s="2404">
        <v>19.9786</v>
      </c>
      <c r="BB30" s="2404">
        <v>20.5943</v>
      </c>
      <c r="BC30" s="2404">
        <v>20.898599999999998</v>
      </c>
      <c r="BD30" s="2404">
        <v>21.0367</v>
      </c>
      <c r="BE30" s="2404">
        <v>21.553999999999998</v>
      </c>
      <c r="BF30" s="2404">
        <v>21.919499999999999</v>
      </c>
      <c r="BG30" s="2404">
        <v>22.117100000000001</v>
      </c>
      <c r="BH30" s="2404">
        <v>22.1433</v>
      </c>
      <c r="BI30" s="2404">
        <v>22.0395</v>
      </c>
      <c r="BJ30" s="2404">
        <v>21.8886</v>
      </c>
      <c r="BK30" s="2404">
        <v>21.153199999999998</v>
      </c>
      <c r="BL30" s="2404">
        <v>21.01</v>
      </c>
      <c r="BM30" s="2404">
        <v>21.225899999999999</v>
      </c>
      <c r="BN30" s="2404">
        <v>20.894200000000001</v>
      </c>
      <c r="BO30" s="2404">
        <v>21.465299999999999</v>
      </c>
      <c r="BP30" s="2404">
        <v>21.276299999999999</v>
      </c>
      <c r="BQ30" s="2404">
        <v>21.388999999999999</v>
      </c>
      <c r="BR30" s="2404">
        <v>20.832899999999999</v>
      </c>
      <c r="BS30" s="2404">
        <v>20.564599999999999</v>
      </c>
      <c r="BT30" s="2404">
        <v>20.558299999999999</v>
      </c>
      <c r="BU30" s="2404">
        <v>19.863900000000001</v>
      </c>
      <c r="BV30" s="2404">
        <v>19.6126</v>
      </c>
      <c r="BW30" s="2404">
        <v>20.411899999999999</v>
      </c>
      <c r="BX30" s="2404">
        <v>20.4846</v>
      </c>
      <c r="BY30" s="2404">
        <v>20.2439</v>
      </c>
      <c r="BZ30" s="2404">
        <v>20.189399999999999</v>
      </c>
      <c r="CA30" s="2404">
        <v>20.8127</v>
      </c>
      <c r="CB30" s="2404">
        <v>21.0563</v>
      </c>
      <c r="CC30" s="2404">
        <v>21.779499999999999</v>
      </c>
      <c r="CD30" s="2404">
        <v>22.167999999999999</v>
      </c>
      <c r="CE30" s="2404">
        <v>22.247699999999998</v>
      </c>
      <c r="CF30" s="2404">
        <v>22.4574</v>
      </c>
      <c r="CG30" s="2404">
        <v>22.666899999999998</v>
      </c>
      <c r="CH30" s="2404">
        <v>22.898499999999999</v>
      </c>
      <c r="CI30" s="2404">
        <v>23.215869999999999</v>
      </c>
      <c r="CJ30" s="2404">
        <v>22.954350000000002</v>
      </c>
      <c r="CK30" s="2404">
        <v>22.818152173913049</v>
      </c>
      <c r="CL30" s="2404">
        <v>22.783004999999996</v>
      </c>
      <c r="CM30" s="2404">
        <v>22.594742857142858</v>
      </c>
      <c r="CN30" s="2404">
        <v>22.541172727272723</v>
      </c>
      <c r="CO30" s="2404">
        <v>22.381464999999999</v>
      </c>
      <c r="CP30" s="2404">
        <v>23.966999999999999</v>
      </c>
      <c r="CQ30" s="2404">
        <v>23.347333854197903</v>
      </c>
      <c r="CR30" s="2404">
        <v>23.213315276628052</v>
      </c>
      <c r="CS30" s="2404">
        <v>23.588268337462242</v>
      </c>
      <c r="CT30" s="2404">
        <v>23.53592334704534</v>
      </c>
      <c r="CU30" s="2404">
        <v>23.854944206084522</v>
      </c>
      <c r="CV30" s="2404">
        <v>24.07279162376156</v>
      </c>
      <c r="CW30" s="2404">
        <v>24.189805222839485</v>
      </c>
      <c r="CX30" s="2404">
        <v>23.893700864554116</v>
      </c>
      <c r="CY30" s="2404">
        <v>23.566285037901615</v>
      </c>
      <c r="CZ30" s="2404">
        <v>23.226114483969496</v>
      </c>
      <c r="DA30" s="2404">
        <v>23.169147918580606</v>
      </c>
      <c r="DB30" s="2404">
        <v>23.371055412151382</v>
      </c>
      <c r="DC30" s="2404">
        <v>23.85356089154978</v>
      </c>
      <c r="DD30" s="2404">
        <v>23.889470006024052</v>
      </c>
      <c r="DE30" s="2404">
        <v>23.466031210343861</v>
      </c>
      <c r="DF30" s="2404">
        <v>23.277916811514093</v>
      </c>
      <c r="DG30" s="2404">
        <v>23.110842372836608</v>
      </c>
      <c r="DH30" s="2404">
        <v>23.224538301593022</v>
      </c>
      <c r="DI30" s="2404">
        <v>23.557940008873796</v>
      </c>
      <c r="DJ30" s="2404">
        <v>23.797147204984149</v>
      </c>
      <c r="DK30" s="2404">
        <v>23.699091445814247</v>
      </c>
      <c r="DL30" s="2404">
        <v>23.850673088793659</v>
      </c>
      <c r="DM30" s="2404">
        <v>23.930066896625945</v>
      </c>
      <c r="DN30" s="2404">
        <v>24.308335586712388</v>
      </c>
      <c r="DO30" s="2404">
        <v>25.203501901616331</v>
      </c>
      <c r="DP30" s="2404">
        <v>25.252874906252195</v>
      </c>
      <c r="DQ30" s="2404">
        <v>25.2243074770089</v>
      </c>
      <c r="DR30" s="2404">
        <v>25.681510317583857</v>
      </c>
      <c r="DS30" s="2404">
        <v>25.893608547441836</v>
      </c>
      <c r="DT30" s="2404">
        <v>25.684079968573769</v>
      </c>
      <c r="DU30" s="2404">
        <v>25.335873914899469</v>
      </c>
      <c r="DV30" s="2404">
        <v>25.115911757682849</v>
      </c>
      <c r="DW30" s="2404">
        <v>25.304183094046362</v>
      </c>
      <c r="DX30" s="2404">
        <v>25.532959584218283</v>
      </c>
      <c r="DY30" s="2404">
        <v>25.367698362767101</v>
      </c>
      <c r="DZ30" s="2404">
        <v>25.016859038783956</v>
      </c>
      <c r="EA30" s="2404">
        <v>24.968549189287593</v>
      </c>
      <c r="EB30" s="2404">
        <v>24.698396054931024</v>
      </c>
      <c r="EC30" s="2404">
        <v>24.90887339942083</v>
      </c>
      <c r="ED30" s="2404">
        <v>24.928576586985162</v>
      </c>
      <c r="EE30" s="2404">
        <v>24.953031571372041</v>
      </c>
      <c r="EF30" s="2404">
        <v>24.534856272821891</v>
      </c>
      <c r="EG30" s="2404">
        <v>24.265158111141186</v>
      </c>
      <c r="EH30" s="2404">
        <v>24.373516629559834</v>
      </c>
      <c r="EI30" s="2404">
        <v>24.231200710166863</v>
      </c>
      <c r="EJ30" s="2404">
        <v>24.496897112015223</v>
      </c>
      <c r="EK30" s="2404">
        <v>24.602893990283004</v>
      </c>
      <c r="EL30" s="2404">
        <v>24.721537092905766</v>
      </c>
      <c r="EM30" s="2404">
        <v>24.903398537069805</v>
      </c>
      <c r="EN30" s="2404">
        <v>24.994709456647435</v>
      </c>
      <c r="EO30" s="2404">
        <v>25.135233127606465</v>
      </c>
      <c r="EP30" s="2404">
        <v>25.109662260849596</v>
      </c>
      <c r="EQ30" s="2404">
        <v>24.780872916808583</v>
      </c>
      <c r="ER30" s="2404">
        <v>24.489873706660816</v>
      </c>
      <c r="ES30" s="2404">
        <v>24.617977440481173</v>
      </c>
      <c r="ET30" s="2404">
        <v>24.839735387485323</v>
      </c>
      <c r="EU30" s="2404">
        <v>26.278623872094165</v>
      </c>
      <c r="EV30" s="2404">
        <v>27.338440909090913</v>
      </c>
      <c r="EW30" s="2404">
        <v>26.858279080260683</v>
      </c>
      <c r="EX30" s="2404">
        <v>26.727862662337667</v>
      </c>
      <c r="EY30" s="2404">
        <v>26.650708337314867</v>
      </c>
      <c r="EZ30" s="2404">
        <v>25.900880952380938</v>
      </c>
      <c r="FA30" s="2404">
        <v>25.564565986394559</v>
      </c>
      <c r="FB30" s="2404">
        <v>26.033160064935068</v>
      </c>
      <c r="FC30" s="2404">
        <v>26.223342105263161</v>
      </c>
      <c r="FD30" s="2404">
        <v>26.207677272727278</v>
      </c>
      <c r="FE30" s="2404">
        <v>25.760129999999997</v>
      </c>
      <c r="FF30" s="2404">
        <v>26.077794736842112</v>
      </c>
      <c r="FG30" s="2404">
        <v>26.558777272727276</v>
      </c>
      <c r="FH30" s="2404">
        <v>26.745614999999997</v>
      </c>
      <c r="FI30" s="2404">
        <v>26.471290909090907</v>
      </c>
      <c r="FJ30" s="2404">
        <v>26.973313636363638</v>
      </c>
      <c r="FK30" s="2404">
        <v>27.146269999999998</v>
      </c>
      <c r="FL30" s="2404">
        <v>27.059390909090908</v>
      </c>
      <c r="FM30" s="2404">
        <v>26.823790476190478</v>
      </c>
      <c r="FN30" s="2404">
        <v>26.523409523809523</v>
      </c>
      <c r="FO30" s="2404">
        <v>26.120490476190472</v>
      </c>
      <c r="FP30" s="2404">
        <v>25.787895454545449</v>
      </c>
      <c r="FQ30" s="2404">
        <v>25.848395238095243</v>
      </c>
      <c r="FR30" s="2404">
        <v>25.943735294117648</v>
      </c>
      <c r="FS30" s="2404">
        <v>26.007822727272732</v>
      </c>
      <c r="FT30" s="2404">
        <v>26.073185000000002</v>
      </c>
      <c r="FU30" s="2404">
        <v>25.750749999999996</v>
      </c>
      <c r="FV30" s="2404">
        <v>25.847038095238098</v>
      </c>
      <c r="FW30" s="2404">
        <v>25.716714285714289</v>
      </c>
      <c r="FX30" s="2404">
        <v>25.219852173913043</v>
      </c>
      <c r="FY30" s="2404">
        <v>25.343523809523813</v>
      </c>
      <c r="FZ30" s="2404">
        <v>25.636026373626372</v>
      </c>
      <c r="GA30" s="2404">
        <v>25.807914999999998</v>
      </c>
      <c r="GB30" s="2404">
        <v>25.813679999999998</v>
      </c>
      <c r="GC30" s="2404">
        <v>25.76742777777778</v>
      </c>
      <c r="GD30" s="2404">
        <v>25.448664705882358</v>
      </c>
      <c r="GE30" s="2404">
        <v>25.808376190476185</v>
      </c>
      <c r="GF30" s="2404">
        <v>26.26700952380952</v>
      </c>
      <c r="GG30" s="2404">
        <v>26.430113636363636</v>
      </c>
      <c r="GH30" s="2404">
        <v>26.236695238095237</v>
      </c>
      <c r="GI30" s="2404">
        <v>25.832627272727276</v>
      </c>
      <c r="GJ30" s="2404">
        <v>25.729827272727277</v>
      </c>
      <c r="GK30" s="2404">
        <v>25.587857894736842</v>
      </c>
      <c r="GL30" s="2404">
        <v>25.583630434782613</v>
      </c>
      <c r="GM30" s="2404">
        <v>25.683910000000004</v>
      </c>
      <c r="GN30" s="2404">
        <v>25.643149999999999</v>
      </c>
      <c r="GO30" s="2404">
        <v>25.830470000000002</v>
      </c>
      <c r="GP30" s="2404">
        <v>25.882266666666666</v>
      </c>
      <c r="GQ30" s="2404">
        <v>26.15033201754386</v>
      </c>
      <c r="GR30" s="2404">
        <v>26.314722727272727</v>
      </c>
      <c r="GS30" s="2404">
        <v>26.257545454545451</v>
      </c>
      <c r="GT30" s="2404">
        <v>26.693863157894736</v>
      </c>
      <c r="GU30" s="2404">
        <v>27.016154545454548</v>
      </c>
      <c r="GV30" s="2404">
        <v>26.533645454545454</v>
      </c>
      <c r="GW30" s="2404">
        <v>26.845684210526315</v>
      </c>
      <c r="GX30" s="2404">
        <v>27.086714130434782</v>
      </c>
      <c r="GY30" s="2404">
        <v>27.353099999999994</v>
      </c>
      <c r="GZ30" s="2404">
        <v>27.457869999999996</v>
      </c>
      <c r="HA30" s="2404">
        <v>27.623647619047617</v>
      </c>
      <c r="HB30" s="2404">
        <v>27.317347368421057</v>
      </c>
      <c r="HC30" s="2405">
        <v>27.639085000000001</v>
      </c>
      <c r="HD30" s="2404">
        <v>28.478668181818179</v>
      </c>
      <c r="HE30" s="2404">
        <v>28.793009999999999</v>
      </c>
      <c r="HF30" s="2405">
        <v>29.242554924242416</v>
      </c>
      <c r="HG30" s="2404">
        <v>29.397534782608687</v>
      </c>
      <c r="HH30" s="2404">
        <v>29.609195238095243</v>
      </c>
      <c r="HI30" s="2404">
        <v>29.751777272727278</v>
      </c>
      <c r="HJ30" s="2404">
        <v>29.93196363636363</v>
      </c>
      <c r="HK30" s="2404">
        <v>30.250774999999997</v>
      </c>
      <c r="HL30" s="2404">
        <v>30.320799999999998</v>
      </c>
      <c r="HM30" s="2404">
        <v>30.379668421052632</v>
      </c>
      <c r="HN30" s="2418">
        <v>30.56494444444445</v>
      </c>
      <c r="HO30" s="2418">
        <v>30.536444999999997</v>
      </c>
      <c r="HP30" s="2418">
        <v>30.917400000000004</v>
      </c>
      <c r="HQ30" s="2418">
        <v>31.066275000000001</v>
      </c>
      <c r="HR30" s="2418">
        <v>31.419595454545455</v>
      </c>
      <c r="HS30" s="2418">
        <v>32.138795454545459</v>
      </c>
    </row>
    <row r="31" spans="1:227" ht="21" customHeight="1" x14ac:dyDescent="0.3">
      <c r="A31" s="2403" t="s">
        <v>4535</v>
      </c>
      <c r="B31" s="2404">
        <v>2.6720000000000002</v>
      </c>
      <c r="C31" s="2404">
        <v>2.702</v>
      </c>
      <c r="D31" s="2404">
        <v>3.0422727272727275</v>
      </c>
      <c r="E31" s="2404">
        <v>3.0305</v>
      </c>
      <c r="F31" s="2404">
        <v>3.0239130434782608</v>
      </c>
      <c r="G31" s="2404">
        <v>2.8757142857142859</v>
      </c>
      <c r="H31" s="2404">
        <v>2.8624999999999998</v>
      </c>
      <c r="I31" s="2404">
        <v>2.9369999999999998</v>
      </c>
      <c r="J31" s="2404">
        <v>3.1240000000000001</v>
      </c>
      <c r="K31" s="2407">
        <v>3.3494999999999999</v>
      </c>
      <c r="L31" s="2407">
        <v>3.3849999999999998</v>
      </c>
      <c r="M31" s="2407">
        <v>3.4329999999999998</v>
      </c>
      <c r="N31" s="2404">
        <v>3.5055000000000001</v>
      </c>
      <c r="O31" s="2404">
        <v>3.66</v>
      </c>
      <c r="P31" s="2404">
        <v>3.7010000000000001</v>
      </c>
      <c r="Q31" s="2404">
        <v>3.6739999999999999</v>
      </c>
      <c r="R31" s="2404">
        <v>4.0049999999999999</v>
      </c>
      <c r="S31" s="2404">
        <v>4.0469999999999997</v>
      </c>
      <c r="T31" s="2404">
        <v>4.0629999999999997</v>
      </c>
      <c r="U31" s="2404">
        <v>4.2080000000000002</v>
      </c>
      <c r="V31" s="2404">
        <v>4.306</v>
      </c>
      <c r="W31" s="2404">
        <v>4.2640000000000002</v>
      </c>
      <c r="X31" s="2404">
        <v>3.8959999999999999</v>
      </c>
      <c r="Y31" s="2404">
        <v>3.915</v>
      </c>
      <c r="Z31" s="2404">
        <v>4.0659999999999998</v>
      </c>
      <c r="AA31" s="2404">
        <v>4.2729999999999997</v>
      </c>
      <c r="AB31" s="2404">
        <v>4.2290000000000001</v>
      </c>
      <c r="AC31" s="2404">
        <v>4.5</v>
      </c>
      <c r="AD31" s="2404">
        <v>4.7439999999999998</v>
      </c>
      <c r="AE31" s="2404">
        <v>4.5369999999999999</v>
      </c>
      <c r="AF31" s="2404">
        <v>4.4969999999999999</v>
      </c>
      <c r="AG31" s="2404">
        <v>4.6037999999999997</v>
      </c>
      <c r="AH31" s="2404">
        <v>4.8570000000000002</v>
      </c>
      <c r="AI31" s="2404">
        <v>5.0869999999999997</v>
      </c>
      <c r="AJ31" s="2404">
        <v>4.899</v>
      </c>
      <c r="AK31" s="2404">
        <v>4.931</v>
      </c>
      <c r="AL31" s="2404">
        <v>4.8499999999999996</v>
      </c>
      <c r="AM31" s="2404">
        <v>4.7480000000000002</v>
      </c>
      <c r="AN31" s="2404">
        <v>4.4618000000000002</v>
      </c>
      <c r="AO31" s="2404">
        <v>4.5190000000000001</v>
      </c>
      <c r="AP31" s="2404">
        <v>4.7126000000000001</v>
      </c>
      <c r="AQ31" s="2404">
        <v>4.8304999999999998</v>
      </c>
      <c r="AR31" s="2404">
        <v>4.7476000000000003</v>
      </c>
      <c r="AS31" s="2404">
        <v>4.7031999999999998</v>
      </c>
      <c r="AT31" s="2404">
        <v>4.9432</v>
      </c>
      <c r="AU31" s="2404">
        <v>5.1862000000000004</v>
      </c>
      <c r="AV31" s="2404">
        <v>5.1719999999999997</v>
      </c>
      <c r="AW31" s="2404">
        <v>5.0731999999999999</v>
      </c>
      <c r="AX31" s="2404">
        <v>5.21</v>
      </c>
      <c r="AY31" s="2404">
        <v>5.0294999999999996</v>
      </c>
      <c r="AZ31" s="2404">
        <v>4.5781999999999998</v>
      </c>
      <c r="BA31" s="2404">
        <v>4.5313999999999997</v>
      </c>
      <c r="BB31" s="2404">
        <v>4.7542999999999997</v>
      </c>
      <c r="BC31" s="2404">
        <v>4.54</v>
      </c>
      <c r="BD31" s="2404">
        <v>4.4432999999999998</v>
      </c>
      <c r="BE31" s="2404">
        <v>4.7389999999999999</v>
      </c>
      <c r="BF31" s="2404">
        <v>4.9080000000000004</v>
      </c>
      <c r="BG31" s="2404">
        <v>4.8367000000000004</v>
      </c>
      <c r="BH31" s="2404">
        <v>4.8316999999999997</v>
      </c>
      <c r="BI31" s="2404">
        <v>4.6425000000000001</v>
      </c>
      <c r="BJ31" s="2404">
        <v>4.7004999999999999</v>
      </c>
      <c r="BK31" s="2404">
        <v>4.6285999999999996</v>
      </c>
      <c r="BL31" s="2404">
        <v>4.5510000000000002</v>
      </c>
      <c r="BM31" s="2404">
        <v>4.6664000000000003</v>
      </c>
      <c r="BN31" s="2404">
        <v>4.4466999999999999</v>
      </c>
      <c r="BO31" s="2404">
        <v>4.5033000000000003</v>
      </c>
      <c r="BP31" s="2404">
        <v>4.6576000000000004</v>
      </c>
      <c r="BQ31" s="2404">
        <v>4.6500000000000004</v>
      </c>
      <c r="BR31" s="2404">
        <v>4.4543999999999997</v>
      </c>
      <c r="BS31" s="2404">
        <v>4.2629000000000001</v>
      </c>
      <c r="BT31" s="2404">
        <v>3.8361999999999998</v>
      </c>
      <c r="BU31" s="2404">
        <v>3.4605999999999999</v>
      </c>
      <c r="BV31" s="2404">
        <v>3.4661</v>
      </c>
      <c r="BW31" s="2404">
        <v>3.6922000000000001</v>
      </c>
      <c r="BX31" s="2404">
        <v>3.5630999999999999</v>
      </c>
      <c r="BY31" s="2404">
        <v>3.6261999999999999</v>
      </c>
      <c r="BZ31" s="2404">
        <v>3.7364999999999999</v>
      </c>
      <c r="CA31" s="2404">
        <v>3.7227999999999999</v>
      </c>
      <c r="CB31" s="2404">
        <v>3.2473000000000001</v>
      </c>
      <c r="CC31" s="2404">
        <v>3.2812999999999999</v>
      </c>
      <c r="CD31" s="2404">
        <v>3.3353000000000002</v>
      </c>
      <c r="CE31" s="2404">
        <v>3.3984000000000001</v>
      </c>
      <c r="CF31" s="2404">
        <v>3.4552999999999998</v>
      </c>
      <c r="CG31" s="2404">
        <v>3.5225</v>
      </c>
      <c r="CH31" s="2404">
        <v>3.8546999999999998</v>
      </c>
      <c r="CI31" s="2404">
        <v>4.0790649999999999</v>
      </c>
      <c r="CJ31" s="2404">
        <v>4.1658772727272737</v>
      </c>
      <c r="CK31" s="2404">
        <v>4.1837086956521743</v>
      </c>
      <c r="CL31" s="2404">
        <v>4.1656550000000001</v>
      </c>
      <c r="CM31" s="2404">
        <v>4.30397619047619</v>
      </c>
      <c r="CN31" s="2404">
        <v>4.2520727272727266</v>
      </c>
      <c r="CO31" s="2404">
        <v>4.1721850000000007</v>
      </c>
      <c r="CP31" s="2404">
        <v>4.3959999999999999</v>
      </c>
      <c r="CQ31" s="2404">
        <v>4.2772433017535469</v>
      </c>
      <c r="CR31" s="2404">
        <v>4.3295198587026569</v>
      </c>
      <c r="CS31" s="2404">
        <v>4.4357190662529149</v>
      </c>
      <c r="CT31" s="2404">
        <v>4.4624094718396288</v>
      </c>
      <c r="CU31" s="2404">
        <v>4.4655108426880306</v>
      </c>
      <c r="CV31" s="2404">
        <v>4.6267038636392366</v>
      </c>
      <c r="CW31" s="2404">
        <v>4.5356470210893081</v>
      </c>
      <c r="CX31" s="2404">
        <v>4.2620224636081163</v>
      </c>
      <c r="CY31" s="2404">
        <v>4.3386433542192933</v>
      </c>
      <c r="CZ31" s="2404">
        <v>4.3238891020413135</v>
      </c>
      <c r="DA31" s="2404">
        <v>4.208836395000211</v>
      </c>
      <c r="DB31" s="2404">
        <v>4.2697037917046785</v>
      </c>
      <c r="DC31" s="2404">
        <v>4.300147130799755</v>
      </c>
      <c r="DD31" s="2404">
        <v>4.1081725569487864</v>
      </c>
      <c r="DE31" s="2404">
        <v>3.909848208732813</v>
      </c>
      <c r="DF31" s="2404">
        <v>3.7625954346183024</v>
      </c>
      <c r="DG31" s="2404">
        <v>3.6827117070059883</v>
      </c>
      <c r="DH31" s="2404">
        <v>3.6979842359907096</v>
      </c>
      <c r="DI31" s="2404">
        <v>3.7828404874052901</v>
      </c>
      <c r="DJ31" s="2404">
        <v>3.9191637932017236</v>
      </c>
      <c r="DK31" s="2404">
        <v>3.9514543026214488</v>
      </c>
      <c r="DL31" s="2404">
        <v>3.8359853005092184</v>
      </c>
      <c r="DM31" s="2404">
        <v>3.7274638806544615</v>
      </c>
      <c r="DN31" s="2404">
        <v>3.7306375348746883</v>
      </c>
      <c r="DO31" s="2404">
        <v>3.8802480426309258</v>
      </c>
      <c r="DP31" s="2404">
        <v>3.8329099385933123</v>
      </c>
      <c r="DQ31" s="2404">
        <v>3.7804619281712579</v>
      </c>
      <c r="DR31" s="2404">
        <v>3.6630073893087989</v>
      </c>
      <c r="DS31" s="2404">
        <v>3.6192437040455188</v>
      </c>
      <c r="DT31" s="2404">
        <v>3.6527415832442087</v>
      </c>
      <c r="DU31" s="2404">
        <v>3.5576262187028851</v>
      </c>
      <c r="DV31" s="2404">
        <v>3.5266240813225913</v>
      </c>
      <c r="DW31" s="2404">
        <v>3.4548237904409915</v>
      </c>
      <c r="DX31" s="2404">
        <v>3.492511961893848</v>
      </c>
      <c r="DY31" s="2404">
        <v>3.4153373573757264</v>
      </c>
      <c r="DZ31" s="2404">
        <v>3.1550674573292907</v>
      </c>
      <c r="EA31" s="2404">
        <v>3.2093342079043912</v>
      </c>
      <c r="EB31" s="2404">
        <v>3.1358030997531885</v>
      </c>
      <c r="EC31" s="2404">
        <v>3.1677634558290126</v>
      </c>
      <c r="ED31" s="2404">
        <v>3.1473238687509282</v>
      </c>
      <c r="EE31" s="2404">
        <v>3.0695100067739309</v>
      </c>
      <c r="EF31" s="2404">
        <v>2.9986284940067907</v>
      </c>
      <c r="EG31" s="2404">
        <v>2.8665131912974284</v>
      </c>
      <c r="EH31" s="2404">
        <v>2.8307984638668495</v>
      </c>
      <c r="EI31" s="2404">
        <v>2.8703791531057448</v>
      </c>
      <c r="EJ31" s="2404">
        <v>2.93147652163253</v>
      </c>
      <c r="EK31" s="2404">
        <v>2.9753364948827432</v>
      </c>
      <c r="EL31" s="2404">
        <v>2.9062170832109917</v>
      </c>
      <c r="EM31" s="2404">
        <v>2.9112595055048947</v>
      </c>
      <c r="EN31" s="2404">
        <v>2.9311100105401997</v>
      </c>
      <c r="EO31" s="2404">
        <v>2.9045200843882699</v>
      </c>
      <c r="EP31" s="2404">
        <v>2.8964409801106323</v>
      </c>
      <c r="EQ31" s="2404">
        <v>2.9019397114231102</v>
      </c>
      <c r="ER31" s="2404">
        <v>2.8145403504306978</v>
      </c>
      <c r="ES31" s="2404">
        <v>2.8557139524186517</v>
      </c>
      <c r="ET31" s="2404">
        <v>2.9126323564897816</v>
      </c>
      <c r="EU31" s="2404">
        <v>3.0087663574384909</v>
      </c>
      <c r="EV31" s="2404">
        <v>3.0824818181818183</v>
      </c>
      <c r="EW31" s="2404">
        <v>3.0012321128754431</v>
      </c>
      <c r="EX31" s="2404">
        <v>2.9307087662337667</v>
      </c>
      <c r="EY31" s="2404">
        <v>2.9220071428571432</v>
      </c>
      <c r="EZ31" s="2404">
        <v>2.8136608843537418</v>
      </c>
      <c r="FA31" s="2404">
        <v>2.6584085034047624</v>
      </c>
      <c r="FB31" s="2404">
        <v>2.7106951298733764</v>
      </c>
      <c r="FC31" s="2404">
        <v>2.6328842105263157</v>
      </c>
      <c r="FD31" s="2404">
        <v>2.4793863636363636</v>
      </c>
      <c r="FE31" s="2404">
        <v>2.264475</v>
      </c>
      <c r="FF31" s="2404">
        <v>2.3340052631578949</v>
      </c>
      <c r="FG31" s="2404">
        <v>2.3751818181818183</v>
      </c>
      <c r="FH31" s="2404">
        <v>2.4814949999999998</v>
      </c>
      <c r="FI31" s="2404">
        <v>2.3804776223776218</v>
      </c>
      <c r="FJ31" s="2404">
        <v>2.4236181818181817</v>
      </c>
      <c r="FK31" s="2404">
        <v>2.5465299999999997</v>
      </c>
      <c r="FL31" s="2404">
        <v>2.6517499999999994</v>
      </c>
      <c r="FM31" s="2404">
        <v>2.6006285714285715</v>
      </c>
      <c r="FN31" s="2404">
        <v>2.6369666666666669</v>
      </c>
      <c r="FO31" s="2404">
        <v>2.6483047619047624</v>
      </c>
      <c r="FP31" s="2404">
        <v>2.6747590909090913</v>
      </c>
      <c r="FQ31" s="2404">
        <v>2.7276380952380954</v>
      </c>
      <c r="FR31" s="2404">
        <v>2.7891411764705882</v>
      </c>
      <c r="FS31" s="2404">
        <v>2.8311590909090905</v>
      </c>
      <c r="FT31" s="2404">
        <v>2.7107350000000006</v>
      </c>
      <c r="FU31" s="2404">
        <v>2.7069636363636365</v>
      </c>
      <c r="FV31" s="2404">
        <v>2.7742904761904761</v>
      </c>
      <c r="FW31" s="2404">
        <v>2.687095238095238</v>
      </c>
      <c r="FX31" s="2404">
        <v>2.5923434782608692</v>
      </c>
      <c r="FY31" s="2404">
        <v>2.60612380952381</v>
      </c>
      <c r="FZ31" s="2404">
        <v>2.5504769230769235</v>
      </c>
      <c r="GA31" s="2404">
        <v>2.4864850000000001</v>
      </c>
      <c r="GB31" s="2404">
        <v>2.6445150000000002</v>
      </c>
      <c r="GC31" s="2404">
        <v>2.7929222222222219</v>
      </c>
      <c r="GD31" s="2404">
        <v>2.8419941176470584</v>
      </c>
      <c r="GE31" s="2404">
        <v>2.8692380952380958</v>
      </c>
      <c r="GF31" s="2404">
        <v>2.8678047619047624</v>
      </c>
      <c r="GG31" s="2404">
        <v>2.8302181818181817</v>
      </c>
      <c r="GH31" s="2404">
        <v>2.6676523809523811</v>
      </c>
      <c r="GI31" s="2404">
        <v>2.6327545454545462</v>
      </c>
      <c r="GJ31" s="2404">
        <v>2.5166863636363641</v>
      </c>
      <c r="GK31" s="2404">
        <v>2.3832842105263161</v>
      </c>
      <c r="GL31" s="2404">
        <v>2.4448478260869564</v>
      </c>
      <c r="GM31" s="2404">
        <v>2.5180750000000005</v>
      </c>
      <c r="GN31" s="2404">
        <v>2.4843249999999997</v>
      </c>
      <c r="GO31" s="2404">
        <v>2.5463150000000008</v>
      </c>
      <c r="GP31" s="2404">
        <v>2.5472333333333328</v>
      </c>
      <c r="GQ31" s="2404">
        <v>2.4763842105263159</v>
      </c>
      <c r="GR31" s="2404">
        <v>2.5364318181818177</v>
      </c>
      <c r="GS31" s="2404">
        <v>2.5111136363636373</v>
      </c>
      <c r="GT31" s="2404">
        <v>2.5100578947368417</v>
      </c>
      <c r="GU31" s="2404">
        <v>2.6360000000000001</v>
      </c>
      <c r="GV31" s="2404">
        <v>2.4433636363636362</v>
      </c>
      <c r="GW31" s="2404">
        <v>2.5120105263157897</v>
      </c>
      <c r="GX31" s="2404">
        <v>2.5066351170568559</v>
      </c>
      <c r="GY31" s="2404">
        <v>2.5349789473684212</v>
      </c>
      <c r="GZ31" s="2404">
        <v>2.60297</v>
      </c>
      <c r="HA31" s="2404">
        <v>2.6129238095238092</v>
      </c>
      <c r="HB31" s="2404">
        <v>2.5502789473684211</v>
      </c>
      <c r="HC31" s="2405">
        <v>2.379775</v>
      </c>
      <c r="HD31" s="2404">
        <v>2.2049000000000003</v>
      </c>
      <c r="HE31" s="2404">
        <v>2.2698449999999997</v>
      </c>
      <c r="HF31" s="2405">
        <v>2.4010198051948062</v>
      </c>
      <c r="HG31" s="2404">
        <v>2.4553217391304352</v>
      </c>
      <c r="HH31" s="2404">
        <v>2.3743142857142856</v>
      </c>
      <c r="HI31" s="2404">
        <v>2.4507772727272732</v>
      </c>
      <c r="HJ31" s="2404">
        <v>2.4929318181818183</v>
      </c>
      <c r="HK31" s="2404">
        <v>2.6470400000000001</v>
      </c>
      <c r="HL31" s="2404">
        <v>2.7326000000000001</v>
      </c>
      <c r="HM31" s="2404">
        <v>2.6868736842105263</v>
      </c>
      <c r="HN31" s="2418">
        <v>2.7742833333333321</v>
      </c>
      <c r="HO31" s="2418">
        <v>2.7590700000000004</v>
      </c>
      <c r="HP31" s="2418">
        <v>2.8868750000000007</v>
      </c>
      <c r="HQ31" s="2418">
        <v>2.9620100000000003</v>
      </c>
      <c r="HR31" s="2418">
        <v>3.042981818181818</v>
      </c>
      <c r="HS31" s="2418">
        <v>3.0299590909090908</v>
      </c>
    </row>
    <row r="32" spans="1:227" ht="21" customHeight="1" x14ac:dyDescent="0.3">
      <c r="A32" s="2403" t="s">
        <v>4536</v>
      </c>
      <c r="B32" s="2404">
        <v>18.302</v>
      </c>
      <c r="C32" s="2404">
        <v>17.972999999999999</v>
      </c>
      <c r="D32" s="2404">
        <v>19.152272727272727</v>
      </c>
      <c r="E32" s="2404">
        <v>19.6465</v>
      </c>
      <c r="F32" s="2404">
        <v>20.420000000000002</v>
      </c>
      <c r="G32" s="2404">
        <v>20.020476190476192</v>
      </c>
      <c r="H32" s="2404">
        <v>20.015999999999998</v>
      </c>
      <c r="I32" s="2404">
        <v>20.027000000000001</v>
      </c>
      <c r="J32" s="2404">
        <v>20.305</v>
      </c>
      <c r="K32" s="2407">
        <v>20.577999999999999</v>
      </c>
      <c r="L32" s="2407">
        <v>21.103000000000002</v>
      </c>
      <c r="M32" s="2407">
        <v>20.626000000000001</v>
      </c>
      <c r="N32" s="2407">
        <v>20.436</v>
      </c>
      <c r="O32" s="2404">
        <v>20.059999999999999</v>
      </c>
      <c r="P32" s="2404">
        <v>21.216000000000001</v>
      </c>
      <c r="Q32" s="2404">
        <v>21.661999999999999</v>
      </c>
      <c r="R32" s="2404">
        <v>21.852</v>
      </c>
      <c r="S32" s="2404">
        <v>21.306000000000001</v>
      </c>
      <c r="T32" s="2404">
        <v>21.279</v>
      </c>
      <c r="U32" s="2404">
        <v>21.818999999999999</v>
      </c>
      <c r="V32" s="2404">
        <v>21.428000000000001</v>
      </c>
      <c r="W32" s="2404">
        <v>21.501000000000001</v>
      </c>
      <c r="X32" s="2404">
        <v>21.24</v>
      </c>
      <c r="Y32" s="2404">
        <v>20.849</v>
      </c>
      <c r="Z32" s="2404">
        <v>20.655999999999999</v>
      </c>
      <c r="AA32" s="2404">
        <v>21.132999999999999</v>
      </c>
      <c r="AB32" s="2404">
        <v>21.975999999999999</v>
      </c>
      <c r="AC32" s="2404">
        <v>22.724</v>
      </c>
      <c r="AD32" s="2404">
        <v>22.913</v>
      </c>
      <c r="AE32" s="2404">
        <v>22.687000000000001</v>
      </c>
      <c r="AF32" s="2404">
        <v>22.805</v>
      </c>
      <c r="AG32" s="2404">
        <v>23.326000000000001</v>
      </c>
      <c r="AH32" s="2404">
        <v>24.552</v>
      </c>
      <c r="AI32" s="2404">
        <v>24.945</v>
      </c>
      <c r="AJ32" s="2404">
        <v>24.318999999999999</v>
      </c>
      <c r="AK32" s="2404">
        <v>24.84</v>
      </c>
      <c r="AL32" s="2404">
        <v>24.512</v>
      </c>
      <c r="AM32" s="2404">
        <v>24.161000000000001</v>
      </c>
      <c r="AN32" s="2404">
        <v>23.3691</v>
      </c>
      <c r="AO32" s="2404">
        <v>22.993300000000001</v>
      </c>
      <c r="AP32" s="2404">
        <v>23.687000000000001</v>
      </c>
      <c r="AQ32" s="2404">
        <v>23.834299999999999</v>
      </c>
      <c r="AR32" s="2404">
        <v>23.723800000000001</v>
      </c>
      <c r="AS32" s="2404">
        <v>23.371600000000001</v>
      </c>
      <c r="AT32" s="2404">
        <v>23.5977</v>
      </c>
      <c r="AU32" s="2404">
        <v>24.1252</v>
      </c>
      <c r="AV32" s="2404">
        <v>23.677</v>
      </c>
      <c r="AW32" s="2404">
        <v>23.735499999999998</v>
      </c>
      <c r="AX32" s="2404">
        <v>24.166</v>
      </c>
      <c r="AY32" s="2404">
        <v>25.488199999999999</v>
      </c>
      <c r="AZ32" s="2404">
        <v>25.234999999999999</v>
      </c>
      <c r="BA32" s="2404">
        <v>25.367100000000001</v>
      </c>
      <c r="BB32" s="2404">
        <v>26.208100000000002</v>
      </c>
      <c r="BC32" s="2404">
        <v>26.445699999999999</v>
      </c>
      <c r="BD32" s="2404">
        <v>26.268999999999998</v>
      </c>
      <c r="BE32" s="2404">
        <v>27.004000000000001</v>
      </c>
      <c r="BF32" s="2404">
        <v>27.774000000000001</v>
      </c>
      <c r="BG32" s="2404">
        <v>27.1538</v>
      </c>
      <c r="BH32" s="2404">
        <v>27.171099999999999</v>
      </c>
      <c r="BI32" s="2404">
        <v>27.3325</v>
      </c>
      <c r="BJ32" s="2404">
        <v>27.041899999999998</v>
      </c>
      <c r="BK32" s="2404">
        <v>26.09</v>
      </c>
      <c r="BL32" s="2404">
        <v>25.984000000000002</v>
      </c>
      <c r="BM32" s="2404">
        <v>26.453199999999999</v>
      </c>
      <c r="BN32" s="2404">
        <v>26.263100000000001</v>
      </c>
      <c r="BO32" s="2404">
        <v>26.5534</v>
      </c>
      <c r="BP32" s="2404">
        <v>26.389800000000001</v>
      </c>
      <c r="BQ32" s="2404">
        <v>27.465</v>
      </c>
      <c r="BR32" s="2404">
        <v>26.335699999999999</v>
      </c>
      <c r="BS32" s="2404">
        <v>26.551400000000001</v>
      </c>
      <c r="BT32" s="2404">
        <v>26.3902</v>
      </c>
      <c r="BU32" s="2404">
        <v>27.081</v>
      </c>
      <c r="BV32" s="2404">
        <v>26.2255</v>
      </c>
      <c r="BW32" s="2404">
        <v>26.531300000000002</v>
      </c>
      <c r="BX32" s="2404">
        <v>26.857700000000001</v>
      </c>
      <c r="BY32" s="2404">
        <v>26.646899999999999</v>
      </c>
      <c r="BZ32" s="2404">
        <v>26.029499999999999</v>
      </c>
      <c r="CA32" s="2404">
        <v>26.732299999999999</v>
      </c>
      <c r="CB32" s="2404">
        <v>27.132200000000001</v>
      </c>
      <c r="CC32" s="2404">
        <v>27.476199999999999</v>
      </c>
      <c r="CD32" s="2404">
        <v>28.6631</v>
      </c>
      <c r="CE32" s="2404">
        <v>29.387</v>
      </c>
      <c r="CF32" s="2404">
        <v>28.995799999999999</v>
      </c>
      <c r="CG32" s="2404">
        <v>29.960799999999999</v>
      </c>
      <c r="CH32" s="2404">
        <v>29.9358</v>
      </c>
      <c r="CI32" s="2404">
        <v>30.529914999999999</v>
      </c>
      <c r="CJ32" s="2404">
        <v>30.758495454545457</v>
      </c>
      <c r="CK32" s="2404">
        <v>30.491508695652168</v>
      </c>
      <c r="CL32" s="2404">
        <v>30.580559999999998</v>
      </c>
      <c r="CM32" s="2404">
        <v>30.739638095238092</v>
      </c>
      <c r="CN32" s="2404">
        <v>30.574972727272733</v>
      </c>
      <c r="CO32" s="2404">
        <v>30.526254999999999</v>
      </c>
      <c r="CP32" s="2404">
        <v>29.404</v>
      </c>
      <c r="CQ32" s="2404">
        <v>30.367096466572946</v>
      </c>
      <c r="CR32" s="2404">
        <v>30.101642702534516</v>
      </c>
      <c r="CS32" s="2404">
        <v>31.318911415157316</v>
      </c>
      <c r="CT32" s="2404">
        <v>31.560772432947495</v>
      </c>
      <c r="CU32" s="2404">
        <v>31.333431707080347</v>
      </c>
      <c r="CV32" s="2404">
        <v>32.34166974693634</v>
      </c>
      <c r="CW32" s="2404">
        <v>32.424401345729812</v>
      </c>
      <c r="CX32" s="2404">
        <v>31.98539608510147</v>
      </c>
      <c r="CY32" s="2404">
        <v>32.540519347357375</v>
      </c>
      <c r="CZ32" s="2404">
        <v>32.143370290013429</v>
      </c>
      <c r="DA32" s="2404">
        <v>32.687098743326437</v>
      </c>
      <c r="DB32" s="2404">
        <v>34.164880077421074</v>
      </c>
      <c r="DC32" s="2404">
        <v>35.073493335868726</v>
      </c>
      <c r="DD32" s="2404">
        <v>36.938373618955467</v>
      </c>
      <c r="DE32" s="2404">
        <v>33.522896861722046</v>
      </c>
      <c r="DF32" s="2404">
        <v>32.940132570404089</v>
      </c>
      <c r="DG32" s="2404">
        <v>32.631981889323313</v>
      </c>
      <c r="DH32" s="2404">
        <v>32.12002594736542</v>
      </c>
      <c r="DI32" s="2404">
        <v>32.008933689835402</v>
      </c>
      <c r="DJ32" s="2404">
        <v>32.584446394653597</v>
      </c>
      <c r="DK32" s="2404">
        <v>32.544198005631692</v>
      </c>
      <c r="DL32" s="2404">
        <v>32.547496948851574</v>
      </c>
      <c r="DM32" s="2404">
        <v>32.045384894727938</v>
      </c>
      <c r="DN32" s="2404">
        <v>32.326526565066331</v>
      </c>
      <c r="DO32" s="2404">
        <v>32.446190471738937</v>
      </c>
      <c r="DP32" s="2404">
        <v>32.349890677758879</v>
      </c>
      <c r="DQ32" s="2404">
        <v>32.921402274366635</v>
      </c>
      <c r="DR32" s="2404">
        <v>33.56317891110902</v>
      </c>
      <c r="DS32" s="2404">
        <v>33.620944286596142</v>
      </c>
      <c r="DT32" s="2404">
        <v>33.87942714991911</v>
      </c>
      <c r="DU32" s="2404">
        <v>33.482000641837146</v>
      </c>
      <c r="DV32" s="2404">
        <v>33.644336495333903</v>
      </c>
      <c r="DW32" s="2404">
        <v>33.202552792325392</v>
      </c>
      <c r="DX32" s="2404">
        <v>33.58852054607091</v>
      </c>
      <c r="DY32" s="2404">
        <v>32.98489892011316</v>
      </c>
      <c r="DZ32" s="2404">
        <v>33.622921813261094</v>
      </c>
      <c r="EA32" s="2404">
        <v>33.365411879552788</v>
      </c>
      <c r="EB32" s="2404">
        <v>33.794220401829655</v>
      </c>
      <c r="EC32" s="2404">
        <v>33.872531969098993</v>
      </c>
      <c r="ED32" s="2404">
        <v>34.177164998813303</v>
      </c>
      <c r="EE32" s="2404">
        <v>33.914881686720776</v>
      </c>
      <c r="EF32" s="2404">
        <v>34.384516562301435</v>
      </c>
      <c r="EG32" s="2404">
        <v>34.002848663691381</v>
      </c>
      <c r="EH32" s="2404">
        <v>34.358601326841324</v>
      </c>
      <c r="EI32" s="2404">
        <v>34.728895806029115</v>
      </c>
      <c r="EJ32" s="2404">
        <v>34.662762353722385</v>
      </c>
      <c r="EK32" s="2404">
        <v>34.512673559385981</v>
      </c>
      <c r="EL32" s="2404">
        <v>34.360934230235934</v>
      </c>
      <c r="EM32" s="2404">
        <v>34.364150449734439</v>
      </c>
      <c r="EN32" s="2404">
        <v>34.129278026217939</v>
      </c>
      <c r="EO32" s="2404">
        <v>33.805663946657901</v>
      </c>
      <c r="EP32" s="2404">
        <v>33.462757747549617</v>
      </c>
      <c r="EQ32" s="2404">
        <v>33.179074007052591</v>
      </c>
      <c r="ER32" s="2404">
        <v>32.876832149493666</v>
      </c>
      <c r="ES32" s="2404">
        <v>34.966779077059201</v>
      </c>
      <c r="ET32" s="2404">
        <v>35.868983344404981</v>
      </c>
      <c r="EU32" s="2404">
        <v>36.824011099038096</v>
      </c>
      <c r="EV32" s="2404">
        <v>38.23150718956628</v>
      </c>
      <c r="EW32" s="2404">
        <v>38.329209954325414</v>
      </c>
      <c r="EX32" s="2404">
        <v>38.455866558441556</v>
      </c>
      <c r="EY32" s="2404">
        <v>37.917449689440993</v>
      </c>
      <c r="EZ32" s="2404">
        <v>37.28272278911566</v>
      </c>
      <c r="FA32" s="2404">
        <v>37.106617346938783</v>
      </c>
      <c r="FB32" s="2404">
        <v>37.52845389610389</v>
      </c>
      <c r="FC32" s="2404">
        <v>36.581399999999995</v>
      </c>
      <c r="FD32" s="2404">
        <v>36.956745454545455</v>
      </c>
      <c r="FE32" s="2404">
        <v>36.578369999999993</v>
      </c>
      <c r="FF32" s="2404">
        <v>36.84281578947369</v>
      </c>
      <c r="FG32" s="2404">
        <v>37.02895909090909</v>
      </c>
      <c r="FH32" s="2404">
        <v>37.337454999999999</v>
      </c>
      <c r="FI32" s="2404">
        <v>36.942261188811194</v>
      </c>
      <c r="FJ32" s="2404">
        <v>37.536550000000005</v>
      </c>
      <c r="FK32" s="2404">
        <v>37.195550000000004</v>
      </c>
      <c r="FL32" s="2404">
        <v>37.420413636363634</v>
      </c>
      <c r="FM32" s="2404">
        <v>37.311347619047623</v>
      </c>
      <c r="FN32" s="2404">
        <v>37.06155714285714</v>
      </c>
      <c r="FO32" s="2404">
        <v>36.87452857142857</v>
      </c>
      <c r="FP32" s="2404">
        <v>36.182404545454546</v>
      </c>
      <c r="FQ32" s="2404">
        <v>36.495180952380956</v>
      </c>
      <c r="FR32" s="2404">
        <v>36.529570588235302</v>
      </c>
      <c r="FS32" s="2404">
        <v>36.332927272727268</v>
      </c>
      <c r="FT32" s="2404">
        <v>36.266729999999995</v>
      </c>
      <c r="FU32" s="2404">
        <v>36.228686363636363</v>
      </c>
      <c r="FV32" s="2404">
        <v>36.769338095238091</v>
      </c>
      <c r="FW32" s="2404">
        <v>36.571638095238086</v>
      </c>
      <c r="FX32" s="2404">
        <v>35.389339130434784</v>
      </c>
      <c r="FY32" s="2404">
        <v>35.482547619047615</v>
      </c>
      <c r="FZ32" s="2404">
        <v>35.453821611721615</v>
      </c>
      <c r="GA32" s="2404">
        <v>35.21584</v>
      </c>
      <c r="GB32" s="2404">
        <v>35.111685000000001</v>
      </c>
      <c r="GC32" s="2404">
        <v>35.269594444444451</v>
      </c>
      <c r="GD32" s="2404">
        <v>35.849876470588235</v>
      </c>
      <c r="GE32" s="2404">
        <v>35.740623809523811</v>
      </c>
      <c r="GF32" s="2404">
        <v>35.599480952380951</v>
      </c>
      <c r="GG32" s="2404">
        <v>35.365209090909083</v>
      </c>
      <c r="GH32" s="2404">
        <v>35.596280952380951</v>
      </c>
      <c r="GI32" s="2404">
        <v>35.295259090909092</v>
      </c>
      <c r="GJ32" s="2404">
        <v>35.45183636363636</v>
      </c>
      <c r="GK32" s="2404">
        <v>36.125321052631584</v>
      </c>
      <c r="GL32" s="2404">
        <v>35.425313043478262</v>
      </c>
      <c r="GM32" s="2404">
        <v>35.184199999999997</v>
      </c>
      <c r="GN32" s="2404">
        <v>35.300965000000005</v>
      </c>
      <c r="GO32" s="2404">
        <v>35.31833000000001</v>
      </c>
      <c r="GP32" s="2404">
        <v>34.869550000000004</v>
      </c>
      <c r="GQ32" s="2404">
        <v>35.296977192982446</v>
      </c>
      <c r="GR32" s="2404">
        <v>35.320059090909098</v>
      </c>
      <c r="GS32" s="2404">
        <v>35.507990909090914</v>
      </c>
      <c r="GT32" s="2404">
        <v>36.694968421052629</v>
      </c>
      <c r="GU32" s="2404">
        <v>37.125</v>
      </c>
      <c r="GV32" s="2404">
        <v>37.405999999999999</v>
      </c>
      <c r="GW32" s="2404">
        <v>37.268284210526325</v>
      </c>
      <c r="GX32" s="2404">
        <v>37.262656159420295</v>
      </c>
      <c r="GY32" s="2404">
        <v>37.408121052631586</v>
      </c>
      <c r="GZ32" s="2404">
        <v>37.764490000000002</v>
      </c>
      <c r="HA32" s="2404">
        <v>38.364080952380945</v>
      </c>
      <c r="HB32" s="2404">
        <v>38.764126315789476</v>
      </c>
      <c r="HC32" s="2405">
        <v>40.801909999999992</v>
      </c>
      <c r="HD32" s="2404">
        <v>41.661886363636363</v>
      </c>
      <c r="HE32" s="2404">
        <v>41.984954999999999</v>
      </c>
      <c r="HF32" s="2405">
        <v>42.682192424242416</v>
      </c>
      <c r="HG32" s="2404">
        <v>43.522760869565211</v>
      </c>
      <c r="HH32" s="2404">
        <v>44.381995238095236</v>
      </c>
      <c r="HI32" s="2404">
        <v>44.280186363636354</v>
      </c>
      <c r="HJ32" s="2404">
        <v>44.442568181818189</v>
      </c>
      <c r="HK32" s="2404">
        <v>44.592795000000002</v>
      </c>
      <c r="HL32" s="2404">
        <v>45.303681818181822</v>
      </c>
      <c r="HM32" s="2404">
        <v>45.276715789473677</v>
      </c>
      <c r="HN32" s="2418">
        <v>45.051250000000003</v>
      </c>
      <c r="HO32" s="2418">
        <v>43.991344999999995</v>
      </c>
      <c r="HP32" s="2418">
        <v>44.531130000000005</v>
      </c>
      <c r="HQ32" s="2418">
        <v>45.590585000000004</v>
      </c>
      <c r="HR32" s="2418">
        <v>45.997745454545452</v>
      </c>
      <c r="HS32" s="2418">
        <v>47.255204545454554</v>
      </c>
    </row>
    <row r="33" spans="1:227" ht="21" customHeight="1" x14ac:dyDescent="0.3">
      <c r="A33" s="2403" t="s">
        <v>4537</v>
      </c>
      <c r="B33" s="2404">
        <v>30.48</v>
      </c>
      <c r="C33" s="2404">
        <v>30.515999999999998</v>
      </c>
      <c r="D33" s="2404">
        <v>30.411568181818176</v>
      </c>
      <c r="E33" s="2404">
        <v>30.28931</v>
      </c>
      <c r="F33" s="2404">
        <v>30.076565217391302</v>
      </c>
      <c r="G33" s="2404">
        <v>29.938290476190474</v>
      </c>
      <c r="H33" s="2404">
        <v>29.885439999999999</v>
      </c>
      <c r="I33" s="2404">
        <v>29.876999999999999</v>
      </c>
      <c r="J33" s="2404">
        <v>29.739000000000001</v>
      </c>
      <c r="K33" s="2404">
        <v>29.605989999999998</v>
      </c>
      <c r="L33" s="2404">
        <v>29.05</v>
      </c>
      <c r="M33" s="2404">
        <v>28.125</v>
      </c>
      <c r="N33" s="2404">
        <v>27.860099999999999</v>
      </c>
      <c r="O33" s="2404">
        <v>27.677</v>
      </c>
      <c r="P33" s="2404">
        <v>27.815000000000001</v>
      </c>
      <c r="Q33" s="2404">
        <v>28.588999999999999</v>
      </c>
      <c r="R33" s="2404">
        <v>29.77</v>
      </c>
      <c r="S33" s="2404">
        <v>29.466000000000001</v>
      </c>
      <c r="T33" s="2404">
        <v>29.350999999999999</v>
      </c>
      <c r="U33" s="2404">
        <v>28.904</v>
      </c>
      <c r="V33" s="2404">
        <v>28.623999999999999</v>
      </c>
      <c r="W33" s="2404">
        <v>27.271999999999998</v>
      </c>
      <c r="X33" s="2404">
        <v>26.442</v>
      </c>
      <c r="Y33" s="2404">
        <v>26.079000000000001</v>
      </c>
      <c r="Z33" s="2404">
        <v>26.469000000000001</v>
      </c>
      <c r="AA33" s="2404">
        <v>27.405999999999999</v>
      </c>
      <c r="AB33" s="2404">
        <v>28.221</v>
      </c>
      <c r="AC33" s="2404">
        <v>28.42</v>
      </c>
      <c r="AD33" s="2404">
        <v>28.491</v>
      </c>
      <c r="AE33" s="2404">
        <v>28.62</v>
      </c>
      <c r="AF33" s="2404">
        <v>28.780999999999999</v>
      </c>
      <c r="AG33" s="2404">
        <v>28.814</v>
      </c>
      <c r="AH33" s="2404">
        <v>28.745000000000001</v>
      </c>
      <c r="AI33" s="2404">
        <v>28.565000000000001</v>
      </c>
      <c r="AJ33" s="2404">
        <v>28.663</v>
      </c>
      <c r="AK33" s="2404">
        <v>29.161000000000001</v>
      </c>
      <c r="AL33" s="2404">
        <v>29.311199999999999</v>
      </c>
      <c r="AM33" s="2404">
        <v>29.378299999999999</v>
      </c>
      <c r="AN33" s="2404">
        <v>29.5322</v>
      </c>
      <c r="AO33" s="2404">
        <v>29.7195</v>
      </c>
      <c r="AP33" s="2404">
        <v>29.929600000000001</v>
      </c>
      <c r="AQ33" s="2404">
        <v>30.129200000000001</v>
      </c>
      <c r="AR33" s="2404">
        <v>30.528500000000001</v>
      </c>
      <c r="AS33" s="2404">
        <v>30.6585</v>
      </c>
      <c r="AT33" s="2404">
        <v>30.772099999999998</v>
      </c>
      <c r="AU33" s="2404">
        <v>30.7911</v>
      </c>
      <c r="AV33" s="2404">
        <v>30.849599999999999</v>
      </c>
      <c r="AW33" s="2404">
        <v>30.909300000000002</v>
      </c>
      <c r="AX33" s="2404">
        <v>30.974599999999999</v>
      </c>
      <c r="AY33" s="2404">
        <v>30.979399999999998</v>
      </c>
      <c r="AZ33" s="2404">
        <v>30.987500000000001</v>
      </c>
      <c r="BA33" s="2404">
        <v>31.266999999999999</v>
      </c>
      <c r="BB33" s="2404">
        <v>32.0807</v>
      </c>
      <c r="BC33" s="2404">
        <v>32.616700000000002</v>
      </c>
      <c r="BD33" s="2404">
        <v>32.846499999999999</v>
      </c>
      <c r="BE33" s="2404">
        <v>33.113</v>
      </c>
      <c r="BF33" s="2404">
        <v>33.304900000000004</v>
      </c>
      <c r="BG33" s="2404">
        <v>33.567799999999998</v>
      </c>
      <c r="BH33" s="2404">
        <v>33.511099999999999</v>
      </c>
      <c r="BI33" s="2404">
        <v>33.086199999999998</v>
      </c>
      <c r="BJ33" s="2404">
        <v>32.654699999999998</v>
      </c>
      <c r="BK33" s="2404">
        <v>31.895800000000001</v>
      </c>
      <c r="BL33" s="2404">
        <v>31.992000000000001</v>
      </c>
      <c r="BM33" s="2404">
        <v>31.892700000000001</v>
      </c>
      <c r="BN33" s="2404">
        <v>31.524799999999999</v>
      </c>
      <c r="BO33" s="2404">
        <v>31.4406</v>
      </c>
      <c r="BP33" s="2404">
        <v>30.9251</v>
      </c>
      <c r="BQ33" s="2404">
        <v>30.692</v>
      </c>
      <c r="BR33" s="2404">
        <v>29.962800000000001</v>
      </c>
      <c r="BS33" s="2404">
        <v>29.1815</v>
      </c>
      <c r="BT33" s="2404">
        <v>28.791699999999999</v>
      </c>
      <c r="BU33" s="2404">
        <v>27.340900000000001</v>
      </c>
      <c r="BV33" s="2404">
        <v>26.566099999999999</v>
      </c>
      <c r="BW33" s="2404">
        <v>27.6828</v>
      </c>
      <c r="BX33" s="2404">
        <v>27.789100000000001</v>
      </c>
      <c r="BY33" s="2404">
        <v>27.296099999999999</v>
      </c>
      <c r="BZ33" s="2404">
        <v>28.122499999999999</v>
      </c>
      <c r="CA33" s="2404">
        <v>29.536000000000001</v>
      </c>
      <c r="CB33" s="2404">
        <v>30.868200000000002</v>
      </c>
      <c r="CC33" s="2404">
        <v>32.529899999999998</v>
      </c>
      <c r="CD33" s="2404">
        <v>32.531300000000002</v>
      </c>
      <c r="CE33" s="2404">
        <v>32.883299999999998</v>
      </c>
      <c r="CF33" s="2404">
        <v>33.808900000000001</v>
      </c>
      <c r="CG33" s="2404">
        <v>34.463099999999997</v>
      </c>
      <c r="CH33" s="2404">
        <v>34.204099999999997</v>
      </c>
      <c r="CI33" s="2404">
        <v>33.680095000000001</v>
      </c>
      <c r="CJ33" s="2404">
        <v>33.103550000000006</v>
      </c>
      <c r="CK33" s="2404">
        <v>32.852173913043487</v>
      </c>
      <c r="CL33" s="2404">
        <v>32.630909999999993</v>
      </c>
      <c r="CM33" s="2404">
        <v>31.966957142857144</v>
      </c>
      <c r="CN33" s="2404">
        <v>31.282936363636363</v>
      </c>
      <c r="CO33" s="2404">
        <v>30.84427500000001</v>
      </c>
      <c r="CP33" s="2404">
        <v>33.222999999999999</v>
      </c>
      <c r="CQ33" s="2404">
        <v>31.974693871171336</v>
      </c>
      <c r="CR33" s="2404">
        <v>31.276929178596401</v>
      </c>
      <c r="CS33" s="2404">
        <v>31.332206832108845</v>
      </c>
      <c r="CT33" s="2404">
        <v>30.540046698956036</v>
      </c>
      <c r="CU33" s="2404">
        <v>30.823271424995873</v>
      </c>
      <c r="CV33" s="2404">
        <v>31.312730052763982</v>
      </c>
      <c r="CW33" s="2404">
        <v>31.000889127687969</v>
      </c>
      <c r="CX33" s="2404">
        <v>30.356005798710314</v>
      </c>
      <c r="CY33" s="2404">
        <v>29.754140958782465</v>
      </c>
      <c r="CZ33" s="2404">
        <v>28.813938185803568</v>
      </c>
      <c r="DA33" s="2404">
        <v>28.525412085357139</v>
      </c>
      <c r="DB33" s="2404">
        <v>28.716500147500007</v>
      </c>
      <c r="DC33" s="2404">
        <v>28.880026576496601</v>
      </c>
      <c r="DD33" s="2404">
        <v>28.72296722483766</v>
      </c>
      <c r="DE33" s="2404">
        <v>29.207330984829934</v>
      </c>
      <c r="DF33" s="2404">
        <v>29.596017442714281</v>
      </c>
      <c r="DG33" s="2404">
        <v>29.678089665821425</v>
      </c>
      <c r="DH33" s="2404">
        <v>29.934107816980518</v>
      </c>
      <c r="DI33" s="2404">
        <v>30.005328842285714</v>
      </c>
      <c r="DJ33" s="2404">
        <v>29.693063409722228</v>
      </c>
      <c r="DK33" s="2404">
        <v>29.680604799999998</v>
      </c>
      <c r="DL33" s="2404">
        <v>29.716380008707482</v>
      </c>
      <c r="DM33" s="2404">
        <v>30.05609916402598</v>
      </c>
      <c r="DN33" s="2404">
        <v>30.932721267006801</v>
      </c>
      <c r="DO33" s="2404">
        <v>31.653170896103902</v>
      </c>
      <c r="DP33" s="2404">
        <v>31.337346506802717</v>
      </c>
      <c r="DQ33" s="2404">
        <v>30.914747535714284</v>
      </c>
      <c r="DR33" s="2404">
        <v>31.306451739130431</v>
      </c>
      <c r="DS33" s="2404">
        <v>31.525007057142865</v>
      </c>
      <c r="DT33" s="2404">
        <v>31.171176964285706</v>
      </c>
      <c r="DU33" s="2404">
        <v>30.936054421768702</v>
      </c>
      <c r="DV33" s="2404">
        <v>30.917318646616536</v>
      </c>
      <c r="DW33" s="2404">
        <v>31.334401928571424</v>
      </c>
      <c r="DX33" s="2404">
        <v>31.392931992857143</v>
      </c>
      <c r="DY33" s="2404">
        <v>31.444321055194813</v>
      </c>
      <c r="DZ33" s="2404">
        <v>31.292577892857146</v>
      </c>
      <c r="EA33" s="2404">
        <v>31.438483183229817</v>
      </c>
      <c r="EB33" s="2404">
        <v>31.234327261904767</v>
      </c>
      <c r="EC33" s="2404">
        <v>31.235243946428568</v>
      </c>
      <c r="ED33" s="2404">
        <v>30.829681149068325</v>
      </c>
      <c r="EE33" s="2404">
        <v>30.944521853571427</v>
      </c>
      <c r="EF33" s="2404">
        <v>30.715731275510194</v>
      </c>
      <c r="EG33" s="2404">
        <v>30.719229398496239</v>
      </c>
      <c r="EH33" s="2404">
        <v>30.698071650793647</v>
      </c>
      <c r="EI33" s="2404">
        <v>30.554526879699246</v>
      </c>
      <c r="EJ33" s="2404">
        <v>30.573887902597402</v>
      </c>
      <c r="EK33" s="2404">
        <v>30.613980391156463</v>
      </c>
      <c r="EL33" s="2404">
        <v>30.745648513605445</v>
      </c>
      <c r="EM33" s="2404">
        <v>30.763624523181818</v>
      </c>
      <c r="EN33" s="2404">
        <v>31.000125085050001</v>
      </c>
      <c r="EO33" s="2404">
        <v>31.507607231610393</v>
      </c>
      <c r="EP33" s="2404">
        <v>31.742292358116881</v>
      </c>
      <c r="EQ33" s="2404">
        <v>31.868674363750007</v>
      </c>
      <c r="ER33" s="2404">
        <v>31.974671007653054</v>
      </c>
      <c r="ES33" s="2404">
        <v>32.706129572142864</v>
      </c>
      <c r="ET33" s="2404">
        <v>33.375906683109243</v>
      </c>
      <c r="EU33" s="2404">
        <v>35.853929457993196</v>
      </c>
      <c r="EV33" s="2404">
        <v>36.62090454545455</v>
      </c>
      <c r="EW33" s="2404">
        <v>35.564990000000009</v>
      </c>
      <c r="EX33" s="2404">
        <v>35.68950357142856</v>
      </c>
      <c r="EY33" s="2404">
        <v>35.990642857142859</v>
      </c>
      <c r="EZ33" s="2404">
        <v>35.958073469387749</v>
      </c>
      <c r="FA33" s="2404">
        <v>35.928473469387754</v>
      </c>
      <c r="FB33" s="2404">
        <v>36.218475974025985</v>
      </c>
      <c r="FC33" s="2404">
        <v>36.782142105263169</v>
      </c>
      <c r="FD33" s="2404">
        <v>36.636790909090912</v>
      </c>
      <c r="FE33" s="2404">
        <v>36.652145000000004</v>
      </c>
      <c r="FF33" s="2404">
        <v>36.378778947368424</v>
      </c>
      <c r="FG33" s="2404">
        <v>36.244327272727269</v>
      </c>
      <c r="FH33" s="2404">
        <v>35.877174999999994</v>
      </c>
      <c r="FI33" s="2404">
        <v>35.982452797202789</v>
      </c>
      <c r="FJ33" s="2404">
        <v>36.297413636363636</v>
      </c>
      <c r="FK33" s="2404">
        <v>36.410744999999999</v>
      </c>
      <c r="FL33" s="2404">
        <v>36.204559090909086</v>
      </c>
      <c r="FM33" s="2404">
        <v>36.210380952380945</v>
      </c>
      <c r="FN33" s="2404">
        <v>36.426980952380944</v>
      </c>
      <c r="FO33" s="2404">
        <v>36.578514285714292</v>
      </c>
      <c r="FP33" s="2404">
        <v>36.755131818181809</v>
      </c>
      <c r="FQ33" s="2404">
        <v>36.657628571428582</v>
      </c>
      <c r="FR33" s="2404">
        <v>36.470017647058825</v>
      </c>
      <c r="FS33" s="2404">
        <v>36.309750000000001</v>
      </c>
      <c r="FT33" s="2404">
        <v>36.180999999999997</v>
      </c>
      <c r="FU33" s="2404">
        <v>35.641809090909085</v>
      </c>
      <c r="FV33" s="2404">
        <v>35.473066666666668</v>
      </c>
      <c r="FW33" s="2404">
        <v>34.990395238095232</v>
      </c>
      <c r="FX33" s="2404">
        <v>34.064708695652179</v>
      </c>
      <c r="FY33" s="2404">
        <v>34.045223809523812</v>
      </c>
      <c r="FZ33" s="2404">
        <v>34.688680952380949</v>
      </c>
      <c r="GA33" s="2404">
        <v>34.80456499999999</v>
      </c>
      <c r="GB33" s="2404">
        <v>34.582839999999997</v>
      </c>
      <c r="GC33" s="2404">
        <v>33.885227777777772</v>
      </c>
      <c r="GD33" s="2404">
        <v>33.417117647058824</v>
      </c>
      <c r="GE33" s="2404">
        <v>33.767400000000009</v>
      </c>
      <c r="GF33" s="2404">
        <v>34.274038095238105</v>
      </c>
      <c r="GG33" s="2404">
        <v>35.116331818181813</v>
      </c>
      <c r="GH33" s="2404">
        <v>35.065619047619045</v>
      </c>
      <c r="GI33" s="2404">
        <v>34.941818181818178</v>
      </c>
      <c r="GJ33" s="2404">
        <v>34.926854545454546</v>
      </c>
      <c r="GK33" s="2404">
        <v>34.810152631578944</v>
      </c>
      <c r="GL33" s="2404">
        <v>35.003356521739121</v>
      </c>
      <c r="GM33" s="2404">
        <v>35.050714999999997</v>
      </c>
      <c r="GN33" s="2404">
        <v>34.861440000000002</v>
      </c>
      <c r="GO33" s="2404">
        <v>34.743649999999995</v>
      </c>
      <c r="GP33" s="2404">
        <v>34.76755</v>
      </c>
      <c r="GQ33" s="2404">
        <v>35.119</v>
      </c>
      <c r="GR33" s="2404">
        <v>35.394027272727271</v>
      </c>
      <c r="GS33" s="2404">
        <v>35.709263636363637</v>
      </c>
      <c r="GT33" s="2404">
        <v>36.098000000000006</v>
      </c>
      <c r="GU33" s="2404">
        <v>36.461168181818181</v>
      </c>
      <c r="GV33" s="2404">
        <v>36.45008636363638</v>
      </c>
      <c r="GW33" s="2404">
        <v>36.728910526315779</v>
      </c>
      <c r="GX33" s="2404">
        <v>36.831666220735777</v>
      </c>
      <c r="GY33" s="2404">
        <v>36.947700000000005</v>
      </c>
      <c r="GZ33" s="2404">
        <v>36.977649999999997</v>
      </c>
      <c r="HA33" s="2404">
        <v>37.019704761904755</v>
      </c>
      <c r="HB33" s="2404">
        <v>37.632894736842104</v>
      </c>
      <c r="HC33" s="2405">
        <v>38.807469999999995</v>
      </c>
      <c r="HD33" s="2404">
        <v>40.155881818181825</v>
      </c>
      <c r="HE33" s="2404">
        <v>40.464214999999996</v>
      </c>
      <c r="HF33" s="2405">
        <v>40.392528571428571</v>
      </c>
      <c r="HG33" s="2404">
        <v>40.434656521739136</v>
      </c>
      <c r="HH33" s="2404">
        <v>40.193166666666663</v>
      </c>
      <c r="HI33" s="2404">
        <v>40.260709090909081</v>
      </c>
      <c r="HJ33" s="2404">
        <v>40.327763636363642</v>
      </c>
      <c r="HK33" s="2404">
        <v>40.382574999999996</v>
      </c>
      <c r="HL33" s="2404">
        <v>40.045186363636361</v>
      </c>
      <c r="HM33" s="2404">
        <v>39.903231578947363</v>
      </c>
      <c r="HN33" s="2418">
        <v>40.197800000000001</v>
      </c>
      <c r="HO33" s="2418">
        <v>40.606780000000001</v>
      </c>
      <c r="HP33" s="2418">
        <v>40.879605000000005</v>
      </c>
      <c r="HQ33" s="2418">
        <v>40.919965000000005</v>
      </c>
      <c r="HR33" s="2418">
        <v>41.466336363636373</v>
      </c>
      <c r="HS33" s="2418">
        <v>43.109872727272723</v>
      </c>
    </row>
    <row r="34" spans="1:227" ht="21" customHeight="1" x14ac:dyDescent="0.3">
      <c r="A34" s="2403" t="s">
        <v>4538</v>
      </c>
      <c r="B34" s="2404">
        <v>43.728999999999999</v>
      </c>
      <c r="C34" s="2404">
        <v>43.457000000000001</v>
      </c>
      <c r="D34" s="2404">
        <v>44.411136363636359</v>
      </c>
      <c r="E34" s="2404">
        <v>44.873800000000003</v>
      </c>
      <c r="F34" s="2404">
        <v>46.786782608695653</v>
      </c>
      <c r="G34" s="2404">
        <v>46.077190476190474</v>
      </c>
      <c r="H34" s="2404">
        <v>46.498899999999992</v>
      </c>
      <c r="I34" s="2404">
        <v>46.552999999999997</v>
      </c>
      <c r="J34" s="2404">
        <v>46.753</v>
      </c>
      <c r="K34" s="2404">
        <v>46.969099999999997</v>
      </c>
      <c r="L34" s="2404">
        <v>46.94</v>
      </c>
      <c r="M34" s="2404">
        <v>45.247999999999998</v>
      </c>
      <c r="N34" s="2404">
        <v>44.021799999999999</v>
      </c>
      <c r="O34" s="2404">
        <v>43.539000000000001</v>
      </c>
      <c r="P34" s="2404">
        <v>45.064999999999998</v>
      </c>
      <c r="Q34" s="2404">
        <v>47.393999999999998</v>
      </c>
      <c r="R34" s="2404">
        <v>48.311999999999998</v>
      </c>
      <c r="S34" s="2404">
        <v>46.908999999999999</v>
      </c>
      <c r="T34" s="2404">
        <v>47.237000000000002</v>
      </c>
      <c r="U34" s="2404">
        <v>48.387</v>
      </c>
      <c r="V34" s="2404">
        <v>48.26</v>
      </c>
      <c r="W34" s="2404">
        <v>47.637999999999998</v>
      </c>
      <c r="X34" s="2404">
        <v>48.09</v>
      </c>
      <c r="Y34" s="2404">
        <v>48.585000000000001</v>
      </c>
      <c r="Z34" s="2404">
        <v>48.39</v>
      </c>
      <c r="AA34" s="2404">
        <v>49.530999999999999</v>
      </c>
      <c r="AB34" s="2404">
        <v>50.45</v>
      </c>
      <c r="AC34" s="2404">
        <v>52.070999999999998</v>
      </c>
      <c r="AD34" s="2404">
        <v>52.654000000000003</v>
      </c>
      <c r="AE34" s="2404">
        <v>52.191000000000003</v>
      </c>
      <c r="AF34" s="2404">
        <v>51.664999999999999</v>
      </c>
      <c r="AG34" s="2404">
        <v>52.084000000000003</v>
      </c>
      <c r="AH34" s="2404">
        <v>53.478999999999999</v>
      </c>
      <c r="AI34" s="2404">
        <v>55.128999999999998</v>
      </c>
      <c r="AJ34" s="2404">
        <v>53.886000000000003</v>
      </c>
      <c r="AK34" s="2404">
        <v>55.552</v>
      </c>
      <c r="AL34" s="2404">
        <v>55.546999999999997</v>
      </c>
      <c r="AM34" s="2404">
        <v>54.582000000000001</v>
      </c>
      <c r="AN34" s="2404">
        <v>53.764400000000002</v>
      </c>
      <c r="AO34" s="2404">
        <v>52.118899999999996</v>
      </c>
      <c r="AP34" s="2404">
        <v>53.663699999999999</v>
      </c>
      <c r="AQ34" s="2404">
        <v>54.507399999999997</v>
      </c>
      <c r="AR34" s="2404">
        <v>53.908099999999997</v>
      </c>
      <c r="AS34" s="2404">
        <v>53.1374</v>
      </c>
      <c r="AT34" s="2404">
        <v>53.831800000000001</v>
      </c>
      <c r="AU34" s="2404">
        <v>54.496600000000001</v>
      </c>
      <c r="AV34" s="2404">
        <v>54.075000000000003</v>
      </c>
      <c r="AW34" s="2404">
        <v>54.119</v>
      </c>
      <c r="AX34" s="2404">
        <v>54.866999999999997</v>
      </c>
      <c r="AY34" s="2404">
        <v>58.089300000000001</v>
      </c>
      <c r="AZ34" s="2404">
        <v>57.344499999999996</v>
      </c>
      <c r="BA34" s="2404">
        <v>57.874600000000001</v>
      </c>
      <c r="BB34" s="2404">
        <v>61.101599999999998</v>
      </c>
      <c r="BC34" s="2404">
        <v>62.146799999999999</v>
      </c>
      <c r="BD34" s="2404">
        <v>62.403399999999998</v>
      </c>
      <c r="BE34" s="2404">
        <v>64.438999999999993</v>
      </c>
      <c r="BF34" s="2404">
        <v>66.757000000000005</v>
      </c>
      <c r="BG34" s="2404">
        <v>66.881399999999999</v>
      </c>
      <c r="BH34" s="2404">
        <v>66.0886</v>
      </c>
      <c r="BI34" s="2404">
        <v>64.609800000000007</v>
      </c>
      <c r="BJ34" s="2404">
        <v>64.9114</v>
      </c>
      <c r="BK34" s="2404">
        <v>63.135199999999998</v>
      </c>
      <c r="BL34" s="2404">
        <v>63.54</v>
      </c>
      <c r="BM34" s="2404">
        <v>64.853700000000003</v>
      </c>
      <c r="BN34" s="2404">
        <v>63.315199999999997</v>
      </c>
      <c r="BO34" s="2404">
        <v>63.431899999999999</v>
      </c>
      <c r="BP34" s="2404">
        <v>63.187199999999997</v>
      </c>
      <c r="BQ34" s="2404">
        <v>63.508000000000003</v>
      </c>
      <c r="BR34" s="2404">
        <v>60.499299999999998</v>
      </c>
      <c r="BS34" s="2404">
        <v>57.462400000000002</v>
      </c>
      <c r="BT34" s="2404">
        <v>56.447699999999998</v>
      </c>
      <c r="BU34" s="2404">
        <v>54.580100000000002</v>
      </c>
      <c r="BV34" s="2404">
        <v>52.476599999999998</v>
      </c>
      <c r="BW34" s="2404">
        <v>54.421500000000002</v>
      </c>
      <c r="BX34" s="2404">
        <v>54.688000000000002</v>
      </c>
      <c r="BY34" s="2404">
        <v>54.360100000000003</v>
      </c>
      <c r="BZ34" s="2404">
        <v>53.308599999999998</v>
      </c>
      <c r="CA34" s="2404">
        <v>53.242800000000003</v>
      </c>
      <c r="CB34" s="2404">
        <v>52.551699999999997</v>
      </c>
      <c r="CC34" s="2404">
        <v>50.118400000000001</v>
      </c>
      <c r="CD34" s="2404">
        <v>48.8065</v>
      </c>
      <c r="CE34" s="2404">
        <v>47.9435</v>
      </c>
      <c r="CF34" s="2404">
        <v>48.941099999999999</v>
      </c>
      <c r="CG34" s="2404">
        <v>49.177199999999999</v>
      </c>
      <c r="CH34" s="2404">
        <v>50.3904</v>
      </c>
      <c r="CI34" s="2404">
        <v>51.997425000000007</v>
      </c>
      <c r="CJ34" s="2404">
        <v>54.15423636363635</v>
      </c>
      <c r="CK34" s="2404">
        <v>53.77383913043478</v>
      </c>
      <c r="CL34" s="2404">
        <v>54.015855000000002</v>
      </c>
      <c r="CM34" s="2404">
        <v>52.218390476190471</v>
      </c>
      <c r="CN34" s="2404">
        <v>50.61692272727273</v>
      </c>
      <c r="CO34" s="2404">
        <v>51.228165000000004</v>
      </c>
      <c r="CP34" s="2404">
        <v>48.692999999999998</v>
      </c>
      <c r="CQ34" s="2404">
        <v>48.806878729562932</v>
      </c>
      <c r="CR34" s="2404">
        <v>48.958594615396649</v>
      </c>
      <c r="CS34" s="2404">
        <v>48.77421588518299</v>
      </c>
      <c r="CT34" s="2404">
        <v>48.390693699980176</v>
      </c>
      <c r="CU34" s="2404">
        <v>49.170999878195829</v>
      </c>
      <c r="CV34" s="2404">
        <v>48.849220701302791</v>
      </c>
      <c r="CW34" s="2404">
        <v>48.859723931757514</v>
      </c>
      <c r="CX34" s="2404">
        <v>48.967660895773207</v>
      </c>
      <c r="CY34" s="2404">
        <v>48.04873846943795</v>
      </c>
      <c r="CZ34" s="2404">
        <v>47.140436357137055</v>
      </c>
      <c r="DA34" s="2404">
        <v>46.644883418231572</v>
      </c>
      <c r="DB34" s="2404">
        <v>46.601999999999997</v>
      </c>
      <c r="DC34" s="2404">
        <v>46.606915109975475</v>
      </c>
      <c r="DD34" s="2404">
        <v>47.038349551055369</v>
      </c>
      <c r="DE34" s="2404">
        <v>46.102613001097964</v>
      </c>
      <c r="DF34" s="2404">
        <v>46.540730881416351</v>
      </c>
      <c r="DG34" s="2404">
        <v>46.851776451724426</v>
      </c>
      <c r="DH34" s="2404">
        <v>46.65938320057856</v>
      </c>
      <c r="DI34" s="2404">
        <v>46.506041449670001</v>
      </c>
      <c r="DJ34" s="2404">
        <v>46.882226647117442</v>
      </c>
      <c r="DK34" s="2404">
        <v>46.976751921753575</v>
      </c>
      <c r="DL34" s="2404">
        <v>47.515788821065975</v>
      </c>
      <c r="DM34" s="2404">
        <v>47.847977443803892</v>
      </c>
      <c r="DN34" s="2404">
        <v>48.074325805291835</v>
      </c>
      <c r="DO34" s="2404">
        <v>49.318251485604875</v>
      </c>
      <c r="DP34" s="2404">
        <v>49.198320199061222</v>
      </c>
      <c r="DQ34" s="2404">
        <v>49.769450572677449</v>
      </c>
      <c r="DR34" s="2404">
        <v>50.296109249531675</v>
      </c>
      <c r="DS34" s="2404">
        <v>50.357271021734284</v>
      </c>
      <c r="DT34" s="2404">
        <v>50.296383674850873</v>
      </c>
      <c r="DU34" s="2404">
        <v>49.329138781198374</v>
      </c>
      <c r="DV34" s="2404">
        <v>47.838994520413159</v>
      </c>
      <c r="DW34" s="2404">
        <v>47.28084500143077</v>
      </c>
      <c r="DX34" s="2404">
        <v>48.031743889321731</v>
      </c>
      <c r="DY34" s="2404">
        <v>48.101600739466932</v>
      </c>
      <c r="DZ34" s="2404">
        <v>48.511040084653153</v>
      </c>
      <c r="EA34" s="2404">
        <v>47.741576837549445</v>
      </c>
      <c r="EB34" s="2404">
        <v>48.32930820432172</v>
      </c>
      <c r="EC34" s="2404">
        <v>49.510648892855528</v>
      </c>
      <c r="ED34" s="2404">
        <v>49.53463940601354</v>
      </c>
      <c r="EE34" s="2404">
        <v>49.695637320513782</v>
      </c>
      <c r="EF34" s="2404">
        <v>50.201156482045903</v>
      </c>
      <c r="EG34" s="2404">
        <v>50.494718162538248</v>
      </c>
      <c r="EH34" s="2404">
        <v>50.738415048376332</v>
      </c>
      <c r="EI34" s="2404">
        <v>50.655478818344179</v>
      </c>
      <c r="EJ34" s="2404">
        <v>51.046950656861092</v>
      </c>
      <c r="EK34" s="2404">
        <v>51.441731019201356</v>
      </c>
      <c r="EL34" s="2404">
        <v>51.831212040949616</v>
      </c>
      <c r="EM34" s="2404">
        <v>52.437318183954424</v>
      </c>
      <c r="EN34" s="2404">
        <v>51.715894805268746</v>
      </c>
      <c r="EO34" s="2404">
        <v>51.418233563772198</v>
      </c>
      <c r="EP34" s="2404">
        <v>51.079201203750813</v>
      </c>
      <c r="EQ34" s="2404">
        <v>50.325105047614137</v>
      </c>
      <c r="ER34" s="2404">
        <v>49.973881402161375</v>
      </c>
      <c r="ES34" s="2404">
        <v>49.498058859823765</v>
      </c>
      <c r="ET34" s="2404">
        <v>51.21423242201989</v>
      </c>
      <c r="EU34" s="2404">
        <v>53.836417123879201</v>
      </c>
      <c r="EV34" s="2404">
        <v>54.727095454545449</v>
      </c>
      <c r="EW34" s="2404">
        <v>55.031993635273636</v>
      </c>
      <c r="EX34" s="2404">
        <v>55.533215909090906</v>
      </c>
      <c r="EY34" s="2404">
        <v>56.008599689440999</v>
      </c>
      <c r="EZ34" s="2404">
        <v>56.072920408163263</v>
      </c>
      <c r="FA34" s="2404">
        <v>55.089374489795915</v>
      </c>
      <c r="FB34" s="2404">
        <v>55.518673051948035</v>
      </c>
      <c r="FC34" s="2404">
        <v>55.927547368421052</v>
      </c>
      <c r="FD34" s="2404">
        <v>54.937600000000003</v>
      </c>
      <c r="FE34" s="2404">
        <v>52.814665000000005</v>
      </c>
      <c r="FF34" s="2404">
        <v>52.045984210526321</v>
      </c>
      <c r="FG34" s="2404">
        <v>51.527109090909086</v>
      </c>
      <c r="FH34" s="2404">
        <v>51.350039999999993</v>
      </c>
      <c r="FI34" s="2404">
        <v>52.302099650349653</v>
      </c>
      <c r="FJ34" s="2404">
        <v>51.576318181818188</v>
      </c>
      <c r="FK34" s="2404">
        <v>48.051159999999996</v>
      </c>
      <c r="FL34" s="2404">
        <v>47.538586363636362</v>
      </c>
      <c r="FM34" s="2404">
        <v>47.640142857142862</v>
      </c>
      <c r="FN34" s="2404">
        <v>45.01714761904762</v>
      </c>
      <c r="FO34" s="2404">
        <v>45.510061904761905</v>
      </c>
      <c r="FP34" s="2404">
        <v>45.889340909090919</v>
      </c>
      <c r="FQ34" s="2404">
        <v>45.229209523809523</v>
      </c>
      <c r="FR34" s="2404">
        <v>45.546170588235299</v>
      </c>
      <c r="FS34" s="2404">
        <v>44.792245454545458</v>
      </c>
      <c r="FT34" s="2404">
        <v>45.667550000000006</v>
      </c>
      <c r="FU34" s="2404">
        <v>46.040572727272725</v>
      </c>
      <c r="FV34" s="2404">
        <v>45.405738095238107</v>
      </c>
      <c r="FW34" s="2404">
        <v>45.450619047619043</v>
      </c>
      <c r="FX34" s="2404">
        <v>44.152139130434797</v>
      </c>
      <c r="FY34" s="2404">
        <v>45.213190476190483</v>
      </c>
      <c r="FZ34" s="2404">
        <v>45.765003663003668</v>
      </c>
      <c r="GA34" s="2404">
        <v>45.980865000000009</v>
      </c>
      <c r="GB34" s="2404">
        <v>46.344834999999989</v>
      </c>
      <c r="GC34" s="2404">
        <v>46.719388888888894</v>
      </c>
      <c r="GD34" s="2404">
        <v>46.667052941176472</v>
      </c>
      <c r="GE34" s="2404">
        <v>47.181128571428573</v>
      </c>
      <c r="GF34" s="2404">
        <v>48.294223809523807</v>
      </c>
      <c r="GG34" s="2404">
        <v>47.276904545454542</v>
      </c>
      <c r="GH34" s="2404">
        <v>46.546795238095235</v>
      </c>
      <c r="GI34" s="2404">
        <v>45.952486363636368</v>
      </c>
      <c r="GJ34" s="2404">
        <v>44.962272727272719</v>
      </c>
      <c r="GK34" s="2404">
        <v>45.357515789473688</v>
      </c>
      <c r="GL34" s="2404">
        <v>45.511126086956516</v>
      </c>
      <c r="GM34" s="2404">
        <v>45.115805000000002</v>
      </c>
      <c r="GN34" s="2404">
        <v>44.096634999999999</v>
      </c>
      <c r="GO34" s="2404">
        <v>44.759399999999992</v>
      </c>
      <c r="GP34" s="2404">
        <v>45.128927777777783</v>
      </c>
      <c r="GQ34" s="2404">
        <v>46.218440485829959</v>
      </c>
      <c r="GR34" s="2404">
        <v>46.088936363636371</v>
      </c>
      <c r="GS34" s="2404">
        <v>45.841986363636359</v>
      </c>
      <c r="GT34" s="2404">
        <v>45.699121052631568</v>
      </c>
      <c r="GU34" s="2404">
        <v>45.492277272727272</v>
      </c>
      <c r="GV34" s="2404">
        <v>44.243268181818173</v>
      </c>
      <c r="GW34" s="2404">
        <v>45.393826315789475</v>
      </c>
      <c r="GX34" s="2404">
        <v>46.479260200668882</v>
      </c>
      <c r="GY34" s="2404">
        <v>47.59122631578947</v>
      </c>
      <c r="GZ34" s="2404">
        <v>48.454265000000007</v>
      </c>
      <c r="HA34" s="2404">
        <v>48.35882380952382</v>
      </c>
      <c r="HB34" s="2404">
        <v>48.807578947368427</v>
      </c>
      <c r="HC34" s="2405">
        <v>48.043454999999994</v>
      </c>
      <c r="HD34" s="2404">
        <v>49.899850000000008</v>
      </c>
      <c r="HE34" s="2404">
        <v>49.79477</v>
      </c>
      <c r="HF34" s="2405">
        <v>50.670675524475534</v>
      </c>
      <c r="HG34" s="2404">
        <v>51.242839130434781</v>
      </c>
      <c r="HH34" s="2404">
        <v>52.85</v>
      </c>
      <c r="HI34" s="2404">
        <v>52.322031818181813</v>
      </c>
      <c r="HJ34" s="2404">
        <v>52.415622727272734</v>
      </c>
      <c r="HK34" s="2404">
        <v>53.427120000000002</v>
      </c>
      <c r="HL34" s="2404">
        <v>53.871431818181811</v>
      </c>
      <c r="HM34" s="2404">
        <v>54.50116315789473</v>
      </c>
      <c r="HN34" s="2418">
        <v>55.863938888888896</v>
      </c>
      <c r="HO34" s="2418">
        <v>56.340524999999992</v>
      </c>
      <c r="HP34" s="2418">
        <v>56.701679999999996</v>
      </c>
      <c r="HQ34" s="2418">
        <v>57.685720000000003</v>
      </c>
      <c r="HR34" s="2418">
        <v>58.326227272727266</v>
      </c>
      <c r="HS34" s="2418">
        <v>59.671518181818172</v>
      </c>
    </row>
    <row r="35" spans="1:227" ht="21" customHeight="1" x14ac:dyDescent="0.3">
      <c r="A35" s="2403" t="s">
        <v>3323</v>
      </c>
      <c r="B35" s="2404">
        <v>26.988</v>
      </c>
      <c r="C35" s="2404">
        <v>26.56</v>
      </c>
      <c r="D35" s="2404">
        <v>27.893154545454539</v>
      </c>
      <c r="E35" s="2404">
        <v>28.911529999999992</v>
      </c>
      <c r="F35" s="2404">
        <v>29.871547826086953</v>
      </c>
      <c r="G35" s="2404">
        <v>29.293201428571429</v>
      </c>
      <c r="H35" s="2404">
        <v>29.332744999999999</v>
      </c>
      <c r="I35" s="2404">
        <v>29.332999999999998</v>
      </c>
      <c r="J35" s="2404">
        <v>29.795999999999999</v>
      </c>
      <c r="K35" s="2404">
        <v>30.186250000000001</v>
      </c>
      <c r="L35" s="2404">
        <v>30.849</v>
      </c>
      <c r="M35" s="2404">
        <v>30.256</v>
      </c>
      <c r="N35" s="2404">
        <v>30.021699999999999</v>
      </c>
      <c r="O35" s="2404">
        <v>30.023</v>
      </c>
      <c r="P35" s="2404">
        <v>32.133000000000003</v>
      </c>
      <c r="Q35" s="2404">
        <v>33.326000000000001</v>
      </c>
      <c r="R35" s="2404">
        <v>33.813000000000002</v>
      </c>
      <c r="S35" s="2404">
        <v>32.808999999999997</v>
      </c>
      <c r="T35" s="2404">
        <v>32.93</v>
      </c>
      <c r="U35" s="2404">
        <v>33.767000000000003</v>
      </c>
      <c r="V35" s="2404">
        <v>33.417999999999999</v>
      </c>
      <c r="W35" s="2404">
        <v>33.418999999999997</v>
      </c>
      <c r="X35" s="2404">
        <v>33.226999999999997</v>
      </c>
      <c r="Y35" s="2404">
        <v>32.749000000000002</v>
      </c>
      <c r="Z35" s="2404">
        <v>32.326000000000001</v>
      </c>
      <c r="AA35" s="2404">
        <v>32.841000000000001</v>
      </c>
      <c r="AB35" s="2404">
        <v>33.851999999999997</v>
      </c>
      <c r="AC35" s="2404">
        <v>34.515999999999998</v>
      </c>
      <c r="AD35" s="2404">
        <v>35.011000000000003</v>
      </c>
      <c r="AE35" s="2404">
        <v>34.917999999999999</v>
      </c>
      <c r="AF35" s="2404">
        <v>35.198999999999998</v>
      </c>
      <c r="AG35" s="2404">
        <v>36.01</v>
      </c>
      <c r="AH35" s="2404">
        <v>37.374000000000002</v>
      </c>
      <c r="AI35" s="2404">
        <v>38.311</v>
      </c>
      <c r="AJ35" s="2404">
        <v>37.639000000000003</v>
      </c>
      <c r="AK35" s="2404">
        <v>38.488</v>
      </c>
      <c r="AL35" s="2404">
        <v>37.937100000000001</v>
      </c>
      <c r="AM35" s="2404">
        <v>37.3324</v>
      </c>
      <c r="AN35" s="2404">
        <v>35.9617</v>
      </c>
      <c r="AO35" s="2404">
        <v>35.831400000000002</v>
      </c>
      <c r="AP35" s="2404">
        <v>36.8018</v>
      </c>
      <c r="AQ35" s="2404">
        <v>36.947200000000002</v>
      </c>
      <c r="AR35" s="2404">
        <v>36.759</v>
      </c>
      <c r="AS35" s="2404">
        <v>36.128300000000003</v>
      </c>
      <c r="AT35" s="2404">
        <v>36.570300000000003</v>
      </c>
      <c r="AU35" s="2404">
        <v>37.427500000000002</v>
      </c>
      <c r="AV35" s="2404">
        <v>36.978200000000001</v>
      </c>
      <c r="AW35" s="2404">
        <v>37.3033</v>
      </c>
      <c r="AX35" s="2404">
        <v>38.146900000000002</v>
      </c>
      <c r="AY35" s="2404">
        <v>39.7316</v>
      </c>
      <c r="AZ35" s="2404">
        <v>39.474299999999999</v>
      </c>
      <c r="BA35" s="2404">
        <v>40.032299999999999</v>
      </c>
      <c r="BB35" s="2404">
        <v>41.585099999999997</v>
      </c>
      <c r="BC35" s="2404">
        <v>42.183900000000001</v>
      </c>
      <c r="BD35" s="2404">
        <v>42.297400000000003</v>
      </c>
      <c r="BE35" s="2404">
        <v>43.722000000000001</v>
      </c>
      <c r="BF35" s="2404">
        <v>45.226199999999999</v>
      </c>
      <c r="BG35" s="2404">
        <v>44.5914</v>
      </c>
      <c r="BH35" s="2404">
        <v>44.027700000000003</v>
      </c>
      <c r="BI35" s="2404">
        <v>43.876100000000001</v>
      </c>
      <c r="BJ35" s="2404">
        <v>44.061399999999999</v>
      </c>
      <c r="BK35" s="2404">
        <v>42.864899999999999</v>
      </c>
      <c r="BL35" s="2404">
        <v>42.908000000000001</v>
      </c>
      <c r="BM35" s="2404">
        <v>43.735300000000002</v>
      </c>
      <c r="BN35" s="2404">
        <v>42.918399999999998</v>
      </c>
      <c r="BO35" s="2404">
        <v>43.683599999999998</v>
      </c>
      <c r="BP35" s="2404">
        <v>44.004899999999999</v>
      </c>
      <c r="BQ35" s="2404">
        <v>45.140999999999998</v>
      </c>
      <c r="BR35" s="2404">
        <v>43.5959</v>
      </c>
      <c r="BS35" s="2404">
        <v>42.938000000000002</v>
      </c>
      <c r="BT35" s="2404">
        <v>42.346400000000003</v>
      </c>
      <c r="BU35" s="2404">
        <v>42.311100000000003</v>
      </c>
      <c r="BV35" s="2404">
        <v>41.720599999999997</v>
      </c>
      <c r="BW35" s="2404">
        <v>43.08</v>
      </c>
      <c r="BX35" s="2404">
        <v>43.280200000000001</v>
      </c>
      <c r="BY35" s="2404">
        <v>43.126800000000003</v>
      </c>
      <c r="BZ35" s="2404">
        <v>42.257300000000001</v>
      </c>
      <c r="CA35" s="2404">
        <v>42.547600000000003</v>
      </c>
      <c r="CB35" s="2404">
        <v>41.288400000000003</v>
      </c>
      <c r="CC35" s="2404">
        <v>41.592799999999997</v>
      </c>
      <c r="CD35" s="2404">
        <v>44.098999999999997</v>
      </c>
      <c r="CE35" s="2404">
        <v>43.933900000000001</v>
      </c>
      <c r="CF35" s="2404">
        <v>43.467500000000001</v>
      </c>
      <c r="CG35" s="2404">
        <v>45.121200000000002</v>
      </c>
      <c r="CH35" s="2404">
        <v>45.264800000000001</v>
      </c>
      <c r="CI35" s="2404">
        <v>46.021804999999993</v>
      </c>
      <c r="CJ35" s="2404">
        <v>46.389254545454556</v>
      </c>
      <c r="CK35" s="2404">
        <v>46.219386956521745</v>
      </c>
      <c r="CL35" s="2404">
        <v>46.508844999999994</v>
      </c>
      <c r="CM35" s="2404">
        <v>46.451747619047616</v>
      </c>
      <c r="CN35" s="2404">
        <v>46.273659090909085</v>
      </c>
      <c r="CO35" s="2404">
        <v>45.969035000000005</v>
      </c>
      <c r="CP35" s="2404">
        <v>41.761000000000003</v>
      </c>
      <c r="CQ35" s="2404">
        <v>40.788937688107772</v>
      </c>
      <c r="CR35" s="2404">
        <v>40.353235643284414</v>
      </c>
      <c r="CS35" s="2404">
        <v>40.898157033266315</v>
      </c>
      <c r="CT35" s="2404">
        <v>42.381500572960199</v>
      </c>
      <c r="CU35" s="2404">
        <v>42.029289971006563</v>
      </c>
      <c r="CV35" s="2404">
        <v>41.376235680734169</v>
      </c>
      <c r="CW35" s="2404">
        <v>41.382492427934586</v>
      </c>
      <c r="CX35" s="2404">
        <v>41.454518391591272</v>
      </c>
      <c r="CY35" s="2404">
        <v>41.653467054852328</v>
      </c>
      <c r="CZ35" s="2404">
        <v>41.62362382545107</v>
      </c>
      <c r="DA35" s="2404">
        <v>40.920233868964353</v>
      </c>
      <c r="DB35" s="2404">
        <v>41.322000000000003</v>
      </c>
      <c r="DC35" s="2404">
        <v>41.295400092087753</v>
      </c>
      <c r="DD35" s="2404">
        <v>41.190157325024842</v>
      </c>
      <c r="DE35" s="2404">
        <v>40.171026975144891</v>
      </c>
      <c r="DF35" s="2404">
        <v>40.513264656413895</v>
      </c>
      <c r="DG35" s="2404">
        <v>40.215295007276538</v>
      </c>
      <c r="DH35" s="2404">
        <v>39.430396342392854</v>
      </c>
      <c r="DI35" s="2404">
        <v>38.731369771281429</v>
      </c>
      <c r="DJ35" s="2404">
        <v>39.324573475240669</v>
      </c>
      <c r="DK35" s="2404">
        <v>39.262034004392312</v>
      </c>
      <c r="DL35" s="2404">
        <v>39.130394517650693</v>
      </c>
      <c r="DM35" s="2404">
        <v>38.469562545023344</v>
      </c>
      <c r="DN35" s="2404">
        <v>38.816736706118711</v>
      </c>
      <c r="DO35" s="2404">
        <v>38.953894707309182</v>
      </c>
      <c r="DP35" s="2404">
        <v>38.853427035586158</v>
      </c>
      <c r="DQ35" s="2404">
        <v>39.746504392379592</v>
      </c>
      <c r="DR35" s="2404">
        <v>40.567579824156667</v>
      </c>
      <c r="DS35" s="2404">
        <v>40.48995420486964</v>
      </c>
      <c r="DT35" s="2404">
        <v>40.874716756091793</v>
      </c>
      <c r="DU35" s="2404">
        <v>41.070415856300805</v>
      </c>
      <c r="DV35" s="2404">
        <v>41.243199117533813</v>
      </c>
      <c r="DW35" s="2404">
        <v>40.609226301103234</v>
      </c>
      <c r="DX35" s="2404">
        <v>40.88262855513814</v>
      </c>
      <c r="DY35" s="2404">
        <v>40.834681363313365</v>
      </c>
      <c r="DZ35" s="2404">
        <v>41.330157811438049</v>
      </c>
      <c r="EA35" s="2404">
        <v>41.13710754342079</v>
      </c>
      <c r="EB35" s="2404">
        <v>41.582836676494189</v>
      </c>
      <c r="EC35" s="2404">
        <v>41.693499965664742</v>
      </c>
      <c r="ED35" s="2404">
        <v>41.949048926622815</v>
      </c>
      <c r="EE35" s="2404">
        <v>41.637729421964714</v>
      </c>
      <c r="EF35" s="2404">
        <v>41.97991694485237</v>
      </c>
      <c r="EG35" s="2404">
        <v>41.755562255745602</v>
      </c>
      <c r="EH35" s="2404">
        <v>41.839638913033951</v>
      </c>
      <c r="EI35" s="2404">
        <v>42.136577356869346</v>
      </c>
      <c r="EJ35" s="2404">
        <v>42.108483090364707</v>
      </c>
      <c r="EK35" s="2404">
        <v>41.945176383325538</v>
      </c>
      <c r="EL35" s="2404">
        <v>41.703571540941233</v>
      </c>
      <c r="EM35" s="2404">
        <v>41.596919425794077</v>
      </c>
      <c r="EN35" s="2404">
        <v>41.226916909619192</v>
      </c>
      <c r="EO35" s="2404">
        <v>40.704755216096331</v>
      </c>
      <c r="EP35" s="2404">
        <v>40.302599408758461</v>
      </c>
      <c r="EQ35" s="2404">
        <v>39.777140056003319</v>
      </c>
      <c r="ER35" s="2404">
        <v>39.401533869309958</v>
      </c>
      <c r="ES35" s="2404">
        <v>37.968228883836296</v>
      </c>
      <c r="ET35" s="2404">
        <v>37.947652667686661</v>
      </c>
      <c r="EU35" s="2404">
        <v>38.980029326587143</v>
      </c>
      <c r="EV35" s="2404">
        <v>39.550600000000003</v>
      </c>
      <c r="EW35" s="2404">
        <v>39.687854999999999</v>
      </c>
      <c r="EX35" s="2404">
        <v>40.008099999999999</v>
      </c>
      <c r="EY35" s="2404">
        <v>39.593060869565214</v>
      </c>
      <c r="EZ35" s="2404">
        <v>40.040976190476194</v>
      </c>
      <c r="FA35" s="2404">
        <v>40.3524200680272</v>
      </c>
      <c r="FB35" s="2404">
        <v>40.687945129870123</v>
      </c>
      <c r="FC35" s="2404">
        <v>39.50540526315789</v>
      </c>
      <c r="FD35" s="2404">
        <v>39.860745454545459</v>
      </c>
      <c r="FE35" s="2404">
        <v>39.828249999999997</v>
      </c>
      <c r="FF35" s="2404">
        <v>40.423894736842108</v>
      </c>
      <c r="FG35" s="2404">
        <v>40.289445454545458</v>
      </c>
      <c r="FH35" s="2404">
        <v>40.686095000000009</v>
      </c>
      <c r="FI35" s="2404">
        <v>40.712061538461541</v>
      </c>
      <c r="FJ35" s="2404">
        <v>40.765509090909092</v>
      </c>
      <c r="FK35" s="2404">
        <v>40.307504999999999</v>
      </c>
      <c r="FL35" s="2404">
        <v>40.57914090909091</v>
      </c>
      <c r="FM35" s="2404">
        <v>40.598633333333339</v>
      </c>
      <c r="FN35" s="2404">
        <v>40.180947619047622</v>
      </c>
      <c r="FO35" s="2404">
        <v>39.500204761904762</v>
      </c>
      <c r="FP35" s="2404">
        <v>38.759268181818179</v>
      </c>
      <c r="FQ35" s="2404">
        <v>38.973895238095238</v>
      </c>
      <c r="FR35" s="2404">
        <v>38.813847058823534</v>
      </c>
      <c r="FS35" s="2404">
        <v>38.767168181818185</v>
      </c>
      <c r="FT35" s="2404">
        <v>38.730019999999996</v>
      </c>
      <c r="FU35" s="2404">
        <v>39.34825</v>
      </c>
      <c r="FV35" s="2404">
        <v>39.821795238095241</v>
      </c>
      <c r="FW35" s="2404">
        <v>40.259238095238096</v>
      </c>
      <c r="FX35" s="2404">
        <v>40.203917391304351</v>
      </c>
      <c r="FY35" s="2404">
        <v>40.508499999999991</v>
      </c>
      <c r="FZ35" s="2404">
        <v>40.756496336996342</v>
      </c>
      <c r="GA35" s="2404">
        <v>40.882364999999993</v>
      </c>
      <c r="GB35" s="2404">
        <v>40.940674999999999</v>
      </c>
      <c r="GC35" s="2404">
        <v>41.277455555555555</v>
      </c>
      <c r="GD35" s="2404">
        <v>41.254547058823533</v>
      </c>
      <c r="GE35" s="2404">
        <v>41.667657142857152</v>
      </c>
      <c r="GF35" s="2404">
        <v>42.121266666666671</v>
      </c>
      <c r="GG35" s="2404">
        <v>41.49459090909091</v>
      </c>
      <c r="GH35" s="2404">
        <v>40.914809523809531</v>
      </c>
      <c r="GI35" s="2404">
        <v>40.783409090909089</v>
      </c>
      <c r="GJ35" s="2404">
        <v>40.337613636363635</v>
      </c>
      <c r="GK35" s="2404">
        <v>40.551478947368423</v>
      </c>
      <c r="GL35" s="2404">
        <v>40.203143478260877</v>
      </c>
      <c r="GM35" s="2404">
        <v>39.782210000000006</v>
      </c>
      <c r="GN35" s="2404">
        <v>39.626194999999989</v>
      </c>
      <c r="GO35" s="2404">
        <v>39.659135000000006</v>
      </c>
      <c r="GP35" s="2404">
        <v>39.390205555555561</v>
      </c>
      <c r="GQ35" s="2404">
        <v>39.669147368421051</v>
      </c>
      <c r="GR35" s="2404">
        <v>39.746827272727273</v>
      </c>
      <c r="GS35" s="2404">
        <v>39.91729545454546</v>
      </c>
      <c r="GT35" s="2404">
        <v>40.728810526315797</v>
      </c>
      <c r="GU35" s="2404">
        <v>40.920263636363643</v>
      </c>
      <c r="GV35" s="2404">
        <v>40.533550000000012</v>
      </c>
      <c r="GW35" s="2404">
        <v>40.442842105263161</v>
      </c>
      <c r="GX35" s="2404">
        <v>40.688254849498328</v>
      </c>
      <c r="GY35" s="2404">
        <v>40.824878947368425</v>
      </c>
      <c r="GZ35" s="2404">
        <v>41.067850000000007</v>
      </c>
      <c r="HA35" s="2404">
        <v>41.088961904761895</v>
      </c>
      <c r="HB35" s="2404">
        <v>41.070999999999998</v>
      </c>
      <c r="HC35" s="2405">
        <v>43.012465000000006</v>
      </c>
      <c r="HD35" s="2404">
        <v>43.728445454545458</v>
      </c>
      <c r="HE35" s="2404">
        <v>44.163089999999997</v>
      </c>
      <c r="HF35" s="2405">
        <v>45.5407288961039</v>
      </c>
      <c r="HG35" s="2404">
        <v>46.406126086956512</v>
      </c>
      <c r="HH35" s="2404">
        <v>47.631790476190474</v>
      </c>
      <c r="HI35" s="2404">
        <v>47.586549999999995</v>
      </c>
      <c r="HJ35" s="2404">
        <v>47.548813636363633</v>
      </c>
      <c r="HK35" s="2404">
        <v>47.884744999999995</v>
      </c>
      <c r="HL35" s="2404">
        <v>48.803122727272722</v>
      </c>
      <c r="HM35" s="2404">
        <v>48.688000000000002</v>
      </c>
      <c r="HN35" s="2418">
        <v>48.712422222222216</v>
      </c>
      <c r="HO35" s="2418">
        <v>48.445180000000008</v>
      </c>
      <c r="HP35" s="2418">
        <v>48.959869999999995</v>
      </c>
      <c r="HQ35" s="2418">
        <v>49.782754999999995</v>
      </c>
      <c r="HR35" s="2418">
        <v>50.100777272727278</v>
      </c>
      <c r="HS35" s="2418">
        <v>51.124031818181827</v>
      </c>
    </row>
    <row r="36" spans="1:227" ht="9" customHeight="1" thickBot="1" x14ac:dyDescent="0.35">
      <c r="A36" s="2408"/>
      <c r="B36" s="2409"/>
      <c r="C36" s="2409"/>
      <c r="D36" s="2410"/>
      <c r="E36" s="2410"/>
      <c r="F36" s="2410"/>
      <c r="G36" s="2409"/>
      <c r="H36" s="2410"/>
      <c r="I36" s="2410"/>
      <c r="J36" s="2410"/>
      <c r="K36" s="2410"/>
      <c r="L36" s="2410"/>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c r="AS36" s="2410"/>
      <c r="AT36" s="2410"/>
      <c r="AU36" s="2409"/>
      <c r="AV36" s="2409"/>
      <c r="AW36" s="2409"/>
      <c r="AX36" s="2409"/>
      <c r="AY36" s="2409"/>
      <c r="AZ36" s="2409"/>
      <c r="BA36" s="2409"/>
      <c r="BB36" s="2409"/>
      <c r="BC36" s="2409"/>
      <c r="BD36" s="2409"/>
      <c r="BE36" s="2409"/>
      <c r="BF36" s="2409"/>
      <c r="BG36" s="2409"/>
      <c r="BH36" s="2409"/>
      <c r="BI36" s="2419"/>
      <c r="BJ36" s="2409"/>
      <c r="BK36" s="2409"/>
      <c r="BL36" s="2409"/>
      <c r="BM36" s="2410"/>
      <c r="BN36" s="2410"/>
      <c r="BO36" s="2410"/>
      <c r="BP36" s="2410"/>
      <c r="BQ36" s="2410"/>
      <c r="BR36" s="2410"/>
      <c r="BS36" s="2410"/>
      <c r="BT36" s="2410"/>
      <c r="BU36" s="2410"/>
      <c r="BV36" s="2410"/>
      <c r="BW36" s="2410"/>
      <c r="BX36" s="2410"/>
      <c r="BY36" s="2410"/>
      <c r="BZ36" s="2410"/>
      <c r="CA36" s="2410"/>
      <c r="CB36" s="2410"/>
      <c r="CC36" s="2410"/>
      <c r="CD36" s="2410"/>
      <c r="CE36" s="2410"/>
      <c r="CF36" s="2410"/>
      <c r="CG36" s="2410"/>
      <c r="CH36" s="2410"/>
      <c r="CI36" s="2410"/>
      <c r="CJ36" s="2410"/>
      <c r="CK36" s="2410"/>
      <c r="CL36" s="2410"/>
      <c r="CM36" s="2410"/>
      <c r="CN36" s="2410"/>
      <c r="CO36" s="2410"/>
      <c r="CP36" s="2410"/>
      <c r="CQ36" s="2410"/>
      <c r="CR36" s="2410"/>
      <c r="CS36" s="2410"/>
      <c r="CT36" s="2410"/>
      <c r="CU36" s="2410"/>
      <c r="CV36" s="2410"/>
      <c r="CW36" s="2410"/>
      <c r="CX36" s="2410"/>
      <c r="CY36" s="2410"/>
      <c r="CZ36" s="2410"/>
      <c r="DA36" s="2410"/>
      <c r="DB36" s="2410"/>
      <c r="DC36" s="2410"/>
      <c r="DD36" s="2410"/>
      <c r="DE36" s="2410"/>
      <c r="DF36" s="2410"/>
      <c r="DG36" s="2410"/>
      <c r="DH36" s="2410"/>
      <c r="DI36" s="2410"/>
      <c r="DJ36" s="2410"/>
      <c r="DK36" s="2410"/>
      <c r="DL36" s="2410"/>
      <c r="DM36" s="2410"/>
      <c r="DN36" s="2410"/>
      <c r="DO36" s="2410"/>
      <c r="DP36" s="2410"/>
      <c r="DQ36" s="2410"/>
      <c r="DR36" s="2410"/>
      <c r="DS36" s="2410"/>
      <c r="DT36" s="2410"/>
      <c r="DU36" s="2410"/>
      <c r="DV36" s="2410"/>
      <c r="DW36" s="2410"/>
      <c r="DX36" s="2410"/>
      <c r="DY36" s="2410"/>
      <c r="DZ36" s="2410"/>
      <c r="EA36" s="2410"/>
      <c r="EB36" s="2410"/>
      <c r="EC36" s="2410"/>
      <c r="ED36" s="2410"/>
      <c r="EE36" s="2410"/>
      <c r="EF36" s="2410"/>
      <c r="EG36" s="2410"/>
      <c r="EH36" s="2410"/>
      <c r="EI36" s="2410"/>
      <c r="EJ36" s="2410"/>
      <c r="EK36" s="2410"/>
      <c r="EL36" s="2410"/>
      <c r="EM36" s="2410"/>
      <c r="EN36" s="2410"/>
      <c r="EO36" s="2410"/>
      <c r="EP36" s="2410"/>
      <c r="EQ36" s="2410"/>
      <c r="ER36" s="2410"/>
      <c r="ES36" s="2410"/>
      <c r="ET36" s="2410"/>
      <c r="EU36" s="2410"/>
      <c r="EV36" s="2410"/>
      <c r="EW36" s="2410"/>
      <c r="EX36" s="2410"/>
      <c r="EY36" s="2410"/>
      <c r="EZ36" s="2410"/>
      <c r="FA36" s="2410"/>
      <c r="FB36" s="2410"/>
      <c r="FC36" s="2410"/>
      <c r="FD36" s="2410"/>
      <c r="FE36" s="2410"/>
      <c r="FF36" s="2410"/>
      <c r="FG36" s="2410"/>
      <c r="FH36" s="2410"/>
      <c r="FI36" s="2410"/>
      <c r="FJ36" s="2410"/>
      <c r="FK36" s="2410"/>
      <c r="FL36" s="2410"/>
      <c r="FM36" s="2410"/>
      <c r="FN36" s="2410"/>
      <c r="FO36" s="2410"/>
      <c r="FP36" s="2410"/>
      <c r="FQ36" s="2410"/>
      <c r="FR36" s="2410"/>
      <c r="FS36" s="2410"/>
      <c r="FT36" s="2410"/>
      <c r="FU36" s="2410"/>
      <c r="FV36" s="2410"/>
      <c r="FW36" s="2410"/>
      <c r="FX36" s="2410"/>
      <c r="FY36" s="2410"/>
      <c r="FZ36" s="2410"/>
      <c r="GA36" s="2410"/>
      <c r="GB36" s="2410"/>
      <c r="GC36" s="2410"/>
      <c r="GD36" s="2410"/>
      <c r="GE36" s="2410"/>
      <c r="GF36" s="2410"/>
      <c r="GG36" s="2410"/>
      <c r="GH36" s="2410"/>
      <c r="GI36" s="2410"/>
      <c r="GJ36" s="2410"/>
      <c r="GK36" s="2410"/>
      <c r="GL36" s="2410"/>
      <c r="GM36" s="2410"/>
      <c r="GN36" s="2410"/>
      <c r="GO36" s="2410"/>
      <c r="GP36" s="2410"/>
      <c r="GQ36" s="2410"/>
      <c r="GR36" s="2410"/>
      <c r="GS36" s="2410"/>
      <c r="GT36" s="2410"/>
      <c r="GU36" s="2410"/>
      <c r="GV36" s="2410"/>
      <c r="GW36" s="2410"/>
      <c r="GX36" s="2410"/>
      <c r="GY36" s="2410"/>
      <c r="GZ36" s="2410"/>
      <c r="HA36" s="2410"/>
      <c r="HB36" s="2410"/>
      <c r="HC36" s="2411"/>
      <c r="HD36" s="2410"/>
      <c r="HE36" s="2410"/>
      <c r="HF36" s="2411"/>
      <c r="HG36" s="2410"/>
      <c r="HH36" s="2410"/>
      <c r="HI36" s="2410"/>
      <c r="HJ36" s="2410"/>
      <c r="HK36" s="2410"/>
      <c r="HL36" s="2410"/>
      <c r="HM36" s="2410"/>
      <c r="HN36" s="2420"/>
      <c r="HO36" s="2420"/>
      <c r="HP36" s="2420"/>
      <c r="HQ36" s="2420"/>
      <c r="HR36" s="2420"/>
      <c r="HS36" s="2420"/>
    </row>
    <row r="37" spans="1:227" s="2416" customFormat="1" ht="17.25" thickTop="1" x14ac:dyDescent="0.3">
      <c r="A37" s="2412" t="s">
        <v>4539</v>
      </c>
      <c r="B37" s="2413"/>
      <c r="C37" s="2413"/>
      <c r="D37" s="2413"/>
      <c r="E37" s="2413"/>
      <c r="F37" s="2413"/>
      <c r="G37" s="2413"/>
      <c r="H37" s="2413"/>
      <c r="I37" s="2413"/>
      <c r="J37" s="2413"/>
      <c r="K37" s="2413"/>
      <c r="L37" s="2413"/>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c r="AS37" s="2413"/>
      <c r="AT37" s="2413"/>
      <c r="AU37" s="2413"/>
      <c r="AV37" s="2413"/>
      <c r="AW37" s="2413"/>
      <c r="AX37" s="2413"/>
      <c r="AY37" s="2413"/>
      <c r="AZ37" s="2413"/>
      <c r="BA37" s="2413"/>
      <c r="BB37" s="2413"/>
      <c r="BC37" s="2413"/>
      <c r="BD37" s="2413"/>
      <c r="BE37" s="2413"/>
      <c r="BF37" s="2413"/>
      <c r="BG37" s="2413"/>
      <c r="BH37" s="2413"/>
      <c r="BI37" s="2413"/>
      <c r="BJ37" s="2413"/>
      <c r="BK37" s="2413"/>
      <c r="BL37" s="2413"/>
      <c r="BM37" s="2413"/>
      <c r="BN37" s="2413"/>
      <c r="BO37" s="2413"/>
      <c r="BP37" s="2413"/>
      <c r="BQ37" s="2413"/>
      <c r="BR37" s="2413"/>
      <c r="BS37" s="2413"/>
      <c r="BT37" s="2413"/>
      <c r="BU37" s="2413"/>
      <c r="BV37" s="2413"/>
      <c r="BW37" s="2413"/>
      <c r="BX37" s="2413"/>
      <c r="BY37" s="2413"/>
      <c r="BZ37" s="2413"/>
      <c r="CA37" s="2413"/>
      <c r="CB37" s="2413"/>
      <c r="CC37" s="2413"/>
      <c r="CD37" s="2413"/>
      <c r="CE37" s="2413"/>
      <c r="CF37" s="2413"/>
      <c r="CG37" s="2413"/>
      <c r="CH37" s="2413"/>
      <c r="CI37" s="2413"/>
      <c r="CJ37" s="2413"/>
      <c r="CK37" s="2413"/>
      <c r="CL37" s="2413"/>
      <c r="CM37" s="2413"/>
      <c r="CN37" s="2413"/>
      <c r="CO37" s="2413"/>
      <c r="CP37" s="2413"/>
      <c r="CQ37" s="2413"/>
      <c r="CR37" s="2413"/>
      <c r="CS37" s="2413"/>
      <c r="CT37" s="2413"/>
      <c r="CU37" s="2413"/>
      <c r="CV37" s="2413"/>
      <c r="CW37" s="2413"/>
      <c r="CX37" s="2413"/>
      <c r="CY37" s="2413"/>
      <c r="CZ37" s="2413"/>
      <c r="DA37" s="2413"/>
      <c r="DB37" s="2413"/>
      <c r="DC37" s="2413"/>
      <c r="DD37" s="2413"/>
      <c r="DE37" s="2413"/>
      <c r="DF37" s="2413"/>
      <c r="DG37" s="2413"/>
      <c r="DH37" s="2413"/>
      <c r="DI37" s="2413"/>
      <c r="DJ37" s="2413"/>
      <c r="DK37" s="2413"/>
      <c r="DL37" s="2413"/>
      <c r="DM37" s="2413"/>
      <c r="DN37" s="2413"/>
      <c r="DO37" s="2413"/>
      <c r="DP37" s="2413"/>
      <c r="DQ37" s="2413"/>
      <c r="DR37" s="2413"/>
      <c r="DS37" s="2413"/>
      <c r="DT37" s="2413"/>
      <c r="DU37" s="2413"/>
      <c r="DV37" s="2413"/>
      <c r="DW37" s="2413"/>
      <c r="DX37" s="2413"/>
      <c r="DY37" s="2413"/>
      <c r="DZ37" s="2413"/>
      <c r="EA37" s="2413"/>
      <c r="EB37" s="2413"/>
      <c r="EC37" s="2413"/>
      <c r="ED37" s="2413"/>
      <c r="EE37" s="2413"/>
      <c r="EF37" s="2413"/>
      <c r="EG37" s="2413"/>
      <c r="EH37" s="2413"/>
      <c r="EI37" s="2413"/>
      <c r="EJ37" s="2413"/>
      <c r="EK37" s="2413"/>
      <c r="EL37" s="2413"/>
      <c r="EM37" s="2413"/>
      <c r="EN37" s="2413"/>
      <c r="EO37" s="2413"/>
      <c r="EP37" s="2413"/>
      <c r="EQ37" s="2413"/>
      <c r="ER37" s="2413"/>
      <c r="ES37" s="2413"/>
      <c r="ET37" s="2413"/>
      <c r="EU37" s="2413"/>
      <c r="EV37" s="2413"/>
      <c r="EW37" s="2413"/>
      <c r="EX37" s="2413"/>
      <c r="EY37" s="2413"/>
      <c r="EZ37" s="2413"/>
      <c r="FA37" s="2413"/>
      <c r="FB37" s="2413"/>
      <c r="FC37" s="2413"/>
      <c r="FD37" s="2413"/>
      <c r="FE37" s="2413"/>
      <c r="FF37" s="2413"/>
      <c r="FG37" s="2413"/>
      <c r="FH37" s="2413"/>
      <c r="FI37" s="2413"/>
    </row>
    <row r="38" spans="1:227" s="2416" customFormat="1" x14ac:dyDescent="0.3">
      <c r="A38" s="2413" t="s">
        <v>3553</v>
      </c>
      <c r="B38" s="2413"/>
      <c r="C38" s="2413"/>
      <c r="D38" s="2413"/>
      <c r="E38" s="2413"/>
      <c r="F38" s="2413"/>
      <c r="G38" s="2413"/>
      <c r="H38" s="2413"/>
      <c r="I38" s="2413"/>
      <c r="J38" s="2413"/>
      <c r="K38" s="2413"/>
      <c r="L38" s="2413"/>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c r="AS38" s="2413"/>
      <c r="AT38" s="2413"/>
      <c r="AU38" s="2413"/>
      <c r="AV38" s="2413"/>
      <c r="AW38" s="2413"/>
      <c r="AX38" s="2413"/>
      <c r="AY38" s="2413"/>
      <c r="AZ38" s="2413"/>
      <c r="BA38" s="2413"/>
      <c r="BB38" s="2413"/>
      <c r="BC38" s="2413"/>
      <c r="BD38" s="2413"/>
      <c r="BE38" s="2413"/>
      <c r="BF38" s="2413"/>
      <c r="BG38" s="2413"/>
      <c r="BH38" s="2413"/>
      <c r="BI38" s="2413"/>
      <c r="BJ38" s="2413"/>
      <c r="BK38" s="2413"/>
      <c r="BL38" s="2413"/>
      <c r="BM38" s="2413"/>
      <c r="BN38" s="2413"/>
      <c r="BO38" s="2413"/>
      <c r="BP38" s="2413"/>
      <c r="BQ38" s="2413"/>
      <c r="BR38" s="2413"/>
      <c r="BS38" s="2413"/>
      <c r="BT38" s="2413"/>
      <c r="BU38" s="2413"/>
      <c r="BV38" s="2413"/>
      <c r="BW38" s="2413"/>
      <c r="BX38" s="2413"/>
      <c r="BY38" s="2413"/>
      <c r="BZ38" s="2413"/>
      <c r="CA38" s="2413"/>
      <c r="CB38" s="2413"/>
      <c r="CC38" s="2413"/>
      <c r="CD38" s="2413"/>
      <c r="CE38" s="2413"/>
      <c r="CF38" s="2413"/>
      <c r="CG38" s="2413"/>
      <c r="CH38" s="2413"/>
      <c r="CI38" s="2413"/>
      <c r="CJ38" s="2413"/>
      <c r="CK38" s="2413"/>
      <c r="CL38" s="2413"/>
      <c r="CM38" s="2413"/>
      <c r="CN38" s="2413"/>
      <c r="CO38" s="2413"/>
      <c r="CP38" s="2413"/>
      <c r="CQ38" s="2413"/>
      <c r="CR38" s="2413"/>
      <c r="CS38" s="2413"/>
      <c r="CT38" s="2413"/>
      <c r="CU38" s="2413"/>
      <c r="CV38" s="2413"/>
      <c r="CW38" s="2413"/>
      <c r="CX38" s="2413"/>
      <c r="CY38" s="2413"/>
      <c r="CZ38" s="2413"/>
      <c r="DA38" s="2413"/>
      <c r="DB38" s="2413"/>
      <c r="DC38" s="2413"/>
      <c r="DD38" s="2413"/>
      <c r="DE38" s="2413"/>
      <c r="DF38" s="2413"/>
      <c r="DG38" s="2413"/>
      <c r="DH38" s="2413"/>
      <c r="DI38" s="2413"/>
      <c r="DJ38" s="2413"/>
      <c r="DK38" s="2413"/>
      <c r="DL38" s="2413"/>
      <c r="DM38" s="2413"/>
      <c r="DN38" s="2413"/>
      <c r="DO38" s="2413"/>
      <c r="DP38" s="2413"/>
      <c r="DQ38" s="2413"/>
      <c r="DR38" s="2413"/>
      <c r="DS38" s="2413"/>
      <c r="DT38" s="2413"/>
      <c r="DU38" s="2413"/>
      <c r="DV38" s="2413"/>
      <c r="DW38" s="2413"/>
      <c r="DX38" s="2413"/>
      <c r="DY38" s="2413"/>
      <c r="DZ38" s="2413"/>
      <c r="EA38" s="2413"/>
      <c r="EB38" s="2413"/>
      <c r="EC38" s="2413"/>
      <c r="ED38" s="2413"/>
      <c r="EE38" s="2413"/>
      <c r="EF38" s="2413"/>
      <c r="EG38" s="2413"/>
      <c r="EH38" s="2413"/>
      <c r="EI38" s="2413"/>
      <c r="EJ38" s="2413"/>
      <c r="EK38" s="2413"/>
      <c r="EL38" s="2413"/>
      <c r="EM38" s="2413"/>
      <c r="EN38" s="2413"/>
      <c r="EO38" s="2413"/>
      <c r="EP38" s="2413"/>
      <c r="EQ38" s="2413"/>
      <c r="ER38" s="2413"/>
      <c r="ES38" s="2413"/>
      <c r="ET38" s="2413"/>
      <c r="EU38" s="2413"/>
      <c r="EV38" s="2413"/>
      <c r="EW38" s="2413"/>
      <c r="EX38" s="2413"/>
      <c r="EY38" s="2413"/>
      <c r="EZ38" s="2413"/>
      <c r="FA38" s="2413"/>
      <c r="FB38" s="2413"/>
      <c r="FC38" s="2413"/>
      <c r="FD38" s="2413"/>
      <c r="FE38" s="2413"/>
      <c r="FF38" s="2413"/>
      <c r="FG38" s="2413"/>
      <c r="FH38" s="2413"/>
      <c r="FI38" s="2413"/>
    </row>
    <row r="39" spans="1:227" x14ac:dyDescent="0.3">
      <c r="B39" s="2398"/>
    </row>
    <row r="40" spans="1:227" x14ac:dyDescent="0.3">
      <c r="B40" s="2398"/>
    </row>
    <row r="41" spans="1:227" x14ac:dyDescent="0.3">
      <c r="B41" s="2398"/>
    </row>
    <row r="42" spans="1:227" x14ac:dyDescent="0.3">
      <c r="B42" s="2398"/>
    </row>
    <row r="43" spans="1:227" x14ac:dyDescent="0.3">
      <c r="B43" s="2398"/>
    </row>
    <row r="44" spans="1:227" x14ac:dyDescent="0.3">
      <c r="B44" s="2398"/>
    </row>
    <row r="45" spans="1:227" x14ac:dyDescent="0.3">
      <c r="B45" s="2398"/>
    </row>
    <row r="46" spans="1:227" x14ac:dyDescent="0.3">
      <c r="B46" s="2398"/>
    </row>
    <row r="47" spans="1:227" x14ac:dyDescent="0.3">
      <c r="B47" s="2398"/>
    </row>
    <row r="48" spans="1:227" x14ac:dyDescent="0.3">
      <c r="B48" s="2398"/>
    </row>
    <row r="49" spans="2:2" x14ac:dyDescent="0.3">
      <c r="B49" s="2398"/>
    </row>
    <row r="50" spans="2:2" x14ac:dyDescent="0.3">
      <c r="B50" s="2398"/>
    </row>
    <row r="51" spans="2:2" x14ac:dyDescent="0.3">
      <c r="B51" s="2398"/>
    </row>
    <row r="52" spans="2:2" x14ac:dyDescent="0.3">
      <c r="B52" s="2398"/>
    </row>
    <row r="53" spans="2:2" x14ac:dyDescent="0.3">
      <c r="B53" s="2398"/>
    </row>
    <row r="54" spans="2:2" x14ac:dyDescent="0.3">
      <c r="B54" s="2398"/>
    </row>
    <row r="55" spans="2:2" x14ac:dyDescent="0.3">
      <c r="B55" s="2398"/>
    </row>
    <row r="56" spans="2:2" x14ac:dyDescent="0.3">
      <c r="B56" s="2398"/>
    </row>
    <row r="57" spans="2:2" x14ac:dyDescent="0.3">
      <c r="B57" s="2398"/>
    </row>
    <row r="58" spans="2:2" x14ac:dyDescent="0.3">
      <c r="B58" s="2398"/>
    </row>
    <row r="59" spans="2:2" x14ac:dyDescent="0.3">
      <c r="B59" s="2398"/>
    </row>
    <row r="60" spans="2:2" x14ac:dyDescent="0.3">
      <c r="B60" s="2398"/>
    </row>
    <row r="61" spans="2:2" x14ac:dyDescent="0.3">
      <c r="B61" s="2398"/>
    </row>
    <row r="62" spans="2:2" x14ac:dyDescent="0.3">
      <c r="B62" s="2398"/>
    </row>
    <row r="63" spans="2:2" x14ac:dyDescent="0.3">
      <c r="B63" s="2398"/>
    </row>
    <row r="64" spans="2:2" x14ac:dyDescent="0.3">
      <c r="B64" s="2398"/>
    </row>
    <row r="65" spans="2:2" x14ac:dyDescent="0.3">
      <c r="B65" s="2398"/>
    </row>
    <row r="66" spans="2:2" x14ac:dyDescent="0.3">
      <c r="B66" s="2398"/>
    </row>
    <row r="67" spans="2:2" x14ac:dyDescent="0.3">
      <c r="B67" s="2398"/>
    </row>
    <row r="68" spans="2:2" x14ac:dyDescent="0.3">
      <c r="B68" s="2398"/>
    </row>
    <row r="69" spans="2:2" x14ac:dyDescent="0.3">
      <c r="B69" s="2398"/>
    </row>
    <row r="70" spans="2:2" x14ac:dyDescent="0.3">
      <c r="B70" s="2398"/>
    </row>
    <row r="71" spans="2:2" x14ac:dyDescent="0.3">
      <c r="B71" s="2398"/>
    </row>
    <row r="72" spans="2:2" x14ac:dyDescent="0.3">
      <c r="B72" s="2398"/>
    </row>
    <row r="73" spans="2:2" x14ac:dyDescent="0.3">
      <c r="B73" s="2398"/>
    </row>
    <row r="74" spans="2:2" x14ac:dyDescent="0.3">
      <c r="B74" s="2398"/>
    </row>
    <row r="75" spans="2:2" x14ac:dyDescent="0.3">
      <c r="B75" s="2398"/>
    </row>
    <row r="76" spans="2:2" x14ac:dyDescent="0.3">
      <c r="B76" s="2398"/>
    </row>
    <row r="77" spans="2:2" x14ac:dyDescent="0.3">
      <c r="B77" s="2398"/>
    </row>
    <row r="78" spans="2:2" x14ac:dyDescent="0.3">
      <c r="B78" s="2398"/>
    </row>
    <row r="79" spans="2:2" x14ac:dyDescent="0.3">
      <c r="B79" s="2398"/>
    </row>
    <row r="80" spans="2:2" x14ac:dyDescent="0.3">
      <c r="B80" s="2398"/>
    </row>
    <row r="81" spans="1:2" x14ac:dyDescent="0.3">
      <c r="B81" s="2398"/>
    </row>
    <row r="82" spans="1:2" x14ac:dyDescent="0.3">
      <c r="B82" s="2398"/>
    </row>
    <row r="83" spans="1:2" x14ac:dyDescent="0.3">
      <c r="B83" s="2398"/>
    </row>
    <row r="84" spans="1:2" x14ac:dyDescent="0.3">
      <c r="B84" s="2398"/>
    </row>
    <row r="85" spans="1:2" x14ac:dyDescent="0.3">
      <c r="B85" s="2398"/>
    </row>
    <row r="86" spans="1:2" x14ac:dyDescent="0.3">
      <c r="B86" s="2398"/>
    </row>
    <row r="87" spans="1:2" x14ac:dyDescent="0.3">
      <c r="B87" s="2398"/>
    </row>
    <row r="88" spans="1:2" x14ac:dyDescent="0.3">
      <c r="B88" s="2398"/>
    </row>
    <row r="89" spans="1:2" x14ac:dyDescent="0.3">
      <c r="B89" s="2398"/>
    </row>
    <row r="90" spans="1:2" x14ac:dyDescent="0.3">
      <c r="B90" s="2398"/>
    </row>
    <row r="91" spans="1:2" x14ac:dyDescent="0.3">
      <c r="B91" s="2398"/>
    </row>
    <row r="92" spans="1:2" x14ac:dyDescent="0.3">
      <c r="B92" s="2398"/>
    </row>
    <row r="93" spans="1:2" x14ac:dyDescent="0.3">
      <c r="B93" s="2398"/>
    </row>
    <row r="94" spans="1:2" x14ac:dyDescent="0.3">
      <c r="A94" s="2421">
        <v>44013</v>
      </c>
      <c r="B94" s="2398"/>
    </row>
    <row r="95" spans="1:2" x14ac:dyDescent="0.3">
      <c r="B95" s="2398"/>
    </row>
    <row r="96" spans="1:2" x14ac:dyDescent="0.3">
      <c r="B96" s="2398"/>
    </row>
    <row r="97" spans="2:2" x14ac:dyDescent="0.3">
      <c r="B97" s="2398"/>
    </row>
    <row r="98" spans="2:2" x14ac:dyDescent="0.3">
      <c r="B98" s="2398"/>
    </row>
    <row r="99" spans="2:2" x14ac:dyDescent="0.3">
      <c r="B99" s="2398"/>
    </row>
    <row r="100" spans="2:2" x14ac:dyDescent="0.3">
      <c r="B100" s="2398"/>
    </row>
    <row r="101" spans="2:2" x14ac:dyDescent="0.3">
      <c r="B101" s="2398"/>
    </row>
    <row r="102" spans="2:2" x14ac:dyDescent="0.3">
      <c r="B102" s="2398"/>
    </row>
    <row r="103" spans="2:2" x14ac:dyDescent="0.3">
      <c r="B103" s="2398"/>
    </row>
    <row r="104" spans="2:2" x14ac:dyDescent="0.3">
      <c r="B104" s="2398"/>
    </row>
    <row r="105" spans="2:2" x14ac:dyDescent="0.3">
      <c r="B105" s="2398"/>
    </row>
    <row r="106" spans="2:2" x14ac:dyDescent="0.3">
      <c r="B106" s="2398"/>
    </row>
    <row r="107" spans="2:2" x14ac:dyDescent="0.3">
      <c r="B107" s="2398"/>
    </row>
    <row r="108" spans="2:2" x14ac:dyDescent="0.3">
      <c r="B108" s="2398"/>
    </row>
    <row r="109" spans="2:2" x14ac:dyDescent="0.3">
      <c r="B109" s="2398"/>
    </row>
    <row r="110" spans="2:2" x14ac:dyDescent="0.3">
      <c r="B110" s="2398"/>
    </row>
    <row r="111" spans="2:2" x14ac:dyDescent="0.3">
      <c r="B111" s="2398"/>
    </row>
    <row r="112" spans="2:2" x14ac:dyDescent="0.3">
      <c r="B112" s="2398"/>
    </row>
    <row r="113" spans="2:2" x14ac:dyDescent="0.3">
      <c r="B113" s="2398"/>
    </row>
    <row r="114" spans="2:2" x14ac:dyDescent="0.3">
      <c r="B114" s="2398"/>
    </row>
    <row r="115" spans="2:2" x14ac:dyDescent="0.3">
      <c r="B115" s="2398"/>
    </row>
    <row r="116" spans="2:2" x14ac:dyDescent="0.3">
      <c r="B116" s="2398"/>
    </row>
    <row r="117" spans="2:2" x14ac:dyDescent="0.3">
      <c r="B117" s="2398"/>
    </row>
    <row r="118" spans="2:2" x14ac:dyDescent="0.3">
      <c r="B118" s="2398"/>
    </row>
    <row r="119" spans="2:2" x14ac:dyDescent="0.3">
      <c r="B119" s="2398"/>
    </row>
    <row r="120" spans="2:2" x14ac:dyDescent="0.3">
      <c r="B120" s="2398"/>
    </row>
    <row r="121" spans="2:2" x14ac:dyDescent="0.3">
      <c r="B121" s="2398"/>
    </row>
    <row r="122" spans="2:2" x14ac:dyDescent="0.3">
      <c r="B122" s="2398"/>
    </row>
    <row r="123" spans="2:2" x14ac:dyDescent="0.3">
      <c r="B123" s="2398"/>
    </row>
    <row r="124" spans="2:2" x14ac:dyDescent="0.3">
      <c r="B124" s="2398"/>
    </row>
    <row r="125" spans="2:2" x14ac:dyDescent="0.3">
      <c r="B125" s="2398"/>
    </row>
    <row r="126" spans="2:2" x14ac:dyDescent="0.3">
      <c r="B126" s="2398"/>
    </row>
    <row r="127" spans="2:2" x14ac:dyDescent="0.3">
      <c r="B127" s="2398"/>
    </row>
    <row r="128" spans="2:2" x14ac:dyDescent="0.3">
      <c r="B128" s="2398"/>
    </row>
    <row r="129" spans="2:2" x14ac:dyDescent="0.3">
      <c r="B129" s="2398"/>
    </row>
    <row r="130" spans="2:2" x14ac:dyDescent="0.3">
      <c r="B130" s="2398"/>
    </row>
    <row r="131" spans="2:2" x14ac:dyDescent="0.3">
      <c r="B131" s="2398"/>
    </row>
    <row r="132" spans="2:2" x14ac:dyDescent="0.3">
      <c r="B132" s="2398"/>
    </row>
    <row r="133" spans="2:2" x14ac:dyDescent="0.3">
      <c r="B133" s="2398"/>
    </row>
    <row r="134" spans="2:2" x14ac:dyDescent="0.3">
      <c r="B134" s="2398"/>
    </row>
    <row r="135" spans="2:2" x14ac:dyDescent="0.3">
      <c r="B135" s="2398"/>
    </row>
    <row r="136" spans="2:2" x14ac:dyDescent="0.3">
      <c r="B136" s="2398"/>
    </row>
    <row r="137" spans="2:2" x14ac:dyDescent="0.3">
      <c r="B137" s="2398"/>
    </row>
    <row r="138" spans="2:2" x14ac:dyDescent="0.3">
      <c r="B138" s="2398"/>
    </row>
    <row r="139" spans="2:2" x14ac:dyDescent="0.3">
      <c r="B139" s="2398"/>
    </row>
    <row r="140" spans="2:2" x14ac:dyDescent="0.3">
      <c r="B140" s="2398"/>
    </row>
    <row r="141" spans="2:2" x14ac:dyDescent="0.3">
      <c r="B141" s="2398"/>
    </row>
    <row r="142" spans="2:2" x14ac:dyDescent="0.3">
      <c r="B142" s="2398"/>
    </row>
    <row r="143" spans="2:2" x14ac:dyDescent="0.3">
      <c r="B143" s="2398"/>
    </row>
    <row r="144" spans="2:2" x14ac:dyDescent="0.3">
      <c r="B144" s="2398"/>
    </row>
    <row r="145" spans="2:2" x14ac:dyDescent="0.3">
      <c r="B145" s="2398"/>
    </row>
    <row r="146" spans="2:2" x14ac:dyDescent="0.3">
      <c r="B146" s="2398"/>
    </row>
    <row r="147" spans="2:2" x14ac:dyDescent="0.3">
      <c r="B147" s="2398"/>
    </row>
    <row r="148" spans="2:2" x14ac:dyDescent="0.3">
      <c r="B148" s="2398"/>
    </row>
    <row r="149" spans="2:2" x14ac:dyDescent="0.3">
      <c r="B149" s="2398"/>
    </row>
    <row r="150" spans="2:2" x14ac:dyDescent="0.3">
      <c r="B150" s="2398"/>
    </row>
    <row r="151" spans="2:2" x14ac:dyDescent="0.3">
      <c r="B151" s="2398"/>
    </row>
    <row r="152" spans="2:2" x14ac:dyDescent="0.3">
      <c r="B152" s="2398"/>
    </row>
    <row r="153" spans="2:2" x14ac:dyDescent="0.3">
      <c r="B153" s="2398"/>
    </row>
    <row r="154" spans="2:2" x14ac:dyDescent="0.3">
      <c r="B154" s="2398"/>
    </row>
    <row r="155" spans="2:2" x14ac:dyDescent="0.3">
      <c r="B155" s="2398"/>
    </row>
    <row r="156" spans="2:2" x14ac:dyDescent="0.3">
      <c r="B156" s="2398"/>
    </row>
    <row r="157" spans="2:2" x14ac:dyDescent="0.3">
      <c r="B157" s="2398"/>
    </row>
    <row r="158" spans="2:2" x14ac:dyDescent="0.3">
      <c r="B158" s="2398"/>
    </row>
    <row r="159" spans="2:2" x14ac:dyDescent="0.3">
      <c r="B159" s="2398"/>
    </row>
    <row r="160" spans="2:2" x14ac:dyDescent="0.3">
      <c r="B160" s="2398"/>
    </row>
    <row r="161" spans="2:2" x14ac:dyDescent="0.3">
      <c r="B161" s="2398"/>
    </row>
    <row r="162" spans="2:2" x14ac:dyDescent="0.3">
      <c r="B162" s="2398"/>
    </row>
    <row r="163" spans="2:2" x14ac:dyDescent="0.3">
      <c r="B163" s="2398"/>
    </row>
    <row r="164" spans="2:2" x14ac:dyDescent="0.3">
      <c r="B164" s="2398"/>
    </row>
    <row r="165" spans="2:2" x14ac:dyDescent="0.3">
      <c r="B165" s="2398"/>
    </row>
    <row r="166" spans="2:2" x14ac:dyDescent="0.3">
      <c r="B166" s="2398"/>
    </row>
    <row r="167" spans="2:2" x14ac:dyDescent="0.3">
      <c r="B167" s="2398"/>
    </row>
    <row r="168" spans="2:2" x14ac:dyDescent="0.3">
      <c r="B168" s="2398"/>
    </row>
    <row r="169" spans="2:2" x14ac:dyDescent="0.3">
      <c r="B169" s="2398"/>
    </row>
    <row r="170" spans="2:2" x14ac:dyDescent="0.3">
      <c r="B170" s="2398"/>
    </row>
    <row r="171" spans="2:2" x14ac:dyDescent="0.3">
      <c r="B171" s="2398"/>
    </row>
    <row r="172" spans="2:2" x14ac:dyDescent="0.3">
      <c r="B172" s="2398"/>
    </row>
    <row r="173" spans="2:2" x14ac:dyDescent="0.3">
      <c r="B173" s="2398"/>
    </row>
    <row r="174" spans="2:2" x14ac:dyDescent="0.3">
      <c r="B174" s="2398"/>
    </row>
    <row r="175" spans="2:2" x14ac:dyDescent="0.3">
      <c r="B175" s="2398"/>
    </row>
    <row r="176" spans="2:2" x14ac:dyDescent="0.3">
      <c r="B176" s="2398"/>
    </row>
    <row r="177" spans="2:2" x14ac:dyDescent="0.3">
      <c r="B177" s="2398"/>
    </row>
    <row r="178" spans="2:2" x14ac:dyDescent="0.3">
      <c r="B178" s="2398"/>
    </row>
    <row r="179" spans="2:2" x14ac:dyDescent="0.3">
      <c r="B179" s="2398"/>
    </row>
    <row r="180" spans="2:2" x14ac:dyDescent="0.3">
      <c r="B180" s="2398"/>
    </row>
    <row r="181" spans="2:2" x14ac:dyDescent="0.3">
      <c r="B181" s="2398"/>
    </row>
    <row r="182" spans="2:2" x14ac:dyDescent="0.3">
      <c r="B182" s="2398"/>
    </row>
    <row r="183" spans="2:2" x14ac:dyDescent="0.3">
      <c r="B183" s="2398"/>
    </row>
    <row r="184" spans="2:2" x14ac:dyDescent="0.3">
      <c r="B184" s="2398"/>
    </row>
    <row r="185" spans="2:2" x14ac:dyDescent="0.3">
      <c r="B185" s="2398"/>
    </row>
    <row r="186" spans="2:2" x14ac:dyDescent="0.3">
      <c r="B186" s="2398"/>
    </row>
    <row r="187" spans="2:2" x14ac:dyDescent="0.3">
      <c r="B187" s="2398"/>
    </row>
    <row r="188" spans="2:2" x14ac:dyDescent="0.3">
      <c r="B188" s="2398"/>
    </row>
    <row r="189" spans="2:2" x14ac:dyDescent="0.3">
      <c r="B189" s="2398"/>
    </row>
    <row r="190" spans="2:2" x14ac:dyDescent="0.3">
      <c r="B190" s="2398"/>
    </row>
    <row r="191" spans="2:2" x14ac:dyDescent="0.3">
      <c r="B191" s="2398"/>
    </row>
    <row r="192" spans="2:2" x14ac:dyDescent="0.3">
      <c r="B192" s="2398"/>
    </row>
    <row r="193" spans="2:2" x14ac:dyDescent="0.3">
      <c r="B193" s="2398"/>
    </row>
    <row r="194" spans="2:2" x14ac:dyDescent="0.3">
      <c r="B194" s="2398"/>
    </row>
    <row r="195" spans="2:2" x14ac:dyDescent="0.3">
      <c r="B195" s="2398"/>
    </row>
    <row r="196" spans="2:2" x14ac:dyDescent="0.3">
      <c r="B196" s="2398"/>
    </row>
    <row r="197" spans="2:2" x14ac:dyDescent="0.3">
      <c r="B197" s="2398"/>
    </row>
    <row r="198" spans="2:2" x14ac:dyDescent="0.3">
      <c r="B198" s="2398"/>
    </row>
    <row r="199" spans="2:2" x14ac:dyDescent="0.3">
      <c r="B199" s="2398"/>
    </row>
    <row r="200" spans="2:2" x14ac:dyDescent="0.3">
      <c r="B200" s="2398"/>
    </row>
    <row r="201" spans="2:2" x14ac:dyDescent="0.3">
      <c r="B201" s="2398"/>
    </row>
    <row r="202" spans="2:2" x14ac:dyDescent="0.3">
      <c r="B202" s="2398"/>
    </row>
    <row r="203" spans="2:2" x14ac:dyDescent="0.3">
      <c r="B203" s="2398"/>
    </row>
    <row r="204" spans="2:2" x14ac:dyDescent="0.3">
      <c r="B204" s="2398"/>
    </row>
    <row r="205" spans="2:2" x14ac:dyDescent="0.3">
      <c r="B205" s="2398"/>
    </row>
    <row r="206" spans="2:2" x14ac:dyDescent="0.3">
      <c r="B206" s="2398"/>
    </row>
    <row r="207" spans="2:2" x14ac:dyDescent="0.3">
      <c r="B207" s="2398"/>
    </row>
    <row r="208" spans="2:2" x14ac:dyDescent="0.3">
      <c r="B208" s="2398"/>
    </row>
    <row r="209" spans="2:2" x14ac:dyDescent="0.3">
      <c r="B209" s="2398"/>
    </row>
    <row r="210" spans="2:2" x14ac:dyDescent="0.3">
      <c r="B210" s="2398"/>
    </row>
    <row r="211" spans="2:2" x14ac:dyDescent="0.3">
      <c r="B211" s="2398"/>
    </row>
    <row r="212" spans="2:2" x14ac:dyDescent="0.3">
      <c r="B212" s="2398"/>
    </row>
    <row r="213" spans="2:2" x14ac:dyDescent="0.3">
      <c r="B213" s="2398"/>
    </row>
    <row r="214" spans="2:2" x14ac:dyDescent="0.3">
      <c r="B214" s="2398"/>
    </row>
    <row r="215" spans="2:2" x14ac:dyDescent="0.3">
      <c r="B215" s="2398"/>
    </row>
    <row r="216" spans="2:2" x14ac:dyDescent="0.3">
      <c r="B216" s="2398"/>
    </row>
    <row r="217" spans="2:2" x14ac:dyDescent="0.3">
      <c r="B217" s="2398"/>
    </row>
    <row r="218" spans="2:2" x14ac:dyDescent="0.3">
      <c r="B218" s="2398"/>
    </row>
    <row r="219" spans="2:2" x14ac:dyDescent="0.3">
      <c r="B219" s="2398"/>
    </row>
    <row r="220" spans="2:2" x14ac:dyDescent="0.3">
      <c r="B220" s="2398"/>
    </row>
    <row r="221" spans="2:2" x14ac:dyDescent="0.3">
      <c r="B221" s="2398"/>
    </row>
    <row r="222" spans="2:2" x14ac:dyDescent="0.3">
      <c r="B222" s="2398"/>
    </row>
    <row r="223" spans="2:2" x14ac:dyDescent="0.3">
      <c r="B223" s="2398"/>
    </row>
    <row r="224" spans="2:2" x14ac:dyDescent="0.3">
      <c r="B224" s="2398"/>
    </row>
    <row r="225" spans="2:2" x14ac:dyDescent="0.3">
      <c r="B225" s="2398"/>
    </row>
    <row r="226" spans="2:2" x14ac:dyDescent="0.3">
      <c r="B226" s="2398"/>
    </row>
    <row r="227" spans="2:2" x14ac:dyDescent="0.3">
      <c r="B227" s="2398"/>
    </row>
    <row r="228" spans="2:2" x14ac:dyDescent="0.3">
      <c r="B228" s="2398"/>
    </row>
    <row r="229" spans="2:2" x14ac:dyDescent="0.3">
      <c r="B229" s="2398"/>
    </row>
    <row r="230" spans="2:2" x14ac:dyDescent="0.3">
      <c r="B230" s="2398"/>
    </row>
    <row r="231" spans="2:2" x14ac:dyDescent="0.3">
      <c r="B231" s="2398"/>
    </row>
    <row r="232" spans="2:2" x14ac:dyDescent="0.3">
      <c r="B232" s="2398"/>
    </row>
    <row r="233" spans="2:2" x14ac:dyDescent="0.3">
      <c r="B233" s="2398"/>
    </row>
    <row r="234" spans="2:2" x14ac:dyDescent="0.3">
      <c r="B234" s="2398"/>
    </row>
    <row r="235" spans="2:2" x14ac:dyDescent="0.3">
      <c r="B235" s="2398"/>
    </row>
    <row r="236" spans="2:2" x14ac:dyDescent="0.3">
      <c r="B236" s="2398"/>
    </row>
    <row r="237" spans="2:2" x14ac:dyDescent="0.3">
      <c r="B237" s="2398"/>
    </row>
    <row r="238" spans="2:2" x14ac:dyDescent="0.3">
      <c r="B238" s="2398"/>
    </row>
    <row r="239" spans="2:2" x14ac:dyDescent="0.3">
      <c r="B239" s="2398"/>
    </row>
    <row r="240" spans="2:2" x14ac:dyDescent="0.3">
      <c r="B240" s="2398"/>
    </row>
    <row r="241" spans="2:2" x14ac:dyDescent="0.3">
      <c r="B241" s="2398"/>
    </row>
    <row r="242" spans="2:2" x14ac:dyDescent="0.3">
      <c r="B242" s="2398"/>
    </row>
    <row r="243" spans="2:2" x14ac:dyDescent="0.3">
      <c r="B243" s="2398"/>
    </row>
    <row r="244" spans="2:2" x14ac:dyDescent="0.3">
      <c r="B244" s="2398"/>
    </row>
    <row r="245" spans="2:2" x14ac:dyDescent="0.3">
      <c r="B245" s="2398"/>
    </row>
    <row r="246" spans="2:2" x14ac:dyDescent="0.3">
      <c r="B246" s="2398"/>
    </row>
    <row r="247" spans="2:2" x14ac:dyDescent="0.3">
      <c r="B247" s="2398"/>
    </row>
    <row r="248" spans="2:2" x14ac:dyDescent="0.3">
      <c r="B248" s="2398"/>
    </row>
    <row r="249" spans="2:2" x14ac:dyDescent="0.3">
      <c r="B249" s="2398"/>
    </row>
    <row r="250" spans="2:2" x14ac:dyDescent="0.3">
      <c r="B250" s="2398"/>
    </row>
    <row r="251" spans="2:2" x14ac:dyDescent="0.3">
      <c r="B251" s="2398"/>
    </row>
    <row r="252" spans="2:2" x14ac:dyDescent="0.3">
      <c r="B252" s="2398"/>
    </row>
    <row r="253" spans="2:2" x14ac:dyDescent="0.3">
      <c r="B253" s="2398"/>
    </row>
    <row r="254" spans="2:2" x14ac:dyDescent="0.3">
      <c r="B254" s="2398"/>
    </row>
    <row r="255" spans="2:2" x14ac:dyDescent="0.3">
      <c r="B255" s="2398"/>
    </row>
    <row r="256" spans="2:2" x14ac:dyDescent="0.3">
      <c r="B256" s="2398"/>
    </row>
    <row r="257" spans="2:2" x14ac:dyDescent="0.3">
      <c r="B257" s="2398"/>
    </row>
    <row r="258" spans="2:2" x14ac:dyDescent="0.3">
      <c r="B258" s="2398"/>
    </row>
    <row r="259" spans="2:2" x14ac:dyDescent="0.3">
      <c r="B259" s="2398"/>
    </row>
    <row r="260" spans="2:2" x14ac:dyDescent="0.3">
      <c r="B260" s="2398"/>
    </row>
    <row r="261" spans="2:2" x14ac:dyDescent="0.3">
      <c r="B261" s="2398"/>
    </row>
    <row r="262" spans="2:2" x14ac:dyDescent="0.3">
      <c r="B262" s="2398"/>
    </row>
    <row r="263" spans="2:2" x14ac:dyDescent="0.3">
      <c r="B263" s="2398"/>
    </row>
    <row r="264" spans="2:2" x14ac:dyDescent="0.3">
      <c r="B264" s="2398"/>
    </row>
    <row r="265" spans="2:2" x14ac:dyDescent="0.3">
      <c r="B265" s="2398"/>
    </row>
    <row r="266" spans="2:2" x14ac:dyDescent="0.3">
      <c r="B266" s="2398"/>
    </row>
    <row r="267" spans="2:2" x14ac:dyDescent="0.3">
      <c r="B267" s="2398"/>
    </row>
    <row r="268" spans="2:2" x14ac:dyDescent="0.3">
      <c r="B268" s="2398"/>
    </row>
    <row r="269" spans="2:2" x14ac:dyDescent="0.3">
      <c r="B269" s="2398"/>
    </row>
    <row r="270" spans="2:2" x14ac:dyDescent="0.3">
      <c r="B270" s="2398"/>
    </row>
    <row r="271" spans="2:2" x14ac:dyDescent="0.3">
      <c r="B271" s="2398"/>
    </row>
    <row r="272" spans="2:2" x14ac:dyDescent="0.3">
      <c r="B272" s="2398"/>
    </row>
    <row r="273" spans="2:2" x14ac:dyDescent="0.3">
      <c r="B273" s="2398"/>
    </row>
    <row r="274" spans="2:2" x14ac:dyDescent="0.3">
      <c r="B274" s="2398"/>
    </row>
    <row r="275" spans="2:2" x14ac:dyDescent="0.3">
      <c r="B275" s="2398"/>
    </row>
    <row r="276" spans="2:2" x14ac:dyDescent="0.3">
      <c r="B276" s="2398"/>
    </row>
    <row r="277" spans="2:2" x14ac:dyDescent="0.3">
      <c r="B277" s="2398"/>
    </row>
    <row r="278" spans="2:2" x14ac:dyDescent="0.3">
      <c r="B278" s="2398"/>
    </row>
    <row r="279" spans="2:2" x14ac:dyDescent="0.3">
      <c r="B279" s="2398"/>
    </row>
    <row r="280" spans="2:2" x14ac:dyDescent="0.3">
      <c r="B280" s="2398"/>
    </row>
    <row r="281" spans="2:2" x14ac:dyDescent="0.3">
      <c r="B281" s="2398"/>
    </row>
    <row r="282" spans="2:2" x14ac:dyDescent="0.3">
      <c r="B282" s="2398"/>
    </row>
    <row r="283" spans="2:2" x14ac:dyDescent="0.3">
      <c r="B283" s="2398"/>
    </row>
    <row r="284" spans="2:2" x14ac:dyDescent="0.3">
      <c r="B284" s="2398"/>
    </row>
    <row r="285" spans="2:2" x14ac:dyDescent="0.3">
      <c r="B285" s="2398"/>
    </row>
  </sheetData>
  <mergeCells count="74">
    <mergeCell ref="HP22:HP23"/>
    <mergeCell ref="HQ22:HQ23"/>
    <mergeCell ref="HR22:HR23"/>
    <mergeCell ref="HS22:HS23"/>
    <mergeCell ref="HJ22:HJ23"/>
    <mergeCell ref="HK22:HK23"/>
    <mergeCell ref="HL22:HL23"/>
    <mergeCell ref="HM22:HM23"/>
    <mergeCell ref="HN22:HN23"/>
    <mergeCell ref="HO22:HO23"/>
    <mergeCell ref="HI22:HI23"/>
    <mergeCell ref="GX22:GX23"/>
    <mergeCell ref="GY22:GY23"/>
    <mergeCell ref="GZ22:GZ23"/>
    <mergeCell ref="HA22:HA23"/>
    <mergeCell ref="HB22:HB23"/>
    <mergeCell ref="HC22:HC23"/>
    <mergeCell ref="HD22:HD23"/>
    <mergeCell ref="HE22:HE23"/>
    <mergeCell ref="HF22:HF23"/>
    <mergeCell ref="HG22:HG23"/>
    <mergeCell ref="HH22:HH23"/>
    <mergeCell ref="GR22:GR23"/>
    <mergeCell ref="GS22:GS23"/>
    <mergeCell ref="GT22:GT23"/>
    <mergeCell ref="GU22:GU23"/>
    <mergeCell ref="GV22:GV23"/>
    <mergeCell ref="GW22:GW23"/>
    <mergeCell ref="HS3:HS4"/>
    <mergeCell ref="GI22:GI23"/>
    <mergeCell ref="GJ22:GJ23"/>
    <mergeCell ref="GK22:GK23"/>
    <mergeCell ref="GL22:GL23"/>
    <mergeCell ref="GM22:GM23"/>
    <mergeCell ref="GN22:GN23"/>
    <mergeCell ref="GO22:GO23"/>
    <mergeCell ref="GP22:GP23"/>
    <mergeCell ref="GQ22:GQ23"/>
    <mergeCell ref="HM3:HM4"/>
    <mergeCell ref="HN3:HN4"/>
    <mergeCell ref="HO3:HO4"/>
    <mergeCell ref="HP3:HP4"/>
    <mergeCell ref="HQ3:HQ4"/>
    <mergeCell ref="HR3:HR4"/>
    <mergeCell ref="HG3:HG4"/>
    <mergeCell ref="HH3:HH4"/>
    <mergeCell ref="HI3:HI4"/>
    <mergeCell ref="HJ3:HJ4"/>
    <mergeCell ref="HK3:HK4"/>
    <mergeCell ref="HL3:HL4"/>
    <mergeCell ref="HF3:HF4"/>
    <mergeCell ref="GU3:GU4"/>
    <mergeCell ref="GV3:GV4"/>
    <mergeCell ref="GW3:GW4"/>
    <mergeCell ref="GX3:GX4"/>
    <mergeCell ref="GY3:GY4"/>
    <mergeCell ref="GZ3:GZ4"/>
    <mergeCell ref="HA3:HA4"/>
    <mergeCell ref="HB3:HB4"/>
    <mergeCell ref="HC3:HC4"/>
    <mergeCell ref="HD3:HD4"/>
    <mergeCell ref="HE3:HE4"/>
    <mergeCell ref="GT3:GT4"/>
    <mergeCell ref="GI3:GI4"/>
    <mergeCell ref="GJ3:GJ4"/>
    <mergeCell ref="GK3:GK4"/>
    <mergeCell ref="GL3:GL4"/>
    <mergeCell ref="GM3:GM4"/>
    <mergeCell ref="GN3:GN4"/>
    <mergeCell ref="GO3:GO4"/>
    <mergeCell ref="GP3:GP4"/>
    <mergeCell ref="GQ3:GQ4"/>
    <mergeCell ref="GR3:GR4"/>
    <mergeCell ref="GS3:GS4"/>
  </mergeCells>
  <pageMargins left="0.75" right="0.75" top="0.75" bottom="0.75" header="0.31496062992126" footer="0"/>
  <pageSetup paperSize="9" scale="6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96"/>
  <sheetViews>
    <sheetView showGridLines="0" zoomScaleNormal="100" zoomScaleSheetLayoutView="85" workbookViewId="0">
      <pane xSplit="1" ySplit="8" topLeftCell="B9" activePane="bottomRight" state="frozen"/>
      <selection activeCell="A150" sqref="A150"/>
      <selection pane="topRight" activeCell="A150" sqref="A150"/>
      <selection pane="bottomLeft" activeCell="A150" sqref="A150"/>
      <selection pane="bottomRight" activeCell="E26" sqref="E26"/>
    </sheetView>
  </sheetViews>
  <sheetFormatPr defaultRowHeight="14.25" x14ac:dyDescent="0.25"/>
  <cols>
    <col min="1" max="1" width="31.85546875" style="2428" customWidth="1"/>
    <col min="2" max="2" width="27.7109375" style="2428" customWidth="1"/>
    <col min="3" max="3" width="27.5703125" style="2428" customWidth="1"/>
    <col min="4" max="4" width="20.7109375" style="2428" bestFit="1" customWidth="1"/>
    <col min="5" max="5" width="18.85546875" style="2428" bestFit="1" customWidth="1"/>
    <col min="6" max="6" width="9.5703125" style="2428" customWidth="1"/>
    <col min="7" max="7" width="15.7109375" style="2428" customWidth="1"/>
    <col min="8" max="10" width="9.140625" style="2428"/>
    <col min="11" max="11" width="13" style="2428" customWidth="1"/>
    <col min="12" max="144" width="9.140625" style="2428"/>
    <col min="145" max="157" width="8.85546875" style="2428" customWidth="1"/>
    <col min="158" max="256" width="9.140625" style="2428"/>
    <col min="257" max="257" width="31.85546875" style="2428" customWidth="1"/>
    <col min="258" max="258" width="25" style="2428" customWidth="1"/>
    <col min="259" max="259" width="24.7109375" style="2428" customWidth="1"/>
    <col min="260" max="260" width="20.7109375" style="2428" bestFit="1" customWidth="1"/>
    <col min="261" max="261" width="18.85546875" style="2428" bestFit="1" customWidth="1"/>
    <col min="262" max="262" width="9.5703125" style="2428" customWidth="1"/>
    <col min="263" max="263" width="15.7109375" style="2428" customWidth="1"/>
    <col min="264" max="266" width="9.140625" style="2428"/>
    <col min="267" max="267" width="13" style="2428" customWidth="1"/>
    <col min="268" max="400" width="9.140625" style="2428"/>
    <col min="401" max="413" width="8.85546875" style="2428" customWidth="1"/>
    <col min="414" max="512" width="9.140625" style="2428"/>
    <col min="513" max="513" width="31.85546875" style="2428" customWidth="1"/>
    <col min="514" max="514" width="25" style="2428" customWidth="1"/>
    <col min="515" max="515" width="24.7109375" style="2428" customWidth="1"/>
    <col min="516" max="516" width="20.7109375" style="2428" bestFit="1" customWidth="1"/>
    <col min="517" max="517" width="18.85546875" style="2428" bestFit="1" customWidth="1"/>
    <col min="518" max="518" width="9.5703125" style="2428" customWidth="1"/>
    <col min="519" max="519" width="15.7109375" style="2428" customWidth="1"/>
    <col min="520" max="522" width="9.140625" style="2428"/>
    <col min="523" max="523" width="13" style="2428" customWidth="1"/>
    <col min="524" max="656" width="9.140625" style="2428"/>
    <col min="657" max="669" width="8.85546875" style="2428" customWidth="1"/>
    <col min="670" max="768" width="9.140625" style="2428"/>
    <col min="769" max="769" width="31.85546875" style="2428" customWidth="1"/>
    <col min="770" max="770" width="25" style="2428" customWidth="1"/>
    <col min="771" max="771" width="24.7109375" style="2428" customWidth="1"/>
    <col min="772" max="772" width="20.7109375" style="2428" bestFit="1" customWidth="1"/>
    <col min="773" max="773" width="18.85546875" style="2428" bestFit="1" customWidth="1"/>
    <col min="774" max="774" width="9.5703125" style="2428" customWidth="1"/>
    <col min="775" max="775" width="15.7109375" style="2428" customWidth="1"/>
    <col min="776" max="778" width="9.140625" style="2428"/>
    <col min="779" max="779" width="13" style="2428" customWidth="1"/>
    <col min="780" max="912" width="9.140625" style="2428"/>
    <col min="913" max="925" width="8.85546875" style="2428" customWidth="1"/>
    <col min="926" max="1024" width="9.140625" style="2428"/>
    <col min="1025" max="1025" width="31.85546875" style="2428" customWidth="1"/>
    <col min="1026" max="1026" width="25" style="2428" customWidth="1"/>
    <col min="1027" max="1027" width="24.7109375" style="2428" customWidth="1"/>
    <col min="1028" max="1028" width="20.7109375" style="2428" bestFit="1" customWidth="1"/>
    <col min="1029" max="1029" width="18.85546875" style="2428" bestFit="1" customWidth="1"/>
    <col min="1030" max="1030" width="9.5703125" style="2428" customWidth="1"/>
    <col min="1031" max="1031" width="15.7109375" style="2428" customWidth="1"/>
    <col min="1032" max="1034" width="9.140625" style="2428"/>
    <col min="1035" max="1035" width="13" style="2428" customWidth="1"/>
    <col min="1036" max="1168" width="9.140625" style="2428"/>
    <col min="1169" max="1181" width="8.85546875" style="2428" customWidth="1"/>
    <col min="1182" max="1280" width="9.140625" style="2428"/>
    <col min="1281" max="1281" width="31.85546875" style="2428" customWidth="1"/>
    <col min="1282" max="1282" width="25" style="2428" customWidth="1"/>
    <col min="1283" max="1283" width="24.7109375" style="2428" customWidth="1"/>
    <col min="1284" max="1284" width="20.7109375" style="2428" bestFit="1" customWidth="1"/>
    <col min="1285" max="1285" width="18.85546875" style="2428" bestFit="1" customWidth="1"/>
    <col min="1286" max="1286" width="9.5703125" style="2428" customWidth="1"/>
    <col min="1287" max="1287" width="15.7109375" style="2428" customWidth="1"/>
    <col min="1288" max="1290" width="9.140625" style="2428"/>
    <col min="1291" max="1291" width="13" style="2428" customWidth="1"/>
    <col min="1292" max="1424" width="9.140625" style="2428"/>
    <col min="1425" max="1437" width="8.85546875" style="2428" customWidth="1"/>
    <col min="1438" max="1536" width="9.140625" style="2428"/>
    <col min="1537" max="1537" width="31.85546875" style="2428" customWidth="1"/>
    <col min="1538" max="1538" width="25" style="2428" customWidth="1"/>
    <col min="1539" max="1539" width="24.7109375" style="2428" customWidth="1"/>
    <col min="1540" max="1540" width="20.7109375" style="2428" bestFit="1" customWidth="1"/>
    <col min="1541" max="1541" width="18.85546875" style="2428" bestFit="1" customWidth="1"/>
    <col min="1542" max="1542" width="9.5703125" style="2428" customWidth="1"/>
    <col min="1543" max="1543" width="15.7109375" style="2428" customWidth="1"/>
    <col min="1544" max="1546" width="9.140625" style="2428"/>
    <col min="1547" max="1547" width="13" style="2428" customWidth="1"/>
    <col min="1548" max="1680" width="9.140625" style="2428"/>
    <col min="1681" max="1693" width="8.85546875" style="2428" customWidth="1"/>
    <col min="1694" max="1792" width="9.140625" style="2428"/>
    <col min="1793" max="1793" width="31.85546875" style="2428" customWidth="1"/>
    <col min="1794" max="1794" width="25" style="2428" customWidth="1"/>
    <col min="1795" max="1795" width="24.7109375" style="2428" customWidth="1"/>
    <col min="1796" max="1796" width="20.7109375" style="2428" bestFit="1" customWidth="1"/>
    <col min="1797" max="1797" width="18.85546875" style="2428" bestFit="1" customWidth="1"/>
    <col min="1798" max="1798" width="9.5703125" style="2428" customWidth="1"/>
    <col min="1799" max="1799" width="15.7109375" style="2428" customWidth="1"/>
    <col min="1800" max="1802" width="9.140625" style="2428"/>
    <col min="1803" max="1803" width="13" style="2428" customWidth="1"/>
    <col min="1804" max="1936" width="9.140625" style="2428"/>
    <col min="1937" max="1949" width="8.85546875" style="2428" customWidth="1"/>
    <col min="1950" max="2048" width="9.140625" style="2428"/>
    <col min="2049" max="2049" width="31.85546875" style="2428" customWidth="1"/>
    <col min="2050" max="2050" width="25" style="2428" customWidth="1"/>
    <col min="2051" max="2051" width="24.7109375" style="2428" customWidth="1"/>
    <col min="2052" max="2052" width="20.7109375" style="2428" bestFit="1" customWidth="1"/>
    <col min="2053" max="2053" width="18.85546875" style="2428" bestFit="1" customWidth="1"/>
    <col min="2054" max="2054" width="9.5703125" style="2428" customWidth="1"/>
    <col min="2055" max="2055" width="15.7109375" style="2428" customWidth="1"/>
    <col min="2056" max="2058" width="9.140625" style="2428"/>
    <col min="2059" max="2059" width="13" style="2428" customWidth="1"/>
    <col min="2060" max="2192" width="9.140625" style="2428"/>
    <col min="2193" max="2205" width="8.85546875" style="2428" customWidth="1"/>
    <col min="2206" max="2304" width="9.140625" style="2428"/>
    <col min="2305" max="2305" width="31.85546875" style="2428" customWidth="1"/>
    <col min="2306" max="2306" width="25" style="2428" customWidth="1"/>
    <col min="2307" max="2307" width="24.7109375" style="2428" customWidth="1"/>
    <col min="2308" max="2308" width="20.7109375" style="2428" bestFit="1" customWidth="1"/>
    <col min="2309" max="2309" width="18.85546875" style="2428" bestFit="1" customWidth="1"/>
    <col min="2310" max="2310" width="9.5703125" style="2428" customWidth="1"/>
    <col min="2311" max="2311" width="15.7109375" style="2428" customWidth="1"/>
    <col min="2312" max="2314" width="9.140625" style="2428"/>
    <col min="2315" max="2315" width="13" style="2428" customWidth="1"/>
    <col min="2316" max="2448" width="9.140625" style="2428"/>
    <col min="2449" max="2461" width="8.85546875" style="2428" customWidth="1"/>
    <col min="2462" max="2560" width="9.140625" style="2428"/>
    <col min="2561" max="2561" width="31.85546875" style="2428" customWidth="1"/>
    <col min="2562" max="2562" width="25" style="2428" customWidth="1"/>
    <col min="2563" max="2563" width="24.7109375" style="2428" customWidth="1"/>
    <col min="2564" max="2564" width="20.7109375" style="2428" bestFit="1" customWidth="1"/>
    <col min="2565" max="2565" width="18.85546875" style="2428" bestFit="1" customWidth="1"/>
    <col min="2566" max="2566" width="9.5703125" style="2428" customWidth="1"/>
    <col min="2567" max="2567" width="15.7109375" style="2428" customWidth="1"/>
    <col min="2568" max="2570" width="9.140625" style="2428"/>
    <col min="2571" max="2571" width="13" style="2428" customWidth="1"/>
    <col min="2572" max="2704" width="9.140625" style="2428"/>
    <col min="2705" max="2717" width="8.85546875" style="2428" customWidth="1"/>
    <col min="2718" max="2816" width="9.140625" style="2428"/>
    <col min="2817" max="2817" width="31.85546875" style="2428" customWidth="1"/>
    <col min="2818" max="2818" width="25" style="2428" customWidth="1"/>
    <col min="2819" max="2819" width="24.7109375" style="2428" customWidth="1"/>
    <col min="2820" max="2820" width="20.7109375" style="2428" bestFit="1" customWidth="1"/>
    <col min="2821" max="2821" width="18.85546875" style="2428" bestFit="1" customWidth="1"/>
    <col min="2822" max="2822" width="9.5703125" style="2428" customWidth="1"/>
    <col min="2823" max="2823" width="15.7109375" style="2428" customWidth="1"/>
    <col min="2824" max="2826" width="9.140625" style="2428"/>
    <col min="2827" max="2827" width="13" style="2428" customWidth="1"/>
    <col min="2828" max="2960" width="9.140625" style="2428"/>
    <col min="2961" max="2973" width="8.85546875" style="2428" customWidth="1"/>
    <col min="2974" max="3072" width="9.140625" style="2428"/>
    <col min="3073" max="3073" width="31.85546875" style="2428" customWidth="1"/>
    <col min="3074" max="3074" width="25" style="2428" customWidth="1"/>
    <col min="3075" max="3075" width="24.7109375" style="2428" customWidth="1"/>
    <col min="3076" max="3076" width="20.7109375" style="2428" bestFit="1" customWidth="1"/>
    <col min="3077" max="3077" width="18.85546875" style="2428" bestFit="1" customWidth="1"/>
    <col min="3078" max="3078" width="9.5703125" style="2428" customWidth="1"/>
    <col min="3079" max="3079" width="15.7109375" style="2428" customWidth="1"/>
    <col min="3080" max="3082" width="9.140625" style="2428"/>
    <col min="3083" max="3083" width="13" style="2428" customWidth="1"/>
    <col min="3084" max="3216" width="9.140625" style="2428"/>
    <col min="3217" max="3229" width="8.85546875" style="2428" customWidth="1"/>
    <col min="3230" max="3328" width="9.140625" style="2428"/>
    <col min="3329" max="3329" width="31.85546875" style="2428" customWidth="1"/>
    <col min="3330" max="3330" width="25" style="2428" customWidth="1"/>
    <col min="3331" max="3331" width="24.7109375" style="2428" customWidth="1"/>
    <col min="3332" max="3332" width="20.7109375" style="2428" bestFit="1" customWidth="1"/>
    <col min="3333" max="3333" width="18.85546875" style="2428" bestFit="1" customWidth="1"/>
    <col min="3334" max="3334" width="9.5703125" style="2428" customWidth="1"/>
    <col min="3335" max="3335" width="15.7109375" style="2428" customWidth="1"/>
    <col min="3336" max="3338" width="9.140625" style="2428"/>
    <col min="3339" max="3339" width="13" style="2428" customWidth="1"/>
    <col min="3340" max="3472" width="9.140625" style="2428"/>
    <col min="3473" max="3485" width="8.85546875" style="2428" customWidth="1"/>
    <col min="3486" max="3584" width="9.140625" style="2428"/>
    <col min="3585" max="3585" width="31.85546875" style="2428" customWidth="1"/>
    <col min="3586" max="3586" width="25" style="2428" customWidth="1"/>
    <col min="3587" max="3587" width="24.7109375" style="2428" customWidth="1"/>
    <col min="3588" max="3588" width="20.7109375" style="2428" bestFit="1" customWidth="1"/>
    <col min="3589" max="3589" width="18.85546875" style="2428" bestFit="1" customWidth="1"/>
    <col min="3590" max="3590" width="9.5703125" style="2428" customWidth="1"/>
    <col min="3591" max="3591" width="15.7109375" style="2428" customWidth="1"/>
    <col min="3592" max="3594" width="9.140625" style="2428"/>
    <col min="3595" max="3595" width="13" style="2428" customWidth="1"/>
    <col min="3596" max="3728" width="9.140625" style="2428"/>
    <col min="3729" max="3741" width="8.85546875" style="2428" customWidth="1"/>
    <col min="3742" max="3840" width="9.140625" style="2428"/>
    <col min="3841" max="3841" width="31.85546875" style="2428" customWidth="1"/>
    <col min="3842" max="3842" width="25" style="2428" customWidth="1"/>
    <col min="3843" max="3843" width="24.7109375" style="2428" customWidth="1"/>
    <col min="3844" max="3844" width="20.7109375" style="2428" bestFit="1" customWidth="1"/>
    <col min="3845" max="3845" width="18.85546875" style="2428" bestFit="1" customWidth="1"/>
    <col min="3846" max="3846" width="9.5703125" style="2428" customWidth="1"/>
    <col min="3847" max="3847" width="15.7109375" style="2428" customWidth="1"/>
    <col min="3848" max="3850" width="9.140625" style="2428"/>
    <col min="3851" max="3851" width="13" style="2428" customWidth="1"/>
    <col min="3852" max="3984" width="9.140625" style="2428"/>
    <col min="3985" max="3997" width="8.85546875" style="2428" customWidth="1"/>
    <col min="3998" max="4096" width="9.140625" style="2428"/>
    <col min="4097" max="4097" width="31.85546875" style="2428" customWidth="1"/>
    <col min="4098" max="4098" width="25" style="2428" customWidth="1"/>
    <col min="4099" max="4099" width="24.7109375" style="2428" customWidth="1"/>
    <col min="4100" max="4100" width="20.7109375" style="2428" bestFit="1" customWidth="1"/>
    <col min="4101" max="4101" width="18.85546875" style="2428" bestFit="1" customWidth="1"/>
    <col min="4102" max="4102" width="9.5703125" style="2428" customWidth="1"/>
    <col min="4103" max="4103" width="15.7109375" style="2428" customWidth="1"/>
    <col min="4104" max="4106" width="9.140625" style="2428"/>
    <col min="4107" max="4107" width="13" style="2428" customWidth="1"/>
    <col min="4108" max="4240" width="9.140625" style="2428"/>
    <col min="4241" max="4253" width="8.85546875" style="2428" customWidth="1"/>
    <col min="4254" max="4352" width="9.140625" style="2428"/>
    <col min="4353" max="4353" width="31.85546875" style="2428" customWidth="1"/>
    <col min="4354" max="4354" width="25" style="2428" customWidth="1"/>
    <col min="4355" max="4355" width="24.7109375" style="2428" customWidth="1"/>
    <col min="4356" max="4356" width="20.7109375" style="2428" bestFit="1" customWidth="1"/>
    <col min="4357" max="4357" width="18.85546875" style="2428" bestFit="1" customWidth="1"/>
    <col min="4358" max="4358" width="9.5703125" style="2428" customWidth="1"/>
    <col min="4359" max="4359" width="15.7109375" style="2428" customWidth="1"/>
    <col min="4360" max="4362" width="9.140625" style="2428"/>
    <col min="4363" max="4363" width="13" style="2428" customWidth="1"/>
    <col min="4364" max="4496" width="9.140625" style="2428"/>
    <col min="4497" max="4509" width="8.85546875" style="2428" customWidth="1"/>
    <col min="4510" max="4608" width="9.140625" style="2428"/>
    <col min="4609" max="4609" width="31.85546875" style="2428" customWidth="1"/>
    <col min="4610" max="4610" width="25" style="2428" customWidth="1"/>
    <col min="4611" max="4611" width="24.7109375" style="2428" customWidth="1"/>
    <col min="4612" max="4612" width="20.7109375" style="2428" bestFit="1" customWidth="1"/>
    <col min="4613" max="4613" width="18.85546875" style="2428" bestFit="1" customWidth="1"/>
    <col min="4614" max="4614" width="9.5703125" style="2428" customWidth="1"/>
    <col min="4615" max="4615" width="15.7109375" style="2428" customWidth="1"/>
    <col min="4616" max="4618" width="9.140625" style="2428"/>
    <col min="4619" max="4619" width="13" style="2428" customWidth="1"/>
    <col min="4620" max="4752" width="9.140625" style="2428"/>
    <col min="4753" max="4765" width="8.85546875" style="2428" customWidth="1"/>
    <col min="4766" max="4864" width="9.140625" style="2428"/>
    <col min="4865" max="4865" width="31.85546875" style="2428" customWidth="1"/>
    <col min="4866" max="4866" width="25" style="2428" customWidth="1"/>
    <col min="4867" max="4867" width="24.7109375" style="2428" customWidth="1"/>
    <col min="4868" max="4868" width="20.7109375" style="2428" bestFit="1" customWidth="1"/>
    <col min="4869" max="4869" width="18.85546875" style="2428" bestFit="1" customWidth="1"/>
    <col min="4870" max="4870" width="9.5703125" style="2428" customWidth="1"/>
    <col min="4871" max="4871" width="15.7109375" style="2428" customWidth="1"/>
    <col min="4872" max="4874" width="9.140625" style="2428"/>
    <col min="4875" max="4875" width="13" style="2428" customWidth="1"/>
    <col min="4876" max="5008" width="9.140625" style="2428"/>
    <col min="5009" max="5021" width="8.85546875" style="2428" customWidth="1"/>
    <col min="5022" max="5120" width="9.140625" style="2428"/>
    <col min="5121" max="5121" width="31.85546875" style="2428" customWidth="1"/>
    <col min="5122" max="5122" width="25" style="2428" customWidth="1"/>
    <col min="5123" max="5123" width="24.7109375" style="2428" customWidth="1"/>
    <col min="5124" max="5124" width="20.7109375" style="2428" bestFit="1" customWidth="1"/>
    <col min="5125" max="5125" width="18.85546875" style="2428" bestFit="1" customWidth="1"/>
    <col min="5126" max="5126" width="9.5703125" style="2428" customWidth="1"/>
    <col min="5127" max="5127" width="15.7109375" style="2428" customWidth="1"/>
    <col min="5128" max="5130" width="9.140625" style="2428"/>
    <col min="5131" max="5131" width="13" style="2428" customWidth="1"/>
    <col min="5132" max="5264" width="9.140625" style="2428"/>
    <col min="5265" max="5277" width="8.85546875" style="2428" customWidth="1"/>
    <col min="5278" max="5376" width="9.140625" style="2428"/>
    <col min="5377" max="5377" width="31.85546875" style="2428" customWidth="1"/>
    <col min="5378" max="5378" width="25" style="2428" customWidth="1"/>
    <col min="5379" max="5379" width="24.7109375" style="2428" customWidth="1"/>
    <col min="5380" max="5380" width="20.7109375" style="2428" bestFit="1" customWidth="1"/>
    <col min="5381" max="5381" width="18.85546875" style="2428" bestFit="1" customWidth="1"/>
    <col min="5382" max="5382" width="9.5703125" style="2428" customWidth="1"/>
    <col min="5383" max="5383" width="15.7109375" style="2428" customWidth="1"/>
    <col min="5384" max="5386" width="9.140625" style="2428"/>
    <col min="5387" max="5387" width="13" style="2428" customWidth="1"/>
    <col min="5388" max="5520" width="9.140625" style="2428"/>
    <col min="5521" max="5533" width="8.85546875" style="2428" customWidth="1"/>
    <col min="5534" max="5632" width="9.140625" style="2428"/>
    <col min="5633" max="5633" width="31.85546875" style="2428" customWidth="1"/>
    <col min="5634" max="5634" width="25" style="2428" customWidth="1"/>
    <col min="5635" max="5635" width="24.7109375" style="2428" customWidth="1"/>
    <col min="5636" max="5636" width="20.7109375" style="2428" bestFit="1" customWidth="1"/>
    <col min="5637" max="5637" width="18.85546875" style="2428" bestFit="1" customWidth="1"/>
    <col min="5638" max="5638" width="9.5703125" style="2428" customWidth="1"/>
    <col min="5639" max="5639" width="15.7109375" style="2428" customWidth="1"/>
    <col min="5640" max="5642" width="9.140625" style="2428"/>
    <col min="5643" max="5643" width="13" style="2428" customWidth="1"/>
    <col min="5644" max="5776" width="9.140625" style="2428"/>
    <col min="5777" max="5789" width="8.85546875" style="2428" customWidth="1"/>
    <col min="5790" max="5888" width="9.140625" style="2428"/>
    <col min="5889" max="5889" width="31.85546875" style="2428" customWidth="1"/>
    <col min="5890" max="5890" width="25" style="2428" customWidth="1"/>
    <col min="5891" max="5891" width="24.7109375" style="2428" customWidth="1"/>
    <col min="5892" max="5892" width="20.7109375" style="2428" bestFit="1" customWidth="1"/>
    <col min="5893" max="5893" width="18.85546875" style="2428" bestFit="1" customWidth="1"/>
    <col min="5894" max="5894" width="9.5703125" style="2428" customWidth="1"/>
    <col min="5895" max="5895" width="15.7109375" style="2428" customWidth="1"/>
    <col min="5896" max="5898" width="9.140625" style="2428"/>
    <col min="5899" max="5899" width="13" style="2428" customWidth="1"/>
    <col min="5900" max="6032" width="9.140625" style="2428"/>
    <col min="6033" max="6045" width="8.85546875" style="2428" customWidth="1"/>
    <col min="6046" max="6144" width="9.140625" style="2428"/>
    <col min="6145" max="6145" width="31.85546875" style="2428" customWidth="1"/>
    <col min="6146" max="6146" width="25" style="2428" customWidth="1"/>
    <col min="6147" max="6147" width="24.7109375" style="2428" customWidth="1"/>
    <col min="6148" max="6148" width="20.7109375" style="2428" bestFit="1" customWidth="1"/>
    <col min="6149" max="6149" width="18.85546875" style="2428" bestFit="1" customWidth="1"/>
    <col min="6150" max="6150" width="9.5703125" style="2428" customWidth="1"/>
    <col min="6151" max="6151" width="15.7109375" style="2428" customWidth="1"/>
    <col min="6152" max="6154" width="9.140625" style="2428"/>
    <col min="6155" max="6155" width="13" style="2428" customWidth="1"/>
    <col min="6156" max="6288" width="9.140625" style="2428"/>
    <col min="6289" max="6301" width="8.85546875" style="2428" customWidth="1"/>
    <col min="6302" max="6400" width="9.140625" style="2428"/>
    <col min="6401" max="6401" width="31.85546875" style="2428" customWidth="1"/>
    <col min="6402" max="6402" width="25" style="2428" customWidth="1"/>
    <col min="6403" max="6403" width="24.7109375" style="2428" customWidth="1"/>
    <col min="6404" max="6404" width="20.7109375" style="2428" bestFit="1" customWidth="1"/>
    <col min="6405" max="6405" width="18.85546875" style="2428" bestFit="1" customWidth="1"/>
    <col min="6406" max="6406" width="9.5703125" style="2428" customWidth="1"/>
    <col min="6407" max="6407" width="15.7109375" style="2428" customWidth="1"/>
    <col min="6408" max="6410" width="9.140625" style="2428"/>
    <col min="6411" max="6411" width="13" style="2428" customWidth="1"/>
    <col min="6412" max="6544" width="9.140625" style="2428"/>
    <col min="6545" max="6557" width="8.85546875" style="2428" customWidth="1"/>
    <col min="6558" max="6656" width="9.140625" style="2428"/>
    <col min="6657" max="6657" width="31.85546875" style="2428" customWidth="1"/>
    <col min="6658" max="6658" width="25" style="2428" customWidth="1"/>
    <col min="6659" max="6659" width="24.7109375" style="2428" customWidth="1"/>
    <col min="6660" max="6660" width="20.7109375" style="2428" bestFit="1" customWidth="1"/>
    <col min="6661" max="6661" width="18.85546875" style="2428" bestFit="1" customWidth="1"/>
    <col min="6662" max="6662" width="9.5703125" style="2428" customWidth="1"/>
    <col min="6663" max="6663" width="15.7109375" style="2428" customWidth="1"/>
    <col min="6664" max="6666" width="9.140625" style="2428"/>
    <col min="6667" max="6667" width="13" style="2428" customWidth="1"/>
    <col min="6668" max="6800" width="9.140625" style="2428"/>
    <col min="6801" max="6813" width="8.85546875" style="2428" customWidth="1"/>
    <col min="6814" max="6912" width="9.140625" style="2428"/>
    <col min="6913" max="6913" width="31.85546875" style="2428" customWidth="1"/>
    <col min="6914" max="6914" width="25" style="2428" customWidth="1"/>
    <col min="6915" max="6915" width="24.7109375" style="2428" customWidth="1"/>
    <col min="6916" max="6916" width="20.7109375" style="2428" bestFit="1" customWidth="1"/>
    <col min="6917" max="6917" width="18.85546875" style="2428" bestFit="1" customWidth="1"/>
    <col min="6918" max="6918" width="9.5703125" style="2428" customWidth="1"/>
    <col min="6919" max="6919" width="15.7109375" style="2428" customWidth="1"/>
    <col min="6920" max="6922" width="9.140625" style="2428"/>
    <col min="6923" max="6923" width="13" style="2428" customWidth="1"/>
    <col min="6924" max="7056" width="9.140625" style="2428"/>
    <col min="7057" max="7069" width="8.85546875" style="2428" customWidth="1"/>
    <col min="7070" max="7168" width="9.140625" style="2428"/>
    <col min="7169" max="7169" width="31.85546875" style="2428" customWidth="1"/>
    <col min="7170" max="7170" width="25" style="2428" customWidth="1"/>
    <col min="7171" max="7171" width="24.7109375" style="2428" customWidth="1"/>
    <col min="7172" max="7172" width="20.7109375" style="2428" bestFit="1" customWidth="1"/>
    <col min="7173" max="7173" width="18.85546875" style="2428" bestFit="1" customWidth="1"/>
    <col min="7174" max="7174" width="9.5703125" style="2428" customWidth="1"/>
    <col min="7175" max="7175" width="15.7109375" style="2428" customWidth="1"/>
    <col min="7176" max="7178" width="9.140625" style="2428"/>
    <col min="7179" max="7179" width="13" style="2428" customWidth="1"/>
    <col min="7180" max="7312" width="9.140625" style="2428"/>
    <col min="7313" max="7325" width="8.85546875" style="2428" customWidth="1"/>
    <col min="7326" max="7424" width="9.140625" style="2428"/>
    <col min="7425" max="7425" width="31.85546875" style="2428" customWidth="1"/>
    <col min="7426" max="7426" width="25" style="2428" customWidth="1"/>
    <col min="7427" max="7427" width="24.7109375" style="2428" customWidth="1"/>
    <col min="7428" max="7428" width="20.7109375" style="2428" bestFit="1" customWidth="1"/>
    <col min="7429" max="7429" width="18.85546875" style="2428" bestFit="1" customWidth="1"/>
    <col min="7430" max="7430" width="9.5703125" style="2428" customWidth="1"/>
    <col min="7431" max="7431" width="15.7109375" style="2428" customWidth="1"/>
    <col min="7432" max="7434" width="9.140625" style="2428"/>
    <col min="7435" max="7435" width="13" style="2428" customWidth="1"/>
    <col min="7436" max="7568" width="9.140625" style="2428"/>
    <col min="7569" max="7581" width="8.85546875" style="2428" customWidth="1"/>
    <col min="7582" max="7680" width="9.140625" style="2428"/>
    <col min="7681" max="7681" width="31.85546875" style="2428" customWidth="1"/>
    <col min="7682" max="7682" width="25" style="2428" customWidth="1"/>
    <col min="7683" max="7683" width="24.7109375" style="2428" customWidth="1"/>
    <col min="7684" max="7684" width="20.7109375" style="2428" bestFit="1" customWidth="1"/>
    <col min="7685" max="7685" width="18.85546875" style="2428" bestFit="1" customWidth="1"/>
    <col min="7686" max="7686" width="9.5703125" style="2428" customWidth="1"/>
    <col min="7687" max="7687" width="15.7109375" style="2428" customWidth="1"/>
    <col min="7688" max="7690" width="9.140625" style="2428"/>
    <col min="7691" max="7691" width="13" style="2428" customWidth="1"/>
    <col min="7692" max="7824" width="9.140625" style="2428"/>
    <col min="7825" max="7837" width="8.85546875" style="2428" customWidth="1"/>
    <col min="7838" max="7936" width="9.140625" style="2428"/>
    <col min="7937" max="7937" width="31.85546875" style="2428" customWidth="1"/>
    <col min="7938" max="7938" width="25" style="2428" customWidth="1"/>
    <col min="7939" max="7939" width="24.7109375" style="2428" customWidth="1"/>
    <col min="7940" max="7940" width="20.7109375" style="2428" bestFit="1" customWidth="1"/>
    <col min="7941" max="7941" width="18.85546875" style="2428" bestFit="1" customWidth="1"/>
    <col min="7942" max="7942" width="9.5703125" style="2428" customWidth="1"/>
    <col min="7943" max="7943" width="15.7109375" style="2428" customWidth="1"/>
    <col min="7944" max="7946" width="9.140625" style="2428"/>
    <col min="7947" max="7947" width="13" style="2428" customWidth="1"/>
    <col min="7948" max="8080" width="9.140625" style="2428"/>
    <col min="8081" max="8093" width="8.85546875" style="2428" customWidth="1"/>
    <col min="8094" max="8192" width="9.140625" style="2428"/>
    <col min="8193" max="8193" width="31.85546875" style="2428" customWidth="1"/>
    <col min="8194" max="8194" width="25" style="2428" customWidth="1"/>
    <col min="8195" max="8195" width="24.7109375" style="2428" customWidth="1"/>
    <col min="8196" max="8196" width="20.7109375" style="2428" bestFit="1" customWidth="1"/>
    <col min="8197" max="8197" width="18.85546875" style="2428" bestFit="1" customWidth="1"/>
    <col min="8198" max="8198" width="9.5703125" style="2428" customWidth="1"/>
    <col min="8199" max="8199" width="15.7109375" style="2428" customWidth="1"/>
    <col min="8200" max="8202" width="9.140625" style="2428"/>
    <col min="8203" max="8203" width="13" style="2428" customWidth="1"/>
    <col min="8204" max="8336" width="9.140625" style="2428"/>
    <col min="8337" max="8349" width="8.85546875" style="2428" customWidth="1"/>
    <col min="8350" max="8448" width="9.140625" style="2428"/>
    <col min="8449" max="8449" width="31.85546875" style="2428" customWidth="1"/>
    <col min="8450" max="8450" width="25" style="2428" customWidth="1"/>
    <col min="8451" max="8451" width="24.7109375" style="2428" customWidth="1"/>
    <col min="8452" max="8452" width="20.7109375" style="2428" bestFit="1" customWidth="1"/>
    <col min="8453" max="8453" width="18.85546875" style="2428" bestFit="1" customWidth="1"/>
    <col min="8454" max="8454" width="9.5703125" style="2428" customWidth="1"/>
    <col min="8455" max="8455" width="15.7109375" style="2428" customWidth="1"/>
    <col min="8456" max="8458" width="9.140625" style="2428"/>
    <col min="8459" max="8459" width="13" style="2428" customWidth="1"/>
    <col min="8460" max="8592" width="9.140625" style="2428"/>
    <col min="8593" max="8605" width="8.85546875" style="2428" customWidth="1"/>
    <col min="8606" max="8704" width="9.140625" style="2428"/>
    <col min="8705" max="8705" width="31.85546875" style="2428" customWidth="1"/>
    <col min="8706" max="8706" width="25" style="2428" customWidth="1"/>
    <col min="8707" max="8707" width="24.7109375" style="2428" customWidth="1"/>
    <col min="8708" max="8708" width="20.7109375" style="2428" bestFit="1" customWidth="1"/>
    <col min="8709" max="8709" width="18.85546875" style="2428" bestFit="1" customWidth="1"/>
    <col min="8710" max="8710" width="9.5703125" style="2428" customWidth="1"/>
    <col min="8711" max="8711" width="15.7109375" style="2428" customWidth="1"/>
    <col min="8712" max="8714" width="9.140625" style="2428"/>
    <col min="8715" max="8715" width="13" style="2428" customWidth="1"/>
    <col min="8716" max="8848" width="9.140625" style="2428"/>
    <col min="8849" max="8861" width="8.85546875" style="2428" customWidth="1"/>
    <col min="8862" max="8960" width="9.140625" style="2428"/>
    <col min="8961" max="8961" width="31.85546875" style="2428" customWidth="1"/>
    <col min="8962" max="8962" width="25" style="2428" customWidth="1"/>
    <col min="8963" max="8963" width="24.7109375" style="2428" customWidth="1"/>
    <col min="8964" max="8964" width="20.7109375" style="2428" bestFit="1" customWidth="1"/>
    <col min="8965" max="8965" width="18.85546875" style="2428" bestFit="1" customWidth="1"/>
    <col min="8966" max="8966" width="9.5703125" style="2428" customWidth="1"/>
    <col min="8967" max="8967" width="15.7109375" style="2428" customWidth="1"/>
    <col min="8968" max="8970" width="9.140625" style="2428"/>
    <col min="8971" max="8971" width="13" style="2428" customWidth="1"/>
    <col min="8972" max="9104" width="9.140625" style="2428"/>
    <col min="9105" max="9117" width="8.85546875" style="2428" customWidth="1"/>
    <col min="9118" max="9216" width="9.140625" style="2428"/>
    <col min="9217" max="9217" width="31.85546875" style="2428" customWidth="1"/>
    <col min="9218" max="9218" width="25" style="2428" customWidth="1"/>
    <col min="9219" max="9219" width="24.7109375" style="2428" customWidth="1"/>
    <col min="9220" max="9220" width="20.7109375" style="2428" bestFit="1" customWidth="1"/>
    <col min="9221" max="9221" width="18.85546875" style="2428" bestFit="1" customWidth="1"/>
    <col min="9222" max="9222" width="9.5703125" style="2428" customWidth="1"/>
    <col min="9223" max="9223" width="15.7109375" style="2428" customWidth="1"/>
    <col min="9224" max="9226" width="9.140625" style="2428"/>
    <col min="9227" max="9227" width="13" style="2428" customWidth="1"/>
    <col min="9228" max="9360" width="9.140625" style="2428"/>
    <col min="9361" max="9373" width="8.85546875" style="2428" customWidth="1"/>
    <col min="9374" max="9472" width="9.140625" style="2428"/>
    <col min="9473" max="9473" width="31.85546875" style="2428" customWidth="1"/>
    <col min="9474" max="9474" width="25" style="2428" customWidth="1"/>
    <col min="9475" max="9475" width="24.7109375" style="2428" customWidth="1"/>
    <col min="9476" max="9476" width="20.7109375" style="2428" bestFit="1" customWidth="1"/>
    <col min="9477" max="9477" width="18.85546875" style="2428" bestFit="1" customWidth="1"/>
    <col min="9478" max="9478" width="9.5703125" style="2428" customWidth="1"/>
    <col min="9479" max="9479" width="15.7109375" style="2428" customWidth="1"/>
    <col min="9480" max="9482" width="9.140625" style="2428"/>
    <col min="9483" max="9483" width="13" style="2428" customWidth="1"/>
    <col min="9484" max="9616" width="9.140625" style="2428"/>
    <col min="9617" max="9629" width="8.85546875" style="2428" customWidth="1"/>
    <col min="9630" max="9728" width="9.140625" style="2428"/>
    <col min="9729" max="9729" width="31.85546875" style="2428" customWidth="1"/>
    <col min="9730" max="9730" width="25" style="2428" customWidth="1"/>
    <col min="9731" max="9731" width="24.7109375" style="2428" customWidth="1"/>
    <col min="9732" max="9732" width="20.7109375" style="2428" bestFit="1" customWidth="1"/>
    <col min="9733" max="9733" width="18.85546875" style="2428" bestFit="1" customWidth="1"/>
    <col min="9734" max="9734" width="9.5703125" style="2428" customWidth="1"/>
    <col min="9735" max="9735" width="15.7109375" style="2428" customWidth="1"/>
    <col min="9736" max="9738" width="9.140625" style="2428"/>
    <col min="9739" max="9739" width="13" style="2428" customWidth="1"/>
    <col min="9740" max="9872" width="9.140625" style="2428"/>
    <col min="9873" max="9885" width="8.85546875" style="2428" customWidth="1"/>
    <col min="9886" max="9984" width="9.140625" style="2428"/>
    <col min="9985" max="9985" width="31.85546875" style="2428" customWidth="1"/>
    <col min="9986" max="9986" width="25" style="2428" customWidth="1"/>
    <col min="9987" max="9987" width="24.7109375" style="2428" customWidth="1"/>
    <col min="9988" max="9988" width="20.7109375" style="2428" bestFit="1" customWidth="1"/>
    <col min="9989" max="9989" width="18.85546875" style="2428" bestFit="1" customWidth="1"/>
    <col min="9990" max="9990" width="9.5703125" style="2428" customWidth="1"/>
    <col min="9991" max="9991" width="15.7109375" style="2428" customWidth="1"/>
    <col min="9992" max="9994" width="9.140625" style="2428"/>
    <col min="9995" max="9995" width="13" style="2428" customWidth="1"/>
    <col min="9996" max="10128" width="9.140625" style="2428"/>
    <col min="10129" max="10141" width="8.85546875" style="2428" customWidth="1"/>
    <col min="10142" max="10240" width="9.140625" style="2428"/>
    <col min="10241" max="10241" width="31.85546875" style="2428" customWidth="1"/>
    <col min="10242" max="10242" width="25" style="2428" customWidth="1"/>
    <col min="10243" max="10243" width="24.7109375" style="2428" customWidth="1"/>
    <col min="10244" max="10244" width="20.7109375" style="2428" bestFit="1" customWidth="1"/>
    <col min="10245" max="10245" width="18.85546875" style="2428" bestFit="1" customWidth="1"/>
    <col min="10246" max="10246" width="9.5703125" style="2428" customWidth="1"/>
    <col min="10247" max="10247" width="15.7109375" style="2428" customWidth="1"/>
    <col min="10248" max="10250" width="9.140625" style="2428"/>
    <col min="10251" max="10251" width="13" style="2428" customWidth="1"/>
    <col min="10252" max="10384" width="9.140625" style="2428"/>
    <col min="10385" max="10397" width="8.85546875" style="2428" customWidth="1"/>
    <col min="10398" max="10496" width="9.140625" style="2428"/>
    <col min="10497" max="10497" width="31.85546875" style="2428" customWidth="1"/>
    <col min="10498" max="10498" width="25" style="2428" customWidth="1"/>
    <col min="10499" max="10499" width="24.7109375" style="2428" customWidth="1"/>
    <col min="10500" max="10500" width="20.7109375" style="2428" bestFit="1" customWidth="1"/>
    <col min="10501" max="10501" width="18.85546875" style="2428" bestFit="1" customWidth="1"/>
    <col min="10502" max="10502" width="9.5703125" style="2428" customWidth="1"/>
    <col min="10503" max="10503" width="15.7109375" style="2428" customWidth="1"/>
    <col min="10504" max="10506" width="9.140625" style="2428"/>
    <col min="10507" max="10507" width="13" style="2428" customWidth="1"/>
    <col min="10508" max="10640" width="9.140625" style="2428"/>
    <col min="10641" max="10653" width="8.85546875" style="2428" customWidth="1"/>
    <col min="10654" max="10752" width="9.140625" style="2428"/>
    <col min="10753" max="10753" width="31.85546875" style="2428" customWidth="1"/>
    <col min="10754" max="10754" width="25" style="2428" customWidth="1"/>
    <col min="10755" max="10755" width="24.7109375" style="2428" customWidth="1"/>
    <col min="10756" max="10756" width="20.7109375" style="2428" bestFit="1" customWidth="1"/>
    <col min="10757" max="10757" width="18.85546875" style="2428" bestFit="1" customWidth="1"/>
    <col min="10758" max="10758" width="9.5703125" style="2428" customWidth="1"/>
    <col min="10759" max="10759" width="15.7109375" style="2428" customWidth="1"/>
    <col min="10760" max="10762" width="9.140625" style="2428"/>
    <col min="10763" max="10763" width="13" style="2428" customWidth="1"/>
    <col min="10764" max="10896" width="9.140625" style="2428"/>
    <col min="10897" max="10909" width="8.85546875" style="2428" customWidth="1"/>
    <col min="10910" max="11008" width="9.140625" style="2428"/>
    <col min="11009" max="11009" width="31.85546875" style="2428" customWidth="1"/>
    <col min="11010" max="11010" width="25" style="2428" customWidth="1"/>
    <col min="11011" max="11011" width="24.7109375" style="2428" customWidth="1"/>
    <col min="11012" max="11012" width="20.7109375" style="2428" bestFit="1" customWidth="1"/>
    <col min="11013" max="11013" width="18.85546875" style="2428" bestFit="1" customWidth="1"/>
    <col min="11014" max="11014" width="9.5703125" style="2428" customWidth="1"/>
    <col min="11015" max="11015" width="15.7109375" style="2428" customWidth="1"/>
    <col min="11016" max="11018" width="9.140625" style="2428"/>
    <col min="11019" max="11019" width="13" style="2428" customWidth="1"/>
    <col min="11020" max="11152" width="9.140625" style="2428"/>
    <col min="11153" max="11165" width="8.85546875" style="2428" customWidth="1"/>
    <col min="11166" max="11264" width="9.140625" style="2428"/>
    <col min="11265" max="11265" width="31.85546875" style="2428" customWidth="1"/>
    <col min="11266" max="11266" width="25" style="2428" customWidth="1"/>
    <col min="11267" max="11267" width="24.7109375" style="2428" customWidth="1"/>
    <col min="11268" max="11268" width="20.7109375" style="2428" bestFit="1" customWidth="1"/>
    <col min="11269" max="11269" width="18.85546875" style="2428" bestFit="1" customWidth="1"/>
    <col min="11270" max="11270" width="9.5703125" style="2428" customWidth="1"/>
    <col min="11271" max="11271" width="15.7109375" style="2428" customWidth="1"/>
    <col min="11272" max="11274" width="9.140625" style="2428"/>
    <col min="11275" max="11275" width="13" style="2428" customWidth="1"/>
    <col min="11276" max="11408" width="9.140625" style="2428"/>
    <col min="11409" max="11421" width="8.85546875" style="2428" customWidth="1"/>
    <col min="11422" max="11520" width="9.140625" style="2428"/>
    <col min="11521" max="11521" width="31.85546875" style="2428" customWidth="1"/>
    <col min="11522" max="11522" width="25" style="2428" customWidth="1"/>
    <col min="11523" max="11523" width="24.7109375" style="2428" customWidth="1"/>
    <col min="11524" max="11524" width="20.7109375" style="2428" bestFit="1" customWidth="1"/>
    <col min="11525" max="11525" width="18.85546875" style="2428" bestFit="1" customWidth="1"/>
    <col min="11526" max="11526" width="9.5703125" style="2428" customWidth="1"/>
    <col min="11527" max="11527" width="15.7109375" style="2428" customWidth="1"/>
    <col min="11528" max="11530" width="9.140625" style="2428"/>
    <col min="11531" max="11531" width="13" style="2428" customWidth="1"/>
    <col min="11532" max="11664" width="9.140625" style="2428"/>
    <col min="11665" max="11677" width="8.85546875" style="2428" customWidth="1"/>
    <col min="11678" max="11776" width="9.140625" style="2428"/>
    <col min="11777" max="11777" width="31.85546875" style="2428" customWidth="1"/>
    <col min="11778" max="11778" width="25" style="2428" customWidth="1"/>
    <col min="11779" max="11779" width="24.7109375" style="2428" customWidth="1"/>
    <col min="11780" max="11780" width="20.7109375" style="2428" bestFit="1" customWidth="1"/>
    <col min="11781" max="11781" width="18.85546875" style="2428" bestFit="1" customWidth="1"/>
    <col min="11782" max="11782" width="9.5703125" style="2428" customWidth="1"/>
    <col min="11783" max="11783" width="15.7109375" style="2428" customWidth="1"/>
    <col min="11784" max="11786" width="9.140625" style="2428"/>
    <col min="11787" max="11787" width="13" style="2428" customWidth="1"/>
    <col min="11788" max="11920" width="9.140625" style="2428"/>
    <col min="11921" max="11933" width="8.85546875" style="2428" customWidth="1"/>
    <col min="11934" max="12032" width="9.140625" style="2428"/>
    <col min="12033" max="12033" width="31.85546875" style="2428" customWidth="1"/>
    <col min="12034" max="12034" width="25" style="2428" customWidth="1"/>
    <col min="12035" max="12035" width="24.7109375" style="2428" customWidth="1"/>
    <col min="12036" max="12036" width="20.7109375" style="2428" bestFit="1" customWidth="1"/>
    <col min="12037" max="12037" width="18.85546875" style="2428" bestFit="1" customWidth="1"/>
    <col min="12038" max="12038" width="9.5703125" style="2428" customWidth="1"/>
    <col min="12039" max="12039" width="15.7109375" style="2428" customWidth="1"/>
    <col min="12040" max="12042" width="9.140625" style="2428"/>
    <col min="12043" max="12043" width="13" style="2428" customWidth="1"/>
    <col min="12044" max="12176" width="9.140625" style="2428"/>
    <col min="12177" max="12189" width="8.85546875" style="2428" customWidth="1"/>
    <col min="12190" max="12288" width="9.140625" style="2428"/>
    <col min="12289" max="12289" width="31.85546875" style="2428" customWidth="1"/>
    <col min="12290" max="12290" width="25" style="2428" customWidth="1"/>
    <col min="12291" max="12291" width="24.7109375" style="2428" customWidth="1"/>
    <col min="12292" max="12292" width="20.7109375" style="2428" bestFit="1" customWidth="1"/>
    <col min="12293" max="12293" width="18.85546875" style="2428" bestFit="1" customWidth="1"/>
    <col min="12294" max="12294" width="9.5703125" style="2428" customWidth="1"/>
    <col min="12295" max="12295" width="15.7109375" style="2428" customWidth="1"/>
    <col min="12296" max="12298" width="9.140625" style="2428"/>
    <col min="12299" max="12299" width="13" style="2428" customWidth="1"/>
    <col min="12300" max="12432" width="9.140625" style="2428"/>
    <col min="12433" max="12445" width="8.85546875" style="2428" customWidth="1"/>
    <col min="12446" max="12544" width="9.140625" style="2428"/>
    <col min="12545" max="12545" width="31.85546875" style="2428" customWidth="1"/>
    <col min="12546" max="12546" width="25" style="2428" customWidth="1"/>
    <col min="12547" max="12547" width="24.7109375" style="2428" customWidth="1"/>
    <col min="12548" max="12548" width="20.7109375" style="2428" bestFit="1" customWidth="1"/>
    <col min="12549" max="12549" width="18.85546875" style="2428" bestFit="1" customWidth="1"/>
    <col min="12550" max="12550" width="9.5703125" style="2428" customWidth="1"/>
    <col min="12551" max="12551" width="15.7109375" style="2428" customWidth="1"/>
    <col min="12552" max="12554" width="9.140625" style="2428"/>
    <col min="12555" max="12555" width="13" style="2428" customWidth="1"/>
    <col min="12556" max="12688" width="9.140625" style="2428"/>
    <col min="12689" max="12701" width="8.85546875" style="2428" customWidth="1"/>
    <col min="12702" max="12800" width="9.140625" style="2428"/>
    <col min="12801" max="12801" width="31.85546875" style="2428" customWidth="1"/>
    <col min="12802" max="12802" width="25" style="2428" customWidth="1"/>
    <col min="12803" max="12803" width="24.7109375" style="2428" customWidth="1"/>
    <col min="12804" max="12804" width="20.7109375" style="2428" bestFit="1" customWidth="1"/>
    <col min="12805" max="12805" width="18.85546875" style="2428" bestFit="1" customWidth="1"/>
    <col min="12806" max="12806" width="9.5703125" style="2428" customWidth="1"/>
    <col min="12807" max="12807" width="15.7109375" style="2428" customWidth="1"/>
    <col min="12808" max="12810" width="9.140625" style="2428"/>
    <col min="12811" max="12811" width="13" style="2428" customWidth="1"/>
    <col min="12812" max="12944" width="9.140625" style="2428"/>
    <col min="12945" max="12957" width="8.85546875" style="2428" customWidth="1"/>
    <col min="12958" max="13056" width="9.140625" style="2428"/>
    <col min="13057" max="13057" width="31.85546875" style="2428" customWidth="1"/>
    <col min="13058" max="13058" width="25" style="2428" customWidth="1"/>
    <col min="13059" max="13059" width="24.7109375" style="2428" customWidth="1"/>
    <col min="13060" max="13060" width="20.7109375" style="2428" bestFit="1" customWidth="1"/>
    <col min="13061" max="13061" width="18.85546875" style="2428" bestFit="1" customWidth="1"/>
    <col min="13062" max="13062" width="9.5703125" style="2428" customWidth="1"/>
    <col min="13063" max="13063" width="15.7109375" style="2428" customWidth="1"/>
    <col min="13064" max="13066" width="9.140625" style="2428"/>
    <col min="13067" max="13067" width="13" style="2428" customWidth="1"/>
    <col min="13068" max="13200" width="9.140625" style="2428"/>
    <col min="13201" max="13213" width="8.85546875" style="2428" customWidth="1"/>
    <col min="13214" max="13312" width="9.140625" style="2428"/>
    <col min="13313" max="13313" width="31.85546875" style="2428" customWidth="1"/>
    <col min="13314" max="13314" width="25" style="2428" customWidth="1"/>
    <col min="13315" max="13315" width="24.7109375" style="2428" customWidth="1"/>
    <col min="13316" max="13316" width="20.7109375" style="2428" bestFit="1" customWidth="1"/>
    <col min="13317" max="13317" width="18.85546875" style="2428" bestFit="1" customWidth="1"/>
    <col min="13318" max="13318" width="9.5703125" style="2428" customWidth="1"/>
    <col min="13319" max="13319" width="15.7109375" style="2428" customWidth="1"/>
    <col min="13320" max="13322" width="9.140625" style="2428"/>
    <col min="13323" max="13323" width="13" style="2428" customWidth="1"/>
    <col min="13324" max="13456" width="9.140625" style="2428"/>
    <col min="13457" max="13469" width="8.85546875" style="2428" customWidth="1"/>
    <col min="13470" max="13568" width="9.140625" style="2428"/>
    <col min="13569" max="13569" width="31.85546875" style="2428" customWidth="1"/>
    <col min="13570" max="13570" width="25" style="2428" customWidth="1"/>
    <col min="13571" max="13571" width="24.7109375" style="2428" customWidth="1"/>
    <col min="13572" max="13572" width="20.7109375" style="2428" bestFit="1" customWidth="1"/>
    <col min="13573" max="13573" width="18.85546875" style="2428" bestFit="1" customWidth="1"/>
    <col min="13574" max="13574" width="9.5703125" style="2428" customWidth="1"/>
    <col min="13575" max="13575" width="15.7109375" style="2428" customWidth="1"/>
    <col min="13576" max="13578" width="9.140625" style="2428"/>
    <col min="13579" max="13579" width="13" style="2428" customWidth="1"/>
    <col min="13580" max="13712" width="9.140625" style="2428"/>
    <col min="13713" max="13725" width="8.85546875" style="2428" customWidth="1"/>
    <col min="13726" max="13824" width="9.140625" style="2428"/>
    <col min="13825" max="13825" width="31.85546875" style="2428" customWidth="1"/>
    <col min="13826" max="13826" width="25" style="2428" customWidth="1"/>
    <col min="13827" max="13827" width="24.7109375" style="2428" customWidth="1"/>
    <col min="13828" max="13828" width="20.7109375" style="2428" bestFit="1" customWidth="1"/>
    <col min="13829" max="13829" width="18.85546875" style="2428" bestFit="1" customWidth="1"/>
    <col min="13830" max="13830" width="9.5703125" style="2428" customWidth="1"/>
    <col min="13831" max="13831" width="15.7109375" style="2428" customWidth="1"/>
    <col min="13832" max="13834" width="9.140625" style="2428"/>
    <col min="13835" max="13835" width="13" style="2428" customWidth="1"/>
    <col min="13836" max="13968" width="9.140625" style="2428"/>
    <col min="13969" max="13981" width="8.85546875" style="2428" customWidth="1"/>
    <col min="13982" max="14080" width="9.140625" style="2428"/>
    <col min="14081" max="14081" width="31.85546875" style="2428" customWidth="1"/>
    <col min="14082" max="14082" width="25" style="2428" customWidth="1"/>
    <col min="14083" max="14083" width="24.7109375" style="2428" customWidth="1"/>
    <col min="14084" max="14084" width="20.7109375" style="2428" bestFit="1" customWidth="1"/>
    <col min="14085" max="14085" width="18.85546875" style="2428" bestFit="1" customWidth="1"/>
    <col min="14086" max="14086" width="9.5703125" style="2428" customWidth="1"/>
    <col min="14087" max="14087" width="15.7109375" style="2428" customWidth="1"/>
    <col min="14088" max="14090" width="9.140625" style="2428"/>
    <col min="14091" max="14091" width="13" style="2428" customWidth="1"/>
    <col min="14092" max="14224" width="9.140625" style="2428"/>
    <col min="14225" max="14237" width="8.85546875" style="2428" customWidth="1"/>
    <col min="14238" max="14336" width="9.140625" style="2428"/>
    <col min="14337" max="14337" width="31.85546875" style="2428" customWidth="1"/>
    <col min="14338" max="14338" width="25" style="2428" customWidth="1"/>
    <col min="14339" max="14339" width="24.7109375" style="2428" customWidth="1"/>
    <col min="14340" max="14340" width="20.7109375" style="2428" bestFit="1" customWidth="1"/>
    <col min="14341" max="14341" width="18.85546875" style="2428" bestFit="1" customWidth="1"/>
    <col min="14342" max="14342" width="9.5703125" style="2428" customWidth="1"/>
    <col min="14343" max="14343" width="15.7109375" style="2428" customWidth="1"/>
    <col min="14344" max="14346" width="9.140625" style="2428"/>
    <col min="14347" max="14347" width="13" style="2428" customWidth="1"/>
    <col min="14348" max="14480" width="9.140625" style="2428"/>
    <col min="14481" max="14493" width="8.85546875" style="2428" customWidth="1"/>
    <col min="14494" max="14592" width="9.140625" style="2428"/>
    <col min="14593" max="14593" width="31.85546875" style="2428" customWidth="1"/>
    <col min="14594" max="14594" width="25" style="2428" customWidth="1"/>
    <col min="14595" max="14595" width="24.7109375" style="2428" customWidth="1"/>
    <col min="14596" max="14596" width="20.7109375" style="2428" bestFit="1" customWidth="1"/>
    <col min="14597" max="14597" width="18.85546875" style="2428" bestFit="1" customWidth="1"/>
    <col min="14598" max="14598" width="9.5703125" style="2428" customWidth="1"/>
    <col min="14599" max="14599" width="15.7109375" style="2428" customWidth="1"/>
    <col min="14600" max="14602" width="9.140625" style="2428"/>
    <col min="14603" max="14603" width="13" style="2428" customWidth="1"/>
    <col min="14604" max="14736" width="9.140625" style="2428"/>
    <col min="14737" max="14749" width="8.85546875" style="2428" customWidth="1"/>
    <col min="14750" max="14848" width="9.140625" style="2428"/>
    <col min="14849" max="14849" width="31.85546875" style="2428" customWidth="1"/>
    <col min="14850" max="14850" width="25" style="2428" customWidth="1"/>
    <col min="14851" max="14851" width="24.7109375" style="2428" customWidth="1"/>
    <col min="14852" max="14852" width="20.7109375" style="2428" bestFit="1" customWidth="1"/>
    <col min="14853" max="14853" width="18.85546875" style="2428" bestFit="1" customWidth="1"/>
    <col min="14854" max="14854" width="9.5703125" style="2428" customWidth="1"/>
    <col min="14855" max="14855" width="15.7109375" style="2428" customWidth="1"/>
    <col min="14856" max="14858" width="9.140625" style="2428"/>
    <col min="14859" max="14859" width="13" style="2428" customWidth="1"/>
    <col min="14860" max="14992" width="9.140625" style="2428"/>
    <col min="14993" max="15005" width="8.85546875" style="2428" customWidth="1"/>
    <col min="15006" max="15104" width="9.140625" style="2428"/>
    <col min="15105" max="15105" width="31.85546875" style="2428" customWidth="1"/>
    <col min="15106" max="15106" width="25" style="2428" customWidth="1"/>
    <col min="15107" max="15107" width="24.7109375" style="2428" customWidth="1"/>
    <col min="15108" max="15108" width="20.7109375" style="2428" bestFit="1" customWidth="1"/>
    <col min="15109" max="15109" width="18.85546875" style="2428" bestFit="1" customWidth="1"/>
    <col min="15110" max="15110" width="9.5703125" style="2428" customWidth="1"/>
    <col min="15111" max="15111" width="15.7109375" style="2428" customWidth="1"/>
    <col min="15112" max="15114" width="9.140625" style="2428"/>
    <col min="15115" max="15115" width="13" style="2428" customWidth="1"/>
    <col min="15116" max="15248" width="9.140625" style="2428"/>
    <col min="15249" max="15261" width="8.85546875" style="2428" customWidth="1"/>
    <col min="15262" max="15360" width="9.140625" style="2428"/>
    <col min="15361" max="15361" width="31.85546875" style="2428" customWidth="1"/>
    <col min="15362" max="15362" width="25" style="2428" customWidth="1"/>
    <col min="15363" max="15363" width="24.7109375" style="2428" customWidth="1"/>
    <col min="15364" max="15364" width="20.7109375" style="2428" bestFit="1" customWidth="1"/>
    <col min="15365" max="15365" width="18.85546875" style="2428" bestFit="1" customWidth="1"/>
    <col min="15366" max="15366" width="9.5703125" style="2428" customWidth="1"/>
    <col min="15367" max="15367" width="15.7109375" style="2428" customWidth="1"/>
    <col min="15368" max="15370" width="9.140625" style="2428"/>
    <col min="15371" max="15371" width="13" style="2428" customWidth="1"/>
    <col min="15372" max="15504" width="9.140625" style="2428"/>
    <col min="15505" max="15517" width="8.85546875" style="2428" customWidth="1"/>
    <col min="15518" max="15616" width="9.140625" style="2428"/>
    <col min="15617" max="15617" width="31.85546875" style="2428" customWidth="1"/>
    <col min="15618" max="15618" width="25" style="2428" customWidth="1"/>
    <col min="15619" max="15619" width="24.7109375" style="2428" customWidth="1"/>
    <col min="15620" max="15620" width="20.7109375" style="2428" bestFit="1" customWidth="1"/>
    <col min="15621" max="15621" width="18.85546875" style="2428" bestFit="1" customWidth="1"/>
    <col min="15622" max="15622" width="9.5703125" style="2428" customWidth="1"/>
    <col min="15623" max="15623" width="15.7109375" style="2428" customWidth="1"/>
    <col min="15624" max="15626" width="9.140625" style="2428"/>
    <col min="15627" max="15627" width="13" style="2428" customWidth="1"/>
    <col min="15628" max="15760" width="9.140625" style="2428"/>
    <col min="15761" max="15773" width="8.85546875" style="2428" customWidth="1"/>
    <col min="15774" max="15872" width="9.140625" style="2428"/>
    <col min="15873" max="15873" width="31.85546875" style="2428" customWidth="1"/>
    <col min="15874" max="15874" width="25" style="2428" customWidth="1"/>
    <col min="15875" max="15875" width="24.7109375" style="2428" customWidth="1"/>
    <col min="15876" max="15876" width="20.7109375" style="2428" bestFit="1" customWidth="1"/>
    <col min="15877" max="15877" width="18.85546875" style="2428" bestFit="1" customWidth="1"/>
    <col min="15878" max="15878" width="9.5703125" style="2428" customWidth="1"/>
    <col min="15879" max="15879" width="15.7109375" style="2428" customWidth="1"/>
    <col min="15880" max="15882" width="9.140625" style="2428"/>
    <col min="15883" max="15883" width="13" style="2428" customWidth="1"/>
    <col min="15884" max="16016" width="9.140625" style="2428"/>
    <col min="16017" max="16029" width="8.85546875" style="2428" customWidth="1"/>
    <col min="16030" max="16128" width="9.140625" style="2428"/>
    <col min="16129" max="16129" width="31.85546875" style="2428" customWidth="1"/>
    <col min="16130" max="16130" width="25" style="2428" customWidth="1"/>
    <col min="16131" max="16131" width="24.7109375" style="2428" customWidth="1"/>
    <col min="16132" max="16132" width="20.7109375" style="2428" bestFit="1" customWidth="1"/>
    <col min="16133" max="16133" width="18.85546875" style="2428" bestFit="1" customWidth="1"/>
    <col min="16134" max="16134" width="9.5703125" style="2428" customWidth="1"/>
    <col min="16135" max="16135" width="15.7109375" style="2428" customWidth="1"/>
    <col min="16136" max="16138" width="9.140625" style="2428"/>
    <col min="16139" max="16139" width="13" style="2428" customWidth="1"/>
    <col min="16140" max="16272" width="9.140625" style="2428"/>
    <col min="16273" max="16285" width="8.85546875" style="2428" customWidth="1"/>
    <col min="16286" max="16384" width="9.140625" style="2428"/>
  </cols>
  <sheetData>
    <row r="1" spans="1:13" ht="20.25" x14ac:dyDescent="0.35">
      <c r="A1" s="2423" t="s">
        <v>4541</v>
      </c>
      <c r="B1" s="2424"/>
      <c r="C1" s="2425"/>
      <c r="D1" s="2426"/>
      <c r="E1" s="2427"/>
    </row>
    <row r="2" spans="1:13" ht="4.5" customHeight="1" thickBot="1" x14ac:dyDescent="0.3">
      <c r="B2" s="2429"/>
      <c r="C2" s="2429"/>
    </row>
    <row r="3" spans="1:13" ht="17.25" thickTop="1" x14ac:dyDescent="0.3">
      <c r="A3" s="3879" t="s">
        <v>4542</v>
      </c>
      <c r="B3" s="2430" t="s">
        <v>4543</v>
      </c>
      <c r="C3" s="2430" t="s">
        <v>4543</v>
      </c>
      <c r="D3" s="2431" t="s">
        <v>4544</v>
      </c>
    </row>
    <row r="4" spans="1:13" ht="16.5" x14ac:dyDescent="0.3">
      <c r="A4" s="3880"/>
      <c r="B4" s="2432" t="s">
        <v>4545</v>
      </c>
      <c r="C4" s="2432" t="s">
        <v>4545</v>
      </c>
      <c r="D4" s="2433" t="s">
        <v>4546</v>
      </c>
    </row>
    <row r="5" spans="1:13" ht="16.5" x14ac:dyDescent="0.3">
      <c r="A5" s="3880"/>
      <c r="B5" s="2432" t="s">
        <v>4547</v>
      </c>
      <c r="C5" s="2432" t="s">
        <v>4548</v>
      </c>
      <c r="D5" s="2433" t="s">
        <v>4549</v>
      </c>
      <c r="M5" s="2434"/>
    </row>
    <row r="6" spans="1:13" ht="16.5" x14ac:dyDescent="0.3">
      <c r="A6" s="3880"/>
      <c r="B6" s="2435"/>
      <c r="C6" s="2435"/>
      <c r="D6" s="2433" t="s">
        <v>4550</v>
      </c>
      <c r="G6" s="2436"/>
      <c r="J6" s="2436"/>
    </row>
    <row r="7" spans="1:13" ht="16.5" x14ac:dyDescent="0.3">
      <c r="A7" s="3880"/>
      <c r="B7" s="2435" t="s">
        <v>4551</v>
      </c>
      <c r="C7" s="2435" t="s">
        <v>4552</v>
      </c>
      <c r="D7" s="2433" t="s">
        <v>3299</v>
      </c>
      <c r="M7" s="2434"/>
    </row>
    <row r="8" spans="1:13" ht="4.5" customHeight="1" thickBot="1" x14ac:dyDescent="0.35">
      <c r="A8" s="3881"/>
      <c r="B8" s="2437"/>
      <c r="C8" s="2437"/>
      <c r="D8" s="2438"/>
      <c r="H8" s="2439"/>
    </row>
    <row r="9" spans="1:13" ht="21" customHeight="1" x14ac:dyDescent="0.3">
      <c r="A9" s="2440" t="s">
        <v>4528</v>
      </c>
      <c r="B9" s="2441">
        <v>25.875889784615385</v>
      </c>
      <c r="C9" s="2441">
        <v>30.768680645161293</v>
      </c>
      <c r="D9" s="2442">
        <f t="shared" ref="D9:D20" si="0">((B9/C9)-1)*100</f>
        <v>-15.901854606545673</v>
      </c>
      <c r="F9" s="2439"/>
      <c r="G9" s="2443"/>
      <c r="H9" s="2439"/>
      <c r="I9" s="2443"/>
      <c r="J9" s="2443"/>
      <c r="K9" s="2439"/>
      <c r="M9" s="2434"/>
    </row>
    <row r="10" spans="1:13" ht="19.5" customHeight="1" x14ac:dyDescent="0.3">
      <c r="A10" s="2440" t="s">
        <v>4553</v>
      </c>
      <c r="B10" s="2441">
        <v>4.9609896666666673</v>
      </c>
      <c r="C10" s="2441">
        <v>5.3007282258064512</v>
      </c>
      <c r="D10" s="2442">
        <f t="shared" si="0"/>
        <v>-6.4092808509928156</v>
      </c>
      <c r="F10" s="2439"/>
      <c r="G10" s="2443"/>
      <c r="H10" s="2439"/>
      <c r="I10" s="2443"/>
      <c r="J10" s="2443"/>
      <c r="K10" s="2439"/>
      <c r="M10" s="2434"/>
    </row>
    <row r="11" spans="1:13" ht="19.5" customHeight="1" x14ac:dyDescent="0.3">
      <c r="A11" s="2440" t="s">
        <v>4530</v>
      </c>
      <c r="B11" s="2441">
        <v>53.173323333333329</v>
      </c>
      <c r="C11" s="2441">
        <v>56.190564516129022</v>
      </c>
      <c r="D11" s="2442">
        <f t="shared" si="0"/>
        <v>-5.3696580712044977</v>
      </c>
      <c r="F11" s="2439"/>
      <c r="G11" s="2444"/>
      <c r="H11" s="2445"/>
      <c r="I11" s="2443"/>
      <c r="J11" s="2443"/>
      <c r="K11" s="2439"/>
      <c r="M11" s="2434"/>
    </row>
    <row r="12" spans="1:13" ht="19.5" customHeight="1" x14ac:dyDescent="0.3">
      <c r="A12" s="2440" t="s">
        <v>4531</v>
      </c>
      <c r="B12" s="2441">
        <v>35.699187446153843</v>
      </c>
      <c r="C12" s="2441">
        <v>38.407024193548388</v>
      </c>
      <c r="D12" s="2442">
        <f t="shared" si="0"/>
        <v>-7.0503685308933806</v>
      </c>
      <c r="F12" s="2439"/>
      <c r="G12" s="2443"/>
      <c r="H12" s="2439"/>
      <c r="I12" s="2443"/>
      <c r="J12" s="2443"/>
      <c r="K12" s="2439"/>
      <c r="M12" s="2434"/>
    </row>
    <row r="13" spans="1:13" ht="20.100000000000001" customHeight="1" x14ac:dyDescent="0.3">
      <c r="A13" s="2440" t="s">
        <v>4532</v>
      </c>
      <c r="B13" s="2441">
        <v>37.173147666666665</v>
      </c>
      <c r="C13" s="2441">
        <v>37.843915725806447</v>
      </c>
      <c r="D13" s="2442">
        <f t="shared" si="0"/>
        <v>-1.7724594463209176</v>
      </c>
      <c r="F13" s="2439"/>
      <c r="G13" s="2443"/>
      <c r="H13" s="2439"/>
      <c r="I13" s="2443"/>
      <c r="J13" s="2443"/>
      <c r="K13" s="2439"/>
      <c r="M13" s="2434"/>
    </row>
    <row r="14" spans="1:13" ht="20.100000000000001" customHeight="1" x14ac:dyDescent="0.3">
      <c r="A14" s="2440" t="s">
        <v>4533</v>
      </c>
      <c r="B14" s="2441">
        <v>24.544958400000002</v>
      </c>
      <c r="C14" s="2441">
        <v>28.713723790322575</v>
      </c>
      <c r="D14" s="2442">
        <f t="shared" si="0"/>
        <v>-14.518372541173418</v>
      </c>
      <c r="F14" s="2439"/>
      <c r="G14" s="2443"/>
      <c r="H14" s="2439"/>
      <c r="I14" s="2443"/>
      <c r="J14" s="2443"/>
      <c r="K14" s="2439"/>
      <c r="M14" s="2434"/>
    </row>
    <row r="15" spans="1:13" ht="20.100000000000001" customHeight="1" x14ac:dyDescent="0.3">
      <c r="A15" s="2440" t="s">
        <v>4534</v>
      </c>
      <c r="B15" s="2441">
        <v>27.837788933333332</v>
      </c>
      <c r="C15" s="2441">
        <v>30.576525</v>
      </c>
      <c r="D15" s="2442">
        <f t="shared" si="0"/>
        <v>-8.9569892807199949</v>
      </c>
      <c r="F15" s="2439"/>
      <c r="G15" s="2443"/>
      <c r="H15" s="2439"/>
      <c r="I15" s="2443"/>
      <c r="J15" s="2443"/>
      <c r="K15" s="2439"/>
      <c r="M15" s="2434"/>
    </row>
    <row r="16" spans="1:13" ht="20.100000000000001" customHeight="1" x14ac:dyDescent="0.3">
      <c r="A16" s="2440" t="s">
        <v>4535</v>
      </c>
      <c r="B16" s="2441">
        <v>2.4539221736263741</v>
      </c>
      <c r="C16" s="2441">
        <v>2.7356116935483872</v>
      </c>
      <c r="D16" s="2442">
        <f t="shared" si="0"/>
        <v>-10.29713100679983</v>
      </c>
      <c r="F16" s="2439"/>
      <c r="G16" s="2443"/>
      <c r="H16" s="2439"/>
      <c r="I16" s="2443"/>
      <c r="J16" s="2443"/>
      <c r="K16" s="2439"/>
      <c r="M16" s="2434"/>
    </row>
    <row r="17" spans="1:13" ht="20.100000000000001" customHeight="1" x14ac:dyDescent="0.3">
      <c r="A17" s="2440" t="s">
        <v>4536</v>
      </c>
      <c r="B17" s="2441">
        <v>39.634390499999995</v>
      </c>
      <c r="C17" s="2441">
        <v>45.07042580645161</v>
      </c>
      <c r="D17" s="2442">
        <f t="shared" si="0"/>
        <v>-12.061202460779663</v>
      </c>
      <c r="F17" s="2439"/>
      <c r="G17" s="2443"/>
      <c r="H17" s="2439"/>
      <c r="I17" s="2443"/>
      <c r="J17" s="2443"/>
      <c r="K17" s="2439"/>
      <c r="M17" s="2434"/>
    </row>
    <row r="18" spans="1:13" ht="20.100000000000001" customHeight="1" x14ac:dyDescent="0.3">
      <c r="A18" s="2440" t="s">
        <v>4537</v>
      </c>
      <c r="B18" s="2441">
        <v>38.273493806593414</v>
      </c>
      <c r="C18" s="2441">
        <v>40.710378629032256</v>
      </c>
      <c r="D18" s="2442">
        <f t="shared" si="0"/>
        <v>-5.9859055712662812</v>
      </c>
      <c r="F18" s="2439"/>
      <c r="G18" s="2443"/>
      <c r="H18" s="2439"/>
      <c r="I18" s="2443"/>
      <c r="J18" s="2443"/>
      <c r="K18" s="2439"/>
      <c r="M18" s="2434"/>
    </row>
    <row r="19" spans="1:13" ht="20.100000000000001" customHeight="1" x14ac:dyDescent="0.3">
      <c r="A19" s="2440" t="s">
        <v>4538</v>
      </c>
      <c r="B19" s="2441">
        <v>48.27582738461539</v>
      </c>
      <c r="C19" s="2441">
        <v>55.320014516129035</v>
      </c>
      <c r="D19" s="2442">
        <f t="shared" si="0"/>
        <v>-12.73352364985344</v>
      </c>
      <c r="F19" s="2439"/>
      <c r="G19" s="2443"/>
      <c r="H19" s="2439"/>
      <c r="I19" s="2443"/>
      <c r="J19" s="2443"/>
      <c r="K19" s="2439"/>
      <c r="M19" s="2434"/>
    </row>
    <row r="20" spans="1:13" ht="20.100000000000001" customHeight="1" x14ac:dyDescent="0.3">
      <c r="A20" s="2440" t="s">
        <v>3323</v>
      </c>
      <c r="B20" s="2441">
        <v>42.443971189010988</v>
      </c>
      <c r="C20" s="2441">
        <v>48.779018951612898</v>
      </c>
      <c r="D20" s="2442">
        <f t="shared" si="0"/>
        <v>-12.987238978475679</v>
      </c>
      <c r="F20" s="2439"/>
      <c r="G20" s="2443"/>
      <c r="H20" s="2439"/>
      <c r="I20" s="2443"/>
      <c r="J20" s="2443"/>
      <c r="K20" s="2439"/>
      <c r="M20" s="2434"/>
    </row>
    <row r="21" spans="1:13" ht="6.75" customHeight="1" thickBot="1" x14ac:dyDescent="0.35">
      <c r="A21" s="2446"/>
      <c r="B21" s="2447"/>
      <c r="C21" s="2448"/>
      <c r="D21" s="2449"/>
      <c r="F21" s="2439"/>
      <c r="H21" s="2439"/>
      <c r="M21" s="2450"/>
    </row>
    <row r="22" spans="1:13" s="2451" customFormat="1" ht="15.75" customHeight="1" thickTop="1" x14ac:dyDescent="0.25">
      <c r="A22" s="2451" t="s">
        <v>3310</v>
      </c>
      <c r="B22" s="3585"/>
      <c r="C22" s="2452"/>
      <c r="D22" s="2453"/>
    </row>
    <row r="23" spans="1:13" s="2451" customFormat="1" ht="15.75" customHeight="1" x14ac:dyDescent="0.25">
      <c r="A23" s="2451" t="s">
        <v>4554</v>
      </c>
      <c r="B23" s="2454"/>
      <c r="C23" s="2452"/>
      <c r="D23" s="2453"/>
    </row>
    <row r="24" spans="1:13" s="2451" customFormat="1" ht="15.75" customHeight="1" x14ac:dyDescent="0.25">
      <c r="A24" s="2451" t="s">
        <v>4555</v>
      </c>
      <c r="B24" s="2452"/>
      <c r="C24" s="2452"/>
    </row>
    <row r="25" spans="1:13" s="2451" customFormat="1" ht="15.75" customHeight="1" x14ac:dyDescent="0.25">
      <c r="A25" s="2451" t="s">
        <v>4556</v>
      </c>
      <c r="B25" s="2452"/>
      <c r="C25" s="2452"/>
    </row>
    <row r="26" spans="1:13" s="2451" customFormat="1" ht="15.75" customHeight="1" x14ac:dyDescent="0.25">
      <c r="A26" s="2451" t="s">
        <v>4557</v>
      </c>
      <c r="B26" s="2452"/>
      <c r="C26" s="2452"/>
    </row>
    <row r="27" spans="1:13" s="2451" customFormat="1" ht="15.75" customHeight="1" x14ac:dyDescent="0.25">
      <c r="A27" s="2451" t="s">
        <v>4558</v>
      </c>
      <c r="B27" s="2452"/>
      <c r="C27" s="2452"/>
    </row>
    <row r="28" spans="1:13" s="2451" customFormat="1" ht="15.75" customHeight="1" x14ac:dyDescent="0.25">
      <c r="A28" s="2319" t="s">
        <v>3553</v>
      </c>
    </row>
    <row r="29" spans="1:13" ht="12.75" customHeight="1" x14ac:dyDescent="0.25"/>
    <row r="30" spans="1:13" x14ac:dyDescent="0.25">
      <c r="B30" s="2455"/>
      <c r="C30" s="2455"/>
    </row>
    <row r="31" spans="1:13" x14ac:dyDescent="0.25">
      <c r="B31" s="2455"/>
      <c r="C31" s="2455"/>
    </row>
    <row r="32" spans="1:13" x14ac:dyDescent="0.25">
      <c r="B32" s="2455"/>
      <c r="C32" s="2455"/>
    </row>
    <row r="96" spans="1:1" x14ac:dyDescent="0.25">
      <c r="A96" s="2456"/>
    </row>
  </sheetData>
  <mergeCells count="1">
    <mergeCell ref="A3:A8"/>
  </mergeCells>
  <pageMargins left="0.75" right="0.75" top="0.75" bottom="0.75" header="0.31496062992125984" footer="0"/>
  <pageSetup paperSize="9" scale="9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IY95"/>
  <sheetViews>
    <sheetView showGridLines="0" zoomScale="85" zoomScaleNormal="85" zoomScaleSheetLayoutView="85" workbookViewId="0">
      <pane xSplit="4" ySplit="3" topLeftCell="E4" activePane="bottomRight" state="frozen"/>
      <selection activeCell="A150" sqref="A150"/>
      <selection pane="topRight" activeCell="A150" sqref="A150"/>
      <selection pane="bottomLeft" activeCell="A150" sqref="A150"/>
      <selection pane="bottomRight" activeCell="A19" sqref="A19"/>
    </sheetView>
  </sheetViews>
  <sheetFormatPr defaultRowHeight="14.25" x14ac:dyDescent="0.25"/>
  <cols>
    <col min="1" max="1" width="17.28515625" style="2457" customWidth="1"/>
    <col min="2" max="5" width="10.28515625" style="2457" hidden="1" customWidth="1"/>
    <col min="6" max="7" width="10.28515625" style="2457" customWidth="1"/>
    <col min="8" max="8" width="10.28515625" style="2457" hidden="1" customWidth="1"/>
    <col min="9" max="9" width="10" style="2457" hidden="1" customWidth="1"/>
    <col min="10" max="11" width="10.28515625" style="2457" hidden="1" customWidth="1"/>
    <col min="12" max="12" width="10.42578125" style="2457" customWidth="1"/>
    <col min="13" max="14" width="10.28515625" style="2457" customWidth="1"/>
    <col min="15" max="18" width="10.28515625" style="2457" hidden="1" customWidth="1"/>
    <col min="19" max="19" width="12.7109375" style="2457" customWidth="1"/>
    <col min="20" max="22" width="10.28515625" style="2457" customWidth="1"/>
    <col min="23" max="24" width="9.140625" style="2457"/>
    <col min="25" max="25" width="10.85546875" style="2457" customWidth="1"/>
    <col min="26" max="26" width="11.7109375" style="2457" customWidth="1"/>
    <col min="27" max="28" width="19.85546875" style="2457" bestFit="1" customWidth="1"/>
    <col min="29" max="29" width="20" style="2457" bestFit="1" customWidth="1"/>
    <col min="30" max="30" width="19.85546875" style="2457" bestFit="1" customWidth="1"/>
    <col min="31" max="31" width="15.5703125" style="2457" bestFit="1" customWidth="1"/>
    <col min="32" max="33" width="15.42578125" style="2457" bestFit="1" customWidth="1"/>
    <col min="34" max="34" width="9.28515625" style="2457" bestFit="1" customWidth="1"/>
    <col min="35" max="156" width="9.140625" style="2457"/>
    <col min="157" max="169" width="8.85546875" style="2457" customWidth="1"/>
    <col min="170" max="259" width="9.140625" style="2457"/>
    <col min="260" max="260" width="17.28515625" style="2457" customWidth="1"/>
    <col min="261" max="263" width="0" style="2457" hidden="1" customWidth="1"/>
    <col min="264" max="266" width="10.28515625" style="2457" customWidth="1"/>
    <col min="267" max="269" width="0" style="2457" hidden="1" customWidth="1"/>
    <col min="270" max="272" width="10.28515625" style="2457" customWidth="1"/>
    <col min="273" max="275" width="0" style="2457" hidden="1" customWidth="1"/>
    <col min="276" max="278" width="10.28515625" style="2457" customWidth="1"/>
    <col min="279" max="280" width="9.140625" style="2457"/>
    <col min="281" max="281" width="10.85546875" style="2457" customWidth="1"/>
    <col min="282" max="283" width="9.140625" style="2457"/>
    <col min="284" max="285" width="13.42578125" style="2457" bestFit="1" customWidth="1"/>
    <col min="286" max="289" width="10.5703125" style="2457" bestFit="1" customWidth="1"/>
    <col min="290" max="412" width="9.140625" style="2457"/>
    <col min="413" max="425" width="8.85546875" style="2457" customWidth="1"/>
    <col min="426" max="515" width="9.140625" style="2457"/>
    <col min="516" max="516" width="17.28515625" style="2457" customWidth="1"/>
    <col min="517" max="519" width="0" style="2457" hidden="1" customWidth="1"/>
    <col min="520" max="522" width="10.28515625" style="2457" customWidth="1"/>
    <col min="523" max="525" width="0" style="2457" hidden="1" customWidth="1"/>
    <col min="526" max="528" width="10.28515625" style="2457" customWidth="1"/>
    <col min="529" max="531" width="0" style="2457" hidden="1" customWidth="1"/>
    <col min="532" max="534" width="10.28515625" style="2457" customWidth="1"/>
    <col min="535" max="536" width="9.140625" style="2457"/>
    <col min="537" max="537" width="10.85546875" style="2457" customWidth="1"/>
    <col min="538" max="539" width="9.140625" style="2457"/>
    <col min="540" max="541" width="13.42578125" style="2457" bestFit="1" customWidth="1"/>
    <col min="542" max="545" width="10.5703125" style="2457" bestFit="1" customWidth="1"/>
    <col min="546" max="668" width="9.140625" style="2457"/>
    <col min="669" max="681" width="8.85546875" style="2457" customWidth="1"/>
    <col min="682" max="771" width="9.140625" style="2457"/>
    <col min="772" max="772" width="17.28515625" style="2457" customWidth="1"/>
    <col min="773" max="775" width="0" style="2457" hidden="1" customWidth="1"/>
    <col min="776" max="778" width="10.28515625" style="2457" customWidth="1"/>
    <col min="779" max="781" width="0" style="2457" hidden="1" customWidth="1"/>
    <col min="782" max="784" width="10.28515625" style="2457" customWidth="1"/>
    <col min="785" max="787" width="0" style="2457" hidden="1" customWidth="1"/>
    <col min="788" max="790" width="10.28515625" style="2457" customWidth="1"/>
    <col min="791" max="792" width="9.140625" style="2457"/>
    <col min="793" max="793" width="10.85546875" style="2457" customWidth="1"/>
    <col min="794" max="795" width="9.140625" style="2457"/>
    <col min="796" max="797" width="13.42578125" style="2457" bestFit="1" customWidth="1"/>
    <col min="798" max="801" width="10.5703125" style="2457" bestFit="1" customWidth="1"/>
    <col min="802" max="924" width="9.140625" style="2457"/>
    <col min="925" max="937" width="8.85546875" style="2457" customWidth="1"/>
    <col min="938" max="1027" width="9.140625" style="2457"/>
    <col min="1028" max="1028" width="17.28515625" style="2457" customWidth="1"/>
    <col min="1029" max="1031" width="0" style="2457" hidden="1" customWidth="1"/>
    <col min="1032" max="1034" width="10.28515625" style="2457" customWidth="1"/>
    <col min="1035" max="1037" width="0" style="2457" hidden="1" customWidth="1"/>
    <col min="1038" max="1040" width="10.28515625" style="2457" customWidth="1"/>
    <col min="1041" max="1043" width="0" style="2457" hidden="1" customWidth="1"/>
    <col min="1044" max="1046" width="10.28515625" style="2457" customWidth="1"/>
    <col min="1047" max="1048" width="9.140625" style="2457"/>
    <col min="1049" max="1049" width="10.85546875" style="2457" customWidth="1"/>
    <col min="1050" max="1051" width="9.140625" style="2457"/>
    <col min="1052" max="1053" width="13.42578125" style="2457" bestFit="1" customWidth="1"/>
    <col min="1054" max="1057" width="10.5703125" style="2457" bestFit="1" customWidth="1"/>
    <col min="1058" max="1180" width="9.140625" style="2457"/>
    <col min="1181" max="1193" width="8.85546875" style="2457" customWidth="1"/>
    <col min="1194" max="1283" width="9.140625" style="2457"/>
    <col min="1284" max="1284" width="17.28515625" style="2457" customWidth="1"/>
    <col min="1285" max="1287" width="0" style="2457" hidden="1" customWidth="1"/>
    <col min="1288" max="1290" width="10.28515625" style="2457" customWidth="1"/>
    <col min="1291" max="1293" width="0" style="2457" hidden="1" customWidth="1"/>
    <col min="1294" max="1296" width="10.28515625" style="2457" customWidth="1"/>
    <col min="1297" max="1299" width="0" style="2457" hidden="1" customWidth="1"/>
    <col min="1300" max="1302" width="10.28515625" style="2457" customWidth="1"/>
    <col min="1303" max="1304" width="9.140625" style="2457"/>
    <col min="1305" max="1305" width="10.85546875" style="2457" customWidth="1"/>
    <col min="1306" max="1307" width="9.140625" style="2457"/>
    <col min="1308" max="1309" width="13.42578125" style="2457" bestFit="1" customWidth="1"/>
    <col min="1310" max="1313" width="10.5703125" style="2457" bestFit="1" customWidth="1"/>
    <col min="1314" max="1436" width="9.140625" style="2457"/>
    <col min="1437" max="1449" width="8.85546875" style="2457" customWidth="1"/>
    <col min="1450" max="1539" width="9.140625" style="2457"/>
    <col min="1540" max="1540" width="17.28515625" style="2457" customWidth="1"/>
    <col min="1541" max="1543" width="0" style="2457" hidden="1" customWidth="1"/>
    <col min="1544" max="1546" width="10.28515625" style="2457" customWidth="1"/>
    <col min="1547" max="1549" width="0" style="2457" hidden="1" customWidth="1"/>
    <col min="1550" max="1552" width="10.28515625" style="2457" customWidth="1"/>
    <col min="1553" max="1555" width="0" style="2457" hidden="1" customWidth="1"/>
    <col min="1556" max="1558" width="10.28515625" style="2457" customWidth="1"/>
    <col min="1559" max="1560" width="9.140625" style="2457"/>
    <col min="1561" max="1561" width="10.85546875" style="2457" customWidth="1"/>
    <col min="1562" max="1563" width="9.140625" style="2457"/>
    <col min="1564" max="1565" width="13.42578125" style="2457" bestFit="1" customWidth="1"/>
    <col min="1566" max="1569" width="10.5703125" style="2457" bestFit="1" customWidth="1"/>
    <col min="1570" max="1692" width="9.140625" style="2457"/>
    <col min="1693" max="1705" width="8.85546875" style="2457" customWidth="1"/>
    <col min="1706" max="1795" width="9.140625" style="2457"/>
    <col min="1796" max="1796" width="17.28515625" style="2457" customWidth="1"/>
    <col min="1797" max="1799" width="0" style="2457" hidden="1" customWidth="1"/>
    <col min="1800" max="1802" width="10.28515625" style="2457" customWidth="1"/>
    <col min="1803" max="1805" width="0" style="2457" hidden="1" customWidth="1"/>
    <col min="1806" max="1808" width="10.28515625" style="2457" customWidth="1"/>
    <col min="1809" max="1811" width="0" style="2457" hidden="1" customWidth="1"/>
    <col min="1812" max="1814" width="10.28515625" style="2457" customWidth="1"/>
    <col min="1815" max="1816" width="9.140625" style="2457"/>
    <col min="1817" max="1817" width="10.85546875" style="2457" customWidth="1"/>
    <col min="1818" max="1819" width="9.140625" style="2457"/>
    <col min="1820" max="1821" width="13.42578125" style="2457" bestFit="1" customWidth="1"/>
    <col min="1822" max="1825" width="10.5703125" style="2457" bestFit="1" customWidth="1"/>
    <col min="1826" max="1948" width="9.140625" style="2457"/>
    <col min="1949" max="1961" width="8.85546875" style="2457" customWidth="1"/>
    <col min="1962" max="2051" width="9.140625" style="2457"/>
    <col min="2052" max="2052" width="17.28515625" style="2457" customWidth="1"/>
    <col min="2053" max="2055" width="0" style="2457" hidden="1" customWidth="1"/>
    <col min="2056" max="2058" width="10.28515625" style="2457" customWidth="1"/>
    <col min="2059" max="2061" width="0" style="2457" hidden="1" customWidth="1"/>
    <col min="2062" max="2064" width="10.28515625" style="2457" customWidth="1"/>
    <col min="2065" max="2067" width="0" style="2457" hidden="1" customWidth="1"/>
    <col min="2068" max="2070" width="10.28515625" style="2457" customWidth="1"/>
    <col min="2071" max="2072" width="9.140625" style="2457"/>
    <col min="2073" max="2073" width="10.85546875" style="2457" customWidth="1"/>
    <col min="2074" max="2075" width="9.140625" style="2457"/>
    <col min="2076" max="2077" width="13.42578125" style="2457" bestFit="1" customWidth="1"/>
    <col min="2078" max="2081" width="10.5703125" style="2457" bestFit="1" customWidth="1"/>
    <col min="2082" max="2204" width="9.140625" style="2457"/>
    <col min="2205" max="2217" width="8.85546875" style="2457" customWidth="1"/>
    <col min="2218" max="2307" width="9.140625" style="2457"/>
    <col min="2308" max="2308" width="17.28515625" style="2457" customWidth="1"/>
    <col min="2309" max="2311" width="0" style="2457" hidden="1" customWidth="1"/>
    <col min="2312" max="2314" width="10.28515625" style="2457" customWidth="1"/>
    <col min="2315" max="2317" width="0" style="2457" hidden="1" customWidth="1"/>
    <col min="2318" max="2320" width="10.28515625" style="2457" customWidth="1"/>
    <col min="2321" max="2323" width="0" style="2457" hidden="1" customWidth="1"/>
    <col min="2324" max="2326" width="10.28515625" style="2457" customWidth="1"/>
    <col min="2327" max="2328" width="9.140625" style="2457"/>
    <col min="2329" max="2329" width="10.85546875" style="2457" customWidth="1"/>
    <col min="2330" max="2331" width="9.140625" style="2457"/>
    <col min="2332" max="2333" width="13.42578125" style="2457" bestFit="1" customWidth="1"/>
    <col min="2334" max="2337" width="10.5703125" style="2457" bestFit="1" customWidth="1"/>
    <col min="2338" max="2460" width="9.140625" style="2457"/>
    <col min="2461" max="2473" width="8.85546875" style="2457" customWidth="1"/>
    <col min="2474" max="2563" width="9.140625" style="2457"/>
    <col min="2564" max="2564" width="17.28515625" style="2457" customWidth="1"/>
    <col min="2565" max="2567" width="0" style="2457" hidden="1" customWidth="1"/>
    <col min="2568" max="2570" width="10.28515625" style="2457" customWidth="1"/>
    <col min="2571" max="2573" width="0" style="2457" hidden="1" customWidth="1"/>
    <col min="2574" max="2576" width="10.28515625" style="2457" customWidth="1"/>
    <col min="2577" max="2579" width="0" style="2457" hidden="1" customWidth="1"/>
    <col min="2580" max="2582" width="10.28515625" style="2457" customWidth="1"/>
    <col min="2583" max="2584" width="9.140625" style="2457"/>
    <col min="2585" max="2585" width="10.85546875" style="2457" customWidth="1"/>
    <col min="2586" max="2587" width="9.140625" style="2457"/>
    <col min="2588" max="2589" width="13.42578125" style="2457" bestFit="1" customWidth="1"/>
    <col min="2590" max="2593" width="10.5703125" style="2457" bestFit="1" customWidth="1"/>
    <col min="2594" max="2716" width="9.140625" style="2457"/>
    <col min="2717" max="2729" width="8.85546875" style="2457" customWidth="1"/>
    <col min="2730" max="2819" width="9.140625" style="2457"/>
    <col min="2820" max="2820" width="17.28515625" style="2457" customWidth="1"/>
    <col min="2821" max="2823" width="0" style="2457" hidden="1" customWidth="1"/>
    <col min="2824" max="2826" width="10.28515625" style="2457" customWidth="1"/>
    <col min="2827" max="2829" width="0" style="2457" hidden="1" customWidth="1"/>
    <col min="2830" max="2832" width="10.28515625" style="2457" customWidth="1"/>
    <col min="2833" max="2835" width="0" style="2457" hidden="1" customWidth="1"/>
    <col min="2836" max="2838" width="10.28515625" style="2457" customWidth="1"/>
    <col min="2839" max="2840" width="9.140625" style="2457"/>
    <col min="2841" max="2841" width="10.85546875" style="2457" customWidth="1"/>
    <col min="2842" max="2843" width="9.140625" style="2457"/>
    <col min="2844" max="2845" width="13.42578125" style="2457" bestFit="1" customWidth="1"/>
    <col min="2846" max="2849" width="10.5703125" style="2457" bestFit="1" customWidth="1"/>
    <col min="2850" max="2972" width="9.140625" style="2457"/>
    <col min="2973" max="2985" width="8.85546875" style="2457" customWidth="1"/>
    <col min="2986" max="3075" width="9.140625" style="2457"/>
    <col min="3076" max="3076" width="17.28515625" style="2457" customWidth="1"/>
    <col min="3077" max="3079" width="0" style="2457" hidden="1" customWidth="1"/>
    <col min="3080" max="3082" width="10.28515625" style="2457" customWidth="1"/>
    <col min="3083" max="3085" width="0" style="2457" hidden="1" customWidth="1"/>
    <col min="3086" max="3088" width="10.28515625" style="2457" customWidth="1"/>
    <col min="3089" max="3091" width="0" style="2457" hidden="1" customWidth="1"/>
    <col min="3092" max="3094" width="10.28515625" style="2457" customWidth="1"/>
    <col min="3095" max="3096" width="9.140625" style="2457"/>
    <col min="3097" max="3097" width="10.85546875" style="2457" customWidth="1"/>
    <col min="3098" max="3099" width="9.140625" style="2457"/>
    <col min="3100" max="3101" width="13.42578125" style="2457" bestFit="1" customWidth="1"/>
    <col min="3102" max="3105" width="10.5703125" style="2457" bestFit="1" customWidth="1"/>
    <col min="3106" max="3228" width="9.140625" style="2457"/>
    <col min="3229" max="3241" width="8.85546875" style="2457" customWidth="1"/>
    <col min="3242" max="3331" width="9.140625" style="2457"/>
    <col min="3332" max="3332" width="17.28515625" style="2457" customWidth="1"/>
    <col min="3333" max="3335" width="0" style="2457" hidden="1" customWidth="1"/>
    <col min="3336" max="3338" width="10.28515625" style="2457" customWidth="1"/>
    <col min="3339" max="3341" width="0" style="2457" hidden="1" customWidth="1"/>
    <col min="3342" max="3344" width="10.28515625" style="2457" customWidth="1"/>
    <col min="3345" max="3347" width="0" style="2457" hidden="1" customWidth="1"/>
    <col min="3348" max="3350" width="10.28515625" style="2457" customWidth="1"/>
    <col min="3351" max="3352" width="9.140625" style="2457"/>
    <col min="3353" max="3353" width="10.85546875" style="2457" customWidth="1"/>
    <col min="3354" max="3355" width="9.140625" style="2457"/>
    <col min="3356" max="3357" width="13.42578125" style="2457" bestFit="1" customWidth="1"/>
    <col min="3358" max="3361" width="10.5703125" style="2457" bestFit="1" customWidth="1"/>
    <col min="3362" max="3484" width="9.140625" style="2457"/>
    <col min="3485" max="3497" width="8.85546875" style="2457" customWidth="1"/>
    <col min="3498" max="3587" width="9.140625" style="2457"/>
    <col min="3588" max="3588" width="17.28515625" style="2457" customWidth="1"/>
    <col min="3589" max="3591" width="0" style="2457" hidden="1" customWidth="1"/>
    <col min="3592" max="3594" width="10.28515625" style="2457" customWidth="1"/>
    <col min="3595" max="3597" width="0" style="2457" hidden="1" customWidth="1"/>
    <col min="3598" max="3600" width="10.28515625" style="2457" customWidth="1"/>
    <col min="3601" max="3603" width="0" style="2457" hidden="1" customWidth="1"/>
    <col min="3604" max="3606" width="10.28515625" style="2457" customWidth="1"/>
    <col min="3607" max="3608" width="9.140625" style="2457"/>
    <col min="3609" max="3609" width="10.85546875" style="2457" customWidth="1"/>
    <col min="3610" max="3611" width="9.140625" style="2457"/>
    <col min="3612" max="3613" width="13.42578125" style="2457" bestFit="1" customWidth="1"/>
    <col min="3614" max="3617" width="10.5703125" style="2457" bestFit="1" customWidth="1"/>
    <col min="3618" max="3740" width="9.140625" style="2457"/>
    <col min="3741" max="3753" width="8.85546875" style="2457" customWidth="1"/>
    <col min="3754" max="3843" width="9.140625" style="2457"/>
    <col min="3844" max="3844" width="17.28515625" style="2457" customWidth="1"/>
    <col min="3845" max="3847" width="0" style="2457" hidden="1" customWidth="1"/>
    <col min="3848" max="3850" width="10.28515625" style="2457" customWidth="1"/>
    <col min="3851" max="3853" width="0" style="2457" hidden="1" customWidth="1"/>
    <col min="3854" max="3856" width="10.28515625" style="2457" customWidth="1"/>
    <col min="3857" max="3859" width="0" style="2457" hidden="1" customWidth="1"/>
    <col min="3860" max="3862" width="10.28515625" style="2457" customWidth="1"/>
    <col min="3863" max="3864" width="9.140625" style="2457"/>
    <col min="3865" max="3865" width="10.85546875" style="2457" customWidth="1"/>
    <col min="3866" max="3867" width="9.140625" style="2457"/>
    <col min="3868" max="3869" width="13.42578125" style="2457" bestFit="1" customWidth="1"/>
    <col min="3870" max="3873" width="10.5703125" style="2457" bestFit="1" customWidth="1"/>
    <col min="3874" max="3996" width="9.140625" style="2457"/>
    <col min="3997" max="4009" width="8.85546875" style="2457" customWidth="1"/>
    <col min="4010" max="4099" width="9.140625" style="2457"/>
    <col min="4100" max="4100" width="17.28515625" style="2457" customWidth="1"/>
    <col min="4101" max="4103" width="0" style="2457" hidden="1" customWidth="1"/>
    <col min="4104" max="4106" width="10.28515625" style="2457" customWidth="1"/>
    <col min="4107" max="4109" width="0" style="2457" hidden="1" customWidth="1"/>
    <col min="4110" max="4112" width="10.28515625" style="2457" customWidth="1"/>
    <col min="4113" max="4115" width="0" style="2457" hidden="1" customWidth="1"/>
    <col min="4116" max="4118" width="10.28515625" style="2457" customWidth="1"/>
    <col min="4119" max="4120" width="9.140625" style="2457"/>
    <col min="4121" max="4121" width="10.85546875" style="2457" customWidth="1"/>
    <col min="4122" max="4123" width="9.140625" style="2457"/>
    <col min="4124" max="4125" width="13.42578125" style="2457" bestFit="1" customWidth="1"/>
    <col min="4126" max="4129" width="10.5703125" style="2457" bestFit="1" customWidth="1"/>
    <col min="4130" max="4252" width="9.140625" style="2457"/>
    <col min="4253" max="4265" width="8.85546875" style="2457" customWidth="1"/>
    <col min="4266" max="4355" width="9.140625" style="2457"/>
    <col min="4356" max="4356" width="17.28515625" style="2457" customWidth="1"/>
    <col min="4357" max="4359" width="0" style="2457" hidden="1" customWidth="1"/>
    <col min="4360" max="4362" width="10.28515625" style="2457" customWidth="1"/>
    <col min="4363" max="4365" width="0" style="2457" hidden="1" customWidth="1"/>
    <col min="4366" max="4368" width="10.28515625" style="2457" customWidth="1"/>
    <col min="4369" max="4371" width="0" style="2457" hidden="1" customWidth="1"/>
    <col min="4372" max="4374" width="10.28515625" style="2457" customWidth="1"/>
    <col min="4375" max="4376" width="9.140625" style="2457"/>
    <col min="4377" max="4377" width="10.85546875" style="2457" customWidth="1"/>
    <col min="4378" max="4379" width="9.140625" style="2457"/>
    <col min="4380" max="4381" width="13.42578125" style="2457" bestFit="1" customWidth="1"/>
    <col min="4382" max="4385" width="10.5703125" style="2457" bestFit="1" customWidth="1"/>
    <col min="4386" max="4508" width="9.140625" style="2457"/>
    <col min="4509" max="4521" width="8.85546875" style="2457" customWidth="1"/>
    <col min="4522" max="4611" width="9.140625" style="2457"/>
    <col min="4612" max="4612" width="17.28515625" style="2457" customWidth="1"/>
    <col min="4613" max="4615" width="0" style="2457" hidden="1" customWidth="1"/>
    <col min="4616" max="4618" width="10.28515625" style="2457" customWidth="1"/>
    <col min="4619" max="4621" width="0" style="2457" hidden="1" customWidth="1"/>
    <col min="4622" max="4624" width="10.28515625" style="2457" customWidth="1"/>
    <col min="4625" max="4627" width="0" style="2457" hidden="1" customWidth="1"/>
    <col min="4628" max="4630" width="10.28515625" style="2457" customWidth="1"/>
    <col min="4631" max="4632" width="9.140625" style="2457"/>
    <col min="4633" max="4633" width="10.85546875" style="2457" customWidth="1"/>
    <col min="4634" max="4635" width="9.140625" style="2457"/>
    <col min="4636" max="4637" width="13.42578125" style="2457" bestFit="1" customWidth="1"/>
    <col min="4638" max="4641" width="10.5703125" style="2457" bestFit="1" customWidth="1"/>
    <col min="4642" max="4764" width="9.140625" style="2457"/>
    <col min="4765" max="4777" width="8.85546875" style="2457" customWidth="1"/>
    <col min="4778" max="4867" width="9.140625" style="2457"/>
    <col min="4868" max="4868" width="17.28515625" style="2457" customWidth="1"/>
    <col min="4869" max="4871" width="0" style="2457" hidden="1" customWidth="1"/>
    <col min="4872" max="4874" width="10.28515625" style="2457" customWidth="1"/>
    <col min="4875" max="4877" width="0" style="2457" hidden="1" customWidth="1"/>
    <col min="4878" max="4880" width="10.28515625" style="2457" customWidth="1"/>
    <col min="4881" max="4883" width="0" style="2457" hidden="1" customWidth="1"/>
    <col min="4884" max="4886" width="10.28515625" style="2457" customWidth="1"/>
    <col min="4887" max="4888" width="9.140625" style="2457"/>
    <col min="4889" max="4889" width="10.85546875" style="2457" customWidth="1"/>
    <col min="4890" max="4891" width="9.140625" style="2457"/>
    <col min="4892" max="4893" width="13.42578125" style="2457" bestFit="1" customWidth="1"/>
    <col min="4894" max="4897" width="10.5703125" style="2457" bestFit="1" customWidth="1"/>
    <col min="4898" max="5020" width="9.140625" style="2457"/>
    <col min="5021" max="5033" width="8.85546875" style="2457" customWidth="1"/>
    <col min="5034" max="5123" width="9.140625" style="2457"/>
    <col min="5124" max="5124" width="17.28515625" style="2457" customWidth="1"/>
    <col min="5125" max="5127" width="0" style="2457" hidden="1" customWidth="1"/>
    <col min="5128" max="5130" width="10.28515625" style="2457" customWidth="1"/>
    <col min="5131" max="5133" width="0" style="2457" hidden="1" customWidth="1"/>
    <col min="5134" max="5136" width="10.28515625" style="2457" customWidth="1"/>
    <col min="5137" max="5139" width="0" style="2457" hidden="1" customWidth="1"/>
    <col min="5140" max="5142" width="10.28515625" style="2457" customWidth="1"/>
    <col min="5143" max="5144" width="9.140625" style="2457"/>
    <col min="5145" max="5145" width="10.85546875" style="2457" customWidth="1"/>
    <col min="5146" max="5147" width="9.140625" style="2457"/>
    <col min="5148" max="5149" width="13.42578125" style="2457" bestFit="1" customWidth="1"/>
    <col min="5150" max="5153" width="10.5703125" style="2457" bestFit="1" customWidth="1"/>
    <col min="5154" max="5276" width="9.140625" style="2457"/>
    <col min="5277" max="5289" width="8.85546875" style="2457" customWidth="1"/>
    <col min="5290" max="5379" width="9.140625" style="2457"/>
    <col min="5380" max="5380" width="17.28515625" style="2457" customWidth="1"/>
    <col min="5381" max="5383" width="0" style="2457" hidden="1" customWidth="1"/>
    <col min="5384" max="5386" width="10.28515625" style="2457" customWidth="1"/>
    <col min="5387" max="5389" width="0" style="2457" hidden="1" customWidth="1"/>
    <col min="5390" max="5392" width="10.28515625" style="2457" customWidth="1"/>
    <col min="5393" max="5395" width="0" style="2457" hidden="1" customWidth="1"/>
    <col min="5396" max="5398" width="10.28515625" style="2457" customWidth="1"/>
    <col min="5399" max="5400" width="9.140625" style="2457"/>
    <col min="5401" max="5401" width="10.85546875" style="2457" customWidth="1"/>
    <col min="5402" max="5403" width="9.140625" style="2457"/>
    <col min="5404" max="5405" width="13.42578125" style="2457" bestFit="1" customWidth="1"/>
    <col min="5406" max="5409" width="10.5703125" style="2457" bestFit="1" customWidth="1"/>
    <col min="5410" max="5532" width="9.140625" style="2457"/>
    <col min="5533" max="5545" width="8.85546875" style="2457" customWidth="1"/>
    <col min="5546" max="5635" width="9.140625" style="2457"/>
    <col min="5636" max="5636" width="17.28515625" style="2457" customWidth="1"/>
    <col min="5637" max="5639" width="0" style="2457" hidden="1" customWidth="1"/>
    <col min="5640" max="5642" width="10.28515625" style="2457" customWidth="1"/>
    <col min="5643" max="5645" width="0" style="2457" hidden="1" customWidth="1"/>
    <col min="5646" max="5648" width="10.28515625" style="2457" customWidth="1"/>
    <col min="5649" max="5651" width="0" style="2457" hidden="1" customWidth="1"/>
    <col min="5652" max="5654" width="10.28515625" style="2457" customWidth="1"/>
    <col min="5655" max="5656" width="9.140625" style="2457"/>
    <col min="5657" max="5657" width="10.85546875" style="2457" customWidth="1"/>
    <col min="5658" max="5659" width="9.140625" style="2457"/>
    <col min="5660" max="5661" width="13.42578125" style="2457" bestFit="1" customWidth="1"/>
    <col min="5662" max="5665" width="10.5703125" style="2457" bestFit="1" customWidth="1"/>
    <col min="5666" max="5788" width="9.140625" style="2457"/>
    <col min="5789" max="5801" width="8.85546875" style="2457" customWidth="1"/>
    <col min="5802" max="5891" width="9.140625" style="2457"/>
    <col min="5892" max="5892" width="17.28515625" style="2457" customWidth="1"/>
    <col min="5893" max="5895" width="0" style="2457" hidden="1" customWidth="1"/>
    <col min="5896" max="5898" width="10.28515625" style="2457" customWidth="1"/>
    <col min="5899" max="5901" width="0" style="2457" hidden="1" customWidth="1"/>
    <col min="5902" max="5904" width="10.28515625" style="2457" customWidth="1"/>
    <col min="5905" max="5907" width="0" style="2457" hidden="1" customWidth="1"/>
    <col min="5908" max="5910" width="10.28515625" style="2457" customWidth="1"/>
    <col min="5911" max="5912" width="9.140625" style="2457"/>
    <col min="5913" max="5913" width="10.85546875" style="2457" customWidth="1"/>
    <col min="5914" max="5915" width="9.140625" style="2457"/>
    <col min="5916" max="5917" width="13.42578125" style="2457" bestFit="1" customWidth="1"/>
    <col min="5918" max="5921" width="10.5703125" style="2457" bestFit="1" customWidth="1"/>
    <col min="5922" max="6044" width="9.140625" style="2457"/>
    <col min="6045" max="6057" width="8.85546875" style="2457" customWidth="1"/>
    <col min="6058" max="6147" width="9.140625" style="2457"/>
    <col min="6148" max="6148" width="17.28515625" style="2457" customWidth="1"/>
    <col min="6149" max="6151" width="0" style="2457" hidden="1" customWidth="1"/>
    <col min="6152" max="6154" width="10.28515625" style="2457" customWidth="1"/>
    <col min="6155" max="6157" width="0" style="2457" hidden="1" customWidth="1"/>
    <col min="6158" max="6160" width="10.28515625" style="2457" customWidth="1"/>
    <col min="6161" max="6163" width="0" style="2457" hidden="1" customWidth="1"/>
    <col min="6164" max="6166" width="10.28515625" style="2457" customWidth="1"/>
    <col min="6167" max="6168" width="9.140625" style="2457"/>
    <col min="6169" max="6169" width="10.85546875" style="2457" customWidth="1"/>
    <col min="6170" max="6171" width="9.140625" style="2457"/>
    <col min="6172" max="6173" width="13.42578125" style="2457" bestFit="1" customWidth="1"/>
    <col min="6174" max="6177" width="10.5703125" style="2457" bestFit="1" customWidth="1"/>
    <col min="6178" max="6300" width="9.140625" style="2457"/>
    <col min="6301" max="6313" width="8.85546875" style="2457" customWidth="1"/>
    <col min="6314" max="6403" width="9.140625" style="2457"/>
    <col min="6404" max="6404" width="17.28515625" style="2457" customWidth="1"/>
    <col min="6405" max="6407" width="0" style="2457" hidden="1" customWidth="1"/>
    <col min="6408" max="6410" width="10.28515625" style="2457" customWidth="1"/>
    <col min="6411" max="6413" width="0" style="2457" hidden="1" customWidth="1"/>
    <col min="6414" max="6416" width="10.28515625" style="2457" customWidth="1"/>
    <col min="6417" max="6419" width="0" style="2457" hidden="1" customWidth="1"/>
    <col min="6420" max="6422" width="10.28515625" style="2457" customWidth="1"/>
    <col min="6423" max="6424" width="9.140625" style="2457"/>
    <col min="6425" max="6425" width="10.85546875" style="2457" customWidth="1"/>
    <col min="6426" max="6427" width="9.140625" style="2457"/>
    <col min="6428" max="6429" width="13.42578125" style="2457" bestFit="1" customWidth="1"/>
    <col min="6430" max="6433" width="10.5703125" style="2457" bestFit="1" customWidth="1"/>
    <col min="6434" max="6556" width="9.140625" style="2457"/>
    <col min="6557" max="6569" width="8.85546875" style="2457" customWidth="1"/>
    <col min="6570" max="6659" width="9.140625" style="2457"/>
    <col min="6660" max="6660" width="17.28515625" style="2457" customWidth="1"/>
    <col min="6661" max="6663" width="0" style="2457" hidden="1" customWidth="1"/>
    <col min="6664" max="6666" width="10.28515625" style="2457" customWidth="1"/>
    <col min="6667" max="6669" width="0" style="2457" hidden="1" customWidth="1"/>
    <col min="6670" max="6672" width="10.28515625" style="2457" customWidth="1"/>
    <col min="6673" max="6675" width="0" style="2457" hidden="1" customWidth="1"/>
    <col min="6676" max="6678" width="10.28515625" style="2457" customWidth="1"/>
    <col min="6679" max="6680" width="9.140625" style="2457"/>
    <col min="6681" max="6681" width="10.85546875" style="2457" customWidth="1"/>
    <col min="6682" max="6683" width="9.140625" style="2457"/>
    <col min="6684" max="6685" width="13.42578125" style="2457" bestFit="1" customWidth="1"/>
    <col min="6686" max="6689" width="10.5703125" style="2457" bestFit="1" customWidth="1"/>
    <col min="6690" max="6812" width="9.140625" style="2457"/>
    <col min="6813" max="6825" width="8.85546875" style="2457" customWidth="1"/>
    <col min="6826" max="6915" width="9.140625" style="2457"/>
    <col min="6916" max="6916" width="17.28515625" style="2457" customWidth="1"/>
    <col min="6917" max="6919" width="0" style="2457" hidden="1" customWidth="1"/>
    <col min="6920" max="6922" width="10.28515625" style="2457" customWidth="1"/>
    <col min="6923" max="6925" width="0" style="2457" hidden="1" customWidth="1"/>
    <col min="6926" max="6928" width="10.28515625" style="2457" customWidth="1"/>
    <col min="6929" max="6931" width="0" style="2457" hidden="1" customWidth="1"/>
    <col min="6932" max="6934" width="10.28515625" style="2457" customWidth="1"/>
    <col min="6935" max="6936" width="9.140625" style="2457"/>
    <col min="6937" max="6937" width="10.85546875" style="2457" customWidth="1"/>
    <col min="6938" max="6939" width="9.140625" style="2457"/>
    <col min="6940" max="6941" width="13.42578125" style="2457" bestFit="1" customWidth="1"/>
    <col min="6942" max="6945" width="10.5703125" style="2457" bestFit="1" customWidth="1"/>
    <col min="6946" max="7068" width="9.140625" style="2457"/>
    <col min="7069" max="7081" width="8.85546875" style="2457" customWidth="1"/>
    <col min="7082" max="7171" width="9.140625" style="2457"/>
    <col min="7172" max="7172" width="17.28515625" style="2457" customWidth="1"/>
    <col min="7173" max="7175" width="0" style="2457" hidden="1" customWidth="1"/>
    <col min="7176" max="7178" width="10.28515625" style="2457" customWidth="1"/>
    <col min="7179" max="7181" width="0" style="2457" hidden="1" customWidth="1"/>
    <col min="7182" max="7184" width="10.28515625" style="2457" customWidth="1"/>
    <col min="7185" max="7187" width="0" style="2457" hidden="1" customWidth="1"/>
    <col min="7188" max="7190" width="10.28515625" style="2457" customWidth="1"/>
    <col min="7191" max="7192" width="9.140625" style="2457"/>
    <col min="7193" max="7193" width="10.85546875" style="2457" customWidth="1"/>
    <col min="7194" max="7195" width="9.140625" style="2457"/>
    <col min="7196" max="7197" width="13.42578125" style="2457" bestFit="1" customWidth="1"/>
    <col min="7198" max="7201" width="10.5703125" style="2457" bestFit="1" customWidth="1"/>
    <col min="7202" max="7324" width="9.140625" style="2457"/>
    <col min="7325" max="7337" width="8.85546875" style="2457" customWidth="1"/>
    <col min="7338" max="7427" width="9.140625" style="2457"/>
    <col min="7428" max="7428" width="17.28515625" style="2457" customWidth="1"/>
    <col min="7429" max="7431" width="0" style="2457" hidden="1" customWidth="1"/>
    <col min="7432" max="7434" width="10.28515625" style="2457" customWidth="1"/>
    <col min="7435" max="7437" width="0" style="2457" hidden="1" customWidth="1"/>
    <col min="7438" max="7440" width="10.28515625" style="2457" customWidth="1"/>
    <col min="7441" max="7443" width="0" style="2457" hidden="1" customWidth="1"/>
    <col min="7444" max="7446" width="10.28515625" style="2457" customWidth="1"/>
    <col min="7447" max="7448" width="9.140625" style="2457"/>
    <col min="7449" max="7449" width="10.85546875" style="2457" customWidth="1"/>
    <col min="7450" max="7451" width="9.140625" style="2457"/>
    <col min="7452" max="7453" width="13.42578125" style="2457" bestFit="1" customWidth="1"/>
    <col min="7454" max="7457" width="10.5703125" style="2457" bestFit="1" customWidth="1"/>
    <col min="7458" max="7580" width="9.140625" style="2457"/>
    <col min="7581" max="7593" width="8.85546875" style="2457" customWidth="1"/>
    <col min="7594" max="7683" width="9.140625" style="2457"/>
    <col min="7684" max="7684" width="17.28515625" style="2457" customWidth="1"/>
    <col min="7685" max="7687" width="0" style="2457" hidden="1" customWidth="1"/>
    <col min="7688" max="7690" width="10.28515625" style="2457" customWidth="1"/>
    <col min="7691" max="7693" width="0" style="2457" hidden="1" customWidth="1"/>
    <col min="7694" max="7696" width="10.28515625" style="2457" customWidth="1"/>
    <col min="7697" max="7699" width="0" style="2457" hidden="1" customWidth="1"/>
    <col min="7700" max="7702" width="10.28515625" style="2457" customWidth="1"/>
    <col min="7703" max="7704" width="9.140625" style="2457"/>
    <col min="7705" max="7705" width="10.85546875" style="2457" customWidth="1"/>
    <col min="7706" max="7707" width="9.140625" style="2457"/>
    <col min="7708" max="7709" width="13.42578125" style="2457" bestFit="1" customWidth="1"/>
    <col min="7710" max="7713" width="10.5703125" style="2457" bestFit="1" customWidth="1"/>
    <col min="7714" max="7836" width="9.140625" style="2457"/>
    <col min="7837" max="7849" width="8.85546875" style="2457" customWidth="1"/>
    <col min="7850" max="7939" width="9.140625" style="2457"/>
    <col min="7940" max="7940" width="17.28515625" style="2457" customWidth="1"/>
    <col min="7941" max="7943" width="0" style="2457" hidden="1" customWidth="1"/>
    <col min="7944" max="7946" width="10.28515625" style="2457" customWidth="1"/>
    <col min="7947" max="7949" width="0" style="2457" hidden="1" customWidth="1"/>
    <col min="7950" max="7952" width="10.28515625" style="2457" customWidth="1"/>
    <col min="7953" max="7955" width="0" style="2457" hidden="1" customWidth="1"/>
    <col min="7956" max="7958" width="10.28515625" style="2457" customWidth="1"/>
    <col min="7959" max="7960" width="9.140625" style="2457"/>
    <col min="7961" max="7961" width="10.85546875" style="2457" customWidth="1"/>
    <col min="7962" max="7963" width="9.140625" style="2457"/>
    <col min="7964" max="7965" width="13.42578125" style="2457" bestFit="1" customWidth="1"/>
    <col min="7966" max="7969" width="10.5703125" style="2457" bestFit="1" customWidth="1"/>
    <col min="7970" max="8092" width="9.140625" style="2457"/>
    <col min="8093" max="8105" width="8.85546875" style="2457" customWidth="1"/>
    <col min="8106" max="8195" width="9.140625" style="2457"/>
    <col min="8196" max="8196" width="17.28515625" style="2457" customWidth="1"/>
    <col min="8197" max="8199" width="0" style="2457" hidden="1" customWidth="1"/>
    <col min="8200" max="8202" width="10.28515625" style="2457" customWidth="1"/>
    <col min="8203" max="8205" width="0" style="2457" hidden="1" customWidth="1"/>
    <col min="8206" max="8208" width="10.28515625" style="2457" customWidth="1"/>
    <col min="8209" max="8211" width="0" style="2457" hidden="1" customWidth="1"/>
    <col min="8212" max="8214" width="10.28515625" style="2457" customWidth="1"/>
    <col min="8215" max="8216" width="9.140625" style="2457"/>
    <col min="8217" max="8217" width="10.85546875" style="2457" customWidth="1"/>
    <col min="8218" max="8219" width="9.140625" style="2457"/>
    <col min="8220" max="8221" width="13.42578125" style="2457" bestFit="1" customWidth="1"/>
    <col min="8222" max="8225" width="10.5703125" style="2457" bestFit="1" customWidth="1"/>
    <col min="8226" max="8348" width="9.140625" style="2457"/>
    <col min="8349" max="8361" width="8.85546875" style="2457" customWidth="1"/>
    <col min="8362" max="8451" width="9.140625" style="2457"/>
    <col min="8452" max="8452" width="17.28515625" style="2457" customWidth="1"/>
    <col min="8453" max="8455" width="0" style="2457" hidden="1" customWidth="1"/>
    <col min="8456" max="8458" width="10.28515625" style="2457" customWidth="1"/>
    <col min="8459" max="8461" width="0" style="2457" hidden="1" customWidth="1"/>
    <col min="8462" max="8464" width="10.28515625" style="2457" customWidth="1"/>
    <col min="8465" max="8467" width="0" style="2457" hidden="1" customWidth="1"/>
    <col min="8468" max="8470" width="10.28515625" style="2457" customWidth="1"/>
    <col min="8471" max="8472" width="9.140625" style="2457"/>
    <col min="8473" max="8473" width="10.85546875" style="2457" customWidth="1"/>
    <col min="8474" max="8475" width="9.140625" style="2457"/>
    <col min="8476" max="8477" width="13.42578125" style="2457" bestFit="1" customWidth="1"/>
    <col min="8478" max="8481" width="10.5703125" style="2457" bestFit="1" customWidth="1"/>
    <col min="8482" max="8604" width="9.140625" style="2457"/>
    <col min="8605" max="8617" width="8.85546875" style="2457" customWidth="1"/>
    <col min="8618" max="8707" width="9.140625" style="2457"/>
    <col min="8708" max="8708" width="17.28515625" style="2457" customWidth="1"/>
    <col min="8709" max="8711" width="0" style="2457" hidden="1" customWidth="1"/>
    <col min="8712" max="8714" width="10.28515625" style="2457" customWidth="1"/>
    <col min="8715" max="8717" width="0" style="2457" hidden="1" customWidth="1"/>
    <col min="8718" max="8720" width="10.28515625" style="2457" customWidth="1"/>
    <col min="8721" max="8723" width="0" style="2457" hidden="1" customWidth="1"/>
    <col min="8724" max="8726" width="10.28515625" style="2457" customWidth="1"/>
    <col min="8727" max="8728" width="9.140625" style="2457"/>
    <col min="8729" max="8729" width="10.85546875" style="2457" customWidth="1"/>
    <col min="8730" max="8731" width="9.140625" style="2457"/>
    <col min="8732" max="8733" width="13.42578125" style="2457" bestFit="1" customWidth="1"/>
    <col min="8734" max="8737" width="10.5703125" style="2457" bestFit="1" customWidth="1"/>
    <col min="8738" max="8860" width="9.140625" style="2457"/>
    <col min="8861" max="8873" width="8.85546875" style="2457" customWidth="1"/>
    <col min="8874" max="8963" width="9.140625" style="2457"/>
    <col min="8964" max="8964" width="17.28515625" style="2457" customWidth="1"/>
    <col min="8965" max="8967" width="0" style="2457" hidden="1" customWidth="1"/>
    <col min="8968" max="8970" width="10.28515625" style="2457" customWidth="1"/>
    <col min="8971" max="8973" width="0" style="2457" hidden="1" customWidth="1"/>
    <col min="8974" max="8976" width="10.28515625" style="2457" customWidth="1"/>
    <col min="8977" max="8979" width="0" style="2457" hidden="1" customWidth="1"/>
    <col min="8980" max="8982" width="10.28515625" style="2457" customWidth="1"/>
    <col min="8983" max="8984" width="9.140625" style="2457"/>
    <col min="8985" max="8985" width="10.85546875" style="2457" customWidth="1"/>
    <col min="8986" max="8987" width="9.140625" style="2457"/>
    <col min="8988" max="8989" width="13.42578125" style="2457" bestFit="1" customWidth="1"/>
    <col min="8990" max="8993" width="10.5703125" style="2457" bestFit="1" customWidth="1"/>
    <col min="8994" max="9116" width="9.140625" style="2457"/>
    <col min="9117" max="9129" width="8.85546875" style="2457" customWidth="1"/>
    <col min="9130" max="9219" width="9.140625" style="2457"/>
    <col min="9220" max="9220" width="17.28515625" style="2457" customWidth="1"/>
    <col min="9221" max="9223" width="0" style="2457" hidden="1" customWidth="1"/>
    <col min="9224" max="9226" width="10.28515625" style="2457" customWidth="1"/>
    <col min="9227" max="9229" width="0" style="2457" hidden="1" customWidth="1"/>
    <col min="9230" max="9232" width="10.28515625" style="2457" customWidth="1"/>
    <col min="9233" max="9235" width="0" style="2457" hidden="1" customWidth="1"/>
    <col min="9236" max="9238" width="10.28515625" style="2457" customWidth="1"/>
    <col min="9239" max="9240" width="9.140625" style="2457"/>
    <col min="9241" max="9241" width="10.85546875" style="2457" customWidth="1"/>
    <col min="9242" max="9243" width="9.140625" style="2457"/>
    <col min="9244" max="9245" width="13.42578125" style="2457" bestFit="1" customWidth="1"/>
    <col min="9246" max="9249" width="10.5703125" style="2457" bestFit="1" customWidth="1"/>
    <col min="9250" max="9372" width="9.140625" style="2457"/>
    <col min="9373" max="9385" width="8.85546875" style="2457" customWidth="1"/>
    <col min="9386" max="9475" width="9.140625" style="2457"/>
    <col min="9476" max="9476" width="17.28515625" style="2457" customWidth="1"/>
    <col min="9477" max="9479" width="0" style="2457" hidden="1" customWidth="1"/>
    <col min="9480" max="9482" width="10.28515625" style="2457" customWidth="1"/>
    <col min="9483" max="9485" width="0" style="2457" hidden="1" customWidth="1"/>
    <col min="9486" max="9488" width="10.28515625" style="2457" customWidth="1"/>
    <col min="9489" max="9491" width="0" style="2457" hidden="1" customWidth="1"/>
    <col min="9492" max="9494" width="10.28515625" style="2457" customWidth="1"/>
    <col min="9495" max="9496" width="9.140625" style="2457"/>
    <col min="9497" max="9497" width="10.85546875" style="2457" customWidth="1"/>
    <col min="9498" max="9499" width="9.140625" style="2457"/>
    <col min="9500" max="9501" width="13.42578125" style="2457" bestFit="1" customWidth="1"/>
    <col min="9502" max="9505" width="10.5703125" style="2457" bestFit="1" customWidth="1"/>
    <col min="9506" max="9628" width="9.140625" style="2457"/>
    <col min="9629" max="9641" width="8.85546875" style="2457" customWidth="1"/>
    <col min="9642" max="9731" width="9.140625" style="2457"/>
    <col min="9732" max="9732" width="17.28515625" style="2457" customWidth="1"/>
    <col min="9733" max="9735" width="0" style="2457" hidden="1" customWidth="1"/>
    <col min="9736" max="9738" width="10.28515625" style="2457" customWidth="1"/>
    <col min="9739" max="9741" width="0" style="2457" hidden="1" customWidth="1"/>
    <col min="9742" max="9744" width="10.28515625" style="2457" customWidth="1"/>
    <col min="9745" max="9747" width="0" style="2457" hidden="1" customWidth="1"/>
    <col min="9748" max="9750" width="10.28515625" style="2457" customWidth="1"/>
    <col min="9751" max="9752" width="9.140625" style="2457"/>
    <col min="9753" max="9753" width="10.85546875" style="2457" customWidth="1"/>
    <col min="9754" max="9755" width="9.140625" style="2457"/>
    <col min="9756" max="9757" width="13.42578125" style="2457" bestFit="1" customWidth="1"/>
    <col min="9758" max="9761" width="10.5703125" style="2457" bestFit="1" customWidth="1"/>
    <col min="9762" max="9884" width="9.140625" style="2457"/>
    <col min="9885" max="9897" width="8.85546875" style="2457" customWidth="1"/>
    <col min="9898" max="9987" width="9.140625" style="2457"/>
    <col min="9988" max="9988" width="17.28515625" style="2457" customWidth="1"/>
    <col min="9989" max="9991" width="0" style="2457" hidden="1" customWidth="1"/>
    <col min="9992" max="9994" width="10.28515625" style="2457" customWidth="1"/>
    <col min="9995" max="9997" width="0" style="2457" hidden="1" customWidth="1"/>
    <col min="9998" max="10000" width="10.28515625" style="2457" customWidth="1"/>
    <col min="10001" max="10003" width="0" style="2457" hidden="1" customWidth="1"/>
    <col min="10004" max="10006" width="10.28515625" style="2457" customWidth="1"/>
    <col min="10007" max="10008" width="9.140625" style="2457"/>
    <col min="10009" max="10009" width="10.85546875" style="2457" customWidth="1"/>
    <col min="10010" max="10011" width="9.140625" style="2457"/>
    <col min="10012" max="10013" width="13.42578125" style="2457" bestFit="1" customWidth="1"/>
    <col min="10014" max="10017" width="10.5703125" style="2457" bestFit="1" customWidth="1"/>
    <col min="10018" max="10140" width="9.140625" style="2457"/>
    <col min="10141" max="10153" width="8.85546875" style="2457" customWidth="1"/>
    <col min="10154" max="10243" width="9.140625" style="2457"/>
    <col min="10244" max="10244" width="17.28515625" style="2457" customWidth="1"/>
    <col min="10245" max="10247" width="0" style="2457" hidden="1" customWidth="1"/>
    <col min="10248" max="10250" width="10.28515625" style="2457" customWidth="1"/>
    <col min="10251" max="10253" width="0" style="2457" hidden="1" customWidth="1"/>
    <col min="10254" max="10256" width="10.28515625" style="2457" customWidth="1"/>
    <col min="10257" max="10259" width="0" style="2457" hidden="1" customWidth="1"/>
    <col min="10260" max="10262" width="10.28515625" style="2457" customWidth="1"/>
    <col min="10263" max="10264" width="9.140625" style="2457"/>
    <col min="10265" max="10265" width="10.85546875" style="2457" customWidth="1"/>
    <col min="10266" max="10267" width="9.140625" style="2457"/>
    <col min="10268" max="10269" width="13.42578125" style="2457" bestFit="1" customWidth="1"/>
    <col min="10270" max="10273" width="10.5703125" style="2457" bestFit="1" customWidth="1"/>
    <col min="10274" max="10396" width="9.140625" style="2457"/>
    <col min="10397" max="10409" width="8.85546875" style="2457" customWidth="1"/>
    <col min="10410" max="10499" width="9.140625" style="2457"/>
    <col min="10500" max="10500" width="17.28515625" style="2457" customWidth="1"/>
    <col min="10501" max="10503" width="0" style="2457" hidden="1" customWidth="1"/>
    <col min="10504" max="10506" width="10.28515625" style="2457" customWidth="1"/>
    <col min="10507" max="10509" width="0" style="2457" hidden="1" customWidth="1"/>
    <col min="10510" max="10512" width="10.28515625" style="2457" customWidth="1"/>
    <col min="10513" max="10515" width="0" style="2457" hidden="1" customWidth="1"/>
    <col min="10516" max="10518" width="10.28515625" style="2457" customWidth="1"/>
    <col min="10519" max="10520" width="9.140625" style="2457"/>
    <col min="10521" max="10521" width="10.85546875" style="2457" customWidth="1"/>
    <col min="10522" max="10523" width="9.140625" style="2457"/>
    <col min="10524" max="10525" width="13.42578125" style="2457" bestFit="1" customWidth="1"/>
    <col min="10526" max="10529" width="10.5703125" style="2457" bestFit="1" customWidth="1"/>
    <col min="10530" max="10652" width="9.140625" style="2457"/>
    <col min="10653" max="10665" width="8.85546875" style="2457" customWidth="1"/>
    <col min="10666" max="10755" width="9.140625" style="2457"/>
    <col min="10756" max="10756" width="17.28515625" style="2457" customWidth="1"/>
    <col min="10757" max="10759" width="0" style="2457" hidden="1" customWidth="1"/>
    <col min="10760" max="10762" width="10.28515625" style="2457" customWidth="1"/>
    <col min="10763" max="10765" width="0" style="2457" hidden="1" customWidth="1"/>
    <col min="10766" max="10768" width="10.28515625" style="2457" customWidth="1"/>
    <col min="10769" max="10771" width="0" style="2457" hidden="1" customWidth="1"/>
    <col min="10772" max="10774" width="10.28515625" style="2457" customWidth="1"/>
    <col min="10775" max="10776" width="9.140625" style="2457"/>
    <col min="10777" max="10777" width="10.85546875" style="2457" customWidth="1"/>
    <col min="10778" max="10779" width="9.140625" style="2457"/>
    <col min="10780" max="10781" width="13.42578125" style="2457" bestFit="1" customWidth="1"/>
    <col min="10782" max="10785" width="10.5703125" style="2457" bestFit="1" customWidth="1"/>
    <col min="10786" max="10908" width="9.140625" style="2457"/>
    <col min="10909" max="10921" width="8.85546875" style="2457" customWidth="1"/>
    <col min="10922" max="11011" width="9.140625" style="2457"/>
    <col min="11012" max="11012" width="17.28515625" style="2457" customWidth="1"/>
    <col min="11013" max="11015" width="0" style="2457" hidden="1" customWidth="1"/>
    <col min="11016" max="11018" width="10.28515625" style="2457" customWidth="1"/>
    <col min="11019" max="11021" width="0" style="2457" hidden="1" customWidth="1"/>
    <col min="11022" max="11024" width="10.28515625" style="2457" customWidth="1"/>
    <col min="11025" max="11027" width="0" style="2457" hidden="1" customWidth="1"/>
    <col min="11028" max="11030" width="10.28515625" style="2457" customWidth="1"/>
    <col min="11031" max="11032" width="9.140625" style="2457"/>
    <col min="11033" max="11033" width="10.85546875" style="2457" customWidth="1"/>
    <col min="11034" max="11035" width="9.140625" style="2457"/>
    <col min="11036" max="11037" width="13.42578125" style="2457" bestFit="1" customWidth="1"/>
    <col min="11038" max="11041" width="10.5703125" style="2457" bestFit="1" customWidth="1"/>
    <col min="11042" max="11164" width="9.140625" style="2457"/>
    <col min="11165" max="11177" width="8.85546875" style="2457" customWidth="1"/>
    <col min="11178" max="11267" width="9.140625" style="2457"/>
    <col min="11268" max="11268" width="17.28515625" style="2457" customWidth="1"/>
    <col min="11269" max="11271" width="0" style="2457" hidden="1" customWidth="1"/>
    <col min="11272" max="11274" width="10.28515625" style="2457" customWidth="1"/>
    <col min="11275" max="11277" width="0" style="2457" hidden="1" customWidth="1"/>
    <col min="11278" max="11280" width="10.28515625" style="2457" customWidth="1"/>
    <col min="11281" max="11283" width="0" style="2457" hidden="1" customWidth="1"/>
    <col min="11284" max="11286" width="10.28515625" style="2457" customWidth="1"/>
    <col min="11287" max="11288" width="9.140625" style="2457"/>
    <col min="11289" max="11289" width="10.85546875" style="2457" customWidth="1"/>
    <col min="11290" max="11291" width="9.140625" style="2457"/>
    <col min="11292" max="11293" width="13.42578125" style="2457" bestFit="1" customWidth="1"/>
    <col min="11294" max="11297" width="10.5703125" style="2457" bestFit="1" customWidth="1"/>
    <col min="11298" max="11420" width="9.140625" style="2457"/>
    <col min="11421" max="11433" width="8.85546875" style="2457" customWidth="1"/>
    <col min="11434" max="11523" width="9.140625" style="2457"/>
    <col min="11524" max="11524" width="17.28515625" style="2457" customWidth="1"/>
    <col min="11525" max="11527" width="0" style="2457" hidden="1" customWidth="1"/>
    <col min="11528" max="11530" width="10.28515625" style="2457" customWidth="1"/>
    <col min="11531" max="11533" width="0" style="2457" hidden="1" customWidth="1"/>
    <col min="11534" max="11536" width="10.28515625" style="2457" customWidth="1"/>
    <col min="11537" max="11539" width="0" style="2457" hidden="1" customWidth="1"/>
    <col min="11540" max="11542" width="10.28515625" style="2457" customWidth="1"/>
    <col min="11543" max="11544" width="9.140625" style="2457"/>
    <col min="11545" max="11545" width="10.85546875" style="2457" customWidth="1"/>
    <col min="11546" max="11547" width="9.140625" style="2457"/>
    <col min="11548" max="11549" width="13.42578125" style="2457" bestFit="1" customWidth="1"/>
    <col min="11550" max="11553" width="10.5703125" style="2457" bestFit="1" customWidth="1"/>
    <col min="11554" max="11676" width="9.140625" style="2457"/>
    <col min="11677" max="11689" width="8.85546875" style="2457" customWidth="1"/>
    <col min="11690" max="11779" width="9.140625" style="2457"/>
    <col min="11780" max="11780" width="17.28515625" style="2457" customWidth="1"/>
    <col min="11781" max="11783" width="0" style="2457" hidden="1" customWidth="1"/>
    <col min="11784" max="11786" width="10.28515625" style="2457" customWidth="1"/>
    <col min="11787" max="11789" width="0" style="2457" hidden="1" customWidth="1"/>
    <col min="11790" max="11792" width="10.28515625" style="2457" customWidth="1"/>
    <col min="11793" max="11795" width="0" style="2457" hidden="1" customWidth="1"/>
    <col min="11796" max="11798" width="10.28515625" style="2457" customWidth="1"/>
    <col min="11799" max="11800" width="9.140625" style="2457"/>
    <col min="11801" max="11801" width="10.85546875" style="2457" customWidth="1"/>
    <col min="11802" max="11803" width="9.140625" style="2457"/>
    <col min="11804" max="11805" width="13.42578125" style="2457" bestFit="1" customWidth="1"/>
    <col min="11806" max="11809" width="10.5703125" style="2457" bestFit="1" customWidth="1"/>
    <col min="11810" max="11932" width="9.140625" style="2457"/>
    <col min="11933" max="11945" width="8.85546875" style="2457" customWidth="1"/>
    <col min="11946" max="12035" width="9.140625" style="2457"/>
    <col min="12036" max="12036" width="17.28515625" style="2457" customWidth="1"/>
    <col min="12037" max="12039" width="0" style="2457" hidden="1" customWidth="1"/>
    <col min="12040" max="12042" width="10.28515625" style="2457" customWidth="1"/>
    <col min="12043" max="12045" width="0" style="2457" hidden="1" customWidth="1"/>
    <col min="12046" max="12048" width="10.28515625" style="2457" customWidth="1"/>
    <col min="12049" max="12051" width="0" style="2457" hidden="1" customWidth="1"/>
    <col min="12052" max="12054" width="10.28515625" style="2457" customWidth="1"/>
    <col min="12055" max="12056" width="9.140625" style="2457"/>
    <col min="12057" max="12057" width="10.85546875" style="2457" customWidth="1"/>
    <col min="12058" max="12059" width="9.140625" style="2457"/>
    <col min="12060" max="12061" width="13.42578125" style="2457" bestFit="1" customWidth="1"/>
    <col min="12062" max="12065" width="10.5703125" style="2457" bestFit="1" customWidth="1"/>
    <col min="12066" max="12188" width="9.140625" style="2457"/>
    <col min="12189" max="12201" width="8.85546875" style="2457" customWidth="1"/>
    <col min="12202" max="12291" width="9.140625" style="2457"/>
    <col min="12292" max="12292" width="17.28515625" style="2457" customWidth="1"/>
    <col min="12293" max="12295" width="0" style="2457" hidden="1" customWidth="1"/>
    <col min="12296" max="12298" width="10.28515625" style="2457" customWidth="1"/>
    <col min="12299" max="12301" width="0" style="2457" hidden="1" customWidth="1"/>
    <col min="12302" max="12304" width="10.28515625" style="2457" customWidth="1"/>
    <col min="12305" max="12307" width="0" style="2457" hidden="1" customWidth="1"/>
    <col min="12308" max="12310" width="10.28515625" style="2457" customWidth="1"/>
    <col min="12311" max="12312" width="9.140625" style="2457"/>
    <col min="12313" max="12313" width="10.85546875" style="2457" customWidth="1"/>
    <col min="12314" max="12315" width="9.140625" style="2457"/>
    <col min="12316" max="12317" width="13.42578125" style="2457" bestFit="1" customWidth="1"/>
    <col min="12318" max="12321" width="10.5703125" style="2457" bestFit="1" customWidth="1"/>
    <col min="12322" max="12444" width="9.140625" style="2457"/>
    <col min="12445" max="12457" width="8.85546875" style="2457" customWidth="1"/>
    <col min="12458" max="12547" width="9.140625" style="2457"/>
    <col min="12548" max="12548" width="17.28515625" style="2457" customWidth="1"/>
    <col min="12549" max="12551" width="0" style="2457" hidden="1" customWidth="1"/>
    <col min="12552" max="12554" width="10.28515625" style="2457" customWidth="1"/>
    <col min="12555" max="12557" width="0" style="2457" hidden="1" customWidth="1"/>
    <col min="12558" max="12560" width="10.28515625" style="2457" customWidth="1"/>
    <col min="12561" max="12563" width="0" style="2457" hidden="1" customWidth="1"/>
    <col min="12564" max="12566" width="10.28515625" style="2457" customWidth="1"/>
    <col min="12567" max="12568" width="9.140625" style="2457"/>
    <col min="12569" max="12569" width="10.85546875" style="2457" customWidth="1"/>
    <col min="12570" max="12571" width="9.140625" style="2457"/>
    <col min="12572" max="12573" width="13.42578125" style="2457" bestFit="1" customWidth="1"/>
    <col min="12574" max="12577" width="10.5703125" style="2457" bestFit="1" customWidth="1"/>
    <col min="12578" max="12700" width="9.140625" style="2457"/>
    <col min="12701" max="12713" width="8.85546875" style="2457" customWidth="1"/>
    <col min="12714" max="12803" width="9.140625" style="2457"/>
    <col min="12804" max="12804" width="17.28515625" style="2457" customWidth="1"/>
    <col min="12805" max="12807" width="0" style="2457" hidden="1" customWidth="1"/>
    <col min="12808" max="12810" width="10.28515625" style="2457" customWidth="1"/>
    <col min="12811" max="12813" width="0" style="2457" hidden="1" customWidth="1"/>
    <col min="12814" max="12816" width="10.28515625" style="2457" customWidth="1"/>
    <col min="12817" max="12819" width="0" style="2457" hidden="1" customWidth="1"/>
    <col min="12820" max="12822" width="10.28515625" style="2457" customWidth="1"/>
    <col min="12823" max="12824" width="9.140625" style="2457"/>
    <col min="12825" max="12825" width="10.85546875" style="2457" customWidth="1"/>
    <col min="12826" max="12827" width="9.140625" style="2457"/>
    <col min="12828" max="12829" width="13.42578125" style="2457" bestFit="1" customWidth="1"/>
    <col min="12830" max="12833" width="10.5703125" style="2457" bestFit="1" customWidth="1"/>
    <col min="12834" max="12956" width="9.140625" style="2457"/>
    <col min="12957" max="12969" width="8.85546875" style="2457" customWidth="1"/>
    <col min="12970" max="13059" width="9.140625" style="2457"/>
    <col min="13060" max="13060" width="17.28515625" style="2457" customWidth="1"/>
    <col min="13061" max="13063" width="0" style="2457" hidden="1" customWidth="1"/>
    <col min="13064" max="13066" width="10.28515625" style="2457" customWidth="1"/>
    <col min="13067" max="13069" width="0" style="2457" hidden="1" customWidth="1"/>
    <col min="13070" max="13072" width="10.28515625" style="2457" customWidth="1"/>
    <col min="13073" max="13075" width="0" style="2457" hidden="1" customWidth="1"/>
    <col min="13076" max="13078" width="10.28515625" style="2457" customWidth="1"/>
    <col min="13079" max="13080" width="9.140625" style="2457"/>
    <col min="13081" max="13081" width="10.85546875" style="2457" customWidth="1"/>
    <col min="13082" max="13083" width="9.140625" style="2457"/>
    <col min="13084" max="13085" width="13.42578125" style="2457" bestFit="1" customWidth="1"/>
    <col min="13086" max="13089" width="10.5703125" style="2457" bestFit="1" customWidth="1"/>
    <col min="13090" max="13212" width="9.140625" style="2457"/>
    <col min="13213" max="13225" width="8.85546875" style="2457" customWidth="1"/>
    <col min="13226" max="13315" width="9.140625" style="2457"/>
    <col min="13316" max="13316" width="17.28515625" style="2457" customWidth="1"/>
    <col min="13317" max="13319" width="0" style="2457" hidden="1" customWidth="1"/>
    <col min="13320" max="13322" width="10.28515625" style="2457" customWidth="1"/>
    <col min="13323" max="13325" width="0" style="2457" hidden="1" customWidth="1"/>
    <col min="13326" max="13328" width="10.28515625" style="2457" customWidth="1"/>
    <col min="13329" max="13331" width="0" style="2457" hidden="1" customWidth="1"/>
    <col min="13332" max="13334" width="10.28515625" style="2457" customWidth="1"/>
    <col min="13335" max="13336" width="9.140625" style="2457"/>
    <col min="13337" max="13337" width="10.85546875" style="2457" customWidth="1"/>
    <col min="13338" max="13339" width="9.140625" style="2457"/>
    <col min="13340" max="13341" width="13.42578125" style="2457" bestFit="1" customWidth="1"/>
    <col min="13342" max="13345" width="10.5703125" style="2457" bestFit="1" customWidth="1"/>
    <col min="13346" max="13468" width="9.140625" style="2457"/>
    <col min="13469" max="13481" width="8.85546875" style="2457" customWidth="1"/>
    <col min="13482" max="13571" width="9.140625" style="2457"/>
    <col min="13572" max="13572" width="17.28515625" style="2457" customWidth="1"/>
    <col min="13573" max="13575" width="0" style="2457" hidden="1" customWidth="1"/>
    <col min="13576" max="13578" width="10.28515625" style="2457" customWidth="1"/>
    <col min="13579" max="13581" width="0" style="2457" hidden="1" customWidth="1"/>
    <col min="13582" max="13584" width="10.28515625" style="2457" customWidth="1"/>
    <col min="13585" max="13587" width="0" style="2457" hidden="1" customWidth="1"/>
    <col min="13588" max="13590" width="10.28515625" style="2457" customWidth="1"/>
    <col min="13591" max="13592" width="9.140625" style="2457"/>
    <col min="13593" max="13593" width="10.85546875" style="2457" customWidth="1"/>
    <col min="13594" max="13595" width="9.140625" style="2457"/>
    <col min="13596" max="13597" width="13.42578125" style="2457" bestFit="1" customWidth="1"/>
    <col min="13598" max="13601" width="10.5703125" style="2457" bestFit="1" customWidth="1"/>
    <col min="13602" max="13724" width="9.140625" style="2457"/>
    <col min="13725" max="13737" width="8.85546875" style="2457" customWidth="1"/>
    <col min="13738" max="13827" width="9.140625" style="2457"/>
    <col min="13828" max="13828" width="17.28515625" style="2457" customWidth="1"/>
    <col min="13829" max="13831" width="0" style="2457" hidden="1" customWidth="1"/>
    <col min="13832" max="13834" width="10.28515625" style="2457" customWidth="1"/>
    <col min="13835" max="13837" width="0" style="2457" hidden="1" customWidth="1"/>
    <col min="13838" max="13840" width="10.28515625" style="2457" customWidth="1"/>
    <col min="13841" max="13843" width="0" style="2457" hidden="1" customWidth="1"/>
    <col min="13844" max="13846" width="10.28515625" style="2457" customWidth="1"/>
    <col min="13847" max="13848" width="9.140625" style="2457"/>
    <col min="13849" max="13849" width="10.85546875" style="2457" customWidth="1"/>
    <col min="13850" max="13851" width="9.140625" style="2457"/>
    <col min="13852" max="13853" width="13.42578125" style="2457" bestFit="1" customWidth="1"/>
    <col min="13854" max="13857" width="10.5703125" style="2457" bestFit="1" customWidth="1"/>
    <col min="13858" max="13980" width="9.140625" style="2457"/>
    <col min="13981" max="13993" width="8.85546875" style="2457" customWidth="1"/>
    <col min="13994" max="14083" width="9.140625" style="2457"/>
    <col min="14084" max="14084" width="17.28515625" style="2457" customWidth="1"/>
    <col min="14085" max="14087" width="0" style="2457" hidden="1" customWidth="1"/>
    <col min="14088" max="14090" width="10.28515625" style="2457" customWidth="1"/>
    <col min="14091" max="14093" width="0" style="2457" hidden="1" customWidth="1"/>
    <col min="14094" max="14096" width="10.28515625" style="2457" customWidth="1"/>
    <col min="14097" max="14099" width="0" style="2457" hidden="1" customWidth="1"/>
    <col min="14100" max="14102" width="10.28515625" style="2457" customWidth="1"/>
    <col min="14103" max="14104" width="9.140625" style="2457"/>
    <col min="14105" max="14105" width="10.85546875" style="2457" customWidth="1"/>
    <col min="14106" max="14107" width="9.140625" style="2457"/>
    <col min="14108" max="14109" width="13.42578125" style="2457" bestFit="1" customWidth="1"/>
    <col min="14110" max="14113" width="10.5703125" style="2457" bestFit="1" customWidth="1"/>
    <col min="14114" max="14236" width="9.140625" style="2457"/>
    <col min="14237" max="14249" width="8.85546875" style="2457" customWidth="1"/>
    <col min="14250" max="14339" width="9.140625" style="2457"/>
    <col min="14340" max="14340" width="17.28515625" style="2457" customWidth="1"/>
    <col min="14341" max="14343" width="0" style="2457" hidden="1" customWidth="1"/>
    <col min="14344" max="14346" width="10.28515625" style="2457" customWidth="1"/>
    <col min="14347" max="14349" width="0" style="2457" hidden="1" customWidth="1"/>
    <col min="14350" max="14352" width="10.28515625" style="2457" customWidth="1"/>
    <col min="14353" max="14355" width="0" style="2457" hidden="1" customWidth="1"/>
    <col min="14356" max="14358" width="10.28515625" style="2457" customWidth="1"/>
    <col min="14359" max="14360" width="9.140625" style="2457"/>
    <col min="14361" max="14361" width="10.85546875" style="2457" customWidth="1"/>
    <col min="14362" max="14363" width="9.140625" style="2457"/>
    <col min="14364" max="14365" width="13.42578125" style="2457" bestFit="1" customWidth="1"/>
    <col min="14366" max="14369" width="10.5703125" style="2457" bestFit="1" customWidth="1"/>
    <col min="14370" max="14492" width="9.140625" style="2457"/>
    <col min="14493" max="14505" width="8.85546875" style="2457" customWidth="1"/>
    <col min="14506" max="14595" width="9.140625" style="2457"/>
    <col min="14596" max="14596" width="17.28515625" style="2457" customWidth="1"/>
    <col min="14597" max="14599" width="0" style="2457" hidden="1" customWidth="1"/>
    <col min="14600" max="14602" width="10.28515625" style="2457" customWidth="1"/>
    <col min="14603" max="14605" width="0" style="2457" hidden="1" customWidth="1"/>
    <col min="14606" max="14608" width="10.28515625" style="2457" customWidth="1"/>
    <col min="14609" max="14611" width="0" style="2457" hidden="1" customWidth="1"/>
    <col min="14612" max="14614" width="10.28515625" style="2457" customWidth="1"/>
    <col min="14615" max="14616" width="9.140625" style="2457"/>
    <col min="14617" max="14617" width="10.85546875" style="2457" customWidth="1"/>
    <col min="14618" max="14619" width="9.140625" style="2457"/>
    <col min="14620" max="14621" width="13.42578125" style="2457" bestFit="1" customWidth="1"/>
    <col min="14622" max="14625" width="10.5703125" style="2457" bestFit="1" customWidth="1"/>
    <col min="14626" max="14748" width="9.140625" style="2457"/>
    <col min="14749" max="14761" width="8.85546875" style="2457" customWidth="1"/>
    <col min="14762" max="14851" width="9.140625" style="2457"/>
    <col min="14852" max="14852" width="17.28515625" style="2457" customWidth="1"/>
    <col min="14853" max="14855" width="0" style="2457" hidden="1" customWidth="1"/>
    <col min="14856" max="14858" width="10.28515625" style="2457" customWidth="1"/>
    <col min="14859" max="14861" width="0" style="2457" hidden="1" customWidth="1"/>
    <col min="14862" max="14864" width="10.28515625" style="2457" customWidth="1"/>
    <col min="14865" max="14867" width="0" style="2457" hidden="1" customWidth="1"/>
    <col min="14868" max="14870" width="10.28515625" style="2457" customWidth="1"/>
    <col min="14871" max="14872" width="9.140625" style="2457"/>
    <col min="14873" max="14873" width="10.85546875" style="2457" customWidth="1"/>
    <col min="14874" max="14875" width="9.140625" style="2457"/>
    <col min="14876" max="14877" width="13.42578125" style="2457" bestFit="1" customWidth="1"/>
    <col min="14878" max="14881" width="10.5703125" style="2457" bestFit="1" customWidth="1"/>
    <col min="14882" max="15004" width="9.140625" style="2457"/>
    <col min="15005" max="15017" width="8.85546875" style="2457" customWidth="1"/>
    <col min="15018" max="15107" width="9.140625" style="2457"/>
    <col min="15108" max="15108" width="17.28515625" style="2457" customWidth="1"/>
    <col min="15109" max="15111" width="0" style="2457" hidden="1" customWidth="1"/>
    <col min="15112" max="15114" width="10.28515625" style="2457" customWidth="1"/>
    <col min="15115" max="15117" width="0" style="2457" hidden="1" customWidth="1"/>
    <col min="15118" max="15120" width="10.28515625" style="2457" customWidth="1"/>
    <col min="15121" max="15123" width="0" style="2457" hidden="1" customWidth="1"/>
    <col min="15124" max="15126" width="10.28515625" style="2457" customWidth="1"/>
    <col min="15127" max="15128" width="9.140625" style="2457"/>
    <col min="15129" max="15129" width="10.85546875" style="2457" customWidth="1"/>
    <col min="15130" max="15131" width="9.140625" style="2457"/>
    <col min="15132" max="15133" width="13.42578125" style="2457" bestFit="1" customWidth="1"/>
    <col min="15134" max="15137" width="10.5703125" style="2457" bestFit="1" customWidth="1"/>
    <col min="15138" max="15260" width="9.140625" style="2457"/>
    <col min="15261" max="15273" width="8.85546875" style="2457" customWidth="1"/>
    <col min="15274" max="15363" width="9.140625" style="2457"/>
    <col min="15364" max="15364" width="17.28515625" style="2457" customWidth="1"/>
    <col min="15365" max="15367" width="0" style="2457" hidden="1" customWidth="1"/>
    <col min="15368" max="15370" width="10.28515625" style="2457" customWidth="1"/>
    <col min="15371" max="15373" width="0" style="2457" hidden="1" customWidth="1"/>
    <col min="15374" max="15376" width="10.28515625" style="2457" customWidth="1"/>
    <col min="15377" max="15379" width="0" style="2457" hidden="1" customWidth="1"/>
    <col min="15380" max="15382" width="10.28515625" style="2457" customWidth="1"/>
    <col min="15383" max="15384" width="9.140625" style="2457"/>
    <col min="15385" max="15385" width="10.85546875" style="2457" customWidth="1"/>
    <col min="15386" max="15387" width="9.140625" style="2457"/>
    <col min="15388" max="15389" width="13.42578125" style="2457" bestFit="1" customWidth="1"/>
    <col min="15390" max="15393" width="10.5703125" style="2457" bestFit="1" customWidth="1"/>
    <col min="15394" max="15516" width="9.140625" style="2457"/>
    <col min="15517" max="15529" width="8.85546875" style="2457" customWidth="1"/>
    <col min="15530" max="15619" width="9.140625" style="2457"/>
    <col min="15620" max="15620" width="17.28515625" style="2457" customWidth="1"/>
    <col min="15621" max="15623" width="0" style="2457" hidden="1" customWidth="1"/>
    <col min="15624" max="15626" width="10.28515625" style="2457" customWidth="1"/>
    <col min="15627" max="15629" width="0" style="2457" hidden="1" customWidth="1"/>
    <col min="15630" max="15632" width="10.28515625" style="2457" customWidth="1"/>
    <col min="15633" max="15635" width="0" style="2457" hidden="1" customWidth="1"/>
    <col min="15636" max="15638" width="10.28515625" style="2457" customWidth="1"/>
    <col min="15639" max="15640" width="9.140625" style="2457"/>
    <col min="15641" max="15641" width="10.85546875" style="2457" customWidth="1"/>
    <col min="15642" max="15643" width="9.140625" style="2457"/>
    <col min="15644" max="15645" width="13.42578125" style="2457" bestFit="1" customWidth="1"/>
    <col min="15646" max="15649" width="10.5703125" style="2457" bestFit="1" customWidth="1"/>
    <col min="15650" max="15772" width="9.140625" style="2457"/>
    <col min="15773" max="15785" width="8.85546875" style="2457" customWidth="1"/>
    <col min="15786" max="15875" width="9.140625" style="2457"/>
    <col min="15876" max="15876" width="17.28515625" style="2457" customWidth="1"/>
    <col min="15877" max="15879" width="0" style="2457" hidden="1" customWidth="1"/>
    <col min="15880" max="15882" width="10.28515625" style="2457" customWidth="1"/>
    <col min="15883" max="15885" width="0" style="2457" hidden="1" customWidth="1"/>
    <col min="15886" max="15888" width="10.28515625" style="2457" customWidth="1"/>
    <col min="15889" max="15891" width="0" style="2457" hidden="1" customWidth="1"/>
    <col min="15892" max="15894" width="10.28515625" style="2457" customWidth="1"/>
    <col min="15895" max="15896" width="9.140625" style="2457"/>
    <col min="15897" max="15897" width="10.85546875" style="2457" customWidth="1"/>
    <col min="15898" max="15899" width="9.140625" style="2457"/>
    <col min="15900" max="15901" width="13.42578125" style="2457" bestFit="1" customWidth="1"/>
    <col min="15902" max="15905" width="10.5703125" style="2457" bestFit="1" customWidth="1"/>
    <col min="15906" max="16028" width="9.140625" style="2457"/>
    <col min="16029" max="16041" width="8.85546875" style="2457" customWidth="1"/>
    <col min="16042" max="16131" width="9.140625" style="2457"/>
    <col min="16132" max="16132" width="17.28515625" style="2457" customWidth="1"/>
    <col min="16133" max="16135" width="0" style="2457" hidden="1" customWidth="1"/>
    <col min="16136" max="16138" width="10.28515625" style="2457" customWidth="1"/>
    <col min="16139" max="16141" width="0" style="2457" hidden="1" customWidth="1"/>
    <col min="16142" max="16144" width="10.28515625" style="2457" customWidth="1"/>
    <col min="16145" max="16147" width="0" style="2457" hidden="1" customWidth="1"/>
    <col min="16148" max="16150" width="10.28515625" style="2457" customWidth="1"/>
    <col min="16151" max="16152" width="9.140625" style="2457"/>
    <col min="16153" max="16153" width="10.85546875" style="2457" customWidth="1"/>
    <col min="16154" max="16155" width="9.140625" style="2457"/>
    <col min="16156" max="16157" width="13.42578125" style="2457" bestFit="1" customWidth="1"/>
    <col min="16158" max="16161" width="10.5703125" style="2457" bestFit="1" customWidth="1"/>
    <col min="16162" max="16284" width="9.140625" style="2457"/>
    <col min="16285" max="16297" width="8.85546875" style="2457" customWidth="1"/>
    <col min="16298" max="16384" width="9.140625" style="2457"/>
  </cols>
  <sheetData>
    <row r="1" spans="1:32" ht="39" customHeight="1" thickBot="1" x14ac:dyDescent="0.35">
      <c r="A1" s="3883" t="s">
        <v>4559</v>
      </c>
      <c r="B1" s="3883"/>
      <c r="C1" s="3883"/>
      <c r="D1" s="3883"/>
      <c r="E1" s="3883"/>
      <c r="F1" s="3883"/>
      <c r="G1" s="3883"/>
      <c r="H1" s="3883"/>
      <c r="I1" s="3883"/>
      <c r="J1" s="3883"/>
      <c r="K1" s="3883"/>
      <c r="L1" s="3883"/>
      <c r="M1" s="3883"/>
      <c r="N1" s="3883"/>
      <c r="O1" s="3883"/>
      <c r="P1" s="3883"/>
      <c r="Q1" s="3883"/>
      <c r="R1" s="3883"/>
      <c r="S1" s="3883"/>
      <c r="T1" s="3883"/>
      <c r="U1" s="3883"/>
      <c r="V1" s="3883"/>
    </row>
    <row r="2" spans="1:32" ht="21" customHeight="1" thickTop="1" thickBot="1" x14ac:dyDescent="0.35">
      <c r="A2" s="3884" t="s">
        <v>1</v>
      </c>
      <c r="B2" s="2458" t="s">
        <v>4560</v>
      </c>
      <c r="C2" s="2459"/>
      <c r="D2" s="2459"/>
      <c r="E2" s="2459"/>
      <c r="F2" s="3886" t="s">
        <v>4560</v>
      </c>
      <c r="G2" s="3886"/>
      <c r="H2" s="3886"/>
      <c r="I2" s="3886"/>
      <c r="J2" s="3886"/>
      <c r="K2" s="3886"/>
      <c r="L2" s="3887"/>
      <c r="M2" s="3888" t="s">
        <v>4561</v>
      </c>
      <c r="N2" s="3886"/>
      <c r="O2" s="3886"/>
      <c r="P2" s="3886"/>
      <c r="Q2" s="3886"/>
      <c r="R2" s="3886"/>
      <c r="S2" s="3887"/>
      <c r="T2" s="3888" t="s">
        <v>4562</v>
      </c>
      <c r="U2" s="3886"/>
      <c r="V2" s="3889"/>
      <c r="W2" s="2460"/>
    </row>
    <row r="3" spans="1:32" ht="17.25" customHeight="1" thickBot="1" x14ac:dyDescent="0.35">
      <c r="A3" s="3885"/>
      <c r="B3" s="2461">
        <v>2015</v>
      </c>
      <c r="C3" s="2461">
        <v>2016</v>
      </c>
      <c r="D3" s="2461">
        <v>2017</v>
      </c>
      <c r="E3" s="2461">
        <v>2018</v>
      </c>
      <c r="F3" s="2461">
        <v>2019</v>
      </c>
      <c r="G3" s="2461">
        <v>2020</v>
      </c>
      <c r="H3" s="2461">
        <v>2015</v>
      </c>
      <c r="I3" s="2461">
        <v>2016</v>
      </c>
      <c r="J3" s="2461">
        <v>2017</v>
      </c>
      <c r="K3" s="2461">
        <v>2018</v>
      </c>
      <c r="L3" s="2461">
        <v>2021</v>
      </c>
      <c r="M3" s="2462">
        <v>2019</v>
      </c>
      <c r="N3" s="2461">
        <v>2020</v>
      </c>
      <c r="O3" s="2461">
        <v>2015</v>
      </c>
      <c r="P3" s="2461">
        <v>2016</v>
      </c>
      <c r="Q3" s="2461">
        <v>2017</v>
      </c>
      <c r="R3" s="2461">
        <v>2018</v>
      </c>
      <c r="S3" s="2461">
        <v>2021</v>
      </c>
      <c r="T3" s="2461">
        <v>2019</v>
      </c>
      <c r="U3" s="2461">
        <v>2020</v>
      </c>
      <c r="V3" s="2463">
        <v>2021</v>
      </c>
    </row>
    <row r="4" spans="1:32" ht="21" customHeight="1" thickTop="1" x14ac:dyDescent="0.3">
      <c r="A4" s="2464" t="s">
        <v>117</v>
      </c>
      <c r="B4" s="2465" t="s">
        <v>4563</v>
      </c>
      <c r="C4" s="2466" t="s">
        <v>4564</v>
      </c>
      <c r="D4" s="2467" t="s">
        <v>4565</v>
      </c>
      <c r="E4" s="2467" t="s">
        <v>4566</v>
      </c>
      <c r="F4" s="2467" t="s">
        <v>4567</v>
      </c>
      <c r="G4" s="2468" t="s">
        <v>4568</v>
      </c>
      <c r="H4" s="2468" t="s">
        <v>4569</v>
      </c>
      <c r="I4" s="2468" t="s">
        <v>4570</v>
      </c>
      <c r="J4" s="2467" t="s">
        <v>4571</v>
      </c>
      <c r="K4" s="2467" t="s">
        <v>4572</v>
      </c>
      <c r="L4" s="2469" t="s">
        <v>4573</v>
      </c>
      <c r="M4" s="2468" t="s">
        <v>4574</v>
      </c>
      <c r="N4" s="2468" t="s">
        <v>4575</v>
      </c>
      <c r="O4" s="2468" t="s">
        <v>4576</v>
      </c>
      <c r="P4" s="2468" t="s">
        <v>4577</v>
      </c>
      <c r="Q4" s="2467" t="s">
        <v>4578</v>
      </c>
      <c r="R4" s="2467" t="s">
        <v>4579</v>
      </c>
      <c r="S4" s="2469" t="s">
        <v>4580</v>
      </c>
      <c r="T4" s="2467" t="s">
        <v>4581</v>
      </c>
      <c r="U4" s="2470" t="s">
        <v>4582</v>
      </c>
      <c r="V4" s="2471" t="s">
        <v>4583</v>
      </c>
      <c r="Z4" s="2472"/>
      <c r="AA4" s="2472"/>
      <c r="AB4" s="2473"/>
      <c r="AC4" s="2473"/>
      <c r="AD4" s="2473"/>
      <c r="AE4" s="2473"/>
    </row>
    <row r="5" spans="1:32" ht="21" customHeight="1" x14ac:dyDescent="0.3">
      <c r="A5" s="2464" t="s">
        <v>104</v>
      </c>
      <c r="B5" s="2465" t="s">
        <v>4584</v>
      </c>
      <c r="C5" s="2474" t="s">
        <v>4585</v>
      </c>
      <c r="D5" s="2467" t="s">
        <v>4586</v>
      </c>
      <c r="E5" s="2467" t="s">
        <v>4587</v>
      </c>
      <c r="F5" s="2467" t="s">
        <v>4588</v>
      </c>
      <c r="G5" s="2468" t="s">
        <v>4589</v>
      </c>
      <c r="H5" s="2468" t="s">
        <v>4590</v>
      </c>
      <c r="I5" s="2467" t="s">
        <v>4591</v>
      </c>
      <c r="J5" s="2467" t="s">
        <v>4592</v>
      </c>
      <c r="K5" s="2467" t="s">
        <v>4593</v>
      </c>
      <c r="L5" s="2469" t="s">
        <v>4594</v>
      </c>
      <c r="M5" s="2467" t="s">
        <v>4595</v>
      </c>
      <c r="N5" s="2468" t="s">
        <v>4596</v>
      </c>
      <c r="O5" s="2467" t="s">
        <v>4597</v>
      </c>
      <c r="P5" s="2467" t="s">
        <v>4598</v>
      </c>
      <c r="Q5" s="2467" t="s">
        <v>4599</v>
      </c>
      <c r="R5" s="2467" t="s">
        <v>4600</v>
      </c>
      <c r="S5" s="2469" t="s">
        <v>4601</v>
      </c>
      <c r="T5" s="2467" t="s">
        <v>4602</v>
      </c>
      <c r="U5" s="2470" t="s">
        <v>4603</v>
      </c>
      <c r="V5" s="2471" t="s">
        <v>4604</v>
      </c>
    </row>
    <row r="6" spans="1:32" ht="21" customHeight="1" x14ac:dyDescent="0.3">
      <c r="A6" s="2464" t="s">
        <v>1077</v>
      </c>
      <c r="B6" s="2465" t="s">
        <v>4605</v>
      </c>
      <c r="C6" s="2474" t="s">
        <v>4606</v>
      </c>
      <c r="D6" s="2467" t="s">
        <v>4607</v>
      </c>
      <c r="E6" s="2467" t="s">
        <v>4608</v>
      </c>
      <c r="F6" s="2467" t="s">
        <v>4609</v>
      </c>
      <c r="G6" s="2468" t="s">
        <v>4610</v>
      </c>
      <c r="H6" s="2468" t="s">
        <v>4611</v>
      </c>
      <c r="I6" s="2467" t="s">
        <v>4612</v>
      </c>
      <c r="J6" s="2467" t="s">
        <v>4613</v>
      </c>
      <c r="K6" s="2467" t="s">
        <v>4614</v>
      </c>
      <c r="L6" s="2469" t="s">
        <v>4615</v>
      </c>
      <c r="M6" s="2467" t="s">
        <v>4616</v>
      </c>
      <c r="N6" s="2468" t="s">
        <v>4617</v>
      </c>
      <c r="O6" s="2467" t="s">
        <v>4618</v>
      </c>
      <c r="P6" s="2467" t="s">
        <v>4619</v>
      </c>
      <c r="Q6" s="2467" t="s">
        <v>4620</v>
      </c>
      <c r="R6" s="2467" t="s">
        <v>4621</v>
      </c>
      <c r="S6" s="2469" t="s">
        <v>4622</v>
      </c>
      <c r="T6" s="2467" t="s">
        <v>4623</v>
      </c>
      <c r="U6" s="2470" t="s">
        <v>4624</v>
      </c>
      <c r="V6" s="2471" t="s">
        <v>4625</v>
      </c>
    </row>
    <row r="7" spans="1:32" ht="21" customHeight="1" x14ac:dyDescent="0.3">
      <c r="A7" s="2464" t="s">
        <v>105</v>
      </c>
      <c r="B7" s="2465" t="s">
        <v>4626</v>
      </c>
      <c r="C7" s="2474" t="s">
        <v>4627</v>
      </c>
      <c r="D7" s="2467" t="s">
        <v>4628</v>
      </c>
      <c r="E7" s="2467" t="s">
        <v>4629</v>
      </c>
      <c r="F7" s="2467" t="s">
        <v>4630</v>
      </c>
      <c r="G7" s="2468" t="s">
        <v>4631</v>
      </c>
      <c r="H7" s="2468" t="s">
        <v>4632</v>
      </c>
      <c r="I7" s="2467" t="s">
        <v>4633</v>
      </c>
      <c r="J7" s="2467" t="s">
        <v>4634</v>
      </c>
      <c r="K7" s="2467" t="s">
        <v>4635</v>
      </c>
      <c r="L7" s="2469" t="s">
        <v>4636</v>
      </c>
      <c r="M7" s="2467" t="s">
        <v>4637</v>
      </c>
      <c r="N7" s="2468" t="s">
        <v>4638</v>
      </c>
      <c r="O7" s="2467" t="s">
        <v>4639</v>
      </c>
      <c r="P7" s="2467" t="s">
        <v>4640</v>
      </c>
      <c r="Q7" s="2467" t="s">
        <v>4641</v>
      </c>
      <c r="R7" s="2467" t="s">
        <v>4642</v>
      </c>
      <c r="S7" s="2469" t="s">
        <v>4643</v>
      </c>
      <c r="T7" s="2467" t="s">
        <v>4644</v>
      </c>
      <c r="U7" s="2470" t="s">
        <v>4645</v>
      </c>
      <c r="V7" s="2471" t="s">
        <v>4646</v>
      </c>
    </row>
    <row r="8" spans="1:32" ht="21" customHeight="1" x14ac:dyDescent="0.3">
      <c r="A8" s="2464" t="s">
        <v>106</v>
      </c>
      <c r="B8" s="2465" t="s">
        <v>4647</v>
      </c>
      <c r="C8" s="2474" t="s">
        <v>4648</v>
      </c>
      <c r="D8" s="2467" t="s">
        <v>4649</v>
      </c>
      <c r="E8" s="2467" t="s">
        <v>4650</v>
      </c>
      <c r="F8" s="2467" t="s">
        <v>4651</v>
      </c>
      <c r="G8" s="2468" t="s">
        <v>4652</v>
      </c>
      <c r="H8" s="2468" t="s">
        <v>4653</v>
      </c>
      <c r="I8" s="2467" t="s">
        <v>4654</v>
      </c>
      <c r="J8" s="2467" t="s">
        <v>4655</v>
      </c>
      <c r="K8" s="2467" t="s">
        <v>4656</v>
      </c>
      <c r="L8" s="2469" t="s">
        <v>4657</v>
      </c>
      <c r="M8" s="2467" t="s">
        <v>4658</v>
      </c>
      <c r="N8" s="2468" t="s">
        <v>4659</v>
      </c>
      <c r="O8" s="2467" t="s">
        <v>4660</v>
      </c>
      <c r="P8" s="2467" t="s">
        <v>4661</v>
      </c>
      <c r="Q8" s="2467" t="s">
        <v>4662</v>
      </c>
      <c r="R8" s="2467" t="s">
        <v>4663</v>
      </c>
      <c r="S8" s="2469" t="s">
        <v>4664</v>
      </c>
      <c r="T8" s="2467" t="s">
        <v>4665</v>
      </c>
      <c r="U8" s="2470" t="s">
        <v>4666</v>
      </c>
      <c r="V8" s="2471" t="s">
        <v>4667</v>
      </c>
    </row>
    <row r="9" spans="1:32" ht="21" customHeight="1" x14ac:dyDescent="0.3">
      <c r="A9" s="2464" t="s">
        <v>112</v>
      </c>
      <c r="B9" s="2465" t="s">
        <v>4668</v>
      </c>
      <c r="C9" s="2474" t="s">
        <v>4669</v>
      </c>
      <c r="D9" s="2467" t="s">
        <v>4670</v>
      </c>
      <c r="E9" s="2467" t="s">
        <v>4671</v>
      </c>
      <c r="F9" s="2467" t="s">
        <v>4672</v>
      </c>
      <c r="G9" s="2468" t="s">
        <v>4673</v>
      </c>
      <c r="H9" s="2468" t="s">
        <v>4674</v>
      </c>
      <c r="I9" s="2467" t="s">
        <v>4675</v>
      </c>
      <c r="J9" s="2467" t="s">
        <v>4676</v>
      </c>
      <c r="K9" s="2467" t="s">
        <v>4677</v>
      </c>
      <c r="L9" s="2469" t="s">
        <v>4678</v>
      </c>
      <c r="M9" s="2467" t="s">
        <v>4679</v>
      </c>
      <c r="N9" s="2468" t="s">
        <v>4680</v>
      </c>
      <c r="O9" s="2467" t="s">
        <v>4681</v>
      </c>
      <c r="P9" s="2467" t="s">
        <v>4682</v>
      </c>
      <c r="Q9" s="2467" t="s">
        <v>4683</v>
      </c>
      <c r="R9" s="2467" t="s">
        <v>4684</v>
      </c>
      <c r="S9" s="2469" t="s">
        <v>4685</v>
      </c>
      <c r="T9" s="2467" t="s">
        <v>4686</v>
      </c>
      <c r="U9" s="2470" t="s">
        <v>4687</v>
      </c>
      <c r="V9" s="2471" t="s">
        <v>4688</v>
      </c>
    </row>
    <row r="10" spans="1:32" ht="21" customHeight="1" x14ac:dyDescent="0.3">
      <c r="A10" s="2464" t="s">
        <v>113</v>
      </c>
      <c r="B10" s="2465" t="s">
        <v>4689</v>
      </c>
      <c r="C10" s="2474" t="s">
        <v>4690</v>
      </c>
      <c r="D10" s="2467" t="s">
        <v>4691</v>
      </c>
      <c r="E10" s="2467" t="s">
        <v>4692</v>
      </c>
      <c r="F10" s="2467" t="s">
        <v>4693</v>
      </c>
      <c r="G10" s="2468" t="s">
        <v>4694</v>
      </c>
      <c r="H10" s="2468" t="s">
        <v>4695</v>
      </c>
      <c r="I10" s="2467" t="s">
        <v>4696</v>
      </c>
      <c r="J10" s="2467" t="s">
        <v>4697</v>
      </c>
      <c r="K10" s="2467" t="s">
        <v>4698</v>
      </c>
      <c r="L10" s="2469" t="s">
        <v>4699</v>
      </c>
      <c r="M10" s="2467" t="s">
        <v>4700</v>
      </c>
      <c r="N10" s="2468" t="s">
        <v>4701</v>
      </c>
      <c r="O10" s="2467" t="s">
        <v>4702</v>
      </c>
      <c r="P10" s="2467" t="s">
        <v>4703</v>
      </c>
      <c r="Q10" s="2467" t="s">
        <v>4704</v>
      </c>
      <c r="R10" s="2467" t="s">
        <v>4705</v>
      </c>
      <c r="S10" s="2469" t="s">
        <v>4706</v>
      </c>
      <c r="T10" s="2467" t="s">
        <v>4707</v>
      </c>
      <c r="U10" s="2470" t="s">
        <v>4708</v>
      </c>
      <c r="V10" s="2471" t="s">
        <v>4709</v>
      </c>
    </row>
    <row r="11" spans="1:32" ht="21" customHeight="1" x14ac:dyDescent="0.3">
      <c r="A11" s="2464" t="s">
        <v>107</v>
      </c>
      <c r="B11" s="2465" t="s">
        <v>4710</v>
      </c>
      <c r="C11" s="2474" t="s">
        <v>4711</v>
      </c>
      <c r="D11" s="2467" t="s">
        <v>4712</v>
      </c>
      <c r="E11" s="2467" t="s">
        <v>4713</v>
      </c>
      <c r="F11" s="2467" t="s">
        <v>4714</v>
      </c>
      <c r="G11" s="2468" t="s">
        <v>4715</v>
      </c>
      <c r="H11" s="2468" t="s">
        <v>4716</v>
      </c>
      <c r="I11" s="2467" t="s">
        <v>4717</v>
      </c>
      <c r="J11" s="2467" t="s">
        <v>4718</v>
      </c>
      <c r="K11" s="2467" t="s">
        <v>4719</v>
      </c>
      <c r="L11" s="2469"/>
      <c r="M11" s="2467" t="s">
        <v>4720</v>
      </c>
      <c r="N11" s="2468" t="s">
        <v>4721</v>
      </c>
      <c r="O11" s="2467" t="s">
        <v>4722</v>
      </c>
      <c r="P11" s="2467" t="s">
        <v>4723</v>
      </c>
      <c r="Q11" s="2467" t="s">
        <v>4724</v>
      </c>
      <c r="R11" s="2467" t="s">
        <v>4725</v>
      </c>
      <c r="S11" s="2469"/>
      <c r="T11" s="2467" t="s">
        <v>4726</v>
      </c>
      <c r="U11" s="2470" t="s">
        <v>4727</v>
      </c>
      <c r="V11" s="2471"/>
    </row>
    <row r="12" spans="1:32" ht="21" customHeight="1" x14ac:dyDescent="0.3">
      <c r="A12" s="2464" t="s">
        <v>108</v>
      </c>
      <c r="B12" s="2465" t="s">
        <v>4728</v>
      </c>
      <c r="C12" s="2474" t="s">
        <v>4729</v>
      </c>
      <c r="D12" s="2467" t="s">
        <v>4730</v>
      </c>
      <c r="E12" s="2467" t="s">
        <v>4731</v>
      </c>
      <c r="F12" s="2467" t="s">
        <v>4732</v>
      </c>
      <c r="G12" s="2468" t="s">
        <v>4733</v>
      </c>
      <c r="H12" s="2468" t="s">
        <v>4734</v>
      </c>
      <c r="I12" s="2467" t="s">
        <v>4735</v>
      </c>
      <c r="J12" s="2467" t="s">
        <v>4736</v>
      </c>
      <c r="K12" s="2467" t="s">
        <v>4737</v>
      </c>
      <c r="L12" s="2469"/>
      <c r="M12" s="2467" t="s">
        <v>4738</v>
      </c>
      <c r="N12" s="2468" t="s">
        <v>4739</v>
      </c>
      <c r="O12" s="2467" t="s">
        <v>4740</v>
      </c>
      <c r="P12" s="2467" t="s">
        <v>4741</v>
      </c>
      <c r="Q12" s="2467" t="s">
        <v>4742</v>
      </c>
      <c r="R12" s="2467" t="s">
        <v>4743</v>
      </c>
      <c r="S12" s="2469"/>
      <c r="T12" s="2467" t="s">
        <v>4744</v>
      </c>
      <c r="U12" s="2470" t="s">
        <v>4745</v>
      </c>
      <c r="V12" s="2471"/>
      <c r="AA12" s="2475"/>
      <c r="AB12" s="2475"/>
      <c r="AC12" s="2475"/>
      <c r="AD12" s="2475"/>
      <c r="AE12" s="2475"/>
      <c r="AF12" s="2475"/>
    </row>
    <row r="13" spans="1:32" ht="21" customHeight="1" x14ac:dyDescent="0.3">
      <c r="A13" s="2464" t="s">
        <v>109</v>
      </c>
      <c r="B13" s="2465" t="s">
        <v>4728</v>
      </c>
      <c r="C13" s="2474" t="s">
        <v>4746</v>
      </c>
      <c r="D13" s="2467" t="s">
        <v>4747</v>
      </c>
      <c r="E13" s="2467" t="s">
        <v>4748</v>
      </c>
      <c r="F13" s="2467" t="s">
        <v>4749</v>
      </c>
      <c r="G13" s="2468" t="s">
        <v>4750</v>
      </c>
      <c r="H13" s="2468" t="s">
        <v>4751</v>
      </c>
      <c r="I13" s="2467" t="s">
        <v>4752</v>
      </c>
      <c r="J13" s="2467" t="s">
        <v>4753</v>
      </c>
      <c r="K13" s="2467" t="s">
        <v>4754</v>
      </c>
      <c r="L13" s="2469"/>
      <c r="M13" s="2467" t="s">
        <v>4755</v>
      </c>
      <c r="N13" s="2468" t="s">
        <v>4756</v>
      </c>
      <c r="O13" s="2467" t="s">
        <v>4757</v>
      </c>
      <c r="P13" s="2467" t="s">
        <v>4758</v>
      </c>
      <c r="Q13" s="2467" t="s">
        <v>4759</v>
      </c>
      <c r="R13" s="2467" t="s">
        <v>4760</v>
      </c>
      <c r="S13" s="2469"/>
      <c r="T13" s="2467" t="s">
        <v>4761</v>
      </c>
      <c r="U13" s="2470" t="s">
        <v>4762</v>
      </c>
      <c r="V13" s="2471"/>
      <c r="AA13" s="2475"/>
      <c r="AB13" s="2475"/>
      <c r="AC13" s="2475"/>
      <c r="AD13" s="2475"/>
      <c r="AE13" s="2475"/>
      <c r="AF13" s="2475"/>
    </row>
    <row r="14" spans="1:32" ht="21" customHeight="1" x14ac:dyDescent="0.3">
      <c r="A14" s="2464" t="s">
        <v>110</v>
      </c>
      <c r="B14" s="2465" t="s">
        <v>4763</v>
      </c>
      <c r="C14" s="2474" t="s">
        <v>4764</v>
      </c>
      <c r="D14" s="2467" t="s">
        <v>4765</v>
      </c>
      <c r="E14" s="2467" t="s">
        <v>4584</v>
      </c>
      <c r="F14" s="2467" t="s">
        <v>4649</v>
      </c>
      <c r="G14" s="2468" t="s">
        <v>4766</v>
      </c>
      <c r="H14" s="2468" t="s">
        <v>4767</v>
      </c>
      <c r="I14" s="2467" t="s">
        <v>4768</v>
      </c>
      <c r="J14" s="2467" t="s">
        <v>4769</v>
      </c>
      <c r="K14" s="2467" t="s">
        <v>4770</v>
      </c>
      <c r="L14" s="2469"/>
      <c r="M14" s="2467" t="s">
        <v>4771</v>
      </c>
      <c r="N14" s="2468" t="s">
        <v>4772</v>
      </c>
      <c r="O14" s="2467" t="s">
        <v>4773</v>
      </c>
      <c r="P14" s="2467" t="s">
        <v>4774</v>
      </c>
      <c r="Q14" s="2467" t="s">
        <v>4775</v>
      </c>
      <c r="R14" s="2467" t="s">
        <v>4776</v>
      </c>
      <c r="S14" s="2469"/>
      <c r="T14" s="2467" t="s">
        <v>4777</v>
      </c>
      <c r="U14" s="2470" t="s">
        <v>4778</v>
      </c>
      <c r="V14" s="2471"/>
    </row>
    <row r="15" spans="1:32" ht="21" customHeight="1" thickBot="1" x14ac:dyDescent="0.35">
      <c r="A15" s="2476" t="s">
        <v>111</v>
      </c>
      <c r="B15" s="2477" t="s">
        <v>4779</v>
      </c>
      <c r="C15" s="2478" t="s">
        <v>4780</v>
      </c>
      <c r="D15" s="2479" t="s">
        <v>4781</v>
      </c>
      <c r="E15" s="2479" t="s">
        <v>4782</v>
      </c>
      <c r="F15" s="2479" t="s">
        <v>4783</v>
      </c>
      <c r="G15" s="2479" t="s">
        <v>4784</v>
      </c>
      <c r="H15" s="2479" t="s">
        <v>4785</v>
      </c>
      <c r="I15" s="2479" t="s">
        <v>4786</v>
      </c>
      <c r="J15" s="2479" t="s">
        <v>4787</v>
      </c>
      <c r="K15" s="2479" t="s">
        <v>4788</v>
      </c>
      <c r="L15" s="2480"/>
      <c r="M15" s="2479" t="s">
        <v>4789</v>
      </c>
      <c r="N15" s="2479" t="s">
        <v>4790</v>
      </c>
      <c r="O15" s="2479" t="s">
        <v>4791</v>
      </c>
      <c r="P15" s="2479" t="s">
        <v>4792</v>
      </c>
      <c r="Q15" s="2479" t="s">
        <v>4793</v>
      </c>
      <c r="R15" s="2479" t="s">
        <v>4794</v>
      </c>
      <c r="S15" s="2480"/>
      <c r="T15" s="2479" t="s">
        <v>4795</v>
      </c>
      <c r="U15" s="2481" t="s">
        <v>4796</v>
      </c>
      <c r="V15" s="2482"/>
    </row>
    <row r="16" spans="1:32" s="2483" customFormat="1" ht="16.5" thickTop="1" x14ac:dyDescent="0.25">
      <c r="A16" s="2483" t="s">
        <v>4797</v>
      </c>
      <c r="G16" s="2484"/>
      <c r="N16" s="2484"/>
    </row>
    <row r="17" spans="1:259" s="2483" customFormat="1" x14ac:dyDescent="0.25">
      <c r="A17" s="2485" t="s">
        <v>3553</v>
      </c>
    </row>
    <row r="19" spans="1:259" ht="18" thickBot="1" x14ac:dyDescent="0.35">
      <c r="A19" s="2486" t="s">
        <v>4798</v>
      </c>
      <c r="B19" s="2487"/>
      <c r="C19" s="2487"/>
      <c r="D19" s="2487"/>
      <c r="E19" s="2487"/>
      <c r="F19" s="2487"/>
      <c r="G19" s="2487"/>
      <c r="H19" s="2487"/>
      <c r="I19" s="2487"/>
      <c r="J19" s="2487"/>
      <c r="K19" s="2487"/>
      <c r="L19" s="2487"/>
      <c r="M19" s="2488"/>
      <c r="N19" s="2488"/>
      <c r="O19" s="2488"/>
      <c r="P19" s="2488"/>
      <c r="Q19" s="2488"/>
      <c r="R19" s="2488"/>
      <c r="S19" s="2488"/>
      <c r="T19" s="2487"/>
      <c r="U19" s="2487"/>
      <c r="V19" s="2487"/>
    </row>
    <row r="20" spans="1:259" ht="18" thickTop="1" thickBot="1" x14ac:dyDescent="0.35">
      <c r="A20" s="3890" t="s">
        <v>1</v>
      </c>
      <c r="B20" s="2459" t="s">
        <v>4799</v>
      </c>
      <c r="C20" s="2459"/>
      <c r="D20" s="2459"/>
      <c r="E20" s="2489"/>
      <c r="F20" s="3892" t="s">
        <v>4799</v>
      </c>
      <c r="G20" s="3892"/>
      <c r="H20" s="3892"/>
      <c r="I20" s="3892"/>
      <c r="J20" s="3892"/>
      <c r="K20" s="3892"/>
      <c r="L20" s="3893"/>
      <c r="M20" s="3892" t="s">
        <v>4800</v>
      </c>
      <c r="N20" s="3892"/>
      <c r="O20" s="3894"/>
      <c r="P20" s="3894"/>
      <c r="Q20" s="3894"/>
      <c r="R20" s="3894"/>
      <c r="S20" s="3895"/>
      <c r="T20" s="2490"/>
      <c r="U20" s="2490"/>
      <c r="V20" s="2490"/>
      <c r="W20" s="2490"/>
      <c r="X20" s="249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c r="AS20" s="2490"/>
      <c r="AT20" s="2490"/>
      <c r="AU20" s="2490"/>
      <c r="AV20" s="2490"/>
      <c r="AW20" s="2490"/>
      <c r="AX20" s="2490"/>
      <c r="AY20" s="2490"/>
      <c r="AZ20" s="2490"/>
      <c r="BA20" s="2490"/>
      <c r="BB20" s="2490"/>
      <c r="BC20" s="2490"/>
      <c r="BD20" s="2490"/>
      <c r="BE20" s="2490"/>
      <c r="BF20" s="2490"/>
      <c r="BG20" s="2490"/>
      <c r="BH20" s="2490"/>
      <c r="BI20" s="2490"/>
      <c r="BJ20" s="2490"/>
      <c r="BK20" s="2490"/>
      <c r="BL20" s="2490"/>
      <c r="BM20" s="2490"/>
      <c r="BN20" s="2490"/>
      <c r="BO20" s="2490"/>
      <c r="BP20" s="2490"/>
      <c r="BQ20" s="2490"/>
      <c r="BR20" s="2490"/>
      <c r="BS20" s="2490"/>
      <c r="BT20" s="2490"/>
      <c r="BU20" s="2490"/>
      <c r="BV20" s="2490"/>
      <c r="BW20" s="2490"/>
      <c r="BX20" s="2490"/>
      <c r="BY20" s="2490"/>
      <c r="BZ20" s="2490"/>
      <c r="CA20" s="2490"/>
      <c r="CB20" s="2490"/>
      <c r="CC20" s="2490"/>
      <c r="CD20" s="2490"/>
      <c r="CE20" s="2490"/>
      <c r="CF20" s="2490"/>
      <c r="CG20" s="2490"/>
      <c r="CH20" s="2490"/>
      <c r="CI20" s="2490"/>
      <c r="CJ20" s="2490"/>
      <c r="CK20" s="2490"/>
      <c r="CL20" s="2490"/>
      <c r="CM20" s="2490"/>
      <c r="CN20" s="2490"/>
      <c r="CO20" s="2490"/>
      <c r="CP20" s="2490"/>
      <c r="CQ20" s="2490"/>
      <c r="CR20" s="2490"/>
      <c r="CS20" s="2490"/>
      <c r="CT20" s="2490"/>
      <c r="CU20" s="2490"/>
      <c r="CV20" s="2490"/>
      <c r="CW20" s="2490"/>
      <c r="CX20" s="2490"/>
      <c r="CY20" s="2490"/>
      <c r="CZ20" s="2490"/>
      <c r="DA20" s="2490"/>
      <c r="DB20" s="2490"/>
      <c r="DC20" s="2490"/>
      <c r="DD20" s="2490"/>
      <c r="DE20" s="2490"/>
      <c r="DF20" s="2490"/>
      <c r="DG20" s="2490"/>
      <c r="DH20" s="2490"/>
      <c r="DI20" s="2490"/>
      <c r="DJ20" s="2490"/>
      <c r="DK20" s="2490"/>
      <c r="DL20" s="2490"/>
      <c r="DM20" s="2490"/>
      <c r="DN20" s="2490"/>
      <c r="DO20" s="2490"/>
      <c r="DP20" s="2490"/>
      <c r="DQ20" s="2490"/>
      <c r="DR20" s="2490"/>
      <c r="DS20" s="2490"/>
      <c r="DT20" s="2490"/>
      <c r="DU20" s="2490"/>
      <c r="DV20" s="2490"/>
      <c r="DW20" s="2490"/>
      <c r="DX20" s="2490"/>
      <c r="DY20" s="2490"/>
      <c r="DZ20" s="2490"/>
      <c r="EA20" s="2490"/>
      <c r="EB20" s="2490"/>
      <c r="EC20" s="2490"/>
      <c r="ED20" s="2490"/>
      <c r="EE20" s="2490"/>
      <c r="EF20" s="2490"/>
      <c r="EG20" s="2490"/>
      <c r="EH20" s="2490"/>
      <c r="EI20" s="2490"/>
      <c r="EJ20" s="2490"/>
      <c r="EK20" s="2490"/>
      <c r="EL20" s="2490"/>
      <c r="EM20" s="2490"/>
      <c r="EN20" s="2490"/>
      <c r="EO20" s="2490"/>
      <c r="EP20" s="2490"/>
      <c r="EQ20" s="2490"/>
      <c r="ER20" s="2490"/>
      <c r="ES20" s="2490"/>
      <c r="ET20" s="2490"/>
      <c r="EU20" s="2490"/>
      <c r="EV20" s="2490"/>
      <c r="EW20" s="2490"/>
      <c r="EX20" s="2490"/>
      <c r="EY20" s="2490"/>
      <c r="EZ20" s="2490"/>
      <c r="FA20" s="2490"/>
      <c r="FB20" s="2490"/>
      <c r="FC20" s="2490"/>
      <c r="FD20" s="2490"/>
      <c r="FE20" s="2490"/>
      <c r="FF20" s="2490"/>
      <c r="FG20" s="2490"/>
      <c r="FH20" s="2490"/>
      <c r="FI20" s="2490"/>
      <c r="FJ20" s="2490"/>
      <c r="FK20" s="2490"/>
      <c r="FL20" s="2490"/>
      <c r="FM20" s="2490"/>
      <c r="FN20" s="2490"/>
      <c r="FO20" s="2490"/>
      <c r="FP20" s="2490"/>
      <c r="FQ20" s="2490"/>
      <c r="FR20" s="2490"/>
      <c r="FS20" s="2490"/>
      <c r="FT20" s="2490"/>
      <c r="FU20" s="2490"/>
      <c r="FV20" s="2490"/>
      <c r="FW20" s="2490"/>
      <c r="FX20" s="2490"/>
      <c r="FY20" s="2490"/>
      <c r="FZ20" s="2490"/>
      <c r="GA20" s="2490"/>
      <c r="GB20" s="2490"/>
      <c r="GC20" s="2490"/>
      <c r="GD20" s="2490"/>
      <c r="GE20" s="2490"/>
      <c r="GF20" s="2490"/>
      <c r="GG20" s="2490"/>
      <c r="GH20" s="2490"/>
      <c r="GI20" s="2490"/>
      <c r="GJ20" s="2490"/>
      <c r="GK20" s="2490"/>
      <c r="GL20" s="2490"/>
      <c r="GM20" s="2490"/>
      <c r="GN20" s="2490"/>
      <c r="GO20" s="2490"/>
      <c r="GP20" s="2490"/>
      <c r="GQ20" s="2490"/>
      <c r="GR20" s="2490"/>
      <c r="GS20" s="2490"/>
      <c r="GT20" s="2490"/>
      <c r="GU20" s="2490"/>
      <c r="GV20" s="2490"/>
      <c r="GW20" s="2490"/>
      <c r="GX20" s="2490"/>
      <c r="GY20" s="2490"/>
      <c r="GZ20" s="2490"/>
      <c r="HA20" s="2490"/>
      <c r="HB20" s="2490"/>
      <c r="HC20" s="2490"/>
      <c r="HD20" s="2490"/>
      <c r="HE20" s="2490"/>
      <c r="HF20" s="2490"/>
      <c r="HG20" s="2490"/>
      <c r="HH20" s="2490"/>
      <c r="HI20" s="2490"/>
      <c r="HJ20" s="2490"/>
      <c r="HK20" s="2490"/>
      <c r="HL20" s="2490"/>
      <c r="HM20" s="2490"/>
      <c r="HN20" s="2490"/>
      <c r="HO20" s="2490"/>
      <c r="HP20" s="2490"/>
      <c r="HQ20" s="2490"/>
      <c r="HR20" s="2490"/>
      <c r="HS20" s="2490"/>
      <c r="HT20" s="2490"/>
      <c r="HU20" s="2490"/>
      <c r="HV20" s="2490"/>
      <c r="HW20" s="2490"/>
      <c r="HX20" s="2490"/>
      <c r="HY20" s="2490"/>
      <c r="HZ20" s="2490"/>
      <c r="IA20" s="2490"/>
      <c r="IB20" s="2490"/>
      <c r="IC20" s="2490"/>
      <c r="ID20" s="2490"/>
      <c r="IE20" s="2490"/>
      <c r="IF20" s="2490"/>
      <c r="IG20" s="2490"/>
      <c r="IH20" s="2490"/>
      <c r="II20" s="2490"/>
      <c r="IJ20" s="2490"/>
      <c r="IK20" s="2490"/>
      <c r="IL20" s="2490"/>
      <c r="IM20" s="2490"/>
      <c r="IN20" s="2490"/>
      <c r="IO20" s="2490"/>
      <c r="IP20" s="2490"/>
      <c r="IQ20" s="2490"/>
      <c r="IR20" s="2490"/>
      <c r="IS20" s="2490"/>
      <c r="IT20" s="2490"/>
      <c r="IU20" s="2490"/>
      <c r="IV20" s="2490"/>
      <c r="IW20" s="2490"/>
      <c r="IX20" s="2490"/>
      <c r="IY20" s="2490"/>
    </row>
    <row r="21" spans="1:259" ht="18" thickTop="1" thickBot="1" x14ac:dyDescent="0.35">
      <c r="A21" s="3891"/>
      <c r="B21" s="2462">
        <v>2015</v>
      </c>
      <c r="C21" s="2461">
        <v>2016</v>
      </c>
      <c r="D21" s="2491">
        <v>2017</v>
      </c>
      <c r="E21" s="2492">
        <v>2018</v>
      </c>
      <c r="F21" s="2491">
        <v>2019</v>
      </c>
      <c r="G21" s="2461">
        <v>2020</v>
      </c>
      <c r="H21" s="2462">
        <v>2015</v>
      </c>
      <c r="I21" s="2461">
        <v>2016</v>
      </c>
      <c r="J21" s="2461">
        <v>2017</v>
      </c>
      <c r="K21" s="2461">
        <v>2018</v>
      </c>
      <c r="L21" s="2461">
        <v>2021</v>
      </c>
      <c r="M21" s="2462">
        <v>2019</v>
      </c>
      <c r="N21" s="2462">
        <v>2020</v>
      </c>
      <c r="O21" s="2493"/>
      <c r="P21" s="2493"/>
      <c r="Q21" s="2494"/>
      <c r="R21" s="2494"/>
      <c r="S21" s="2463">
        <v>2021</v>
      </c>
      <c r="T21" s="2490"/>
      <c r="U21" s="2490"/>
      <c r="V21" s="2490"/>
      <c r="W21" s="2490"/>
      <c r="X21" s="249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c r="AS21" s="2490"/>
      <c r="AT21" s="2490"/>
      <c r="AU21" s="2490"/>
      <c r="AV21" s="2490"/>
      <c r="AW21" s="2490"/>
      <c r="AX21" s="2490"/>
      <c r="AY21" s="2490"/>
      <c r="AZ21" s="2490"/>
      <c r="BA21" s="2490"/>
      <c r="BB21" s="2490"/>
      <c r="BC21" s="2490"/>
      <c r="BD21" s="2490"/>
      <c r="BE21" s="2490"/>
      <c r="BF21" s="2490"/>
      <c r="BG21" s="2490"/>
      <c r="BH21" s="2490"/>
      <c r="BI21" s="2490"/>
      <c r="BJ21" s="2490"/>
      <c r="BK21" s="2490"/>
      <c r="BL21" s="2490"/>
      <c r="BM21" s="2490"/>
      <c r="BN21" s="2490"/>
      <c r="BO21" s="2490"/>
      <c r="BP21" s="2490"/>
      <c r="BQ21" s="2490"/>
      <c r="BR21" s="2490"/>
      <c r="BS21" s="2490"/>
      <c r="BT21" s="2490"/>
      <c r="BU21" s="2490"/>
      <c r="BV21" s="2490"/>
      <c r="BW21" s="2490"/>
      <c r="BX21" s="2490"/>
      <c r="BY21" s="2490"/>
      <c r="BZ21" s="2490"/>
      <c r="CA21" s="2490"/>
      <c r="CB21" s="2490"/>
      <c r="CC21" s="2490"/>
      <c r="CD21" s="2490"/>
      <c r="CE21" s="2490"/>
      <c r="CF21" s="2490"/>
      <c r="CG21" s="2490"/>
      <c r="CH21" s="2490"/>
      <c r="CI21" s="2490"/>
      <c r="CJ21" s="2490"/>
      <c r="CK21" s="2490"/>
      <c r="CL21" s="2490"/>
      <c r="CM21" s="2490"/>
      <c r="CN21" s="2490"/>
      <c r="CO21" s="2490"/>
      <c r="CP21" s="2490"/>
      <c r="CQ21" s="2490"/>
      <c r="CR21" s="2490"/>
      <c r="CS21" s="2490"/>
      <c r="CT21" s="2490"/>
      <c r="CU21" s="2490"/>
      <c r="CV21" s="2490"/>
      <c r="CW21" s="2490"/>
      <c r="CX21" s="2490"/>
      <c r="CY21" s="2490"/>
      <c r="CZ21" s="2490"/>
      <c r="DA21" s="2490"/>
      <c r="DB21" s="2490"/>
      <c r="DC21" s="2490"/>
      <c r="DD21" s="2490"/>
      <c r="DE21" s="2490"/>
      <c r="DF21" s="2490"/>
      <c r="DG21" s="2490"/>
      <c r="DH21" s="2490"/>
      <c r="DI21" s="2490"/>
      <c r="DJ21" s="2490"/>
      <c r="DK21" s="2490"/>
      <c r="DL21" s="2490"/>
      <c r="DM21" s="2490"/>
      <c r="DN21" s="2490"/>
      <c r="DO21" s="2490"/>
      <c r="DP21" s="2490"/>
      <c r="DQ21" s="2490"/>
      <c r="DR21" s="2490"/>
      <c r="DS21" s="2490"/>
      <c r="DT21" s="2490"/>
      <c r="DU21" s="2490"/>
      <c r="DV21" s="2490"/>
      <c r="DW21" s="2490"/>
      <c r="DX21" s="2490"/>
      <c r="DY21" s="2490"/>
      <c r="DZ21" s="2490"/>
      <c r="EA21" s="2490"/>
      <c r="EB21" s="2490"/>
      <c r="EC21" s="2490"/>
      <c r="ED21" s="2490"/>
      <c r="EE21" s="2490"/>
      <c r="EF21" s="2490"/>
      <c r="EG21" s="2490"/>
      <c r="EH21" s="2490"/>
      <c r="EI21" s="2490"/>
      <c r="EJ21" s="2490"/>
      <c r="EK21" s="2490"/>
      <c r="EL21" s="2490"/>
      <c r="EM21" s="2490"/>
      <c r="EN21" s="2490"/>
      <c r="EO21" s="2490"/>
      <c r="EP21" s="2490"/>
      <c r="EQ21" s="2490"/>
      <c r="ER21" s="2490"/>
      <c r="ES21" s="2490"/>
      <c r="ET21" s="2490"/>
      <c r="EU21" s="2490"/>
      <c r="EV21" s="2490"/>
      <c r="EW21" s="2490"/>
      <c r="EX21" s="2490"/>
      <c r="EY21" s="2490"/>
      <c r="EZ21" s="2490"/>
      <c r="FA21" s="2490"/>
      <c r="FB21" s="2490"/>
      <c r="FC21" s="2490"/>
      <c r="FD21" s="2490"/>
      <c r="FE21" s="2490"/>
      <c r="FF21" s="2490"/>
      <c r="FG21" s="2490"/>
      <c r="FH21" s="2490"/>
      <c r="FI21" s="2490"/>
      <c r="FJ21" s="2490"/>
      <c r="FK21" s="2490"/>
      <c r="FL21" s="2490"/>
      <c r="FM21" s="2490"/>
      <c r="FN21" s="2490"/>
      <c r="FO21" s="2490"/>
      <c r="FP21" s="2490"/>
      <c r="FQ21" s="2490"/>
      <c r="FR21" s="2490"/>
      <c r="FS21" s="2490"/>
      <c r="FT21" s="2490"/>
      <c r="FU21" s="2490"/>
      <c r="FV21" s="2490"/>
      <c r="FW21" s="2490"/>
      <c r="FX21" s="2490"/>
      <c r="FY21" s="2490"/>
      <c r="FZ21" s="2490"/>
      <c r="GA21" s="2490"/>
      <c r="GB21" s="2490"/>
      <c r="GC21" s="2490"/>
      <c r="GD21" s="2490"/>
      <c r="GE21" s="2490"/>
      <c r="GF21" s="2490"/>
      <c r="GG21" s="2490"/>
      <c r="GH21" s="2490"/>
      <c r="GI21" s="2490"/>
      <c r="GJ21" s="2490"/>
      <c r="GK21" s="2490"/>
      <c r="GL21" s="2490"/>
      <c r="GM21" s="2490"/>
      <c r="GN21" s="2490"/>
      <c r="GO21" s="2490"/>
      <c r="GP21" s="2490"/>
      <c r="GQ21" s="2490"/>
      <c r="GR21" s="2490"/>
      <c r="GS21" s="2490"/>
      <c r="GT21" s="2490"/>
      <c r="GU21" s="2490"/>
      <c r="GV21" s="2490"/>
      <c r="GW21" s="2490"/>
      <c r="GX21" s="2490"/>
      <c r="GY21" s="2490"/>
      <c r="GZ21" s="2490"/>
      <c r="HA21" s="2490"/>
      <c r="HB21" s="2490"/>
      <c r="HC21" s="2490"/>
      <c r="HD21" s="2490"/>
      <c r="HE21" s="2490"/>
      <c r="HF21" s="2490"/>
      <c r="HG21" s="2490"/>
      <c r="HH21" s="2490"/>
      <c r="HI21" s="2490"/>
      <c r="HJ21" s="2490"/>
      <c r="HK21" s="2490"/>
      <c r="HL21" s="2490"/>
      <c r="HM21" s="2490"/>
      <c r="HN21" s="2490"/>
      <c r="HO21" s="2490"/>
      <c r="HP21" s="2490"/>
      <c r="HQ21" s="2490"/>
      <c r="HR21" s="2490"/>
      <c r="HS21" s="2490"/>
      <c r="HT21" s="2490"/>
      <c r="HU21" s="2490"/>
      <c r="HV21" s="2490"/>
      <c r="HW21" s="2490"/>
      <c r="HX21" s="2490"/>
      <c r="HY21" s="2490"/>
      <c r="HZ21" s="2490"/>
      <c r="IA21" s="2490"/>
      <c r="IB21" s="2490"/>
      <c r="IC21" s="2490"/>
      <c r="ID21" s="2490"/>
      <c r="IE21" s="2490"/>
      <c r="IF21" s="2490"/>
      <c r="IG21" s="2490"/>
      <c r="IH21" s="2490"/>
      <c r="II21" s="2490"/>
      <c r="IJ21" s="2490"/>
      <c r="IK21" s="2490"/>
      <c r="IL21" s="2490"/>
      <c r="IM21" s="2490"/>
      <c r="IN21" s="2490"/>
      <c r="IO21" s="2490"/>
      <c r="IP21" s="2490"/>
      <c r="IQ21" s="2490"/>
      <c r="IR21" s="2490"/>
      <c r="IS21" s="2490"/>
      <c r="IT21" s="2490"/>
      <c r="IU21" s="2490"/>
      <c r="IV21" s="2490"/>
      <c r="IW21" s="2490"/>
      <c r="IX21" s="2490"/>
      <c r="IY21" s="2490"/>
    </row>
    <row r="22" spans="1:259" ht="21" customHeight="1" thickTop="1" x14ac:dyDescent="0.3">
      <c r="A22" s="2495" t="s">
        <v>117</v>
      </c>
      <c r="B22" s="2496">
        <v>94.737918809959623</v>
      </c>
      <c r="C22" s="2497">
        <v>102.73838823752313</v>
      </c>
      <c r="D22" s="2498">
        <v>101.43936245103373</v>
      </c>
      <c r="E22" s="2499">
        <v>98.654769728040677</v>
      </c>
      <c r="F22" s="2498">
        <v>98.477598546775781</v>
      </c>
      <c r="G22" s="2498">
        <v>104.13356210149894</v>
      </c>
      <c r="H22" s="2499">
        <v>94.019346919312369</v>
      </c>
      <c r="I22" s="2500">
        <v>101.57348477901897</v>
      </c>
      <c r="J22" s="2498">
        <v>100.27546376449612</v>
      </c>
      <c r="K22" s="2498">
        <v>97.951228427638043</v>
      </c>
      <c r="L22" s="2501">
        <v>115.80013587633482</v>
      </c>
      <c r="M22" s="2500">
        <v>97.518140836779992</v>
      </c>
      <c r="N22" s="2498">
        <v>103.02905735463368</v>
      </c>
      <c r="O22" s="2502"/>
      <c r="P22" s="2502"/>
      <c r="S22" s="2503">
        <v>114.85353837518042</v>
      </c>
    </row>
    <row r="23" spans="1:259" ht="21" customHeight="1" x14ac:dyDescent="0.35">
      <c r="A23" s="2495" t="s">
        <v>104</v>
      </c>
      <c r="B23" s="2496">
        <v>96.210999999999999</v>
      </c>
      <c r="C23" s="2504">
        <v>102.73865086831779</v>
      </c>
      <c r="D23" s="2500">
        <v>101.16967360625542</v>
      </c>
      <c r="E23" s="2499">
        <v>97.913705235409708</v>
      </c>
      <c r="F23" s="2500">
        <v>98.357114893671167</v>
      </c>
      <c r="G23" s="2500">
        <v>105.15186373734151</v>
      </c>
      <c r="H23" s="2499">
        <v>95.433000000000007</v>
      </c>
      <c r="I23" s="2500">
        <v>101.64652792543183</v>
      </c>
      <c r="J23" s="2500">
        <v>100.03232951947703</v>
      </c>
      <c r="K23" s="2500">
        <v>97.265479930285437</v>
      </c>
      <c r="L23" s="2501">
        <v>116.62</v>
      </c>
      <c r="M23" s="2500">
        <v>97.383425884790029</v>
      </c>
      <c r="N23" s="2500">
        <v>103.96559461512427</v>
      </c>
      <c r="O23" s="2502"/>
      <c r="P23" s="2502"/>
      <c r="S23" s="2503">
        <v>115.67100000000001</v>
      </c>
      <c r="W23" s="2505"/>
      <c r="X23" s="2505"/>
      <c r="Y23" s="2506"/>
      <c r="Z23" s="2506"/>
      <c r="AA23" s="2506"/>
      <c r="AB23" s="2506"/>
      <c r="AC23" s="2506"/>
      <c r="AD23" s="2506"/>
    </row>
    <row r="24" spans="1:259" ht="21" customHeight="1" x14ac:dyDescent="0.35">
      <c r="A24" s="2495" t="s">
        <v>1077</v>
      </c>
      <c r="B24" s="2496">
        <v>101.71579294789962</v>
      </c>
      <c r="C24" s="2504">
        <v>102.44049461147573</v>
      </c>
      <c r="D24" s="2500">
        <v>100.76579694966836</v>
      </c>
      <c r="E24" s="2499">
        <v>98.938928840786545</v>
      </c>
      <c r="F24" s="2500">
        <v>99.268748870177319</v>
      </c>
      <c r="G24" s="2500">
        <v>108.244</v>
      </c>
      <c r="H24" s="2499">
        <v>100.75034493403408</v>
      </c>
      <c r="I24" s="2500">
        <v>101.36674518189281</v>
      </c>
      <c r="J24" s="2500">
        <v>99.644881890932453</v>
      </c>
      <c r="K24" s="2500">
        <v>98.27801862911069</v>
      </c>
      <c r="L24" s="2501">
        <v>117.11517813155814</v>
      </c>
      <c r="M24" s="2500">
        <v>98.26475998089154</v>
      </c>
      <c r="N24" s="2500">
        <v>106.98</v>
      </c>
      <c r="O24" s="2502"/>
      <c r="P24" s="2502"/>
      <c r="S24" s="2503">
        <v>116.107</v>
      </c>
      <c r="W24" s="2505"/>
      <c r="X24" s="2505"/>
      <c r="Y24" s="2506"/>
      <c r="Z24" s="2506"/>
      <c r="AA24" s="2506"/>
      <c r="AB24" s="2506"/>
      <c r="AC24" s="2506"/>
      <c r="AD24" s="2506"/>
    </row>
    <row r="25" spans="1:259" ht="21" customHeight="1" x14ac:dyDescent="0.35">
      <c r="A25" s="2495" t="s">
        <v>105</v>
      </c>
      <c r="B25" s="2496">
        <v>103.71112839443641</v>
      </c>
      <c r="C25" s="2504">
        <v>102.25544714272516</v>
      </c>
      <c r="D25" s="2500">
        <v>100.61035138373633</v>
      </c>
      <c r="E25" s="2499">
        <v>100.29254514367878</v>
      </c>
      <c r="F25" s="2500">
        <v>99.827113844060406</v>
      </c>
      <c r="G25" s="2500">
        <v>111.15900000000001</v>
      </c>
      <c r="H25" s="2499">
        <v>102.70931358524788</v>
      </c>
      <c r="I25" s="2500">
        <v>101.26522130614501</v>
      </c>
      <c r="J25" s="2500">
        <v>99.482216284022826</v>
      </c>
      <c r="K25" s="2500">
        <v>99.607019740310605</v>
      </c>
      <c r="L25" s="2501">
        <v>118.14425005401736</v>
      </c>
      <c r="M25" s="2500">
        <v>98.807741612076299</v>
      </c>
      <c r="N25" s="2500">
        <v>109.756</v>
      </c>
      <c r="O25" s="2502"/>
      <c r="P25" s="2502"/>
      <c r="S25" s="2503">
        <v>117.16104690995613</v>
      </c>
      <c r="W25" s="2505"/>
      <c r="X25" s="2505"/>
      <c r="Y25" s="2506"/>
      <c r="Z25" s="2506"/>
      <c r="AA25" s="2506"/>
      <c r="AB25" s="2506"/>
      <c r="AC25" s="2506"/>
      <c r="AD25" s="2506"/>
    </row>
    <row r="26" spans="1:259" ht="21" customHeight="1" x14ac:dyDescent="0.35">
      <c r="A26" s="2495" t="s">
        <v>106</v>
      </c>
      <c r="B26" s="2496">
        <v>101.95610917623981</v>
      </c>
      <c r="C26" s="2504">
        <v>102.47001054111433</v>
      </c>
      <c r="D26" s="2500">
        <v>100.1560873387557</v>
      </c>
      <c r="E26" s="2499">
        <v>101.09088203153472</v>
      </c>
      <c r="F26" s="2500">
        <v>100.43219663485856</v>
      </c>
      <c r="G26" s="2500">
        <v>112.08617049194399</v>
      </c>
      <c r="H26" s="2499">
        <v>101.07428014520794</v>
      </c>
      <c r="I26" s="2500">
        <v>101.44726741717416</v>
      </c>
      <c r="J26" s="2500">
        <v>99.125093726162604</v>
      </c>
      <c r="K26" s="2500">
        <v>100.26318551784618</v>
      </c>
      <c r="L26" s="2501">
        <v>119.03997999397988</v>
      </c>
      <c r="M26" s="2500">
        <v>99.375809846115743</v>
      </c>
      <c r="N26" s="2500">
        <v>110.68967785672623</v>
      </c>
      <c r="O26" s="2502"/>
      <c r="P26" s="2502"/>
      <c r="S26" s="2503">
        <v>118.12024594570676</v>
      </c>
      <c r="W26" s="2505"/>
      <c r="X26" s="2505"/>
      <c r="Y26" s="2506"/>
      <c r="Z26" s="2506"/>
      <c r="AA26" s="2506"/>
      <c r="AB26" s="2506"/>
      <c r="AC26" s="2506"/>
      <c r="AD26" s="2506"/>
    </row>
    <row r="27" spans="1:259" ht="21" customHeight="1" x14ac:dyDescent="0.35">
      <c r="A27" s="2495" t="s">
        <v>112</v>
      </c>
      <c r="B27" s="2496">
        <v>102.35499057640519</v>
      </c>
      <c r="C27" s="2504">
        <v>103.07229018001219</v>
      </c>
      <c r="D27" s="2500">
        <v>100.20295664491925</v>
      </c>
      <c r="E27" s="2499">
        <v>100.33128058828726</v>
      </c>
      <c r="F27" s="2500">
        <v>101.70660039078759</v>
      </c>
      <c r="G27" s="2500">
        <v>113.29173074796218</v>
      </c>
      <c r="H27" s="2499">
        <v>101.46845901364026</v>
      </c>
      <c r="I27" s="2500">
        <v>102.01923611174684</v>
      </c>
      <c r="J27" s="2500">
        <v>99.22604815248927</v>
      </c>
      <c r="K27" s="2500">
        <v>99.445037499595529</v>
      </c>
      <c r="L27" s="2501">
        <v>120.38856682275112</v>
      </c>
      <c r="M27" s="2500">
        <v>100.64871975204335</v>
      </c>
      <c r="N27" s="2500">
        <v>112.02142620011564</v>
      </c>
      <c r="O27" s="2502"/>
      <c r="P27" s="2502"/>
      <c r="S27" s="2503">
        <v>119.44345569831705</v>
      </c>
      <c r="W27" s="2505"/>
      <c r="X27" s="2505"/>
      <c r="Y27" s="2506"/>
      <c r="Z27" s="2506"/>
      <c r="AA27" s="2506"/>
      <c r="AB27" s="2506"/>
      <c r="AC27" s="2506"/>
      <c r="AD27" s="2506"/>
    </row>
    <row r="28" spans="1:259" ht="21" customHeight="1" x14ac:dyDescent="0.35">
      <c r="A28" s="2495" t="s">
        <v>113</v>
      </c>
      <c r="B28" s="2496">
        <v>102.60849631914677</v>
      </c>
      <c r="C28" s="2504">
        <v>102.51726042962261</v>
      </c>
      <c r="D28" s="2500">
        <v>99.585322523847651</v>
      </c>
      <c r="E28" s="2499">
        <v>99.847144337529343</v>
      </c>
      <c r="F28" s="2500">
        <v>102.5662916951776</v>
      </c>
      <c r="G28" s="2500">
        <v>114.17657036135158</v>
      </c>
      <c r="H28" s="2499">
        <v>101.65930113841726</v>
      </c>
      <c r="I28" s="2500">
        <v>101.42955937557241</v>
      </c>
      <c r="J28" s="2500">
        <v>98.677234773448191</v>
      </c>
      <c r="K28" s="2500">
        <v>98.95703669111623</v>
      </c>
      <c r="L28" s="2501">
        <v>124.17264578806252</v>
      </c>
      <c r="M28" s="2500">
        <v>101.5014330102958</v>
      </c>
      <c r="N28" s="2500">
        <v>112.96607655497397</v>
      </c>
      <c r="O28" s="2502"/>
      <c r="P28" s="2502"/>
      <c r="S28" s="2503">
        <v>123.10118112775565</v>
      </c>
      <c r="W28" s="2505"/>
      <c r="X28" s="2505"/>
      <c r="Y28" s="2506"/>
      <c r="Z28" s="2506"/>
      <c r="AA28" s="2506"/>
      <c r="AB28" s="2506"/>
      <c r="AC28" s="2506"/>
      <c r="AD28" s="2506"/>
    </row>
    <row r="29" spans="1:259" ht="21" customHeight="1" x14ac:dyDescent="0.35">
      <c r="A29" s="2495" t="s">
        <v>107</v>
      </c>
      <c r="B29" s="2496">
        <v>102.73851872720978</v>
      </c>
      <c r="C29" s="2504">
        <v>102.43849299884032</v>
      </c>
      <c r="D29" s="2500">
        <v>97.637511542623855</v>
      </c>
      <c r="E29" s="2499">
        <v>99.236999999999995</v>
      </c>
      <c r="F29" s="2500">
        <v>101.87260035635678</v>
      </c>
      <c r="G29" s="2500">
        <v>114.82835540841782</v>
      </c>
      <c r="H29" s="2499">
        <v>101.79757147447361</v>
      </c>
      <c r="I29" s="2500">
        <v>101.40410179394334</v>
      </c>
      <c r="J29" s="2500">
        <v>96.802575193615709</v>
      </c>
      <c r="K29" s="2500">
        <v>98.295000000000002</v>
      </c>
      <c r="L29" s="2501"/>
      <c r="M29" s="2500">
        <v>100.73812540664417</v>
      </c>
      <c r="N29" s="2500">
        <v>113.70620298898761</v>
      </c>
      <c r="O29" s="2502"/>
      <c r="P29" s="2502"/>
      <c r="S29" s="2503"/>
      <c r="W29" s="2505"/>
      <c r="X29" s="2505"/>
      <c r="Y29" s="2506"/>
      <c r="Z29" s="2506"/>
      <c r="AA29" s="2506"/>
      <c r="AB29" s="2506"/>
      <c r="AC29" s="2506"/>
      <c r="AD29" s="2506"/>
    </row>
    <row r="30" spans="1:259" ht="21" customHeight="1" x14ac:dyDescent="0.35">
      <c r="A30" s="2495" t="s">
        <v>108</v>
      </c>
      <c r="B30" s="2496">
        <v>102.63201681881311</v>
      </c>
      <c r="C30" s="2504">
        <v>102.40764068821674</v>
      </c>
      <c r="D30" s="2500">
        <v>97.998073374630408</v>
      </c>
      <c r="E30" s="2499">
        <v>99.10997636987851</v>
      </c>
      <c r="F30" s="2500">
        <v>102.54300000000001</v>
      </c>
      <c r="G30" s="2500">
        <v>114.92785136574095</v>
      </c>
      <c r="H30" s="2499">
        <v>101.67143187984422</v>
      </c>
      <c r="I30" s="2500">
        <v>101.36497577968058</v>
      </c>
      <c r="J30" s="2500">
        <v>97.193241286672063</v>
      </c>
      <c r="K30" s="2500">
        <v>98.169849656059029</v>
      </c>
      <c r="L30" s="2501"/>
      <c r="M30" s="2500">
        <v>101.39386651307893</v>
      </c>
      <c r="N30" s="2500">
        <v>113.80953570568279</v>
      </c>
      <c r="O30" s="2502"/>
      <c r="P30" s="2502"/>
      <c r="S30" s="2503"/>
      <c r="W30" s="2505"/>
      <c r="X30" s="2505"/>
      <c r="Y30" s="2506"/>
      <c r="Z30" s="2506"/>
      <c r="AA30" s="2506"/>
      <c r="AB30" s="2506"/>
      <c r="AC30" s="2506"/>
      <c r="AD30" s="2506"/>
    </row>
    <row r="31" spans="1:259" ht="21" customHeight="1" x14ac:dyDescent="0.35">
      <c r="A31" s="2495" t="s">
        <v>109</v>
      </c>
      <c r="B31" s="2496">
        <v>103.51468831296991</v>
      </c>
      <c r="C31" s="2504">
        <v>102.01227132763577</v>
      </c>
      <c r="D31" s="2500">
        <v>99.274416997219973</v>
      </c>
      <c r="E31" s="2499">
        <v>99.251917723176192</v>
      </c>
      <c r="F31" s="2500">
        <v>103.06752295850244</v>
      </c>
      <c r="G31" s="2500">
        <v>115.09218709173999</v>
      </c>
      <c r="H31" s="2499">
        <v>102.55535930736713</v>
      </c>
      <c r="I31" s="2500">
        <v>100.91476435259716</v>
      </c>
      <c r="J31" s="2500">
        <v>98.403596188290194</v>
      </c>
      <c r="K31" s="2500">
        <v>98.282291059478894</v>
      </c>
      <c r="L31" s="2501"/>
      <c r="M31" s="2500">
        <v>101.92671571459231</v>
      </c>
      <c r="N31" s="2500">
        <v>113.97144502344882</v>
      </c>
      <c r="O31" s="2502"/>
      <c r="P31" s="2502"/>
      <c r="S31" s="2503"/>
      <c r="W31" s="2505"/>
      <c r="X31" s="2505"/>
      <c r="Y31" s="2506"/>
      <c r="Z31" s="2506"/>
      <c r="AA31" s="2506"/>
      <c r="AB31" s="2506"/>
      <c r="AC31" s="2506"/>
      <c r="AD31" s="2506"/>
    </row>
    <row r="32" spans="1:259" ht="21" customHeight="1" x14ac:dyDescent="0.35">
      <c r="A32" s="2495" t="s">
        <v>110</v>
      </c>
      <c r="B32" s="2496">
        <v>103.54696125855827</v>
      </c>
      <c r="C32" s="2504">
        <v>101.79157685264082</v>
      </c>
      <c r="D32" s="2500">
        <v>99.518556273527452</v>
      </c>
      <c r="E32" s="2499">
        <v>99.044451151655366</v>
      </c>
      <c r="F32" s="2500">
        <v>103.58255230463421</v>
      </c>
      <c r="G32" s="2500">
        <v>115.80200000000001</v>
      </c>
      <c r="H32" s="2499">
        <v>102.44539028562762</v>
      </c>
      <c r="I32" s="2500">
        <v>100.64807189397591</v>
      </c>
      <c r="J32" s="2500">
        <v>98.627486026052807</v>
      </c>
      <c r="K32" s="2500">
        <v>98.060493348777598</v>
      </c>
      <c r="L32" s="2501"/>
      <c r="M32" s="2500">
        <v>102.4498080579602</v>
      </c>
      <c r="N32" s="2500">
        <v>114.73399999999999</v>
      </c>
      <c r="O32" s="2502"/>
      <c r="P32" s="2502"/>
      <c r="S32" s="2503"/>
      <c r="W32" s="2505"/>
      <c r="X32" s="2505"/>
      <c r="Y32" s="2506"/>
      <c r="Z32" s="2506"/>
      <c r="AA32" s="2506"/>
      <c r="AB32" s="2506"/>
      <c r="AC32" s="2506"/>
      <c r="AD32" s="2506"/>
    </row>
    <row r="33" spans="1:30" ht="21" customHeight="1" thickBot="1" x14ac:dyDescent="0.4">
      <c r="A33" s="2507" t="s">
        <v>111</v>
      </c>
      <c r="B33" s="2508">
        <v>103.27912448679528</v>
      </c>
      <c r="C33" s="2509">
        <v>101.47809267147052</v>
      </c>
      <c r="D33" s="2510">
        <v>99.39018716355227</v>
      </c>
      <c r="E33" s="2511">
        <v>98.417032402145367</v>
      </c>
      <c r="F33" s="2510">
        <v>104.03530920455677</v>
      </c>
      <c r="G33" s="2510">
        <v>116.04919557946442</v>
      </c>
      <c r="H33" s="2511">
        <v>102.18122262017602</v>
      </c>
      <c r="I33" s="2510">
        <v>100.28482593603852</v>
      </c>
      <c r="J33" s="2510">
        <v>98.558842862728198</v>
      </c>
      <c r="K33" s="2510">
        <v>97.431023684823572</v>
      </c>
      <c r="L33" s="2512"/>
      <c r="M33" s="2510">
        <v>102.93241528596204</v>
      </c>
      <c r="N33" s="2510">
        <v>115.09401356272653</v>
      </c>
      <c r="O33" s="2493"/>
      <c r="P33" s="2493"/>
      <c r="Q33" s="2513"/>
      <c r="R33" s="2513"/>
      <c r="S33" s="2514"/>
      <c r="W33" s="2505"/>
      <c r="X33" s="2505"/>
      <c r="Y33" s="2506"/>
      <c r="Z33" s="2506"/>
      <c r="AA33" s="2506"/>
      <c r="AB33" s="2506"/>
      <c r="AC33" s="2506"/>
      <c r="AD33" s="2506"/>
    </row>
    <row r="34" spans="1:30" ht="16.5" customHeight="1" thickTop="1" x14ac:dyDescent="0.25">
      <c r="A34" s="2515" t="s">
        <v>993</v>
      </c>
      <c r="B34" s="2516"/>
    </row>
    <row r="35" spans="1:30" s="2483" customFormat="1" ht="46.5" customHeight="1" x14ac:dyDescent="0.25">
      <c r="A35" s="3882" t="s">
        <v>4801</v>
      </c>
      <c r="B35" s="3882"/>
      <c r="C35" s="3882"/>
      <c r="D35" s="3882"/>
      <c r="E35" s="3882"/>
      <c r="F35" s="3882"/>
      <c r="G35" s="3882"/>
      <c r="H35" s="3882"/>
      <c r="I35" s="3882"/>
      <c r="J35" s="3882"/>
      <c r="K35" s="3882"/>
      <c r="L35" s="3882"/>
      <c r="M35" s="3882"/>
      <c r="N35" s="3882"/>
      <c r="O35" s="3882"/>
      <c r="P35" s="3882"/>
      <c r="Q35" s="3882"/>
      <c r="R35" s="3882"/>
      <c r="S35" s="3882"/>
    </row>
    <row r="36" spans="1:30" s="2483" customFormat="1" ht="29.25" customHeight="1" x14ac:dyDescent="0.25">
      <c r="A36" s="3882" t="s">
        <v>4802</v>
      </c>
      <c r="B36" s="3882"/>
      <c r="C36" s="3882"/>
      <c r="D36" s="3882"/>
      <c r="E36" s="3882"/>
      <c r="F36" s="3882"/>
      <c r="G36" s="3882"/>
      <c r="H36" s="3882"/>
      <c r="I36" s="3882"/>
      <c r="J36" s="3882"/>
      <c r="K36" s="3882"/>
      <c r="L36" s="3882"/>
      <c r="M36" s="3882"/>
      <c r="N36" s="3882"/>
      <c r="O36" s="3882"/>
      <c r="P36" s="3882"/>
      <c r="Q36" s="3882"/>
      <c r="R36" s="3882"/>
      <c r="S36" s="3882"/>
    </row>
    <row r="37" spans="1:30" s="2483" customFormat="1" ht="47.25" customHeight="1" x14ac:dyDescent="0.25">
      <c r="A37" s="3882" t="s">
        <v>4803</v>
      </c>
      <c r="B37" s="3882"/>
      <c r="C37" s="3882"/>
      <c r="D37" s="3882"/>
      <c r="E37" s="3882"/>
      <c r="F37" s="3882"/>
      <c r="G37" s="3882"/>
      <c r="H37" s="3882"/>
      <c r="I37" s="3882"/>
      <c r="J37" s="3882"/>
      <c r="K37" s="3882"/>
      <c r="L37" s="3882"/>
      <c r="M37" s="3882"/>
      <c r="N37" s="3882"/>
      <c r="O37" s="3882"/>
      <c r="P37" s="3882"/>
      <c r="Q37" s="3882"/>
      <c r="R37" s="3882"/>
      <c r="S37" s="3882"/>
    </row>
    <row r="38" spans="1:30" s="2483" customFormat="1" ht="15" customHeight="1" x14ac:dyDescent="0.25">
      <c r="A38" s="3882" t="s">
        <v>4804</v>
      </c>
      <c r="B38" s="3882"/>
      <c r="C38" s="3882"/>
      <c r="D38" s="3882"/>
      <c r="E38" s="3882"/>
      <c r="F38" s="3882"/>
      <c r="G38" s="3882"/>
      <c r="H38" s="3882"/>
      <c r="I38" s="3882"/>
      <c r="J38" s="3882"/>
      <c r="K38" s="3882"/>
      <c r="L38" s="3882"/>
      <c r="M38" s="3882"/>
      <c r="N38" s="3882"/>
      <c r="O38" s="3882"/>
      <c r="P38" s="3882"/>
      <c r="Q38" s="3882"/>
      <c r="R38" s="3882"/>
      <c r="S38" s="3882"/>
    </row>
    <row r="39" spans="1:30" s="2483" customFormat="1" ht="16.5" customHeight="1" x14ac:dyDescent="0.25">
      <c r="A39" s="2517" t="s">
        <v>4805</v>
      </c>
      <c r="B39" s="2518"/>
      <c r="C39" s="2518"/>
      <c r="D39" s="2518"/>
      <c r="E39" s="2518"/>
      <c r="F39" s="2518"/>
      <c r="G39" s="2518"/>
      <c r="H39" s="2518"/>
      <c r="I39" s="2518"/>
      <c r="J39" s="2518"/>
      <c r="K39" s="2518"/>
      <c r="L39" s="2518"/>
      <c r="M39" s="2518"/>
      <c r="N39" s="2518"/>
      <c r="O39" s="2518"/>
      <c r="P39" s="2519"/>
      <c r="Q39" s="2519"/>
      <c r="R39" s="2519"/>
      <c r="S39" s="2519"/>
    </row>
    <row r="40" spans="1:30" s="2483" customFormat="1" ht="4.5" customHeight="1" x14ac:dyDescent="0.25"/>
    <row r="41" spans="1:30" s="2483" customFormat="1" ht="16.5" customHeight="1" x14ac:dyDescent="0.25">
      <c r="A41" s="2485" t="s">
        <v>3553</v>
      </c>
    </row>
    <row r="42" spans="1:30" s="2483" customFormat="1" ht="15" customHeight="1" x14ac:dyDescent="0.25">
      <c r="A42" s="2485"/>
    </row>
    <row r="51" spans="27:32" ht="45.75" customHeight="1" x14ac:dyDescent="0.55000000000000004">
      <c r="AA51" s="2520"/>
      <c r="AB51" s="2520"/>
      <c r="AC51" s="2520"/>
      <c r="AD51" s="2520"/>
      <c r="AE51" s="2520"/>
      <c r="AF51" s="2521"/>
    </row>
    <row r="52" spans="27:32" ht="45.75" customHeight="1" x14ac:dyDescent="0.55000000000000004">
      <c r="AA52" s="2521"/>
      <c r="AB52" s="2521"/>
      <c r="AC52" s="2521"/>
      <c r="AD52" s="2521"/>
      <c r="AE52" s="2521"/>
      <c r="AF52" s="2521"/>
    </row>
    <row r="53" spans="27:32" ht="45.75" customHeight="1" x14ac:dyDescent="0.55000000000000004">
      <c r="AA53" s="2520"/>
      <c r="AB53" s="2520"/>
      <c r="AC53" s="2520"/>
      <c r="AD53" s="2521"/>
      <c r="AE53" s="2521"/>
      <c r="AF53" s="2521"/>
    </row>
    <row r="95" spans="1:1" x14ac:dyDescent="0.25">
      <c r="A95" s="2522">
        <v>44013</v>
      </c>
    </row>
  </sheetData>
  <mergeCells count="12">
    <mergeCell ref="A35:S35"/>
    <mergeCell ref="A36:S36"/>
    <mergeCell ref="A37:S37"/>
    <mergeCell ref="A38:S38"/>
    <mergeCell ref="A1:V1"/>
    <mergeCell ref="A2:A3"/>
    <mergeCell ref="F2:L2"/>
    <mergeCell ref="M2:S2"/>
    <mergeCell ref="T2:V2"/>
    <mergeCell ref="A20:A21"/>
    <mergeCell ref="F20:L20"/>
    <mergeCell ref="M20:S20"/>
  </mergeCells>
  <pageMargins left="0.75" right="0.75" top="0.75" bottom="0.75" header="0.31496062992125984" footer="0"/>
  <pageSetup paperSize="9" scale="76"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P71"/>
  <sheetViews>
    <sheetView showGridLines="0" zoomScaleNormal="100" zoomScaleSheetLayoutView="90" workbookViewId="0">
      <pane xSplit="1" ySplit="2" topLeftCell="B3" activePane="bottomRight" state="frozen"/>
      <selection activeCell="A150" sqref="A150"/>
      <selection pane="topRight" activeCell="A150" sqref="A150"/>
      <selection pane="bottomLeft" activeCell="A150" sqref="A150"/>
      <selection pane="bottomRight"/>
    </sheetView>
  </sheetViews>
  <sheetFormatPr defaultColWidth="11.140625" defaultRowHeight="14.25" x14ac:dyDescent="0.25"/>
  <cols>
    <col min="1" max="1" width="14.42578125" style="1820" customWidth="1"/>
    <col min="2" max="10" width="15.85546875" style="2526" customWidth="1"/>
    <col min="11" max="12" width="15.85546875" style="1820" customWidth="1"/>
    <col min="13" max="16384" width="11.140625" style="1820"/>
  </cols>
  <sheetData>
    <row r="1" spans="1:42" s="2525" customFormat="1" ht="18.75" x14ac:dyDescent="0.3">
      <c r="A1" s="2523" t="s">
        <v>4806</v>
      </c>
      <c r="B1" s="2524"/>
      <c r="C1" s="2524"/>
      <c r="D1" s="2524"/>
      <c r="E1" s="2524"/>
      <c r="F1" s="2524"/>
      <c r="G1" s="2524"/>
      <c r="H1" s="2524"/>
      <c r="I1" s="2524"/>
      <c r="J1" s="2524"/>
    </row>
    <row r="2" spans="1:42" ht="15" customHeight="1" thickBot="1" x14ac:dyDescent="0.3">
      <c r="J2" s="2527" t="s">
        <v>3968</v>
      </c>
    </row>
    <row r="3" spans="1:42" s="2528" customFormat="1" ht="36" customHeight="1" thickTop="1" thickBot="1" x14ac:dyDescent="0.35">
      <c r="A3" s="3896" t="s">
        <v>116</v>
      </c>
      <c r="B3" s="3897" t="s">
        <v>4301</v>
      </c>
      <c r="C3" s="3898"/>
      <c r="D3" s="3898"/>
      <c r="E3" s="3899"/>
      <c r="F3" s="3900" t="s">
        <v>4302</v>
      </c>
      <c r="G3" s="3898"/>
      <c r="H3" s="3898"/>
      <c r="I3" s="3899"/>
      <c r="J3" s="3901" t="s">
        <v>4807</v>
      </c>
    </row>
    <row r="4" spans="1:42" s="2528" customFormat="1" ht="34.5" thickBot="1" x14ac:dyDescent="0.35">
      <c r="A4" s="3759"/>
      <c r="B4" s="2529" t="s">
        <v>4808</v>
      </c>
      <c r="C4" s="2529" t="s">
        <v>4809</v>
      </c>
      <c r="D4" s="2530" t="s">
        <v>4810</v>
      </c>
      <c r="E4" s="2531" t="s">
        <v>114</v>
      </c>
      <c r="F4" s="2532" t="s">
        <v>4808</v>
      </c>
      <c r="G4" s="2533" t="s">
        <v>4809</v>
      </c>
      <c r="H4" s="2530" t="s">
        <v>4810</v>
      </c>
      <c r="I4" s="2531" t="s">
        <v>114</v>
      </c>
      <c r="J4" s="3902"/>
    </row>
    <row r="5" spans="1:42" s="2541" customFormat="1" ht="16.5" hidden="1" x14ac:dyDescent="0.3">
      <c r="A5" s="2534">
        <v>42736</v>
      </c>
      <c r="B5" s="2535">
        <v>71.367654999999999</v>
      </c>
      <c r="C5" s="2535">
        <v>289.33946800000001</v>
      </c>
      <c r="D5" s="2535">
        <v>41.882050999999997</v>
      </c>
      <c r="E5" s="2536">
        <v>402.58917400000001</v>
      </c>
      <c r="F5" s="2537">
        <v>59.816772</v>
      </c>
      <c r="G5" s="2538">
        <v>274.81638600000002</v>
      </c>
      <c r="H5" s="2535">
        <v>34.484924999999997</v>
      </c>
      <c r="I5" s="2536">
        <v>369.11808300000001</v>
      </c>
      <c r="J5" s="2539">
        <v>771.70725700000003</v>
      </c>
      <c r="K5" s="2540"/>
    </row>
    <row r="6" spans="1:42" s="2541" customFormat="1" ht="16.5" hidden="1" x14ac:dyDescent="0.3">
      <c r="A6" s="2534">
        <v>42767</v>
      </c>
      <c r="B6" s="2535">
        <v>57.361750999999998</v>
      </c>
      <c r="C6" s="2535">
        <v>276.91411599999998</v>
      </c>
      <c r="D6" s="2535">
        <v>52.701816000000001</v>
      </c>
      <c r="E6" s="2536">
        <v>386.97768300000001</v>
      </c>
      <c r="F6" s="2537">
        <v>55.249929999999999</v>
      </c>
      <c r="G6" s="2538">
        <v>257.76967999999999</v>
      </c>
      <c r="H6" s="2535">
        <v>52.240282999999998</v>
      </c>
      <c r="I6" s="2536">
        <v>365.25989299999998</v>
      </c>
      <c r="J6" s="2539">
        <v>752.23757599999999</v>
      </c>
      <c r="K6" s="2540"/>
    </row>
    <row r="7" spans="1:42" s="2541" customFormat="1" ht="16.5" hidden="1" x14ac:dyDescent="0.3">
      <c r="A7" s="2534">
        <v>42795</v>
      </c>
      <c r="B7" s="2535">
        <v>63.612163000000002</v>
      </c>
      <c r="C7" s="2535">
        <v>379.050972</v>
      </c>
      <c r="D7" s="2535">
        <v>71.474632</v>
      </c>
      <c r="E7" s="2536">
        <v>514.13776700000005</v>
      </c>
      <c r="F7" s="2537">
        <v>68.994236000000001</v>
      </c>
      <c r="G7" s="2538">
        <v>364.20819399999999</v>
      </c>
      <c r="H7" s="2535">
        <v>41.228223999999997</v>
      </c>
      <c r="I7" s="2536">
        <v>474.430654</v>
      </c>
      <c r="J7" s="2539">
        <v>988.56842100000006</v>
      </c>
      <c r="K7" s="2540"/>
    </row>
    <row r="8" spans="1:42" s="2541" customFormat="1" ht="16.5" hidden="1" x14ac:dyDescent="0.3">
      <c r="A8" s="2534">
        <v>42826</v>
      </c>
      <c r="B8" s="2535">
        <v>68.613151999999999</v>
      </c>
      <c r="C8" s="2535">
        <v>330.79203000000001</v>
      </c>
      <c r="D8" s="2535">
        <v>62.428151</v>
      </c>
      <c r="E8" s="2536">
        <v>461.83333299999998</v>
      </c>
      <c r="F8" s="2537">
        <v>58.792122999999997</v>
      </c>
      <c r="G8" s="2538">
        <v>313.81417299999998</v>
      </c>
      <c r="H8" s="2535">
        <v>48.777821000000003</v>
      </c>
      <c r="I8" s="2536">
        <v>421.384117</v>
      </c>
      <c r="J8" s="2539">
        <v>883.21744999999999</v>
      </c>
      <c r="K8" s="2540"/>
    </row>
    <row r="9" spans="1:42" s="2541" customFormat="1" ht="16.5" hidden="1" x14ac:dyDescent="0.3">
      <c r="A9" s="2534">
        <v>42856</v>
      </c>
      <c r="B9" s="2535">
        <v>72.503810000000001</v>
      </c>
      <c r="C9" s="2535">
        <v>378.38616500000001</v>
      </c>
      <c r="D9" s="2535">
        <v>57.808022000000001</v>
      </c>
      <c r="E9" s="2536">
        <v>508.69799699999999</v>
      </c>
      <c r="F9" s="2537">
        <v>59.019297999999999</v>
      </c>
      <c r="G9" s="2538">
        <v>341.61657400000001</v>
      </c>
      <c r="H9" s="2535">
        <v>49.06897</v>
      </c>
      <c r="I9" s="2536">
        <v>449.70484199999999</v>
      </c>
      <c r="J9" s="2539">
        <v>958.40283899999997</v>
      </c>
      <c r="K9" s="2540"/>
    </row>
    <row r="10" spans="1:42" s="2541" customFormat="1" ht="16.5" hidden="1" x14ac:dyDescent="0.3">
      <c r="A10" s="2534">
        <v>42887</v>
      </c>
      <c r="B10" s="2535">
        <v>66.184938000000002</v>
      </c>
      <c r="C10" s="2535">
        <v>350.50716599999998</v>
      </c>
      <c r="D10" s="2535">
        <v>38.529086999999997</v>
      </c>
      <c r="E10" s="2536">
        <v>455.22119099999998</v>
      </c>
      <c r="F10" s="2537">
        <v>57.685504999999999</v>
      </c>
      <c r="G10" s="2538">
        <v>341.366918</v>
      </c>
      <c r="H10" s="2535">
        <v>43.504510000000003</v>
      </c>
      <c r="I10" s="2536">
        <v>442.55693300000001</v>
      </c>
      <c r="J10" s="2539">
        <v>897.77812399999993</v>
      </c>
      <c r="K10" s="2540"/>
    </row>
    <row r="11" spans="1:42" s="2541" customFormat="1" ht="16.5" hidden="1" x14ac:dyDescent="0.3">
      <c r="A11" s="2534">
        <v>42917</v>
      </c>
      <c r="B11" s="2535">
        <v>73.515699999999995</v>
      </c>
      <c r="C11" s="2535">
        <v>331.795051</v>
      </c>
      <c r="D11" s="2535">
        <v>44.677889999999998</v>
      </c>
      <c r="E11" s="2536">
        <v>449.98864099999997</v>
      </c>
      <c r="F11" s="2537">
        <v>58.737918999999998</v>
      </c>
      <c r="G11" s="2538">
        <v>338.86398300000002</v>
      </c>
      <c r="H11" s="2535">
        <v>52.244236999999998</v>
      </c>
      <c r="I11" s="2536">
        <v>449.84613899999999</v>
      </c>
      <c r="J11" s="2539">
        <v>899.83477999999991</v>
      </c>
      <c r="K11" s="2540"/>
    </row>
    <row r="12" spans="1:42" s="2541" customFormat="1" ht="16.5" hidden="1" x14ac:dyDescent="0.3">
      <c r="A12" s="2534">
        <v>42948</v>
      </c>
      <c r="B12" s="2535">
        <v>77.874554000000003</v>
      </c>
      <c r="C12" s="2535">
        <v>387.67308200000002</v>
      </c>
      <c r="D12" s="2535">
        <v>45.719546000000001</v>
      </c>
      <c r="E12" s="2536">
        <v>511.26718199999999</v>
      </c>
      <c r="F12" s="2537">
        <v>66.945625000000007</v>
      </c>
      <c r="G12" s="2538">
        <v>364.68825399999997</v>
      </c>
      <c r="H12" s="2535">
        <v>65.449842000000004</v>
      </c>
      <c r="I12" s="2536">
        <v>497.08372100000003</v>
      </c>
      <c r="J12" s="2539">
        <v>1008.350903</v>
      </c>
      <c r="K12" s="2540"/>
    </row>
    <row r="13" spans="1:42" s="2541" customFormat="1" ht="16.5" hidden="1" x14ac:dyDescent="0.3">
      <c r="A13" s="2534">
        <v>42979</v>
      </c>
      <c r="B13" s="2535">
        <v>93.166347000000002</v>
      </c>
      <c r="C13" s="2535">
        <v>308.56693799999999</v>
      </c>
      <c r="D13" s="2535">
        <v>71.475893999999997</v>
      </c>
      <c r="E13" s="2536">
        <v>473.20917900000001</v>
      </c>
      <c r="F13" s="2537">
        <v>80.031735999999995</v>
      </c>
      <c r="G13" s="2538">
        <v>306.74832800000001</v>
      </c>
      <c r="H13" s="2535">
        <v>35.709784999999997</v>
      </c>
      <c r="I13" s="2536">
        <v>422.48984899999999</v>
      </c>
      <c r="J13" s="2539">
        <v>895.699028</v>
      </c>
      <c r="K13" s="2540"/>
    </row>
    <row r="14" spans="1:42" s="2541" customFormat="1" ht="16.5" hidden="1" x14ac:dyDescent="0.3">
      <c r="A14" s="2534">
        <v>43009</v>
      </c>
      <c r="B14" s="2535">
        <v>119.35103100000001</v>
      </c>
      <c r="C14" s="2535">
        <v>270.10734000000002</v>
      </c>
      <c r="D14" s="2535">
        <v>64.857467999999997</v>
      </c>
      <c r="E14" s="2536">
        <v>454.31583899999998</v>
      </c>
      <c r="F14" s="2537">
        <v>77.112645000000001</v>
      </c>
      <c r="G14" s="2538">
        <v>291.41502800000001</v>
      </c>
      <c r="H14" s="2535">
        <v>55.383313000000001</v>
      </c>
      <c r="I14" s="2536">
        <v>423.91098599999998</v>
      </c>
      <c r="J14" s="2539">
        <v>878.22682499999996</v>
      </c>
      <c r="K14" s="2540"/>
    </row>
    <row r="15" spans="1:42" s="2541" customFormat="1" ht="16.5" hidden="1" x14ac:dyDescent="0.3">
      <c r="A15" s="2534">
        <v>43040</v>
      </c>
      <c r="B15" s="2535">
        <v>125.355412</v>
      </c>
      <c r="C15" s="2535">
        <v>306.77238399999999</v>
      </c>
      <c r="D15" s="2535">
        <v>47.639401999999997</v>
      </c>
      <c r="E15" s="2536">
        <v>479.76719800000001</v>
      </c>
      <c r="F15" s="2537">
        <v>93.624217000000002</v>
      </c>
      <c r="G15" s="2538">
        <v>321.632362</v>
      </c>
      <c r="H15" s="2535">
        <v>51.963557999999999</v>
      </c>
      <c r="I15" s="2536">
        <v>467.22013700000002</v>
      </c>
      <c r="J15" s="2539">
        <v>946.98733500000003</v>
      </c>
      <c r="K15" s="2540"/>
      <c r="AP15" s="2541">
        <v>2347220</v>
      </c>
    </row>
    <row r="16" spans="1:42" s="2541" customFormat="1" ht="16.5" hidden="1" x14ac:dyDescent="0.3">
      <c r="A16" s="2534">
        <v>43070</v>
      </c>
      <c r="B16" s="2535">
        <v>124.955371</v>
      </c>
      <c r="C16" s="2535">
        <v>297.92553400000003</v>
      </c>
      <c r="D16" s="2535">
        <v>44.847887999999998</v>
      </c>
      <c r="E16" s="2536">
        <v>467.728793</v>
      </c>
      <c r="F16" s="2537">
        <v>93.850972999999996</v>
      </c>
      <c r="G16" s="2538">
        <v>334.70161400000001</v>
      </c>
      <c r="H16" s="2535">
        <v>41.181113000000003</v>
      </c>
      <c r="I16" s="2536">
        <v>469.7337</v>
      </c>
      <c r="J16" s="2539">
        <v>937.46249299999999</v>
      </c>
      <c r="K16" s="2540"/>
    </row>
    <row r="17" spans="1:11" s="2541" customFormat="1" ht="16.5" hidden="1" x14ac:dyDescent="0.3">
      <c r="A17" s="2542">
        <v>43101</v>
      </c>
      <c r="B17" s="2543">
        <v>150.516728</v>
      </c>
      <c r="C17" s="2543">
        <v>299.05342300000001</v>
      </c>
      <c r="D17" s="2543">
        <v>79.451380999999998</v>
      </c>
      <c r="E17" s="2544">
        <v>529.02153199999998</v>
      </c>
      <c r="F17" s="2545">
        <v>78.575577999999993</v>
      </c>
      <c r="G17" s="2546">
        <v>298.02306800000002</v>
      </c>
      <c r="H17" s="2543">
        <v>80.451706000000001</v>
      </c>
      <c r="I17" s="2544">
        <v>457.05035199999998</v>
      </c>
      <c r="J17" s="2547">
        <v>986.07188399999995</v>
      </c>
      <c r="K17" s="2540"/>
    </row>
    <row r="18" spans="1:11" s="2541" customFormat="1" ht="16.5" hidden="1" x14ac:dyDescent="0.3">
      <c r="A18" s="2534">
        <v>43132</v>
      </c>
      <c r="B18" s="2535">
        <v>121.768311</v>
      </c>
      <c r="C18" s="2535">
        <v>296.00142399999999</v>
      </c>
      <c r="D18" s="2535">
        <v>79.163911999999996</v>
      </c>
      <c r="E18" s="2536">
        <v>496.93364700000001</v>
      </c>
      <c r="F18" s="2537">
        <v>88.185749999999999</v>
      </c>
      <c r="G18" s="2538">
        <v>267.944368</v>
      </c>
      <c r="H18" s="2535">
        <v>44.641824</v>
      </c>
      <c r="I18" s="2536">
        <v>400.77194200000002</v>
      </c>
      <c r="J18" s="2539">
        <v>897.70558900000003</v>
      </c>
      <c r="K18" s="2540"/>
    </row>
    <row r="19" spans="1:11" s="2541" customFormat="1" ht="16.5" hidden="1" x14ac:dyDescent="0.3">
      <c r="A19" s="2534">
        <v>43160</v>
      </c>
      <c r="B19" s="2535">
        <v>138.338875</v>
      </c>
      <c r="C19" s="2535">
        <v>326.79253199999999</v>
      </c>
      <c r="D19" s="2535">
        <v>77.53407</v>
      </c>
      <c r="E19" s="2536">
        <v>542.66547700000001</v>
      </c>
      <c r="F19" s="2537">
        <v>113.005797</v>
      </c>
      <c r="G19" s="2538">
        <v>318.16151400000001</v>
      </c>
      <c r="H19" s="2535">
        <v>28.454459</v>
      </c>
      <c r="I19" s="2536">
        <v>459.62177000000003</v>
      </c>
      <c r="J19" s="2539">
        <v>1002.287247</v>
      </c>
      <c r="K19" s="2540"/>
    </row>
    <row r="20" spans="1:11" s="2541" customFormat="1" ht="16.5" hidden="1" x14ac:dyDescent="0.3">
      <c r="A20" s="2534">
        <v>43191</v>
      </c>
      <c r="B20" s="2535">
        <v>153.169408</v>
      </c>
      <c r="C20" s="2535">
        <v>301.75754999999998</v>
      </c>
      <c r="D20" s="2535">
        <v>54.435308999999997</v>
      </c>
      <c r="E20" s="2536">
        <v>509.36226700000003</v>
      </c>
      <c r="F20" s="2537">
        <v>89.853261000000003</v>
      </c>
      <c r="G20" s="2538">
        <v>265.09114199999999</v>
      </c>
      <c r="H20" s="2535">
        <v>28.988994999999999</v>
      </c>
      <c r="I20" s="2536">
        <v>383.93339799999995</v>
      </c>
      <c r="J20" s="2539">
        <v>893.29566499999999</v>
      </c>
      <c r="K20" s="2540"/>
    </row>
    <row r="21" spans="1:11" s="2541" customFormat="1" ht="16.5" hidden="1" x14ac:dyDescent="0.3">
      <c r="A21" s="2534">
        <v>43221</v>
      </c>
      <c r="B21" s="2535">
        <v>165.61107899999999</v>
      </c>
      <c r="C21" s="2535">
        <v>269.776388</v>
      </c>
      <c r="D21" s="2535">
        <v>69.107675999999998</v>
      </c>
      <c r="E21" s="2536">
        <v>504.49514299999998</v>
      </c>
      <c r="F21" s="2537">
        <v>120.92001999999999</v>
      </c>
      <c r="G21" s="2538">
        <v>335.93021900000002</v>
      </c>
      <c r="H21" s="2535">
        <v>49.894365000000001</v>
      </c>
      <c r="I21" s="2536">
        <v>506.74460399999998</v>
      </c>
      <c r="J21" s="2539">
        <v>1011.239747</v>
      </c>
      <c r="K21" s="2540"/>
    </row>
    <row r="22" spans="1:11" s="2541" customFormat="1" ht="16.5" hidden="1" x14ac:dyDescent="0.3">
      <c r="A22" s="2534">
        <v>43252</v>
      </c>
      <c r="B22" s="2535">
        <v>129.69221300000001</v>
      </c>
      <c r="C22" s="2535">
        <v>351.90395999999998</v>
      </c>
      <c r="D22" s="2535">
        <v>66.163261000000006</v>
      </c>
      <c r="E22" s="2536">
        <v>547.75943400000006</v>
      </c>
      <c r="F22" s="2537">
        <v>147.20232899999999</v>
      </c>
      <c r="G22" s="2538">
        <v>324.893507</v>
      </c>
      <c r="H22" s="2535">
        <v>42.271627000000002</v>
      </c>
      <c r="I22" s="2536">
        <v>514.36746299999993</v>
      </c>
      <c r="J22" s="2539">
        <v>1062.1268970000001</v>
      </c>
      <c r="K22" s="2540"/>
    </row>
    <row r="23" spans="1:11" s="2541" customFormat="1" ht="16.5" hidden="1" x14ac:dyDescent="0.3">
      <c r="A23" s="2534">
        <v>43282</v>
      </c>
      <c r="B23" s="2535">
        <v>123.905057</v>
      </c>
      <c r="C23" s="2535">
        <v>301.27023400000002</v>
      </c>
      <c r="D23" s="2535">
        <v>41.162365999999999</v>
      </c>
      <c r="E23" s="2536">
        <v>466.33765700000004</v>
      </c>
      <c r="F23" s="2537">
        <v>113.239209</v>
      </c>
      <c r="G23" s="2538">
        <v>348.41859599999998</v>
      </c>
      <c r="H23" s="2535">
        <v>37.818241999999998</v>
      </c>
      <c r="I23" s="2536">
        <v>499.47604699999999</v>
      </c>
      <c r="J23" s="2539">
        <v>965.81370400000003</v>
      </c>
      <c r="K23" s="2540"/>
    </row>
    <row r="24" spans="1:11" s="2541" customFormat="1" ht="16.5" hidden="1" x14ac:dyDescent="0.3">
      <c r="A24" s="2534">
        <v>43313</v>
      </c>
      <c r="B24" s="2535">
        <v>153.415706</v>
      </c>
      <c r="C24" s="2535">
        <v>270.624144</v>
      </c>
      <c r="D24" s="2535">
        <v>102.182585</v>
      </c>
      <c r="E24" s="2536">
        <v>526.22243500000002</v>
      </c>
      <c r="F24" s="2537">
        <v>119.78712400000001</v>
      </c>
      <c r="G24" s="2538">
        <v>368.63866200000001</v>
      </c>
      <c r="H24" s="2535">
        <v>44.826334000000003</v>
      </c>
      <c r="I24" s="2536">
        <v>533.25211999999999</v>
      </c>
      <c r="J24" s="2539">
        <v>1059.474555</v>
      </c>
      <c r="K24" s="2540"/>
    </row>
    <row r="25" spans="1:11" s="2541" customFormat="1" ht="16.5" hidden="1" x14ac:dyDescent="0.3">
      <c r="A25" s="2534">
        <v>43344</v>
      </c>
      <c r="B25" s="2535">
        <v>135.35585</v>
      </c>
      <c r="C25" s="2535">
        <v>256.28657099999998</v>
      </c>
      <c r="D25" s="2535">
        <v>92.386240999999998</v>
      </c>
      <c r="E25" s="2536">
        <v>484.028662</v>
      </c>
      <c r="F25" s="2537">
        <v>119.62672999999999</v>
      </c>
      <c r="G25" s="2538">
        <v>302.01903099999998</v>
      </c>
      <c r="H25" s="2535">
        <v>47.355319000000001</v>
      </c>
      <c r="I25" s="2536">
        <v>469.00108</v>
      </c>
      <c r="J25" s="2539">
        <v>953.02974200000006</v>
      </c>
      <c r="K25" s="2540"/>
    </row>
    <row r="26" spans="1:11" s="2541" customFormat="1" ht="16.5" hidden="1" x14ac:dyDescent="0.3">
      <c r="A26" s="2534">
        <v>43374</v>
      </c>
      <c r="B26" s="2535">
        <v>190.79169899999999</v>
      </c>
      <c r="C26" s="2535">
        <v>266.41715099999999</v>
      </c>
      <c r="D26" s="2535">
        <v>56.878337999999999</v>
      </c>
      <c r="E26" s="2536">
        <v>514.08718799999997</v>
      </c>
      <c r="F26" s="2537">
        <v>122.379482</v>
      </c>
      <c r="G26" s="2538">
        <v>322.594696</v>
      </c>
      <c r="H26" s="2535">
        <v>55.911962000000003</v>
      </c>
      <c r="I26" s="2536">
        <v>500.88614000000001</v>
      </c>
      <c r="J26" s="2539">
        <v>1014.973328</v>
      </c>
      <c r="K26" s="2540"/>
    </row>
    <row r="27" spans="1:11" s="2541" customFormat="1" ht="16.5" hidden="1" x14ac:dyDescent="0.3">
      <c r="A27" s="2534">
        <v>43405</v>
      </c>
      <c r="B27" s="2535">
        <v>172.770038</v>
      </c>
      <c r="C27" s="2535">
        <v>258.63543099999998</v>
      </c>
      <c r="D27" s="2535">
        <v>48.106962000000003</v>
      </c>
      <c r="E27" s="2536">
        <v>479.51243099999999</v>
      </c>
      <c r="F27" s="2537">
        <v>129.00512000000001</v>
      </c>
      <c r="G27" s="2538">
        <v>309.31397800000002</v>
      </c>
      <c r="H27" s="2535">
        <v>62.108376999999997</v>
      </c>
      <c r="I27" s="2536">
        <v>500.42747500000002</v>
      </c>
      <c r="J27" s="2539">
        <v>979.93990599999995</v>
      </c>
      <c r="K27" s="2540"/>
    </row>
    <row r="28" spans="1:11" s="2541" customFormat="1" ht="16.5" hidden="1" x14ac:dyDescent="0.3">
      <c r="A28" s="2534">
        <v>43435</v>
      </c>
      <c r="B28" s="2535">
        <v>170.73621900000001</v>
      </c>
      <c r="C28" s="2535">
        <v>317.59338100000002</v>
      </c>
      <c r="D28" s="2535">
        <v>76.943224000000001</v>
      </c>
      <c r="E28" s="2536">
        <v>565.27282400000001</v>
      </c>
      <c r="F28" s="2537">
        <v>168.26378700000001</v>
      </c>
      <c r="G28" s="2538">
        <v>322.24649599999998</v>
      </c>
      <c r="H28" s="2535">
        <v>64.751502000000002</v>
      </c>
      <c r="I28" s="2536">
        <v>555.26178500000003</v>
      </c>
      <c r="J28" s="2539">
        <v>1120.534609</v>
      </c>
      <c r="K28" s="2540"/>
    </row>
    <row r="29" spans="1:11" s="2541" customFormat="1" ht="16.5" hidden="1" x14ac:dyDescent="0.3">
      <c r="A29" s="2534">
        <v>43466</v>
      </c>
      <c r="B29" s="2535">
        <v>184.42350500000001</v>
      </c>
      <c r="C29" s="2535">
        <v>255.672166</v>
      </c>
      <c r="D29" s="2535">
        <v>116.893514</v>
      </c>
      <c r="E29" s="2536">
        <v>556.98918500000002</v>
      </c>
      <c r="F29" s="2537">
        <v>107.99948000000001</v>
      </c>
      <c r="G29" s="2538">
        <v>322.25951099999997</v>
      </c>
      <c r="H29" s="2535">
        <v>101.558629</v>
      </c>
      <c r="I29" s="2536">
        <v>531.81762000000003</v>
      </c>
      <c r="J29" s="2539">
        <v>1088.8068049999999</v>
      </c>
      <c r="K29" s="2540"/>
    </row>
    <row r="30" spans="1:11" s="2541" customFormat="1" ht="16.5" hidden="1" x14ac:dyDescent="0.3">
      <c r="A30" s="2534">
        <v>43497</v>
      </c>
      <c r="B30" s="2535">
        <v>136.49783300000001</v>
      </c>
      <c r="C30" s="2535">
        <v>263.46772700000002</v>
      </c>
      <c r="D30" s="2535">
        <v>61.831783000000001</v>
      </c>
      <c r="E30" s="2536">
        <v>461.79734300000001</v>
      </c>
      <c r="F30" s="2537">
        <v>110.995904</v>
      </c>
      <c r="G30" s="2538">
        <v>300.138081</v>
      </c>
      <c r="H30" s="2535">
        <v>51.533163000000002</v>
      </c>
      <c r="I30" s="2536">
        <v>462.667148</v>
      </c>
      <c r="J30" s="2539">
        <v>924.46449099999995</v>
      </c>
      <c r="K30" s="2540"/>
    </row>
    <row r="31" spans="1:11" s="2541" customFormat="1" ht="16.5" hidden="1" x14ac:dyDescent="0.3">
      <c r="A31" s="2534">
        <v>43525</v>
      </c>
      <c r="B31" s="2535">
        <v>179.14334500000001</v>
      </c>
      <c r="C31" s="2535">
        <v>268.88963200000001</v>
      </c>
      <c r="D31" s="2535">
        <v>93.050072</v>
      </c>
      <c r="E31" s="2536">
        <v>541.08304900000007</v>
      </c>
      <c r="F31" s="2537">
        <v>129.155824</v>
      </c>
      <c r="G31" s="2538">
        <v>278.52292</v>
      </c>
      <c r="H31" s="2535">
        <v>38.580140999999998</v>
      </c>
      <c r="I31" s="2536">
        <v>446.25888499999996</v>
      </c>
      <c r="J31" s="2539">
        <v>987.34193400000004</v>
      </c>
      <c r="K31" s="2540"/>
    </row>
    <row r="32" spans="1:11" s="2541" customFormat="1" ht="16.5" hidden="1" x14ac:dyDescent="0.3">
      <c r="A32" s="2534">
        <v>43556</v>
      </c>
      <c r="B32" s="2535">
        <v>174.499481</v>
      </c>
      <c r="C32" s="2535">
        <v>295.52389299999999</v>
      </c>
      <c r="D32" s="2535">
        <v>76.658833000000001</v>
      </c>
      <c r="E32" s="2536">
        <v>546.68220699999995</v>
      </c>
      <c r="F32" s="2537">
        <v>129.606784</v>
      </c>
      <c r="G32" s="2538">
        <v>358.01396299999999</v>
      </c>
      <c r="H32" s="2535">
        <v>48.058739000000003</v>
      </c>
      <c r="I32" s="2536">
        <v>535.679486</v>
      </c>
      <c r="J32" s="2539">
        <v>1082.3616930000001</v>
      </c>
      <c r="K32" s="2540"/>
    </row>
    <row r="33" spans="1:19" s="2541" customFormat="1" ht="16.5" hidden="1" x14ac:dyDescent="0.3">
      <c r="A33" s="2534">
        <v>43586</v>
      </c>
      <c r="B33" s="2535">
        <v>176.10825299999999</v>
      </c>
      <c r="C33" s="2535">
        <v>324.33425399999999</v>
      </c>
      <c r="D33" s="2535">
        <v>182.33185800000001</v>
      </c>
      <c r="E33" s="2536">
        <v>682.77436499999999</v>
      </c>
      <c r="F33" s="2537">
        <v>133.925397</v>
      </c>
      <c r="G33" s="2538">
        <v>320.39597099999997</v>
      </c>
      <c r="H33" s="2535">
        <v>68.510712999999996</v>
      </c>
      <c r="I33" s="2536">
        <v>522.83208100000002</v>
      </c>
      <c r="J33" s="2539">
        <v>1205.606446</v>
      </c>
      <c r="K33" s="2540"/>
    </row>
    <row r="34" spans="1:19" s="2541" customFormat="1" ht="16.5" hidden="1" x14ac:dyDescent="0.3">
      <c r="A34" s="2534">
        <v>43617</v>
      </c>
      <c r="B34" s="2535">
        <v>136.06574000000001</v>
      </c>
      <c r="C34" s="2535">
        <v>278.50144999999998</v>
      </c>
      <c r="D34" s="2535">
        <v>181.89193399999999</v>
      </c>
      <c r="E34" s="2536">
        <v>596.45912399999997</v>
      </c>
      <c r="F34" s="2537">
        <v>122.590762</v>
      </c>
      <c r="G34" s="2538">
        <v>304.799441</v>
      </c>
      <c r="H34" s="2535">
        <v>65.035065000000003</v>
      </c>
      <c r="I34" s="2536">
        <v>492.42526800000002</v>
      </c>
      <c r="J34" s="2539">
        <v>1088.8843919999999</v>
      </c>
      <c r="K34" s="2540"/>
    </row>
    <row r="35" spans="1:19" s="2541" customFormat="1" ht="16.5" hidden="1" x14ac:dyDescent="0.3">
      <c r="A35" s="2534">
        <v>43647</v>
      </c>
      <c r="B35" s="2535">
        <v>199.646086</v>
      </c>
      <c r="C35" s="2535">
        <v>285.77131800000001</v>
      </c>
      <c r="D35" s="2535">
        <v>57.617989000000001</v>
      </c>
      <c r="E35" s="2536">
        <v>543.035393</v>
      </c>
      <c r="F35" s="2537">
        <v>122.080456</v>
      </c>
      <c r="G35" s="2538">
        <v>341.28227199999998</v>
      </c>
      <c r="H35" s="2535">
        <v>34.344962000000002</v>
      </c>
      <c r="I35" s="2536">
        <v>497.70769000000001</v>
      </c>
      <c r="J35" s="2539">
        <v>1040.7430830000001</v>
      </c>
      <c r="K35" s="2540"/>
    </row>
    <row r="36" spans="1:19" s="2541" customFormat="1" ht="16.5" hidden="1" x14ac:dyDescent="0.3">
      <c r="A36" s="2534">
        <v>43678</v>
      </c>
      <c r="B36" s="2535">
        <v>198.48151999999999</v>
      </c>
      <c r="C36" s="2535">
        <v>251.330512</v>
      </c>
      <c r="D36" s="2535">
        <v>78.066406000000001</v>
      </c>
      <c r="E36" s="2536">
        <v>527.87843799999996</v>
      </c>
      <c r="F36" s="2537">
        <v>170.86985100000001</v>
      </c>
      <c r="G36" s="2538">
        <v>407.743763</v>
      </c>
      <c r="H36" s="2535">
        <v>45.827260000000003</v>
      </c>
      <c r="I36" s="2536">
        <v>624.44087400000001</v>
      </c>
      <c r="J36" s="2539">
        <v>1152.3193120000001</v>
      </c>
      <c r="K36" s="2540"/>
    </row>
    <row r="37" spans="1:19" s="2541" customFormat="1" ht="16.5" hidden="1" x14ac:dyDescent="0.3">
      <c r="A37" s="2534">
        <v>43709</v>
      </c>
      <c r="B37" s="2535">
        <v>122.801264</v>
      </c>
      <c r="C37" s="2535">
        <v>251.90190799999999</v>
      </c>
      <c r="D37" s="2535">
        <v>104.51127</v>
      </c>
      <c r="E37" s="2536">
        <v>479.21444200000002</v>
      </c>
      <c r="F37" s="2537">
        <v>137.52083200000001</v>
      </c>
      <c r="G37" s="2538">
        <v>302.26297699999998</v>
      </c>
      <c r="H37" s="2535">
        <v>55.772258000000001</v>
      </c>
      <c r="I37" s="2536">
        <v>495.55606699999998</v>
      </c>
      <c r="J37" s="2539">
        <v>974.77050899999995</v>
      </c>
      <c r="K37" s="2540"/>
    </row>
    <row r="38" spans="1:19" s="2541" customFormat="1" ht="16.5" hidden="1" x14ac:dyDescent="0.3">
      <c r="A38" s="2534">
        <v>43739</v>
      </c>
      <c r="B38" s="2535">
        <v>150.94170600000001</v>
      </c>
      <c r="C38" s="2535">
        <v>295.49974900000001</v>
      </c>
      <c r="D38" s="2535">
        <v>92.482240000000004</v>
      </c>
      <c r="E38" s="2536">
        <v>538.92369499999995</v>
      </c>
      <c r="F38" s="2537">
        <v>132.116353</v>
      </c>
      <c r="G38" s="2538">
        <v>334.81636600000002</v>
      </c>
      <c r="H38" s="2535">
        <v>66.177597000000006</v>
      </c>
      <c r="I38" s="2536">
        <v>533.11031600000001</v>
      </c>
      <c r="J38" s="2539">
        <v>1072.034011</v>
      </c>
      <c r="K38" s="2540"/>
    </row>
    <row r="39" spans="1:19" s="2541" customFormat="1" ht="16.5" hidden="1" x14ac:dyDescent="0.3">
      <c r="A39" s="2534">
        <v>43770</v>
      </c>
      <c r="B39" s="2535">
        <v>145.353589</v>
      </c>
      <c r="C39" s="2535">
        <v>251.47654800000001</v>
      </c>
      <c r="D39" s="2535">
        <v>56.080443000000002</v>
      </c>
      <c r="E39" s="2536">
        <v>452.91057999999998</v>
      </c>
      <c r="F39" s="2537">
        <v>124.52036699999999</v>
      </c>
      <c r="G39" s="2538">
        <v>297.22608100000002</v>
      </c>
      <c r="H39" s="2535">
        <v>39.686512999999998</v>
      </c>
      <c r="I39" s="2536">
        <v>461.43296099999998</v>
      </c>
      <c r="J39" s="2539">
        <v>914.34354099999996</v>
      </c>
      <c r="K39" s="2540"/>
    </row>
    <row r="40" spans="1:19" s="2541" customFormat="1" ht="16.5" hidden="1" x14ac:dyDescent="0.3">
      <c r="A40" s="2534">
        <v>43800</v>
      </c>
      <c r="B40" s="2535">
        <v>194.931096</v>
      </c>
      <c r="C40" s="2535">
        <v>307.80446599999999</v>
      </c>
      <c r="D40" s="2535">
        <v>53.30236</v>
      </c>
      <c r="E40" s="2536">
        <v>556.03792199999998</v>
      </c>
      <c r="F40" s="2537">
        <v>157.977574</v>
      </c>
      <c r="G40" s="2538">
        <v>304.91613000000001</v>
      </c>
      <c r="H40" s="2535">
        <v>92.405839999999998</v>
      </c>
      <c r="I40" s="2536">
        <v>555.29954399999997</v>
      </c>
      <c r="J40" s="2539">
        <v>1111.3374659999999</v>
      </c>
      <c r="K40" s="2540"/>
    </row>
    <row r="41" spans="1:19" s="2541" customFormat="1" ht="16.5" hidden="1" x14ac:dyDescent="0.3">
      <c r="A41" s="2534">
        <v>43831</v>
      </c>
      <c r="B41" s="2535">
        <v>178.89092600000001</v>
      </c>
      <c r="C41" s="2535">
        <v>292.43761699999999</v>
      </c>
      <c r="D41" s="2535">
        <v>47.878816</v>
      </c>
      <c r="E41" s="2536">
        <v>519.207359</v>
      </c>
      <c r="F41" s="2537">
        <v>124.618915</v>
      </c>
      <c r="G41" s="2538">
        <v>323.76042999999999</v>
      </c>
      <c r="H41" s="2535">
        <v>64.713352</v>
      </c>
      <c r="I41" s="2536">
        <v>513.09269700000004</v>
      </c>
      <c r="J41" s="2539">
        <v>1032.300056</v>
      </c>
      <c r="K41" s="2540"/>
    </row>
    <row r="42" spans="1:19" s="2541" customFormat="1" ht="16.5" hidden="1" x14ac:dyDescent="0.3">
      <c r="A42" s="2534">
        <v>43862</v>
      </c>
      <c r="B42" s="2535">
        <v>145.50209699999999</v>
      </c>
      <c r="C42" s="2535">
        <v>283.31029899999999</v>
      </c>
      <c r="D42" s="2535">
        <v>70.399871000000005</v>
      </c>
      <c r="E42" s="2536">
        <v>499.212267</v>
      </c>
      <c r="F42" s="2537">
        <v>114.788054</v>
      </c>
      <c r="G42" s="2538">
        <v>341.90761700000002</v>
      </c>
      <c r="H42" s="2535">
        <v>56.854312</v>
      </c>
      <c r="I42" s="2536">
        <v>513.549983</v>
      </c>
      <c r="J42" s="2539">
        <v>1012.76225</v>
      </c>
      <c r="K42" s="2540"/>
    </row>
    <row r="43" spans="1:19" s="2541" customFormat="1" ht="16.5" hidden="1" x14ac:dyDescent="0.3">
      <c r="A43" s="2534">
        <v>43891</v>
      </c>
      <c r="B43" s="2535">
        <v>130.36639600000001</v>
      </c>
      <c r="C43" s="2535">
        <v>229.70826600000001</v>
      </c>
      <c r="D43" s="2535">
        <v>83.427780999999996</v>
      </c>
      <c r="E43" s="2536">
        <v>443.50244300000003</v>
      </c>
      <c r="F43" s="2537">
        <v>125.07418800000001</v>
      </c>
      <c r="G43" s="2538">
        <v>260.85134900000003</v>
      </c>
      <c r="H43" s="2535">
        <v>54.351953000000002</v>
      </c>
      <c r="I43" s="2536">
        <v>440.27749</v>
      </c>
      <c r="J43" s="2539">
        <v>883.77993300000003</v>
      </c>
      <c r="K43" s="2540"/>
    </row>
    <row r="44" spans="1:19" s="2541" customFormat="1" ht="16.5" hidden="1" x14ac:dyDescent="0.3">
      <c r="A44" s="2534">
        <v>43922</v>
      </c>
      <c r="B44" s="2535">
        <v>81.205245000000005</v>
      </c>
      <c r="C44" s="2535">
        <v>120.909634</v>
      </c>
      <c r="D44" s="2535">
        <v>0</v>
      </c>
      <c r="E44" s="2536">
        <v>202.114879</v>
      </c>
      <c r="F44" s="2537">
        <v>64.56053</v>
      </c>
      <c r="G44" s="2538">
        <v>169.121917</v>
      </c>
      <c r="H44" s="2535">
        <v>29.914431</v>
      </c>
      <c r="I44" s="2536">
        <v>263.596878</v>
      </c>
      <c r="J44" s="2539">
        <v>465.71175699999998</v>
      </c>
      <c r="K44" s="2540"/>
      <c r="L44" s="2540"/>
      <c r="M44" s="2540"/>
      <c r="N44" s="2540"/>
      <c r="O44" s="2540"/>
      <c r="P44" s="2540"/>
      <c r="Q44" s="2540"/>
      <c r="R44" s="2540"/>
      <c r="S44" s="2540"/>
    </row>
    <row r="45" spans="1:19" s="2541" customFormat="1" ht="16.5" hidden="1" x14ac:dyDescent="0.3">
      <c r="A45" s="2534">
        <v>43952</v>
      </c>
      <c r="B45" s="2535">
        <v>71.360848000000004</v>
      </c>
      <c r="C45" s="2535">
        <v>92.584436999999994</v>
      </c>
      <c r="D45" s="2535">
        <v>4.1504099999999999</v>
      </c>
      <c r="E45" s="2536">
        <v>168.09569500000001</v>
      </c>
      <c r="F45" s="2537">
        <v>84.775093999999996</v>
      </c>
      <c r="G45" s="2538">
        <v>170.504794</v>
      </c>
      <c r="H45" s="2535">
        <v>20.937065</v>
      </c>
      <c r="I45" s="2536">
        <v>276.21695299999999</v>
      </c>
      <c r="J45" s="2539">
        <v>444.31264800000002</v>
      </c>
      <c r="K45" s="2540"/>
      <c r="L45" s="2540"/>
      <c r="M45" s="2540"/>
      <c r="N45" s="2540"/>
      <c r="O45" s="2540"/>
      <c r="P45" s="2540"/>
      <c r="Q45" s="2540"/>
      <c r="R45" s="2540"/>
      <c r="S45" s="2540"/>
    </row>
    <row r="46" spans="1:19" s="2541" customFormat="1" ht="16.5" hidden="1" x14ac:dyDescent="0.3">
      <c r="A46" s="2534">
        <v>43983</v>
      </c>
      <c r="B46" s="2535">
        <v>106.941774</v>
      </c>
      <c r="C46" s="2535">
        <v>204.59735900000001</v>
      </c>
      <c r="D46" s="2535">
        <v>11.440424</v>
      </c>
      <c r="E46" s="2536">
        <v>322.979557</v>
      </c>
      <c r="F46" s="2537">
        <v>125.39353300000001</v>
      </c>
      <c r="G46" s="2538">
        <v>224.717288</v>
      </c>
      <c r="H46" s="2535">
        <v>18.865672</v>
      </c>
      <c r="I46" s="2536">
        <v>368.976493</v>
      </c>
      <c r="J46" s="2539">
        <v>691.95605</v>
      </c>
      <c r="K46" s="2540"/>
      <c r="L46" s="2540"/>
      <c r="M46" s="2540"/>
      <c r="N46" s="2540"/>
      <c r="O46" s="2540"/>
      <c r="P46" s="2540"/>
      <c r="Q46" s="2540"/>
      <c r="R46" s="2540"/>
      <c r="S46" s="2540"/>
    </row>
    <row r="47" spans="1:19" s="2541" customFormat="1" ht="16.5" x14ac:dyDescent="0.3">
      <c r="A47" s="2534">
        <v>44013</v>
      </c>
      <c r="B47" s="2535">
        <v>96.989926999999994</v>
      </c>
      <c r="C47" s="2535">
        <v>152.366343</v>
      </c>
      <c r="D47" s="2535">
        <v>30.152978000000001</v>
      </c>
      <c r="E47" s="2536">
        <v>279.50924800000001</v>
      </c>
      <c r="F47" s="2537">
        <v>107.84173699999999</v>
      </c>
      <c r="G47" s="2538">
        <v>246.46110899999999</v>
      </c>
      <c r="H47" s="2535">
        <v>21.552505</v>
      </c>
      <c r="I47" s="2536">
        <v>375.85535099999998</v>
      </c>
      <c r="J47" s="2539">
        <v>655.364599</v>
      </c>
      <c r="K47" s="2540"/>
      <c r="L47" s="2540"/>
      <c r="M47" s="2540"/>
      <c r="N47" s="2540"/>
      <c r="O47" s="2540"/>
      <c r="P47" s="2540"/>
      <c r="Q47" s="2540"/>
      <c r="R47" s="2540"/>
      <c r="S47" s="2540"/>
    </row>
    <row r="48" spans="1:19" s="2541" customFormat="1" ht="16.5" x14ac:dyDescent="0.3">
      <c r="A48" s="2534">
        <v>44044</v>
      </c>
      <c r="B48" s="2535">
        <v>86.697439000000003</v>
      </c>
      <c r="C48" s="2535">
        <v>173.190541</v>
      </c>
      <c r="D48" s="2535">
        <v>24.547478000000002</v>
      </c>
      <c r="E48" s="2536">
        <v>284.43545799999998</v>
      </c>
      <c r="F48" s="2537">
        <v>127.528886</v>
      </c>
      <c r="G48" s="2538">
        <v>361.18041199999999</v>
      </c>
      <c r="H48" s="2535">
        <v>74.272642000000005</v>
      </c>
      <c r="I48" s="2536">
        <v>562.98194000000001</v>
      </c>
      <c r="J48" s="2539">
        <v>847.41739800000005</v>
      </c>
      <c r="K48" s="2540"/>
      <c r="L48" s="2540"/>
      <c r="M48" s="2540"/>
      <c r="N48" s="2540"/>
      <c r="O48" s="2540"/>
      <c r="P48" s="2540"/>
      <c r="Q48" s="2540"/>
      <c r="R48" s="2540"/>
      <c r="S48" s="2540"/>
    </row>
    <row r="49" spans="1:19" s="2541" customFormat="1" ht="16.5" x14ac:dyDescent="0.3">
      <c r="A49" s="2534">
        <v>44075</v>
      </c>
      <c r="B49" s="2535">
        <v>94.453462999999999</v>
      </c>
      <c r="C49" s="2535">
        <v>179.818051</v>
      </c>
      <c r="D49" s="2535">
        <v>12.452702</v>
      </c>
      <c r="E49" s="2536">
        <v>286.72421600000001</v>
      </c>
      <c r="F49" s="2537">
        <v>113.69351899999999</v>
      </c>
      <c r="G49" s="2538">
        <v>267.72168199999999</v>
      </c>
      <c r="H49" s="2535">
        <v>47.573014000000001</v>
      </c>
      <c r="I49" s="2536">
        <v>428.98821500000003</v>
      </c>
      <c r="J49" s="2539">
        <v>715.71243100000004</v>
      </c>
      <c r="K49" s="2540"/>
      <c r="L49" s="2540"/>
      <c r="M49" s="2540"/>
      <c r="N49" s="2540"/>
      <c r="O49" s="2540"/>
      <c r="P49" s="2540"/>
      <c r="Q49" s="2540"/>
      <c r="R49" s="2540"/>
      <c r="S49" s="2540"/>
    </row>
    <row r="50" spans="1:19" s="2541" customFormat="1" ht="16.5" x14ac:dyDescent="0.3">
      <c r="A50" s="2534">
        <v>44105</v>
      </c>
      <c r="B50" s="2535">
        <v>95.736504999999994</v>
      </c>
      <c r="C50" s="2535">
        <v>178.11486400000001</v>
      </c>
      <c r="D50" s="2535">
        <v>16.067779000000002</v>
      </c>
      <c r="E50" s="2536">
        <v>289.91914800000001</v>
      </c>
      <c r="F50" s="2537">
        <v>135.20443499999999</v>
      </c>
      <c r="G50" s="2538">
        <v>233.31923800000001</v>
      </c>
      <c r="H50" s="2535">
        <v>34.344360000000002</v>
      </c>
      <c r="I50" s="2536">
        <v>402.93494399999997</v>
      </c>
      <c r="J50" s="2539">
        <v>692.78600500000005</v>
      </c>
      <c r="K50" s="2540"/>
      <c r="L50" s="2540"/>
      <c r="M50" s="2540"/>
      <c r="N50" s="2540"/>
      <c r="O50" s="2540"/>
      <c r="P50" s="2540"/>
      <c r="Q50" s="2540"/>
      <c r="R50" s="2540"/>
      <c r="S50" s="2540"/>
    </row>
    <row r="51" spans="1:19" s="2541" customFormat="1" ht="16.5" x14ac:dyDescent="0.3">
      <c r="A51" s="2534">
        <v>44136</v>
      </c>
      <c r="B51" s="2535">
        <v>102.068724</v>
      </c>
      <c r="C51" s="2535">
        <v>179.406824</v>
      </c>
      <c r="D51" s="2535">
        <v>19.100179000000001</v>
      </c>
      <c r="E51" s="2536">
        <v>300.57572699999997</v>
      </c>
      <c r="F51" s="2537">
        <v>100.949342</v>
      </c>
      <c r="G51" s="2538">
        <v>248.79172600000001</v>
      </c>
      <c r="H51" s="2535">
        <v>42.245514</v>
      </c>
      <c r="I51" s="2536">
        <v>391.986582</v>
      </c>
      <c r="J51" s="2539">
        <v>692.56230900000003</v>
      </c>
      <c r="K51" s="2540"/>
      <c r="L51" s="2540"/>
      <c r="M51" s="2540"/>
      <c r="N51" s="2540"/>
      <c r="O51" s="2540"/>
      <c r="P51" s="2540"/>
      <c r="Q51" s="2540"/>
      <c r="R51" s="2540"/>
      <c r="S51" s="2540"/>
    </row>
    <row r="52" spans="1:19" s="2541" customFormat="1" ht="16.5" x14ac:dyDescent="0.3">
      <c r="A52" s="2534">
        <v>44166</v>
      </c>
      <c r="B52" s="2535">
        <v>109.127448</v>
      </c>
      <c r="C52" s="2535">
        <v>255.35006100000001</v>
      </c>
      <c r="D52" s="2535">
        <v>24.171104</v>
      </c>
      <c r="E52" s="2536">
        <v>388.64861300000001</v>
      </c>
      <c r="F52" s="2537">
        <v>128.583133</v>
      </c>
      <c r="G52" s="2538">
        <v>263.51133099999998</v>
      </c>
      <c r="H52" s="2535">
        <v>65.322834999999998</v>
      </c>
      <c r="I52" s="2536">
        <v>457.41729900000001</v>
      </c>
      <c r="J52" s="2539">
        <v>846.06591200000003</v>
      </c>
      <c r="K52" s="2540"/>
      <c r="L52" s="2540"/>
      <c r="M52" s="2540"/>
      <c r="N52" s="2540"/>
      <c r="O52" s="2540"/>
      <c r="P52" s="2540"/>
      <c r="Q52" s="2540"/>
      <c r="R52" s="2540"/>
      <c r="S52" s="2540"/>
    </row>
    <row r="53" spans="1:19" s="2541" customFormat="1" ht="16.5" x14ac:dyDescent="0.3">
      <c r="A53" s="2534">
        <v>44197</v>
      </c>
      <c r="B53" s="2535">
        <v>84.873045000000005</v>
      </c>
      <c r="C53" s="2535">
        <v>182.37834599999999</v>
      </c>
      <c r="D53" s="2535">
        <v>14.660762999999999</v>
      </c>
      <c r="E53" s="2536">
        <v>281.91215399999999</v>
      </c>
      <c r="F53" s="2537">
        <v>92.544019000000006</v>
      </c>
      <c r="G53" s="2538">
        <v>255.684507</v>
      </c>
      <c r="H53" s="2535">
        <v>25.232264000000001</v>
      </c>
      <c r="I53" s="2536">
        <v>373.46078999999997</v>
      </c>
      <c r="J53" s="2539">
        <v>655.37294399999996</v>
      </c>
      <c r="K53" s="2540"/>
      <c r="L53" s="2540"/>
      <c r="M53" s="2540"/>
      <c r="N53" s="2540"/>
      <c r="O53" s="2540"/>
      <c r="P53" s="2540"/>
      <c r="Q53" s="2540"/>
      <c r="R53" s="2540"/>
      <c r="S53" s="2540"/>
    </row>
    <row r="54" spans="1:19" s="2541" customFormat="1" ht="16.5" x14ac:dyDescent="0.3">
      <c r="A54" s="2534">
        <v>44228</v>
      </c>
      <c r="B54" s="2535">
        <v>78.279640999999998</v>
      </c>
      <c r="C54" s="2535">
        <v>157.02091200000001</v>
      </c>
      <c r="D54" s="2535">
        <v>33.897606000000003</v>
      </c>
      <c r="E54" s="2536">
        <v>269.19815899999998</v>
      </c>
      <c r="F54" s="2537">
        <v>99.171368000000001</v>
      </c>
      <c r="G54" s="2538">
        <v>252.865959</v>
      </c>
      <c r="H54" s="2535">
        <v>28.804141000000001</v>
      </c>
      <c r="I54" s="2536">
        <v>380.84146800000002</v>
      </c>
      <c r="J54" s="2539">
        <v>650</v>
      </c>
      <c r="K54" s="2540"/>
      <c r="L54" s="2540"/>
      <c r="M54" s="2540"/>
      <c r="N54" s="2540"/>
      <c r="O54" s="2540"/>
      <c r="P54" s="2540"/>
      <c r="Q54" s="2540"/>
      <c r="R54" s="2540"/>
      <c r="S54" s="2540"/>
    </row>
    <row r="55" spans="1:19" s="2541" customFormat="1" ht="16.5" x14ac:dyDescent="0.3">
      <c r="A55" s="2534">
        <v>44256</v>
      </c>
      <c r="B55" s="2535">
        <v>95.491939000000002</v>
      </c>
      <c r="C55" s="2535">
        <v>140.62915799999999</v>
      </c>
      <c r="D55" s="2535">
        <v>15.336401</v>
      </c>
      <c r="E55" s="2536">
        <v>251.45749799999999</v>
      </c>
      <c r="F55" s="2537">
        <v>117.878316</v>
      </c>
      <c r="G55" s="2538">
        <v>214.352147</v>
      </c>
      <c r="H55" s="2535">
        <v>33.977238999999997</v>
      </c>
      <c r="I55" s="2536">
        <v>366.20770199999998</v>
      </c>
      <c r="J55" s="2539">
        <v>617.66520000000003</v>
      </c>
      <c r="K55" s="2540"/>
      <c r="L55" s="2540"/>
      <c r="M55" s="2540"/>
      <c r="N55" s="2540"/>
      <c r="O55" s="2540"/>
      <c r="P55" s="2540"/>
      <c r="Q55" s="2540"/>
      <c r="R55" s="2540"/>
      <c r="S55" s="2540"/>
    </row>
    <row r="56" spans="1:19" s="2541" customFormat="1" ht="16.5" x14ac:dyDescent="0.3">
      <c r="A56" s="2534">
        <v>44287</v>
      </c>
      <c r="B56" s="2535">
        <v>91.106812000000005</v>
      </c>
      <c r="C56" s="2535">
        <v>130.17127400000001</v>
      </c>
      <c r="D56" s="2535">
        <v>19.983184999999999</v>
      </c>
      <c r="E56" s="2536">
        <v>241.26127099999999</v>
      </c>
      <c r="F56" s="2537">
        <v>117.37154</v>
      </c>
      <c r="G56" s="2538">
        <v>205.71199999999999</v>
      </c>
      <c r="H56" s="2535">
        <v>26.203202000000001</v>
      </c>
      <c r="I56" s="2536">
        <v>349.286742</v>
      </c>
      <c r="J56" s="2539">
        <v>590.6</v>
      </c>
      <c r="K56" s="2540"/>
      <c r="L56" s="2540"/>
      <c r="M56" s="2540"/>
      <c r="N56" s="2540"/>
      <c r="O56" s="2540"/>
      <c r="P56" s="2540"/>
      <c r="Q56" s="2540"/>
      <c r="R56" s="2540"/>
      <c r="S56" s="2540"/>
    </row>
    <row r="57" spans="1:19" s="2541" customFormat="1" ht="16.5" x14ac:dyDescent="0.3">
      <c r="A57" s="2534">
        <v>44317</v>
      </c>
      <c r="B57" s="2535">
        <v>83.3</v>
      </c>
      <c r="C57" s="2535">
        <v>155</v>
      </c>
      <c r="D57" s="2535">
        <v>6.9</v>
      </c>
      <c r="E57" s="2536">
        <v>245.2</v>
      </c>
      <c r="F57" s="2537">
        <v>120</v>
      </c>
      <c r="G57" s="2538">
        <v>226.1</v>
      </c>
      <c r="H57" s="2535">
        <v>15.6</v>
      </c>
      <c r="I57" s="2536">
        <v>361.7</v>
      </c>
      <c r="J57" s="2539">
        <v>606.9</v>
      </c>
      <c r="K57" s="2540"/>
      <c r="L57" s="2540"/>
      <c r="M57" s="2540"/>
      <c r="N57" s="2540"/>
      <c r="O57" s="2540"/>
      <c r="P57" s="2540"/>
      <c r="Q57" s="2540"/>
      <c r="R57" s="2540"/>
      <c r="S57" s="2540"/>
    </row>
    <row r="58" spans="1:19" s="2541" customFormat="1" ht="16.5" x14ac:dyDescent="0.3">
      <c r="A58" s="2534">
        <v>44348</v>
      </c>
      <c r="B58" s="2535">
        <v>105.648787</v>
      </c>
      <c r="C58" s="2535">
        <v>226.105761</v>
      </c>
      <c r="D58" s="2535">
        <v>19.465350999999998</v>
      </c>
      <c r="E58" s="2536">
        <v>351.219899</v>
      </c>
      <c r="F58" s="2537">
        <v>144.85386199999999</v>
      </c>
      <c r="G58" s="2538">
        <v>240.063627</v>
      </c>
      <c r="H58" s="2535">
        <v>27.861561999999999</v>
      </c>
      <c r="I58" s="2536">
        <v>412.77905099999998</v>
      </c>
      <c r="J58" s="2539">
        <v>763.99895000000004</v>
      </c>
      <c r="K58" s="2540"/>
      <c r="L58" s="2540"/>
      <c r="M58" s="2540"/>
      <c r="N58" s="2540"/>
      <c r="O58" s="2540"/>
      <c r="P58" s="2540"/>
      <c r="Q58" s="2540"/>
      <c r="R58" s="2540"/>
      <c r="S58" s="2540"/>
    </row>
    <row r="59" spans="1:19" s="2541" customFormat="1" ht="17.25" thickBot="1" x14ac:dyDescent="0.35">
      <c r="A59" s="2548">
        <v>44378</v>
      </c>
      <c r="B59" s="2549">
        <v>81.772561999999994</v>
      </c>
      <c r="C59" s="2549">
        <v>153.82618199999999</v>
      </c>
      <c r="D59" s="2549">
        <v>18.426746999999999</v>
      </c>
      <c r="E59" s="2550">
        <v>254.02549099999999</v>
      </c>
      <c r="F59" s="2551">
        <v>117.57759299999999</v>
      </c>
      <c r="G59" s="2552">
        <v>237.081064</v>
      </c>
      <c r="H59" s="2549">
        <v>21.140342</v>
      </c>
      <c r="I59" s="2550">
        <v>375.79899899999998</v>
      </c>
      <c r="J59" s="2553">
        <v>629.82448999999997</v>
      </c>
      <c r="K59" s="2540"/>
      <c r="L59" s="2540"/>
      <c r="M59" s="2540"/>
      <c r="N59" s="2540"/>
      <c r="O59" s="2540"/>
      <c r="P59" s="2540"/>
      <c r="Q59" s="2540"/>
      <c r="R59" s="2540"/>
      <c r="S59" s="2540"/>
    </row>
    <row r="60" spans="1:19" s="2554" customFormat="1" ht="16.5" customHeight="1" thickTop="1" x14ac:dyDescent="0.25">
      <c r="A60" s="2554" t="s">
        <v>4811</v>
      </c>
      <c r="B60" s="2555"/>
      <c r="C60" s="2555"/>
      <c r="D60" s="2555"/>
      <c r="E60" s="2555"/>
      <c r="F60" s="2555"/>
      <c r="G60" s="2555"/>
      <c r="H60" s="2555"/>
      <c r="I60" s="2555"/>
      <c r="J60" s="2555"/>
    </row>
    <row r="61" spans="1:19" s="2554" customFormat="1" ht="16.5" customHeight="1" x14ac:dyDescent="0.25">
      <c r="A61" s="2554" t="s">
        <v>4812</v>
      </c>
      <c r="B61" s="2555"/>
      <c r="C61" s="2555"/>
      <c r="D61" s="2555"/>
      <c r="E61" s="2555"/>
      <c r="F61" s="2555"/>
      <c r="G61" s="2555"/>
      <c r="H61" s="2555"/>
      <c r="I61" s="2555"/>
      <c r="J61" s="2555"/>
    </row>
    <row r="62" spans="1:19" s="2554" customFormat="1" ht="16.5" customHeight="1" x14ac:dyDescent="0.25">
      <c r="A62" s="2554" t="s">
        <v>172</v>
      </c>
      <c r="B62" s="2555"/>
      <c r="C62" s="2555"/>
      <c r="D62" s="2555"/>
      <c r="E62" s="2555"/>
      <c r="F62" s="2555"/>
      <c r="G62" s="2555"/>
      <c r="H62" s="2555"/>
      <c r="I62" s="2555"/>
      <c r="J62" s="2555"/>
    </row>
    <row r="63" spans="1:19" s="2554" customFormat="1" ht="16.5" customHeight="1" x14ac:dyDescent="0.25">
      <c r="A63" s="2554" t="s">
        <v>3553</v>
      </c>
      <c r="B63" s="2555"/>
      <c r="C63" s="2555"/>
      <c r="D63" s="2555"/>
      <c r="E63" s="2555"/>
      <c r="F63" s="2555"/>
      <c r="G63" s="2555"/>
      <c r="H63" s="2555"/>
      <c r="I63" s="2555"/>
      <c r="J63" s="2555"/>
    </row>
    <row r="64" spans="1:19" s="2556" customFormat="1" ht="16.5" x14ac:dyDescent="0.3"/>
    <row r="65" spans="2:17" s="2556" customFormat="1" ht="16.5" x14ac:dyDescent="0.3"/>
    <row r="66" spans="2:17" x14ac:dyDescent="0.25">
      <c r="D66" s="2557"/>
      <c r="H66" s="2557"/>
    </row>
    <row r="67" spans="2:17" x14ac:dyDescent="0.25">
      <c r="D67" s="2557"/>
    </row>
    <row r="68" spans="2:17" x14ac:dyDescent="0.25">
      <c r="B68" s="2557"/>
      <c r="C68" s="2557"/>
      <c r="D68" s="2557"/>
      <c r="E68" s="2557"/>
      <c r="F68" s="2557"/>
      <c r="G68" s="2557"/>
      <c r="H68" s="2557"/>
      <c r="I68" s="2557"/>
      <c r="J68" s="2557"/>
      <c r="K68" s="2557"/>
    </row>
    <row r="69" spans="2:17" x14ac:dyDescent="0.25">
      <c r="B69" s="2557"/>
      <c r="C69" s="2557"/>
      <c r="D69" s="2557"/>
      <c r="E69" s="2557"/>
      <c r="F69" s="2557"/>
      <c r="G69" s="2557"/>
      <c r="H69" s="2557"/>
      <c r="I69" s="2557"/>
      <c r="J69" s="2557"/>
      <c r="K69" s="2557"/>
      <c r="L69" s="2557"/>
      <c r="M69" s="2557"/>
      <c r="N69" s="2557"/>
      <c r="O69" s="2557"/>
      <c r="P69" s="2557"/>
      <c r="Q69" s="2557"/>
    </row>
    <row r="70" spans="2:17" x14ac:dyDescent="0.25">
      <c r="B70" s="2557"/>
      <c r="C70" s="2557"/>
      <c r="D70" s="2557"/>
      <c r="E70" s="2557"/>
      <c r="F70" s="2557"/>
      <c r="G70" s="2557"/>
      <c r="H70" s="2557"/>
      <c r="I70" s="2557"/>
      <c r="J70" s="2557"/>
      <c r="K70" s="2557"/>
      <c r="L70" s="2557"/>
      <c r="M70" s="2557"/>
      <c r="N70" s="2557"/>
      <c r="O70" s="2557"/>
    </row>
    <row r="71" spans="2:17" x14ac:dyDescent="0.25">
      <c r="B71" s="2557"/>
      <c r="C71" s="2557"/>
      <c r="D71" s="2557"/>
      <c r="E71" s="2557"/>
      <c r="F71" s="2557"/>
      <c r="G71" s="2557"/>
      <c r="H71" s="2557"/>
      <c r="I71" s="2557"/>
      <c r="J71" s="2557"/>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BG33"/>
  <sheetViews>
    <sheetView showGridLines="0" zoomScale="90" zoomScaleNormal="90" zoomScaleSheetLayoutView="80" workbookViewId="0">
      <pane xSplit="1" ySplit="3" topLeftCell="B4" activePane="bottomRight" state="frozen"/>
      <selection activeCell="A150" sqref="A150"/>
      <selection pane="topRight" activeCell="A150" sqref="A150"/>
      <selection pane="bottomLeft" activeCell="A150" sqref="A150"/>
      <selection pane="bottomRight"/>
    </sheetView>
  </sheetViews>
  <sheetFormatPr defaultColWidth="9.140625" defaultRowHeight="14.25" x14ac:dyDescent="0.25"/>
  <cols>
    <col min="1" max="1" width="13.5703125" style="2631" customWidth="1"/>
    <col min="2" max="2" width="74.5703125" style="2526" bestFit="1" customWidth="1"/>
    <col min="3" max="3" width="7.28515625" style="1820" hidden="1" customWidth="1"/>
    <col min="4" max="4" width="7.5703125" style="1820" hidden="1" customWidth="1"/>
    <col min="5" max="5" width="8" style="1820" hidden="1" customWidth="1"/>
    <col min="6" max="6" width="7.7109375" style="1820" hidden="1" customWidth="1"/>
    <col min="7" max="7" width="8.28515625" style="1820" hidden="1" customWidth="1"/>
    <col min="8" max="8" width="7.28515625" style="1820" hidden="1" customWidth="1"/>
    <col min="9" max="9" width="6.7109375" style="1820" hidden="1" customWidth="1"/>
    <col min="10" max="10" width="8" style="1820" hidden="1" customWidth="1"/>
    <col min="11" max="11" width="7.7109375" style="1820" hidden="1" customWidth="1"/>
    <col min="12" max="12" width="7.42578125" style="1820" hidden="1" customWidth="1"/>
    <col min="13" max="13" width="8.140625" style="1820" hidden="1" customWidth="1"/>
    <col min="14" max="14" width="7.7109375" style="1820" hidden="1" customWidth="1"/>
    <col min="15" max="15" width="7.28515625" style="1820" hidden="1" customWidth="1"/>
    <col min="16" max="16" width="7.5703125" style="1820" hidden="1" customWidth="1"/>
    <col min="17" max="17" width="8" style="1820" hidden="1" customWidth="1"/>
    <col min="18" max="18" width="7.7109375" style="1820" hidden="1" customWidth="1"/>
    <col min="19" max="19" width="9.42578125" style="1820" hidden="1" customWidth="1"/>
    <col min="20" max="20" width="8.5703125" style="1820" hidden="1" customWidth="1"/>
    <col min="21" max="21" width="7.85546875" style="1820" hidden="1" customWidth="1"/>
    <col min="22" max="22" width="9.140625" style="1820" hidden="1" customWidth="1"/>
    <col min="23" max="23" width="8.7109375" style="1820" hidden="1" customWidth="1"/>
    <col min="24" max="24" width="8.42578125" style="1820" hidden="1" customWidth="1"/>
    <col min="25" max="25" width="9.28515625" style="1820" hidden="1" customWidth="1"/>
    <col min="26" max="26" width="8.85546875" style="1820" hidden="1" customWidth="1"/>
    <col min="27" max="27" width="8.42578125" style="1820" hidden="1" customWidth="1"/>
    <col min="28" max="28" width="8.28515625" style="1820" hidden="1" customWidth="1"/>
    <col min="29" max="29" width="8.7109375" style="1820" hidden="1" customWidth="1"/>
    <col min="30" max="30" width="8.42578125" style="1820" hidden="1" customWidth="1"/>
    <col min="31" max="31" width="9" style="1820" hidden="1" customWidth="1"/>
    <col min="32" max="32" width="8.28515625" style="1820" hidden="1" customWidth="1"/>
    <col min="33" max="33" width="7.5703125" style="1820" hidden="1" customWidth="1"/>
    <col min="34" max="34" width="8.85546875" style="1820" hidden="1" customWidth="1"/>
    <col min="35" max="35" width="8.28515625" style="1820" hidden="1" customWidth="1"/>
    <col min="36" max="36" width="8.140625" style="1820" hidden="1" customWidth="1"/>
    <col min="37" max="37" width="8.85546875" style="1820" hidden="1" customWidth="1"/>
    <col min="38" max="38" width="8.42578125" style="1820" hidden="1" customWidth="1"/>
    <col min="39" max="39" width="8.140625" style="1820" hidden="1" customWidth="1"/>
    <col min="40" max="40" width="8.28515625" style="1820" hidden="1" customWidth="1"/>
    <col min="41" max="41" width="8.7109375" style="1820" hidden="1" customWidth="1"/>
    <col min="42" max="42" width="8.42578125" style="1820" hidden="1" customWidth="1"/>
    <col min="43" max="43" width="9" style="1820" hidden="1" customWidth="1"/>
    <col min="44" max="44" width="8.28515625" style="1820" hidden="1" customWidth="1"/>
    <col min="45" max="45" width="7.5703125" style="1820" bestFit="1" customWidth="1"/>
    <col min="46" max="46" width="8.85546875" style="1820" bestFit="1" customWidth="1"/>
    <col min="47" max="47" width="8.28515625" style="1820" bestFit="1" customWidth="1"/>
    <col min="48" max="57" width="8.7109375" style="1820" customWidth="1"/>
    <col min="58" max="58" width="11.85546875" style="1820" bestFit="1" customWidth="1"/>
    <col min="59" max="16384" width="9.140625" style="1820"/>
  </cols>
  <sheetData>
    <row r="1" spans="1:59" s="2558" customFormat="1" ht="18.75" x14ac:dyDescent="0.3">
      <c r="A1" s="2523" t="s">
        <v>4813</v>
      </c>
      <c r="B1" s="2523"/>
    </row>
    <row r="2" spans="1:59" s="2560" customFormat="1" ht="17.25" thickBot="1" x14ac:dyDescent="0.35">
      <c r="A2" s="2559"/>
      <c r="T2" s="2561"/>
      <c r="W2" s="2561"/>
      <c r="Y2" s="2561"/>
      <c r="AE2" s="2562"/>
      <c r="AF2" s="2562"/>
      <c r="AG2" s="2562"/>
      <c r="AH2" s="2562"/>
      <c r="AJ2" s="2563"/>
      <c r="AK2" s="3903" t="s">
        <v>3968</v>
      </c>
      <c r="AL2" s="3903"/>
      <c r="AM2" s="3903"/>
      <c r="AN2" s="3903"/>
      <c r="AO2" s="3903"/>
      <c r="AP2" s="3903"/>
      <c r="AQ2" s="3903"/>
      <c r="AR2" s="3903"/>
      <c r="AS2" s="3903"/>
      <c r="AT2" s="3903"/>
      <c r="AU2" s="3903"/>
      <c r="AV2" s="3903"/>
      <c r="AW2" s="3903"/>
      <c r="AX2" s="3903"/>
      <c r="AY2" s="3903"/>
      <c r="AZ2" s="3903"/>
      <c r="BA2" s="3903"/>
      <c r="BB2" s="3903"/>
      <c r="BC2" s="3903"/>
      <c r="BD2" s="3903"/>
      <c r="BE2" s="3903"/>
    </row>
    <row r="3" spans="1:59" s="2575" customFormat="1" ht="34.5" thickTop="1" thickBot="1" x14ac:dyDescent="0.3">
      <c r="A3" s="2564" t="s">
        <v>4814</v>
      </c>
      <c r="B3" s="2565" t="s">
        <v>4815</v>
      </c>
      <c r="C3" s="2566">
        <v>42736</v>
      </c>
      <c r="D3" s="2567">
        <v>42767</v>
      </c>
      <c r="E3" s="2567">
        <v>42795</v>
      </c>
      <c r="F3" s="2567">
        <v>42826</v>
      </c>
      <c r="G3" s="2567">
        <v>42856</v>
      </c>
      <c r="H3" s="2567">
        <v>42887</v>
      </c>
      <c r="I3" s="2567">
        <v>42917</v>
      </c>
      <c r="J3" s="2567">
        <v>42948</v>
      </c>
      <c r="K3" s="2567">
        <v>42979</v>
      </c>
      <c r="L3" s="2567">
        <v>43009</v>
      </c>
      <c r="M3" s="2568">
        <v>43040</v>
      </c>
      <c r="N3" s="2569">
        <v>43070</v>
      </c>
      <c r="O3" s="2569">
        <v>43101</v>
      </c>
      <c r="P3" s="2569">
        <v>43132</v>
      </c>
      <c r="Q3" s="2569">
        <v>43160</v>
      </c>
      <c r="R3" s="2569">
        <v>43191</v>
      </c>
      <c r="S3" s="2570">
        <v>43221</v>
      </c>
      <c r="T3" s="2570">
        <v>43252</v>
      </c>
      <c r="U3" s="2571">
        <v>43282</v>
      </c>
      <c r="V3" s="2572">
        <v>43313</v>
      </c>
      <c r="W3" s="2573">
        <v>43344</v>
      </c>
      <c r="X3" s="2573">
        <v>43374</v>
      </c>
      <c r="Y3" s="2573">
        <v>43405</v>
      </c>
      <c r="Z3" s="2573">
        <v>43435</v>
      </c>
      <c r="AA3" s="2573">
        <v>43466</v>
      </c>
      <c r="AB3" s="2574">
        <v>43497</v>
      </c>
      <c r="AC3" s="2574">
        <v>43525</v>
      </c>
      <c r="AD3" s="2574">
        <v>43556</v>
      </c>
      <c r="AE3" s="2574">
        <v>43586</v>
      </c>
      <c r="AF3" s="2574">
        <v>43617</v>
      </c>
      <c r="AG3" s="2574">
        <v>43647</v>
      </c>
      <c r="AH3" s="2574">
        <v>43678</v>
      </c>
      <c r="AI3" s="2574">
        <v>43709</v>
      </c>
      <c r="AJ3" s="2574">
        <v>43739</v>
      </c>
      <c r="AK3" s="2574">
        <v>43770</v>
      </c>
      <c r="AL3" s="2574">
        <v>43800</v>
      </c>
      <c r="AM3" s="2574">
        <v>43831</v>
      </c>
      <c r="AN3" s="2574">
        <v>43862</v>
      </c>
      <c r="AO3" s="2574">
        <v>43891</v>
      </c>
      <c r="AP3" s="2574">
        <v>43922</v>
      </c>
      <c r="AQ3" s="2574">
        <v>43952</v>
      </c>
      <c r="AR3" s="2574">
        <v>43983</v>
      </c>
      <c r="AS3" s="2574">
        <v>44013</v>
      </c>
      <c r="AT3" s="2574">
        <v>44044</v>
      </c>
      <c r="AU3" s="2574">
        <v>44075</v>
      </c>
      <c r="AV3" s="2574">
        <v>44105</v>
      </c>
      <c r="AW3" s="2574">
        <v>44136</v>
      </c>
      <c r="AX3" s="2574">
        <v>44166</v>
      </c>
      <c r="AY3" s="2574">
        <v>44197</v>
      </c>
      <c r="AZ3" s="2574">
        <v>44228</v>
      </c>
      <c r="BA3" s="2574">
        <v>44256</v>
      </c>
      <c r="BB3" s="2574">
        <v>44287</v>
      </c>
      <c r="BC3" s="2574">
        <v>44317</v>
      </c>
      <c r="BD3" s="2574">
        <v>44348</v>
      </c>
      <c r="BE3" s="2574">
        <v>44378</v>
      </c>
    </row>
    <row r="4" spans="1:59" ht="17.25" x14ac:dyDescent="0.3">
      <c r="A4" s="2576" t="s">
        <v>4816</v>
      </c>
      <c r="B4" s="2577" t="s">
        <v>3528</v>
      </c>
      <c r="C4" s="2578">
        <v>18.018346000000001</v>
      </c>
      <c r="D4" s="2579">
        <v>17.625985</v>
      </c>
      <c r="E4" s="2579">
        <v>30.229496000000001</v>
      </c>
      <c r="F4" s="2579">
        <v>16.490887000000001</v>
      </c>
      <c r="G4" s="2579">
        <v>2.4953050000000001</v>
      </c>
      <c r="H4" s="2579">
        <v>11.182695000000001</v>
      </c>
      <c r="I4" s="2579">
        <v>18.562246999999999</v>
      </c>
      <c r="J4" s="2579">
        <v>5.059183</v>
      </c>
      <c r="K4" s="2579">
        <v>10.032921999999999</v>
      </c>
      <c r="L4" s="2579">
        <v>17.515525</v>
      </c>
      <c r="M4" s="2580">
        <v>15.898956</v>
      </c>
      <c r="N4" s="2581">
        <v>11.433578000000001</v>
      </c>
      <c r="O4" s="2581">
        <v>22.153179000000002</v>
      </c>
      <c r="P4" s="2581">
        <v>43.992510000000003</v>
      </c>
      <c r="Q4" s="2581">
        <v>33.883398</v>
      </c>
      <c r="R4" s="2581">
        <v>12.625458999999999</v>
      </c>
      <c r="S4" s="2582">
        <v>9.1494990000000005</v>
      </c>
      <c r="T4" s="2582">
        <v>21.530449000000001</v>
      </c>
      <c r="U4" s="2583">
        <v>17.676846999999999</v>
      </c>
      <c r="V4" s="2584">
        <v>18.615365000000001</v>
      </c>
      <c r="W4" s="2585">
        <v>22.299586000000001</v>
      </c>
      <c r="X4" s="2585">
        <v>8.6744679999999992</v>
      </c>
      <c r="Y4" s="2585">
        <v>4.5923470000000002</v>
      </c>
      <c r="Z4" s="2585">
        <v>14.218329000000001</v>
      </c>
      <c r="AA4" s="2585">
        <v>33.238545999999999</v>
      </c>
      <c r="AB4" s="2586">
        <v>15.908264000000001</v>
      </c>
      <c r="AC4" s="2586">
        <v>25.656555999999998</v>
      </c>
      <c r="AD4" s="2586">
        <v>8.7244899999999994</v>
      </c>
      <c r="AE4" s="2586">
        <v>38.616425</v>
      </c>
      <c r="AF4" s="2586">
        <v>16.074694000000001</v>
      </c>
      <c r="AG4" s="2586">
        <v>12.775321</v>
      </c>
      <c r="AH4" s="2586">
        <v>25.684743000000001</v>
      </c>
      <c r="AI4" s="2586">
        <v>20.970490000000002</v>
      </c>
      <c r="AJ4" s="2586">
        <v>33.017175999999999</v>
      </c>
      <c r="AK4" s="2586">
        <v>15.122108000000001</v>
      </c>
      <c r="AL4" s="2586">
        <v>17.782889000000001</v>
      </c>
      <c r="AM4" s="2586">
        <v>10.373018999999999</v>
      </c>
      <c r="AN4" s="2586">
        <v>14.924951999999999</v>
      </c>
      <c r="AO4" s="2586">
        <v>47.552660000000003</v>
      </c>
      <c r="AP4" s="2586">
        <v>0.83364499999999997</v>
      </c>
      <c r="AQ4" s="2586">
        <v>1.0780430000000001</v>
      </c>
      <c r="AR4" s="2586">
        <v>3.5554410000000001</v>
      </c>
      <c r="AS4" s="2586">
        <v>13.854087</v>
      </c>
      <c r="AT4" s="2586">
        <v>13.742762000000001</v>
      </c>
      <c r="AU4" s="2586">
        <v>18.350688999999999</v>
      </c>
      <c r="AV4" s="2586">
        <v>3.3960759999999999</v>
      </c>
      <c r="AW4" s="2586">
        <v>5.2367319999999999</v>
      </c>
      <c r="AX4" s="2586">
        <v>21.401758000000001</v>
      </c>
      <c r="AY4" s="2586">
        <v>7.1285759999999998</v>
      </c>
      <c r="AZ4" s="2586">
        <v>21.222111000000002</v>
      </c>
      <c r="BA4" s="2587">
        <v>4.8688140000000004</v>
      </c>
      <c r="BB4" s="2587">
        <v>4.9187779999999997</v>
      </c>
      <c r="BC4" s="2587">
        <v>5.2747719999999996</v>
      </c>
      <c r="BD4" s="2587">
        <v>9.8771179999999994</v>
      </c>
      <c r="BE4" s="2587">
        <v>5.4991180000000002</v>
      </c>
      <c r="BF4" s="2588"/>
      <c r="BG4" s="2588"/>
    </row>
    <row r="5" spans="1:59" ht="17.25" x14ac:dyDescent="0.3">
      <c r="A5" s="2589" t="s">
        <v>4817</v>
      </c>
      <c r="B5" s="2590" t="s">
        <v>3529</v>
      </c>
      <c r="C5" s="2591">
        <v>5.6963E-2</v>
      </c>
      <c r="D5" s="2592">
        <v>0</v>
      </c>
      <c r="E5" s="2592">
        <v>0.33337699999999998</v>
      </c>
      <c r="F5" s="2592">
        <v>8.1715999999999997E-2</v>
      </c>
      <c r="G5" s="2592">
        <v>8.8495000000000004E-2</v>
      </c>
      <c r="H5" s="2592">
        <v>0.06</v>
      </c>
      <c r="I5" s="2592">
        <v>8.0935000000000007E-2</v>
      </c>
      <c r="J5" s="2592">
        <v>0</v>
      </c>
      <c r="K5" s="2592">
        <v>0.110419</v>
      </c>
      <c r="L5" s="2592">
        <v>9.5311999999999994E-2</v>
      </c>
      <c r="M5" s="2593">
        <v>0.16456499999999999</v>
      </c>
      <c r="N5" s="2594">
        <v>0.15740499999999999</v>
      </c>
      <c r="O5" s="2594">
        <v>0.12311900000000001</v>
      </c>
      <c r="P5" s="2594">
        <v>0.11644699999999999</v>
      </c>
      <c r="Q5" s="2594">
        <v>0.106917</v>
      </c>
      <c r="R5" s="2594">
        <v>7.5231999999999993E-2</v>
      </c>
      <c r="S5" s="2595">
        <v>0.19464600000000001</v>
      </c>
      <c r="T5" s="2595">
        <v>0.126799</v>
      </c>
      <c r="U5" s="2596">
        <v>0.13516700000000001</v>
      </c>
      <c r="V5" s="2585">
        <v>0.13192200000000001</v>
      </c>
      <c r="W5" s="2585">
        <v>8.3565E-2</v>
      </c>
      <c r="X5" s="2585">
        <v>0.22316900000000001</v>
      </c>
      <c r="Y5" s="2585">
        <v>0.60202</v>
      </c>
      <c r="Z5" s="2585">
        <v>0.20648900000000001</v>
      </c>
      <c r="AA5" s="2585">
        <v>0.15102699999999999</v>
      </c>
      <c r="AB5" s="2586">
        <v>0.10317900000000001</v>
      </c>
      <c r="AC5" s="2586">
        <v>0.19361800000000001</v>
      </c>
      <c r="AD5" s="2586">
        <v>5.7688000000000003E-2</v>
      </c>
      <c r="AE5" s="2586">
        <v>0.36304399999999998</v>
      </c>
      <c r="AF5" s="2586">
        <v>0.457484</v>
      </c>
      <c r="AG5" s="2586">
        <v>7.0125999999999994E-2</v>
      </c>
      <c r="AH5" s="2586">
        <v>0.305259</v>
      </c>
      <c r="AI5" s="2586">
        <v>0.29752400000000001</v>
      </c>
      <c r="AJ5" s="2586">
        <v>0.22128100000000001</v>
      </c>
      <c r="AK5" s="2586">
        <v>5.8171E-2</v>
      </c>
      <c r="AL5" s="2586">
        <v>0.11738999999999999</v>
      </c>
      <c r="AM5" s="2586">
        <v>6.3272999999999996E-2</v>
      </c>
      <c r="AN5" s="2586">
        <v>7.5573000000000001E-2</v>
      </c>
      <c r="AO5" s="2586">
        <v>0.114354</v>
      </c>
      <c r="AP5" s="2586">
        <v>0.100505</v>
      </c>
      <c r="AQ5" s="2586">
        <v>5.5555E-2</v>
      </c>
      <c r="AR5" s="2586">
        <v>5.808E-2</v>
      </c>
      <c r="AS5" s="2586">
        <v>6.5739000000000006E-2</v>
      </c>
      <c r="AT5" s="2586">
        <v>6.6241999999999995E-2</v>
      </c>
      <c r="AU5" s="2586">
        <v>6.3370999999999997E-2</v>
      </c>
      <c r="AV5" s="2586">
        <v>6.3370999999999997E-2</v>
      </c>
      <c r="AW5" s="2586">
        <v>6.0682E-2</v>
      </c>
      <c r="AX5" s="2586">
        <v>9.1603000000000004E-2</v>
      </c>
      <c r="AY5" s="2586">
        <v>0.129936</v>
      </c>
      <c r="AZ5" s="2586">
        <v>7.0886000000000005E-2</v>
      </c>
      <c r="BA5" s="2587">
        <v>5.4808999999999997E-2</v>
      </c>
      <c r="BB5" s="2587">
        <v>0.12500600000000001</v>
      </c>
      <c r="BC5" s="2587">
        <v>1.280346</v>
      </c>
      <c r="BD5" s="2587">
        <v>0.56854800000000005</v>
      </c>
      <c r="BE5" s="2587">
        <v>4.9703999999999998E-2</v>
      </c>
      <c r="BF5" s="2588"/>
      <c r="BG5" s="2588"/>
    </row>
    <row r="6" spans="1:59" ht="17.25" x14ac:dyDescent="0.3">
      <c r="A6" s="2589" t="s">
        <v>4818</v>
      </c>
      <c r="B6" s="2590" t="s">
        <v>1149</v>
      </c>
      <c r="C6" s="2591">
        <v>29.304874000000002</v>
      </c>
      <c r="D6" s="2592">
        <v>42.797502999999999</v>
      </c>
      <c r="E6" s="2592">
        <v>57.191203999999999</v>
      </c>
      <c r="F6" s="2592">
        <v>42.447845000000001</v>
      </c>
      <c r="G6" s="2592">
        <v>41.922502000000001</v>
      </c>
      <c r="H6" s="2592">
        <v>51.261707000000001</v>
      </c>
      <c r="I6" s="2592">
        <v>38.661414000000001</v>
      </c>
      <c r="J6" s="2592">
        <v>56.411845999999997</v>
      </c>
      <c r="K6" s="2592">
        <v>40.793962999999998</v>
      </c>
      <c r="L6" s="2592">
        <v>44.272258999999998</v>
      </c>
      <c r="M6" s="2593">
        <v>46.077491999999999</v>
      </c>
      <c r="N6" s="2594">
        <v>50.558067999999999</v>
      </c>
      <c r="O6" s="2594">
        <v>42.081018999999998</v>
      </c>
      <c r="P6" s="2594">
        <v>52.432369000000001</v>
      </c>
      <c r="Q6" s="2594">
        <v>59.043982999999997</v>
      </c>
      <c r="R6" s="2594">
        <v>44.538894999999997</v>
      </c>
      <c r="S6" s="2595">
        <v>41.093724000000002</v>
      </c>
      <c r="T6" s="2595">
        <v>46.138254000000003</v>
      </c>
      <c r="U6" s="2596">
        <v>40.056527000000003</v>
      </c>
      <c r="V6" s="2585">
        <v>65.629696999999993</v>
      </c>
      <c r="W6" s="2585">
        <v>56.089705000000002</v>
      </c>
      <c r="X6" s="2585">
        <v>52.318415999999999</v>
      </c>
      <c r="Y6" s="2585">
        <v>52.261741000000001</v>
      </c>
      <c r="Z6" s="2585">
        <v>41.400987999999998</v>
      </c>
      <c r="AA6" s="2585">
        <v>50.790494000000002</v>
      </c>
      <c r="AB6" s="2586">
        <v>59.976903999999998</v>
      </c>
      <c r="AC6" s="2586">
        <v>55.851664999999997</v>
      </c>
      <c r="AD6" s="2586">
        <v>55.101686999999998</v>
      </c>
      <c r="AE6" s="2586">
        <v>54.342753000000002</v>
      </c>
      <c r="AF6" s="2586">
        <v>22.355618</v>
      </c>
      <c r="AG6" s="2586">
        <v>37.045240999999997</v>
      </c>
      <c r="AH6" s="2586">
        <v>44.993433000000003</v>
      </c>
      <c r="AI6" s="2586">
        <v>39.970992000000003</v>
      </c>
      <c r="AJ6" s="2586">
        <v>43.387492000000002</v>
      </c>
      <c r="AK6" s="2586">
        <v>43.131810999999999</v>
      </c>
      <c r="AL6" s="2586">
        <v>43.998997000000003</v>
      </c>
      <c r="AM6" s="2586">
        <v>33.906036999999998</v>
      </c>
      <c r="AN6" s="2586">
        <v>40.209905999999997</v>
      </c>
      <c r="AO6" s="2586">
        <v>30.195255</v>
      </c>
      <c r="AP6" s="2586">
        <v>6.8237379999999996</v>
      </c>
      <c r="AQ6" s="2586">
        <v>5.8710789999999999</v>
      </c>
      <c r="AR6" s="2586">
        <v>18.659227999999999</v>
      </c>
      <c r="AS6" s="2586">
        <v>21.353572</v>
      </c>
      <c r="AT6" s="2586">
        <v>16.206496000000001</v>
      </c>
      <c r="AU6" s="2586">
        <v>22.866712</v>
      </c>
      <c r="AV6" s="2586">
        <v>28.514106000000002</v>
      </c>
      <c r="AW6" s="2586">
        <v>36.268852000000003</v>
      </c>
      <c r="AX6" s="2586">
        <v>32.477890000000002</v>
      </c>
      <c r="AY6" s="2586">
        <v>21.619047999999999</v>
      </c>
      <c r="AZ6" s="2586">
        <v>29.167435000000001</v>
      </c>
      <c r="BA6" s="2587">
        <v>20.596738999999999</v>
      </c>
      <c r="BB6" s="2587">
        <v>25.683298000000001</v>
      </c>
      <c r="BC6" s="2587">
        <v>15.682479000000001</v>
      </c>
      <c r="BD6" s="2587">
        <v>24.871199000000001</v>
      </c>
      <c r="BE6" s="2587">
        <v>22.791371999999999</v>
      </c>
      <c r="BF6" s="2588"/>
      <c r="BG6" s="2588"/>
    </row>
    <row r="7" spans="1:59" ht="17.25" x14ac:dyDescent="0.3">
      <c r="A7" s="2589" t="s">
        <v>4819</v>
      </c>
      <c r="B7" s="2590" t="s">
        <v>3530</v>
      </c>
      <c r="C7" s="2591">
        <v>0.25201200000000001</v>
      </c>
      <c r="D7" s="2592">
        <v>0</v>
      </c>
      <c r="E7" s="2592">
        <v>0</v>
      </c>
      <c r="F7" s="2592">
        <v>0.124349</v>
      </c>
      <c r="G7" s="2592">
        <v>0</v>
      </c>
      <c r="H7" s="2592">
        <v>0</v>
      </c>
      <c r="I7" s="2592">
        <v>9.8416000000000003E-2</v>
      </c>
      <c r="J7" s="2592">
        <v>0</v>
      </c>
      <c r="K7" s="2592">
        <v>9.2979000000000006E-2</v>
      </c>
      <c r="L7" s="2592">
        <v>9.6134999999999998E-2</v>
      </c>
      <c r="M7" s="2593">
        <v>0</v>
      </c>
      <c r="N7" s="2594">
        <v>0</v>
      </c>
      <c r="O7" s="2594">
        <v>0</v>
      </c>
      <c r="P7" s="2594">
        <v>0.235565</v>
      </c>
      <c r="Q7" s="2594">
        <v>0.80342000000000002</v>
      </c>
      <c r="R7" s="2594">
        <v>0.33926200000000001</v>
      </c>
      <c r="S7" s="2595">
        <v>3.0460999999999998E-2</v>
      </c>
      <c r="T7" s="2595">
        <v>0.39599099999999998</v>
      </c>
      <c r="U7" s="2596">
        <v>0.18997900000000001</v>
      </c>
      <c r="V7" s="2585">
        <v>0.15114</v>
      </c>
      <c r="W7" s="2585">
        <v>7.3327000000000003E-2</v>
      </c>
      <c r="X7" s="2585">
        <v>0.131684</v>
      </c>
      <c r="Y7" s="2585">
        <v>2.9197000000000001E-2</v>
      </c>
      <c r="Z7" s="2585">
        <v>0.29869499999999999</v>
      </c>
      <c r="AA7" s="2585">
        <v>0.57658799999999999</v>
      </c>
      <c r="AB7" s="2586">
        <v>0.10205500000000001</v>
      </c>
      <c r="AC7" s="2586">
        <v>4.2382000000000003E-2</v>
      </c>
      <c r="AD7" s="2586">
        <v>0.26965299999999998</v>
      </c>
      <c r="AE7" s="2586">
        <v>0.20058899999999999</v>
      </c>
      <c r="AF7" s="2586">
        <v>0.80079900000000004</v>
      </c>
      <c r="AG7" s="2586">
        <v>0.115</v>
      </c>
      <c r="AH7" s="2586">
        <v>0.28498899999999999</v>
      </c>
      <c r="AI7" s="2586">
        <v>0.30367499999999997</v>
      </c>
      <c r="AJ7" s="2586">
        <v>0.20729300000000001</v>
      </c>
      <c r="AK7" s="2586">
        <v>0.47078599999999998</v>
      </c>
      <c r="AL7" s="2586">
        <v>1.0217529999999999</v>
      </c>
      <c r="AM7" s="2586">
        <v>0</v>
      </c>
      <c r="AN7" s="2586">
        <v>0.28179999999999999</v>
      </c>
      <c r="AO7" s="2586">
        <v>0.17294899999999999</v>
      </c>
      <c r="AP7" s="2586">
        <v>8.4647E-2</v>
      </c>
      <c r="AQ7" s="2586">
        <v>2.9863000000000001E-2</v>
      </c>
      <c r="AR7" s="2586">
        <v>7.0000000000000007E-2</v>
      </c>
      <c r="AS7" s="2586">
        <v>0.20422000000000001</v>
      </c>
      <c r="AT7" s="2586">
        <v>2.5264000000000002E-2</v>
      </c>
      <c r="AU7" s="2586">
        <v>0.21925600000000001</v>
      </c>
      <c r="AV7" s="2586">
        <v>0.14507</v>
      </c>
      <c r="AW7" s="2586">
        <v>0.154858</v>
      </c>
      <c r="AX7" s="2586">
        <v>0.109857</v>
      </c>
      <c r="AY7" s="2586">
        <v>0</v>
      </c>
      <c r="AZ7" s="2586">
        <v>0.12003800000000001</v>
      </c>
      <c r="BA7" s="2587">
        <v>1.0249999999999999</v>
      </c>
      <c r="BB7" s="2587">
        <v>0.25174000000000002</v>
      </c>
      <c r="BC7" s="2587">
        <v>7.0759000000000002E-2</v>
      </c>
      <c r="BD7" s="2587">
        <v>0</v>
      </c>
      <c r="BE7" s="2587">
        <v>0</v>
      </c>
      <c r="BF7" s="2588"/>
      <c r="BG7" s="2588"/>
    </row>
    <row r="8" spans="1:59" ht="17.25" x14ac:dyDescent="0.3">
      <c r="A8" s="2589" t="s">
        <v>4820</v>
      </c>
      <c r="B8" s="2590" t="s">
        <v>3531</v>
      </c>
      <c r="C8" s="2591">
        <v>0</v>
      </c>
      <c r="D8" s="2592">
        <v>2.5000000000000001E-2</v>
      </c>
      <c r="E8" s="2592">
        <v>0.144425</v>
      </c>
      <c r="F8" s="2592">
        <v>5.6392999999999999E-2</v>
      </c>
      <c r="G8" s="2592">
        <v>6.0682E-2</v>
      </c>
      <c r="H8" s="2592">
        <v>9.8736000000000004E-2</v>
      </c>
      <c r="I8" s="2592">
        <v>0.37639600000000001</v>
      </c>
      <c r="J8" s="2592">
        <v>0.110261</v>
      </c>
      <c r="K8" s="2592">
        <v>0.13800000000000001</v>
      </c>
      <c r="L8" s="2592">
        <v>0.187</v>
      </c>
      <c r="M8" s="2593">
        <v>0.3518</v>
      </c>
      <c r="N8" s="2594">
        <v>0.17161999999999999</v>
      </c>
      <c r="O8" s="2594">
        <v>0.205757</v>
      </c>
      <c r="P8" s="2594">
        <v>0.115276</v>
      </c>
      <c r="Q8" s="2594">
        <v>0.197462</v>
      </c>
      <c r="R8" s="2594">
        <v>0.240149</v>
      </c>
      <c r="S8" s="2595">
        <v>2.5729999999999999E-2</v>
      </c>
      <c r="T8" s="2595">
        <v>0.17549100000000001</v>
      </c>
      <c r="U8" s="2596">
        <v>0</v>
      </c>
      <c r="V8" s="2585">
        <v>4.6100000000000002E-2</v>
      </c>
      <c r="W8" s="2585">
        <v>0.1091</v>
      </c>
      <c r="X8" s="2585">
        <v>4.7475999999999997E-2</v>
      </c>
      <c r="Y8" s="2585">
        <v>9.8365999999999995E-2</v>
      </c>
      <c r="Z8" s="2585">
        <v>0.28765499999999999</v>
      </c>
      <c r="AA8" s="2585">
        <v>0.12159</v>
      </c>
      <c r="AB8" s="2586">
        <v>7.1999999999999995E-2</v>
      </c>
      <c r="AC8" s="2586">
        <v>0.22663800000000001</v>
      </c>
      <c r="AD8" s="2586">
        <v>0.11433500000000001</v>
      </c>
      <c r="AE8" s="2586">
        <v>0.215478</v>
      </c>
      <c r="AF8" s="2586">
        <v>0.15579699999999999</v>
      </c>
      <c r="AG8" s="2586">
        <v>0.175819</v>
      </c>
      <c r="AH8" s="2586">
        <v>7.3886999999999994E-2</v>
      </c>
      <c r="AI8" s="2586">
        <v>7.2499999999999995E-2</v>
      </c>
      <c r="AJ8" s="2586">
        <v>0.15326799999999999</v>
      </c>
      <c r="AK8" s="2586">
        <v>7.7404000000000001E-2</v>
      </c>
      <c r="AL8" s="2586">
        <v>0.129936</v>
      </c>
      <c r="AM8" s="2586">
        <v>0.05</v>
      </c>
      <c r="AN8" s="2586">
        <v>8.2217999999999999E-2</v>
      </c>
      <c r="AO8" s="2586">
        <v>0.255081</v>
      </c>
      <c r="AP8" s="2586">
        <v>0.20350399999999999</v>
      </c>
      <c r="AQ8" s="2586">
        <v>9.3511999999999998E-2</v>
      </c>
      <c r="AR8" s="2586">
        <v>2.6224999999999998E-2</v>
      </c>
      <c r="AS8" s="2586">
        <v>0</v>
      </c>
      <c r="AT8" s="2586">
        <v>0.12069000000000001</v>
      </c>
      <c r="AU8" s="2586">
        <v>0.32039499999999999</v>
      </c>
      <c r="AV8" s="2586">
        <v>0.54030100000000003</v>
      </c>
      <c r="AW8" s="2586">
        <v>0.61093200000000003</v>
      </c>
      <c r="AX8" s="2586">
        <v>2.3652899999999999</v>
      </c>
      <c r="AY8" s="2586">
        <v>0.812948</v>
      </c>
      <c r="AZ8" s="2586">
        <v>1.2743310000000001</v>
      </c>
      <c r="BA8" s="2587">
        <v>0.45966899999999999</v>
      </c>
      <c r="BB8" s="2587">
        <v>0.49338900000000002</v>
      </c>
      <c r="BC8" s="2587">
        <v>0.34645500000000001</v>
      </c>
      <c r="BD8" s="2587">
        <v>0.72699100000000005</v>
      </c>
      <c r="BE8" s="2587">
        <v>0.90455600000000003</v>
      </c>
      <c r="BF8" s="2588"/>
      <c r="BG8" s="2588"/>
    </row>
    <row r="9" spans="1:59" ht="17.25" x14ac:dyDescent="0.3">
      <c r="A9" s="2589" t="s">
        <v>4821</v>
      </c>
      <c r="B9" s="2590" t="s">
        <v>1150</v>
      </c>
      <c r="C9" s="2591">
        <v>5.7090339999999999</v>
      </c>
      <c r="D9" s="2592">
        <v>4.72506</v>
      </c>
      <c r="E9" s="2592">
        <v>6.9963550000000003</v>
      </c>
      <c r="F9" s="2592">
        <v>5.6935039999999999</v>
      </c>
      <c r="G9" s="2592">
        <v>7.1081859999999999</v>
      </c>
      <c r="H9" s="2592">
        <v>5.402679</v>
      </c>
      <c r="I9" s="2592">
        <v>4.6283310000000002</v>
      </c>
      <c r="J9" s="2592">
        <v>5.4014879999999996</v>
      </c>
      <c r="K9" s="2592">
        <v>6.0429560000000002</v>
      </c>
      <c r="L9" s="2592">
        <v>4.5949140000000002</v>
      </c>
      <c r="M9" s="2593">
        <v>5.7255159999999998</v>
      </c>
      <c r="N9" s="2594">
        <v>10.06776</v>
      </c>
      <c r="O9" s="2594">
        <v>4.2887079999999997</v>
      </c>
      <c r="P9" s="2594">
        <v>2.0109119999999998</v>
      </c>
      <c r="Q9" s="2594">
        <v>3.0099279999999999</v>
      </c>
      <c r="R9" s="2594">
        <v>7.6211440000000001</v>
      </c>
      <c r="S9" s="2595">
        <v>14.233396000000001</v>
      </c>
      <c r="T9" s="2595">
        <v>21.225546999999999</v>
      </c>
      <c r="U9" s="2596">
        <v>7.9411480000000001</v>
      </c>
      <c r="V9" s="2585">
        <v>8.4437200000000008</v>
      </c>
      <c r="W9" s="2585">
        <v>7.9137589999999998</v>
      </c>
      <c r="X9" s="2585">
        <v>6.5618610000000004</v>
      </c>
      <c r="Y9" s="2585">
        <v>6.0944180000000001</v>
      </c>
      <c r="Z9" s="2585">
        <v>5.1950260000000004</v>
      </c>
      <c r="AA9" s="2585">
        <v>3.3406449999999999</v>
      </c>
      <c r="AB9" s="2586">
        <v>5.6566210000000003</v>
      </c>
      <c r="AC9" s="2586">
        <v>7.0412229999999996</v>
      </c>
      <c r="AD9" s="2586">
        <v>11.341716999999999</v>
      </c>
      <c r="AE9" s="2586">
        <v>10.454359</v>
      </c>
      <c r="AF9" s="2586">
        <v>12.872574999999999</v>
      </c>
      <c r="AG9" s="2586">
        <v>11.916658999999999</v>
      </c>
      <c r="AH9" s="2586">
        <v>8.1740180000000002</v>
      </c>
      <c r="AI9" s="2586">
        <v>37.593952000000002</v>
      </c>
      <c r="AJ9" s="2586">
        <v>10.913478</v>
      </c>
      <c r="AK9" s="2586">
        <v>7.6604609999999997</v>
      </c>
      <c r="AL9" s="2586">
        <v>11.187224000000001</v>
      </c>
      <c r="AM9" s="2586">
        <v>4.2421480000000003</v>
      </c>
      <c r="AN9" s="2586">
        <v>9.7757310000000004</v>
      </c>
      <c r="AO9" s="2586">
        <v>11.350887999999999</v>
      </c>
      <c r="AP9" s="2586">
        <v>2.9073720000000001</v>
      </c>
      <c r="AQ9" s="2586">
        <v>4.1927519999999996</v>
      </c>
      <c r="AR9" s="2586">
        <v>6.5701289999999997</v>
      </c>
      <c r="AS9" s="2586">
        <v>5.7636180000000001</v>
      </c>
      <c r="AT9" s="2586">
        <v>7.7883990000000001</v>
      </c>
      <c r="AU9" s="2586">
        <v>10.820022</v>
      </c>
      <c r="AV9" s="2586">
        <v>12.275418</v>
      </c>
      <c r="AW9" s="2586">
        <v>6.0508319999999998</v>
      </c>
      <c r="AX9" s="2586">
        <v>7.4845470000000001</v>
      </c>
      <c r="AY9" s="2586">
        <v>10.658937999999999</v>
      </c>
      <c r="AZ9" s="2586">
        <v>6.6359320000000004</v>
      </c>
      <c r="BA9" s="2587">
        <v>6.8459560000000002</v>
      </c>
      <c r="BB9" s="2587">
        <v>7.5858470000000002</v>
      </c>
      <c r="BC9" s="2587">
        <v>6.6279260000000004</v>
      </c>
      <c r="BD9" s="2587">
        <v>8.5722439999999995</v>
      </c>
      <c r="BE9" s="2587">
        <v>3.0553919999999999</v>
      </c>
      <c r="BF9" s="2588"/>
      <c r="BG9" s="2588"/>
    </row>
    <row r="10" spans="1:59" ht="17.25" x14ac:dyDescent="0.3">
      <c r="A10" s="2597" t="s">
        <v>4822</v>
      </c>
      <c r="B10" s="2590" t="s">
        <v>4823</v>
      </c>
      <c r="C10" s="2591">
        <v>5.1263430000000003</v>
      </c>
      <c r="D10" s="2592">
        <v>3.4367529999999999</v>
      </c>
      <c r="E10" s="2592">
        <v>6.2502149999999999</v>
      </c>
      <c r="F10" s="2592">
        <v>4.2702999999999998</v>
      </c>
      <c r="G10" s="2592">
        <v>6.5344410000000002</v>
      </c>
      <c r="H10" s="2592">
        <v>8.8786640000000006</v>
      </c>
      <c r="I10" s="2592">
        <v>12.854523</v>
      </c>
      <c r="J10" s="2592">
        <v>6.5076349999999996</v>
      </c>
      <c r="K10" s="2592">
        <v>5.0116719999999999</v>
      </c>
      <c r="L10" s="2592">
        <v>4.8070029999999999</v>
      </c>
      <c r="M10" s="2593">
        <v>13.352624</v>
      </c>
      <c r="N10" s="2594">
        <v>6.858536</v>
      </c>
      <c r="O10" s="2594">
        <v>7.3405199999999997</v>
      </c>
      <c r="P10" s="2594">
        <v>8.4053679999999993</v>
      </c>
      <c r="Q10" s="2594">
        <v>8.4774410000000007</v>
      </c>
      <c r="R10" s="2594">
        <v>32.752226</v>
      </c>
      <c r="S10" s="2595">
        <v>8.5947650000000007</v>
      </c>
      <c r="T10" s="2595">
        <v>7.8002560000000001</v>
      </c>
      <c r="U10" s="2596">
        <v>11.636174</v>
      </c>
      <c r="V10" s="2585">
        <v>7.3858800000000002</v>
      </c>
      <c r="W10" s="2585">
        <v>8.4827290000000009</v>
      </c>
      <c r="X10" s="2585">
        <v>7.2464839999999997</v>
      </c>
      <c r="Y10" s="2585">
        <v>6.3147779999999996</v>
      </c>
      <c r="Z10" s="2585">
        <v>9.3506409999999995</v>
      </c>
      <c r="AA10" s="2585">
        <v>7.1848720000000004</v>
      </c>
      <c r="AB10" s="2586">
        <v>6.7489429999999997</v>
      </c>
      <c r="AC10" s="2586">
        <v>8.9610269999999996</v>
      </c>
      <c r="AD10" s="2586">
        <v>7.585655</v>
      </c>
      <c r="AE10" s="2586">
        <v>10.932717999999999</v>
      </c>
      <c r="AF10" s="2586">
        <v>9.9077000000000002</v>
      </c>
      <c r="AG10" s="2586">
        <v>7.0129520000000003</v>
      </c>
      <c r="AH10" s="2586">
        <v>9.4636080000000007</v>
      </c>
      <c r="AI10" s="2586">
        <v>11.082891999999999</v>
      </c>
      <c r="AJ10" s="2586">
        <v>11.233559</v>
      </c>
      <c r="AK10" s="2586">
        <v>8.4855859999999996</v>
      </c>
      <c r="AL10" s="2586">
        <v>10.973217</v>
      </c>
      <c r="AM10" s="2586">
        <v>11.074468</v>
      </c>
      <c r="AN10" s="2586">
        <v>9.3013739999999991</v>
      </c>
      <c r="AO10" s="2586">
        <v>9.6804070000000007</v>
      </c>
      <c r="AP10" s="2586">
        <v>5.697419</v>
      </c>
      <c r="AQ10" s="2586">
        <v>3.5365570000000002</v>
      </c>
      <c r="AR10" s="2586">
        <v>11.263423</v>
      </c>
      <c r="AS10" s="2586">
        <v>11.367677</v>
      </c>
      <c r="AT10" s="2586">
        <v>3.6524079999999999</v>
      </c>
      <c r="AU10" s="2586">
        <v>5.0808929999999997</v>
      </c>
      <c r="AV10" s="2586">
        <v>5.301361</v>
      </c>
      <c r="AW10" s="2586">
        <v>10.173657</v>
      </c>
      <c r="AX10" s="2586">
        <v>16.418175000000002</v>
      </c>
      <c r="AY10" s="2586">
        <v>6.7324210000000004</v>
      </c>
      <c r="AZ10" s="2586">
        <v>11.065365999999999</v>
      </c>
      <c r="BA10" s="2587">
        <v>13.163168000000001</v>
      </c>
      <c r="BB10" s="2587">
        <v>4.8917849999999996</v>
      </c>
      <c r="BC10" s="2587">
        <v>5.0616529999999997</v>
      </c>
      <c r="BD10" s="2587">
        <v>7.1514449999999998</v>
      </c>
      <c r="BE10" s="2587">
        <v>7.0651570000000001</v>
      </c>
      <c r="BF10" s="2588"/>
      <c r="BG10" s="2588"/>
    </row>
    <row r="11" spans="1:59" ht="17.25" x14ac:dyDescent="0.3">
      <c r="A11" s="2589" t="s">
        <v>4824</v>
      </c>
      <c r="B11" s="2590" t="s">
        <v>3533</v>
      </c>
      <c r="C11" s="2591">
        <v>7.6368609999999997</v>
      </c>
      <c r="D11" s="2592">
        <v>8.2872880000000002</v>
      </c>
      <c r="E11" s="2592">
        <v>6.0912790000000001</v>
      </c>
      <c r="F11" s="2592">
        <v>7.3792</v>
      </c>
      <c r="G11" s="2592">
        <v>6.6952210000000001</v>
      </c>
      <c r="H11" s="2592">
        <v>7.555434</v>
      </c>
      <c r="I11" s="2592">
        <v>5.7192439999999998</v>
      </c>
      <c r="J11" s="2592">
        <v>6.3829440000000002</v>
      </c>
      <c r="K11" s="2592">
        <v>11.995806999999999</v>
      </c>
      <c r="L11" s="2592">
        <v>5.8849900000000002</v>
      </c>
      <c r="M11" s="2593">
        <v>9.2543600000000001</v>
      </c>
      <c r="N11" s="2594">
        <v>6.2743719999999996</v>
      </c>
      <c r="O11" s="2594">
        <v>8.3367559999999994</v>
      </c>
      <c r="P11" s="2594">
        <v>7.3876920000000004</v>
      </c>
      <c r="Q11" s="2594">
        <v>9.9697060000000004</v>
      </c>
      <c r="R11" s="2594">
        <v>7.6708530000000001</v>
      </c>
      <c r="S11" s="2595">
        <v>8.4086429999999996</v>
      </c>
      <c r="T11" s="2595">
        <v>7.8298670000000001</v>
      </c>
      <c r="U11" s="2596">
        <v>6.2708959999999996</v>
      </c>
      <c r="V11" s="2585">
        <v>5.5082230000000001</v>
      </c>
      <c r="W11" s="2585">
        <v>6.5140849999999997</v>
      </c>
      <c r="X11" s="2585">
        <v>9.4602079999999997</v>
      </c>
      <c r="Y11" s="2585">
        <v>4.109864</v>
      </c>
      <c r="Z11" s="2585">
        <v>8.5202869999999997</v>
      </c>
      <c r="AA11" s="2585">
        <v>4.6912830000000003</v>
      </c>
      <c r="AB11" s="2586">
        <v>11.864291</v>
      </c>
      <c r="AC11" s="2586">
        <v>9.4023719999999997</v>
      </c>
      <c r="AD11" s="2586">
        <v>5.3915389999999999</v>
      </c>
      <c r="AE11" s="2586">
        <v>6.8963999999999999</v>
      </c>
      <c r="AF11" s="2586">
        <v>5.046017</v>
      </c>
      <c r="AG11" s="2586">
        <v>6.6539729999999997</v>
      </c>
      <c r="AH11" s="2586">
        <v>5.4250999999999996</v>
      </c>
      <c r="AI11" s="2586">
        <v>15.74821</v>
      </c>
      <c r="AJ11" s="2586">
        <v>6.840014</v>
      </c>
      <c r="AK11" s="2586">
        <v>9.9947040000000005</v>
      </c>
      <c r="AL11" s="2586">
        <v>8.5225000000000009</v>
      </c>
      <c r="AM11" s="2586">
        <v>9.9362840000000006</v>
      </c>
      <c r="AN11" s="2586">
        <v>8.4172239999999992</v>
      </c>
      <c r="AO11" s="2586">
        <v>9.2940950000000004</v>
      </c>
      <c r="AP11" s="2598">
        <v>7.1633570000000004</v>
      </c>
      <c r="AQ11" s="2599">
        <v>2.7809650000000001</v>
      </c>
      <c r="AR11" s="2586">
        <v>8.5685210000000005</v>
      </c>
      <c r="AS11" s="2586">
        <v>6.3571210000000002</v>
      </c>
      <c r="AT11" s="2586">
        <v>5.9529870000000003</v>
      </c>
      <c r="AU11" s="2586">
        <v>3.6036229999999998</v>
      </c>
      <c r="AV11" s="2586">
        <v>7.5814550000000001</v>
      </c>
      <c r="AW11" s="2586">
        <v>5.752421</v>
      </c>
      <c r="AX11" s="2586">
        <v>8.0433500000000002</v>
      </c>
      <c r="AY11" s="2586">
        <v>3.1026479999999999</v>
      </c>
      <c r="AZ11" s="2586">
        <v>4.3402130000000003</v>
      </c>
      <c r="BA11" s="2587">
        <v>3.9096410000000001</v>
      </c>
      <c r="BB11" s="2587">
        <v>4.9874090000000004</v>
      </c>
      <c r="BC11" s="2587">
        <v>5.3178780000000003</v>
      </c>
      <c r="BD11" s="2587">
        <v>6.4343779999999997</v>
      </c>
      <c r="BE11" s="2587">
        <v>6.9966410000000003</v>
      </c>
      <c r="BF11" s="2588"/>
      <c r="BG11" s="2588"/>
    </row>
    <row r="12" spans="1:59" ht="17.25" x14ac:dyDescent="0.3">
      <c r="A12" s="2589" t="s">
        <v>4825</v>
      </c>
      <c r="B12" s="2590" t="s">
        <v>3534</v>
      </c>
      <c r="C12" s="2591">
        <v>53.426217999999999</v>
      </c>
      <c r="D12" s="2592">
        <v>64.535597999999993</v>
      </c>
      <c r="E12" s="2592">
        <v>82.866973000000002</v>
      </c>
      <c r="F12" s="2592">
        <v>94.768737000000002</v>
      </c>
      <c r="G12" s="2592">
        <v>104.0437</v>
      </c>
      <c r="H12" s="2592">
        <v>72.312023999999994</v>
      </c>
      <c r="I12" s="2592">
        <v>69.541523999999995</v>
      </c>
      <c r="J12" s="2592">
        <v>56.878619999999998</v>
      </c>
      <c r="K12" s="2592">
        <v>99.026985999999994</v>
      </c>
      <c r="L12" s="2592">
        <v>51.895972999999998</v>
      </c>
      <c r="M12" s="2593">
        <v>74.986360000000005</v>
      </c>
      <c r="N12" s="2594">
        <v>45.483029999999999</v>
      </c>
      <c r="O12" s="2594">
        <v>80.698081000000002</v>
      </c>
      <c r="P12" s="2594">
        <v>44.420760000000001</v>
      </c>
      <c r="Q12" s="2594">
        <v>86.733374999999995</v>
      </c>
      <c r="R12" s="2594">
        <v>53.649572999999997</v>
      </c>
      <c r="S12" s="2595">
        <v>55.885531</v>
      </c>
      <c r="T12" s="2595">
        <v>121.15927499999999</v>
      </c>
      <c r="U12" s="2596">
        <v>65.935664000000003</v>
      </c>
      <c r="V12" s="2585">
        <v>81.750406999999996</v>
      </c>
      <c r="W12" s="2585">
        <v>81.459270000000004</v>
      </c>
      <c r="X12" s="2585">
        <v>50.266323999999997</v>
      </c>
      <c r="Y12" s="2585">
        <v>31.536480000000001</v>
      </c>
      <c r="Z12" s="2585">
        <v>53.973660000000002</v>
      </c>
      <c r="AA12" s="2585">
        <v>89.338319999999996</v>
      </c>
      <c r="AB12" s="2586">
        <v>42.272036</v>
      </c>
      <c r="AC12" s="2586">
        <v>69.048866000000004</v>
      </c>
      <c r="AD12" s="2586">
        <v>75.880795000000006</v>
      </c>
      <c r="AE12" s="2586">
        <v>128.037035</v>
      </c>
      <c r="AF12" s="2586">
        <v>168.097939</v>
      </c>
      <c r="AG12" s="2586">
        <v>61.890943</v>
      </c>
      <c r="AH12" s="2586">
        <v>63.087938000000001</v>
      </c>
      <c r="AI12" s="2586">
        <v>55.229176000000002</v>
      </c>
      <c r="AJ12" s="2586">
        <v>72.500572000000005</v>
      </c>
      <c r="AK12" s="2586">
        <v>41.630783999999998</v>
      </c>
      <c r="AL12" s="2586">
        <v>54.104399999999998</v>
      </c>
      <c r="AM12" s="2586">
        <v>49.927906999999998</v>
      </c>
      <c r="AN12" s="2586">
        <v>60.82884</v>
      </c>
      <c r="AO12" s="2586">
        <v>33.952812999999999</v>
      </c>
      <c r="AP12" s="2586">
        <v>10.668879</v>
      </c>
      <c r="AQ12" s="2586">
        <v>5.8606379999999998</v>
      </c>
      <c r="AR12" s="2586">
        <v>6.8355220000000001</v>
      </c>
      <c r="AS12" s="2586">
        <v>8.2242739999999994</v>
      </c>
      <c r="AT12" s="2586">
        <v>8.1669540000000005</v>
      </c>
      <c r="AU12" s="2586">
        <v>4.2124300000000003</v>
      </c>
      <c r="AV12" s="2586">
        <v>9.6024960000000004</v>
      </c>
      <c r="AW12" s="2586">
        <v>9.6851730000000007</v>
      </c>
      <c r="AX12" s="2586">
        <v>11.769382999999999</v>
      </c>
      <c r="AY12" s="2586">
        <v>4.8192310000000003</v>
      </c>
      <c r="AZ12" s="2586">
        <v>2.6483979999999998</v>
      </c>
      <c r="BA12" s="2587">
        <v>8.6976040000000001</v>
      </c>
      <c r="BB12" s="2587">
        <v>4.6326970000000003</v>
      </c>
      <c r="BC12" s="2587">
        <v>8.5869769999999992</v>
      </c>
      <c r="BD12" s="2587">
        <v>7.2186329999999996</v>
      </c>
      <c r="BE12" s="2587">
        <v>6.3441989999999997</v>
      </c>
      <c r="BF12" s="2588"/>
      <c r="BG12" s="2588"/>
    </row>
    <row r="13" spans="1:59" ht="17.25" x14ac:dyDescent="0.3">
      <c r="A13" s="2589" t="s">
        <v>4826</v>
      </c>
      <c r="B13" s="2590" t="s">
        <v>3535</v>
      </c>
      <c r="C13" s="2591">
        <v>9.207516</v>
      </c>
      <c r="D13" s="2592">
        <v>8.2464300000000001</v>
      </c>
      <c r="E13" s="2592">
        <v>10.7303</v>
      </c>
      <c r="F13" s="2592">
        <v>6.5820040000000004</v>
      </c>
      <c r="G13" s="2592">
        <v>10.258642999999999</v>
      </c>
      <c r="H13" s="2592">
        <v>12.803919</v>
      </c>
      <c r="I13" s="2592">
        <v>9.2450299999999999</v>
      </c>
      <c r="J13" s="2592">
        <v>8.6731719999999992</v>
      </c>
      <c r="K13" s="2592">
        <v>9.147176</v>
      </c>
      <c r="L13" s="2592">
        <v>8.6683489999999992</v>
      </c>
      <c r="M13" s="2593">
        <v>9.1600839999999994</v>
      </c>
      <c r="N13" s="2594">
        <v>9.8615549999999992</v>
      </c>
      <c r="O13" s="2594">
        <v>11.252027</v>
      </c>
      <c r="P13" s="2594">
        <v>10.931773</v>
      </c>
      <c r="Q13" s="2594">
        <v>10.412784</v>
      </c>
      <c r="R13" s="2594">
        <v>9.0634309999999996</v>
      </c>
      <c r="S13" s="2595">
        <v>9.2567210000000006</v>
      </c>
      <c r="T13" s="2595">
        <v>10.560203</v>
      </c>
      <c r="U13" s="2596">
        <v>10.650332000000001</v>
      </c>
      <c r="V13" s="2585">
        <v>14.995312999999999</v>
      </c>
      <c r="W13" s="2585">
        <v>12.38101</v>
      </c>
      <c r="X13" s="2585">
        <v>12.413981</v>
      </c>
      <c r="Y13" s="2585">
        <v>12.105543000000001</v>
      </c>
      <c r="Z13" s="2585">
        <v>17.837136000000001</v>
      </c>
      <c r="AA13" s="2585">
        <v>12.150854000000001</v>
      </c>
      <c r="AB13" s="2586">
        <v>10.027736000000001</v>
      </c>
      <c r="AC13" s="2586">
        <v>11.005406000000001</v>
      </c>
      <c r="AD13" s="2586">
        <v>12.346831</v>
      </c>
      <c r="AE13" s="2586">
        <v>12.284685</v>
      </c>
      <c r="AF13" s="2586">
        <v>14.856268999999999</v>
      </c>
      <c r="AG13" s="2586">
        <v>13.944611</v>
      </c>
      <c r="AH13" s="2586">
        <v>11.733995999999999</v>
      </c>
      <c r="AI13" s="2586">
        <v>14.365201000000001</v>
      </c>
      <c r="AJ13" s="2586">
        <v>10.618242</v>
      </c>
      <c r="AK13" s="2586">
        <v>11.264542</v>
      </c>
      <c r="AL13" s="2586">
        <v>16.248145999999998</v>
      </c>
      <c r="AM13" s="2586">
        <v>11.108453000000001</v>
      </c>
      <c r="AN13" s="2586">
        <v>12.877370000000001</v>
      </c>
      <c r="AO13" s="2586">
        <v>10.966037999999999</v>
      </c>
      <c r="AP13" s="2586">
        <v>8.588991</v>
      </c>
      <c r="AQ13" s="2586">
        <v>7.9975820000000004</v>
      </c>
      <c r="AR13" s="2586">
        <v>9.2827009999999994</v>
      </c>
      <c r="AS13" s="2586">
        <v>9.8493460000000006</v>
      </c>
      <c r="AT13" s="2586">
        <v>9.1804330000000007</v>
      </c>
      <c r="AU13" s="2586">
        <v>10.553837</v>
      </c>
      <c r="AV13" s="2586">
        <v>12.932024</v>
      </c>
      <c r="AW13" s="2586">
        <v>10.600440000000001</v>
      </c>
      <c r="AX13" s="2586">
        <v>15.686037000000001</v>
      </c>
      <c r="AY13" s="2586">
        <v>10.449502000000001</v>
      </c>
      <c r="AZ13" s="2586">
        <v>10.758906</v>
      </c>
      <c r="BA13" s="2587">
        <v>8.7454710000000002</v>
      </c>
      <c r="BB13" s="2587">
        <v>10.396979999999999</v>
      </c>
      <c r="BC13" s="2587">
        <v>10.275873000000001</v>
      </c>
      <c r="BD13" s="2587">
        <v>11.974304999999999</v>
      </c>
      <c r="BE13" s="2587">
        <v>9.9670489999999994</v>
      </c>
      <c r="BF13" s="2588"/>
      <c r="BG13" s="2588"/>
    </row>
    <row r="14" spans="1:59" ht="17.25" x14ac:dyDescent="0.3">
      <c r="A14" s="2589" t="s">
        <v>4827</v>
      </c>
      <c r="B14" s="2590" t="s">
        <v>1155</v>
      </c>
      <c r="C14" s="2591">
        <v>114.00646</v>
      </c>
      <c r="D14" s="2592">
        <v>102.64501</v>
      </c>
      <c r="E14" s="2592">
        <v>120.07414900000001</v>
      </c>
      <c r="F14" s="2592">
        <v>119.540015</v>
      </c>
      <c r="G14" s="2592">
        <v>137.718324</v>
      </c>
      <c r="H14" s="2592">
        <v>107.349521</v>
      </c>
      <c r="I14" s="2592">
        <v>101.033653</v>
      </c>
      <c r="J14" s="2592">
        <v>107.358124</v>
      </c>
      <c r="K14" s="2592">
        <v>71.182616999999993</v>
      </c>
      <c r="L14" s="2592">
        <v>63.694890999999998</v>
      </c>
      <c r="M14" s="2593">
        <v>75.605839000000003</v>
      </c>
      <c r="N14" s="2594">
        <v>74.913445999999993</v>
      </c>
      <c r="O14" s="2594">
        <v>104.84138400000001</v>
      </c>
      <c r="P14" s="2594">
        <v>83.282860999999997</v>
      </c>
      <c r="Q14" s="2594">
        <v>71.452680000000001</v>
      </c>
      <c r="R14" s="2594">
        <v>62.760581999999999</v>
      </c>
      <c r="S14" s="2595">
        <v>94.008680999999996</v>
      </c>
      <c r="T14" s="2595">
        <v>82.477615999999998</v>
      </c>
      <c r="U14" s="2596">
        <v>82.229297000000003</v>
      </c>
      <c r="V14" s="2585">
        <v>74.254378000000003</v>
      </c>
      <c r="W14" s="2585">
        <v>67.612024000000005</v>
      </c>
      <c r="X14" s="2585">
        <v>81.750320000000002</v>
      </c>
      <c r="Y14" s="2585">
        <v>85.290424000000002</v>
      </c>
      <c r="Z14" s="2585">
        <v>125.12722100000001</v>
      </c>
      <c r="AA14" s="2585">
        <v>86.259099000000006</v>
      </c>
      <c r="AB14" s="2586">
        <v>74.326280999999994</v>
      </c>
      <c r="AC14" s="2586">
        <v>63.609343000000003</v>
      </c>
      <c r="AD14" s="2586">
        <v>73.269070999999997</v>
      </c>
      <c r="AE14" s="2586">
        <v>91.847943999999998</v>
      </c>
      <c r="AF14" s="2586">
        <v>90.995521999999994</v>
      </c>
      <c r="AG14" s="2586">
        <v>85.251741999999993</v>
      </c>
      <c r="AH14" s="2586">
        <v>64.448087000000001</v>
      </c>
      <c r="AI14" s="2586">
        <v>60.231479</v>
      </c>
      <c r="AJ14" s="2586">
        <v>81.040030000000002</v>
      </c>
      <c r="AK14" s="2586">
        <v>71.392534999999995</v>
      </c>
      <c r="AL14" s="2586">
        <v>71.301535000000001</v>
      </c>
      <c r="AM14" s="2586">
        <v>98.627067999999994</v>
      </c>
      <c r="AN14" s="2586">
        <v>92.434111999999999</v>
      </c>
      <c r="AO14" s="2586">
        <v>69.461793999999998</v>
      </c>
      <c r="AP14" s="2586">
        <v>28.311513999999999</v>
      </c>
      <c r="AQ14" s="2586">
        <v>17.089189000000001</v>
      </c>
      <c r="AR14" s="2586">
        <v>47.822232999999997</v>
      </c>
      <c r="AS14" s="2586">
        <v>36.129792000000002</v>
      </c>
      <c r="AT14" s="2586">
        <v>69.069166999999993</v>
      </c>
      <c r="AU14" s="2586">
        <v>51.279412999999998</v>
      </c>
      <c r="AV14" s="2586">
        <v>38.335535</v>
      </c>
      <c r="AW14" s="2586">
        <v>37.966628999999998</v>
      </c>
      <c r="AX14" s="2586">
        <v>70.228089999999995</v>
      </c>
      <c r="AY14" s="2586">
        <v>67.172633000000005</v>
      </c>
      <c r="AZ14" s="2586">
        <v>34.487130999999998</v>
      </c>
      <c r="BA14" s="2587">
        <v>31.666359</v>
      </c>
      <c r="BB14" s="2587">
        <v>31.218091000000001</v>
      </c>
      <c r="BC14" s="2587">
        <v>33.588704999999997</v>
      </c>
      <c r="BD14" s="2587">
        <v>90.000816</v>
      </c>
      <c r="BE14" s="2587">
        <v>45.383921999999998</v>
      </c>
      <c r="BF14" s="2588"/>
      <c r="BG14" s="2588"/>
    </row>
    <row r="15" spans="1:59" ht="17.25" x14ac:dyDescent="0.3">
      <c r="A15" s="2589" t="s">
        <v>4828</v>
      </c>
      <c r="B15" s="2590" t="s">
        <v>1156</v>
      </c>
      <c r="C15" s="2591">
        <v>7.4431580000000004</v>
      </c>
      <c r="D15" s="2592">
        <v>3.191764</v>
      </c>
      <c r="E15" s="2592">
        <v>11.376604</v>
      </c>
      <c r="F15" s="2592">
        <v>3.6755200000000001</v>
      </c>
      <c r="G15" s="2592">
        <v>6.0751489999999997</v>
      </c>
      <c r="H15" s="2592">
        <v>7.1958409999999997</v>
      </c>
      <c r="I15" s="2592">
        <v>3.1279710000000001</v>
      </c>
      <c r="J15" s="2592">
        <v>40.134290999999997</v>
      </c>
      <c r="K15" s="2592">
        <v>6.2871199999999998</v>
      </c>
      <c r="L15" s="2592">
        <v>5.1037610000000004</v>
      </c>
      <c r="M15" s="2593">
        <v>1.591332</v>
      </c>
      <c r="N15" s="2594">
        <v>3.9038390000000001</v>
      </c>
      <c r="O15" s="2594">
        <v>0.95578700000000005</v>
      </c>
      <c r="P15" s="2594">
        <v>3.9333209999999998</v>
      </c>
      <c r="Q15" s="2594">
        <v>4.7058270000000002</v>
      </c>
      <c r="R15" s="2594">
        <v>4.3063940000000001</v>
      </c>
      <c r="S15" s="2595">
        <v>6.5781109999999998</v>
      </c>
      <c r="T15" s="2595">
        <v>2.698734</v>
      </c>
      <c r="U15" s="2596">
        <v>15.72723</v>
      </c>
      <c r="V15" s="2585">
        <v>5.7628649999999997</v>
      </c>
      <c r="W15" s="2585">
        <v>3.1107689999999999</v>
      </c>
      <c r="X15" s="2585">
        <v>4.4975189999999996</v>
      </c>
      <c r="Y15" s="2585">
        <v>3.9542950000000001</v>
      </c>
      <c r="Z15" s="2585">
        <v>3.3524280000000002</v>
      </c>
      <c r="AA15" s="2585">
        <v>2.742181</v>
      </c>
      <c r="AB15" s="2586">
        <v>3.1589100000000001</v>
      </c>
      <c r="AC15" s="2586">
        <v>3.6881569999999999</v>
      </c>
      <c r="AD15" s="2586">
        <v>5.2339779999999996</v>
      </c>
      <c r="AE15" s="2586">
        <v>7.5805990000000003</v>
      </c>
      <c r="AF15" s="2586">
        <v>9.56203</v>
      </c>
      <c r="AG15" s="2586">
        <v>6.5123879999999996</v>
      </c>
      <c r="AH15" s="2586">
        <v>3.0414300000000001</v>
      </c>
      <c r="AI15" s="2586">
        <v>3.3746149999999999</v>
      </c>
      <c r="AJ15" s="2586">
        <v>6.2735719999999997</v>
      </c>
      <c r="AK15" s="2586">
        <v>2.1273230000000001</v>
      </c>
      <c r="AL15" s="2586">
        <v>3.9048210000000001</v>
      </c>
      <c r="AM15" s="2586">
        <v>2.713454</v>
      </c>
      <c r="AN15" s="2586">
        <v>4.1512169999999999</v>
      </c>
      <c r="AO15" s="2586">
        <v>1.2201010000000001</v>
      </c>
      <c r="AP15" s="2586">
        <v>1.8744700000000001</v>
      </c>
      <c r="AQ15" s="2586">
        <v>2.0163730000000002</v>
      </c>
      <c r="AR15" s="2586">
        <v>5.5958399999999999</v>
      </c>
      <c r="AS15" s="2586">
        <v>1.4342999999999999</v>
      </c>
      <c r="AT15" s="2586">
        <v>2.742451</v>
      </c>
      <c r="AU15" s="2586">
        <v>3.3125209999999998</v>
      </c>
      <c r="AV15" s="2586">
        <v>4.3478630000000003</v>
      </c>
      <c r="AW15" s="2586">
        <v>2.8601549999999998</v>
      </c>
      <c r="AX15" s="2586">
        <v>5.0721179999999997</v>
      </c>
      <c r="AY15" s="2586">
        <v>2.4470800000000001</v>
      </c>
      <c r="AZ15" s="2586">
        <v>2.149197</v>
      </c>
      <c r="BA15" s="2587">
        <v>2.24519</v>
      </c>
      <c r="BB15" s="2587">
        <v>3.775064</v>
      </c>
      <c r="BC15" s="2587">
        <v>2.8862969999999999</v>
      </c>
      <c r="BD15" s="2587">
        <v>6.5629229999999996</v>
      </c>
      <c r="BE15" s="2587">
        <v>3.9844140000000001</v>
      </c>
      <c r="BF15" s="2588"/>
      <c r="BG15" s="2588"/>
    </row>
    <row r="16" spans="1:59" ht="17.25" x14ac:dyDescent="0.3">
      <c r="A16" s="2589" t="s">
        <v>4829</v>
      </c>
      <c r="B16" s="2590" t="s">
        <v>3536</v>
      </c>
      <c r="C16" s="2591">
        <v>14.810750000000001</v>
      </c>
      <c r="D16" s="2592">
        <v>18.382771999999999</v>
      </c>
      <c r="E16" s="2592">
        <v>27.526206999999999</v>
      </c>
      <c r="F16" s="2592">
        <v>20.808420999999999</v>
      </c>
      <c r="G16" s="2592">
        <v>23.058107</v>
      </c>
      <c r="H16" s="2592">
        <v>23.266812000000002</v>
      </c>
      <c r="I16" s="2592">
        <v>26.023875</v>
      </c>
      <c r="J16" s="2592">
        <v>60.637323000000002</v>
      </c>
      <c r="K16" s="2592">
        <v>20.461027000000001</v>
      </c>
      <c r="L16" s="2592">
        <v>21.849274999999999</v>
      </c>
      <c r="M16" s="2593">
        <v>16.305308</v>
      </c>
      <c r="N16" s="2594">
        <v>30.725159000000001</v>
      </c>
      <c r="O16" s="2594">
        <v>25.048484999999999</v>
      </c>
      <c r="P16" s="2594">
        <v>35.716518999999998</v>
      </c>
      <c r="Q16" s="2594">
        <v>30.985135</v>
      </c>
      <c r="R16" s="2594">
        <v>28.39002</v>
      </c>
      <c r="S16" s="2595">
        <v>23.796334999999999</v>
      </c>
      <c r="T16" s="2595">
        <v>25.293275999999999</v>
      </c>
      <c r="U16" s="2596">
        <v>26.222798999999998</v>
      </c>
      <c r="V16" s="2585">
        <v>23.557244000000001</v>
      </c>
      <c r="W16" s="2585">
        <v>21.464693</v>
      </c>
      <c r="X16" s="2585">
        <v>25.644933999999999</v>
      </c>
      <c r="Y16" s="2585">
        <v>25.04571</v>
      </c>
      <c r="Z16" s="2585">
        <v>26.928208000000001</v>
      </c>
      <c r="AA16" s="2585">
        <v>20.295801999999998</v>
      </c>
      <c r="AB16" s="2586">
        <v>26.160764</v>
      </c>
      <c r="AC16" s="2586">
        <v>25.497384</v>
      </c>
      <c r="AD16" s="2586">
        <v>30.427409999999998</v>
      </c>
      <c r="AE16" s="2586">
        <v>37.109676</v>
      </c>
      <c r="AF16" s="2586">
        <v>30.006713999999999</v>
      </c>
      <c r="AG16" s="2586">
        <v>25.902818</v>
      </c>
      <c r="AH16" s="2586">
        <v>19.768214</v>
      </c>
      <c r="AI16" s="2586">
        <v>25.938088</v>
      </c>
      <c r="AJ16" s="2586">
        <v>22.755818999999999</v>
      </c>
      <c r="AK16" s="2586">
        <v>18.760166999999999</v>
      </c>
      <c r="AL16" s="2586">
        <v>25.603705999999999</v>
      </c>
      <c r="AM16" s="2586">
        <v>18.086220999999998</v>
      </c>
      <c r="AN16" s="2586">
        <v>22.651035</v>
      </c>
      <c r="AO16" s="2586">
        <v>18.068843000000001</v>
      </c>
      <c r="AP16" s="2586">
        <v>15.038517000000001</v>
      </c>
      <c r="AQ16" s="2586">
        <v>9.1838599999999992</v>
      </c>
      <c r="AR16" s="2586">
        <v>20.804037000000001</v>
      </c>
      <c r="AS16" s="2586">
        <v>18.542815999999998</v>
      </c>
      <c r="AT16" s="2586">
        <v>17.731045000000002</v>
      </c>
      <c r="AU16" s="2586">
        <v>14.943498</v>
      </c>
      <c r="AV16" s="2586">
        <v>17.100142000000002</v>
      </c>
      <c r="AW16" s="2586">
        <v>14.013667999999999</v>
      </c>
      <c r="AX16" s="2586">
        <v>21.938268000000001</v>
      </c>
      <c r="AY16" s="2586">
        <v>18.956026000000001</v>
      </c>
      <c r="AZ16" s="2586">
        <v>19.120449000000001</v>
      </c>
      <c r="BA16" s="2587">
        <v>15.581719</v>
      </c>
      <c r="BB16" s="2587">
        <v>15.049244</v>
      </c>
      <c r="BC16" s="2587">
        <v>16.306469</v>
      </c>
      <c r="BD16" s="2587">
        <v>20.977478999999999</v>
      </c>
      <c r="BE16" s="2587">
        <v>16.761240000000001</v>
      </c>
      <c r="BF16" s="2588"/>
      <c r="BG16" s="2588"/>
    </row>
    <row r="17" spans="1:59" ht="17.25" x14ac:dyDescent="0.3">
      <c r="A17" s="2589" t="s">
        <v>4830</v>
      </c>
      <c r="B17" s="2590" t="s">
        <v>3537</v>
      </c>
      <c r="C17" s="2591">
        <v>11.024990000000001</v>
      </c>
      <c r="D17" s="2592">
        <v>8.6488119999999995</v>
      </c>
      <c r="E17" s="2592">
        <v>14.874256000000001</v>
      </c>
      <c r="F17" s="2592">
        <v>13.331205000000001</v>
      </c>
      <c r="G17" s="2592">
        <v>12.505409999999999</v>
      </c>
      <c r="H17" s="2592">
        <v>17.213787</v>
      </c>
      <c r="I17" s="2592">
        <v>16.039676</v>
      </c>
      <c r="J17" s="2592">
        <v>17.554079000000002</v>
      </c>
      <c r="K17" s="2592">
        <v>16.687273000000001</v>
      </c>
      <c r="L17" s="2592">
        <v>22.456793000000001</v>
      </c>
      <c r="M17" s="2593">
        <v>14.030403</v>
      </c>
      <c r="N17" s="2594">
        <v>24.607752000000001</v>
      </c>
      <c r="O17" s="2594">
        <v>16.371354</v>
      </c>
      <c r="P17" s="2594">
        <v>15.255300999999999</v>
      </c>
      <c r="Q17" s="2594">
        <v>18.054186000000001</v>
      </c>
      <c r="R17" s="2594">
        <v>16.764921000000001</v>
      </c>
      <c r="S17" s="2595">
        <v>14.947494000000001</v>
      </c>
      <c r="T17" s="2595">
        <v>16.085007000000001</v>
      </c>
      <c r="U17" s="2596">
        <v>15.173658</v>
      </c>
      <c r="V17" s="2585">
        <v>15.631684999999999</v>
      </c>
      <c r="W17" s="2585">
        <v>13.844137999999999</v>
      </c>
      <c r="X17" s="2585">
        <v>15.493772</v>
      </c>
      <c r="Y17" s="2585">
        <v>14.563727999999999</v>
      </c>
      <c r="Z17" s="2585">
        <v>23.011146</v>
      </c>
      <c r="AA17" s="2585">
        <v>15.766283</v>
      </c>
      <c r="AB17" s="2586">
        <v>14.026094000000001</v>
      </c>
      <c r="AC17" s="2586">
        <v>15.501575000000001</v>
      </c>
      <c r="AD17" s="2586">
        <v>16.247378000000001</v>
      </c>
      <c r="AE17" s="2586">
        <v>20.437121999999999</v>
      </c>
      <c r="AF17" s="2586">
        <v>16.627571</v>
      </c>
      <c r="AG17" s="2586">
        <v>17.399487000000001</v>
      </c>
      <c r="AH17" s="2586">
        <v>15.289287</v>
      </c>
      <c r="AI17" s="2586">
        <v>17.798856000000001</v>
      </c>
      <c r="AJ17" s="2586">
        <v>16.343696999999999</v>
      </c>
      <c r="AK17" s="2586">
        <v>23.86037</v>
      </c>
      <c r="AL17" s="2586">
        <v>25.139966000000001</v>
      </c>
      <c r="AM17" s="2586">
        <v>19.553968999999999</v>
      </c>
      <c r="AN17" s="2586">
        <v>18.975113</v>
      </c>
      <c r="AO17" s="2586">
        <v>18.827112</v>
      </c>
      <c r="AP17" s="2586">
        <v>9.3722670000000008</v>
      </c>
      <c r="AQ17" s="2586">
        <v>11.707286</v>
      </c>
      <c r="AR17" s="2586">
        <v>24.566661</v>
      </c>
      <c r="AS17" s="2586">
        <v>10.257107</v>
      </c>
      <c r="AT17" s="2586">
        <v>10.866294</v>
      </c>
      <c r="AU17" s="2586">
        <v>11.180914</v>
      </c>
      <c r="AV17" s="2586">
        <v>10.87777</v>
      </c>
      <c r="AW17" s="2586">
        <v>16.379650999999999</v>
      </c>
      <c r="AX17" s="2586">
        <v>14.769600000000001</v>
      </c>
      <c r="AY17" s="2586">
        <v>13.402728</v>
      </c>
      <c r="AZ17" s="2586">
        <v>13.117661</v>
      </c>
      <c r="BA17" s="2587">
        <v>13.803005000000001</v>
      </c>
      <c r="BB17" s="2587">
        <v>12.504445</v>
      </c>
      <c r="BC17" s="2587">
        <v>17.863624999999999</v>
      </c>
      <c r="BD17" s="2587">
        <v>16.113136000000001</v>
      </c>
      <c r="BE17" s="2587">
        <v>12.028689999999999</v>
      </c>
      <c r="BF17" s="2588"/>
      <c r="BG17" s="2588"/>
    </row>
    <row r="18" spans="1:59" ht="17.25" x14ac:dyDescent="0.3">
      <c r="A18" s="2589" t="s">
        <v>4831</v>
      </c>
      <c r="B18" s="2590" t="s">
        <v>4832</v>
      </c>
      <c r="C18" s="2591">
        <v>0.13133500000000001</v>
      </c>
      <c r="D18" s="2592">
        <v>0.168013</v>
      </c>
      <c r="E18" s="2592">
        <v>0.31973499999999999</v>
      </c>
      <c r="F18" s="2592">
        <v>0.35592800000000002</v>
      </c>
      <c r="G18" s="2592">
        <v>1.3143050000000001</v>
      </c>
      <c r="H18" s="2592">
        <v>0.22219800000000001</v>
      </c>
      <c r="I18" s="2592">
        <v>0.46631299999999998</v>
      </c>
      <c r="J18" s="2592">
        <v>0.35877100000000001</v>
      </c>
      <c r="K18" s="2592">
        <v>0.21185000000000001</v>
      </c>
      <c r="L18" s="2592">
        <v>0</v>
      </c>
      <c r="M18" s="2593">
        <v>0.41243999999999997</v>
      </c>
      <c r="N18" s="2594">
        <v>5.9538000000000001E-2</v>
      </c>
      <c r="O18" s="2594">
        <v>0.178373</v>
      </c>
      <c r="P18" s="2594">
        <v>2.0999750000000001</v>
      </c>
      <c r="Q18" s="2594">
        <v>0.373583</v>
      </c>
      <c r="R18" s="2594">
        <v>0.110983</v>
      </c>
      <c r="S18" s="2595">
        <v>2.3446760000000002</v>
      </c>
      <c r="T18" s="2595">
        <v>0.11064</v>
      </c>
      <c r="U18" s="2596">
        <v>0.46794799999999998</v>
      </c>
      <c r="V18" s="2585">
        <v>7.7188999999999994E-2</v>
      </c>
      <c r="W18" s="2585">
        <v>0.11956899999999999</v>
      </c>
      <c r="X18" s="2585">
        <v>6.6686999999999996E-2</v>
      </c>
      <c r="Y18" s="2585">
        <v>0.108735</v>
      </c>
      <c r="Z18" s="2585">
        <v>0.767733</v>
      </c>
      <c r="AA18" s="2585">
        <v>0.31524099999999999</v>
      </c>
      <c r="AB18" s="2586">
        <v>0.175986</v>
      </c>
      <c r="AC18" s="2586">
        <v>0.17774799999999999</v>
      </c>
      <c r="AD18" s="2586">
        <v>1.0558069999999999</v>
      </c>
      <c r="AE18" s="2586">
        <v>0.33707300000000001</v>
      </c>
      <c r="AF18" s="2586">
        <v>1.9436310000000001</v>
      </c>
      <c r="AG18" s="2586">
        <v>0.13586799999999999</v>
      </c>
      <c r="AH18" s="2586">
        <v>0.50755399999999995</v>
      </c>
      <c r="AI18" s="2586">
        <v>5.6032279999999997</v>
      </c>
      <c r="AJ18" s="2586">
        <v>1.1672169999999999</v>
      </c>
      <c r="AK18" s="2586">
        <v>0.211898</v>
      </c>
      <c r="AL18" s="2586">
        <v>0.40614699999999998</v>
      </c>
      <c r="AM18" s="2586">
        <v>0.203149</v>
      </c>
      <c r="AN18" s="2586">
        <v>5.2344000000000002E-2</v>
      </c>
      <c r="AO18" s="2586">
        <v>2.6908999999999999E-2</v>
      </c>
      <c r="AP18" s="2586">
        <v>9.4888E-2</v>
      </c>
      <c r="AQ18" s="2586">
        <v>0</v>
      </c>
      <c r="AR18" s="2586">
        <v>8.2988459999999993</v>
      </c>
      <c r="AS18" s="2586">
        <v>0.228377</v>
      </c>
      <c r="AT18" s="2586">
        <v>0.43878099999999998</v>
      </c>
      <c r="AU18" s="2586">
        <v>1.4211670000000001</v>
      </c>
      <c r="AV18" s="2586">
        <v>4.5479580000000004</v>
      </c>
      <c r="AW18" s="2586">
        <v>4.4353999999999998E-2</v>
      </c>
      <c r="AX18" s="2586">
        <v>0.15443000000000001</v>
      </c>
      <c r="AY18" s="2586">
        <v>5.9450000000000003E-2</v>
      </c>
      <c r="AZ18" s="2586">
        <v>0.41297499999999998</v>
      </c>
      <c r="BA18" s="2587">
        <v>0.41810999999999998</v>
      </c>
      <c r="BB18" s="2587">
        <v>0.79246300000000003</v>
      </c>
      <c r="BC18" s="2587">
        <v>0.31652799999999998</v>
      </c>
      <c r="BD18" s="2587">
        <v>1.574003</v>
      </c>
      <c r="BE18" s="2587">
        <v>0.78869</v>
      </c>
      <c r="BF18" s="2588"/>
      <c r="BG18" s="2588"/>
    </row>
    <row r="19" spans="1:59" ht="17.25" x14ac:dyDescent="0.3">
      <c r="A19" s="2589" t="s">
        <v>4833</v>
      </c>
      <c r="B19" s="2590" t="s">
        <v>3538</v>
      </c>
      <c r="C19" s="2591">
        <v>0.29548999999999997</v>
      </c>
      <c r="D19" s="2592">
        <v>0.3</v>
      </c>
      <c r="E19" s="2592">
        <v>0.155026</v>
      </c>
      <c r="F19" s="2592">
        <v>1.238113</v>
      </c>
      <c r="G19" s="2592">
        <v>0.67066499999999996</v>
      </c>
      <c r="H19" s="2592">
        <v>0.23518500000000001</v>
      </c>
      <c r="I19" s="2592">
        <v>0.59591000000000005</v>
      </c>
      <c r="J19" s="2592">
        <v>0.648648</v>
      </c>
      <c r="K19" s="2592">
        <v>0.67086299999999999</v>
      </c>
      <c r="L19" s="2592">
        <v>3.040759</v>
      </c>
      <c r="M19" s="2593">
        <v>0.245148</v>
      </c>
      <c r="N19" s="2594">
        <v>2.1748180000000001</v>
      </c>
      <c r="O19" s="2594">
        <v>0.45817000000000002</v>
      </c>
      <c r="P19" s="2594">
        <v>0.56177699999999997</v>
      </c>
      <c r="Q19" s="2594">
        <v>0.13452800000000001</v>
      </c>
      <c r="R19" s="2594">
        <v>0.86668900000000004</v>
      </c>
      <c r="S19" s="2595">
        <v>0.17100000000000001</v>
      </c>
      <c r="T19" s="2595">
        <v>0.20044000000000001</v>
      </c>
      <c r="U19" s="2596">
        <v>0.30657899999999999</v>
      </c>
      <c r="V19" s="2585">
        <v>1.311426</v>
      </c>
      <c r="W19" s="2585">
        <v>7.0000000000000007E-2</v>
      </c>
      <c r="X19" s="2585">
        <v>0.47996100000000003</v>
      </c>
      <c r="Y19" s="2585">
        <v>0.18365899999999999</v>
      </c>
      <c r="Z19" s="2585">
        <v>0.69404399999999999</v>
      </c>
      <c r="AA19" s="2585">
        <v>0.44184299999999999</v>
      </c>
      <c r="AB19" s="2586">
        <v>0.47869800000000001</v>
      </c>
      <c r="AC19" s="2586">
        <v>0.43472</v>
      </c>
      <c r="AD19" s="2586">
        <v>0.56399999999999995</v>
      </c>
      <c r="AE19" s="2586">
        <v>0.44455</v>
      </c>
      <c r="AF19" s="2586">
        <v>1.5333920000000001</v>
      </c>
      <c r="AG19" s="2586">
        <v>0.68051700000000004</v>
      </c>
      <c r="AH19" s="2586">
        <v>0.86719999999999997</v>
      </c>
      <c r="AI19" s="2586">
        <v>0.50900000000000001</v>
      </c>
      <c r="AJ19" s="2586">
        <v>0.68880699999999995</v>
      </c>
      <c r="AK19" s="2586">
        <v>0.43735200000000002</v>
      </c>
      <c r="AL19" s="2586">
        <v>0.70452899999999996</v>
      </c>
      <c r="AM19" s="2586">
        <v>0.96790699999999996</v>
      </c>
      <c r="AN19" s="2586">
        <v>0.37655899999999998</v>
      </c>
      <c r="AO19" s="2586">
        <v>0.222442</v>
      </c>
      <c r="AP19" s="2586">
        <v>0.17</v>
      </c>
      <c r="AQ19" s="2586">
        <v>5.2689E-2</v>
      </c>
      <c r="AR19" s="2586">
        <v>0.28026099999999998</v>
      </c>
      <c r="AS19" s="2586">
        <v>0.23119899999999999</v>
      </c>
      <c r="AT19" s="2586">
        <v>6.4274999999999999E-2</v>
      </c>
      <c r="AU19" s="2586">
        <v>0.14000199999999999</v>
      </c>
      <c r="AV19" s="2586">
        <v>0.214341</v>
      </c>
      <c r="AW19" s="2586">
        <v>0.34140300000000001</v>
      </c>
      <c r="AX19" s="2586">
        <v>0.91951400000000005</v>
      </c>
      <c r="AY19" s="2586">
        <v>0.92507099999999998</v>
      </c>
      <c r="AZ19" s="2586">
        <v>0.58064000000000004</v>
      </c>
      <c r="BA19" s="2587">
        <v>0.74710299999999996</v>
      </c>
      <c r="BB19" s="2587">
        <v>1.091488</v>
      </c>
      <c r="BC19" s="2587">
        <v>0.64621700000000004</v>
      </c>
      <c r="BD19" s="2587">
        <v>1.267323</v>
      </c>
      <c r="BE19" s="2587">
        <v>0.67508500000000005</v>
      </c>
      <c r="BF19" s="2588"/>
      <c r="BG19" s="2588"/>
    </row>
    <row r="20" spans="1:59" ht="17.25" x14ac:dyDescent="0.3">
      <c r="A20" s="2589" t="s">
        <v>4834</v>
      </c>
      <c r="B20" s="2590" t="s">
        <v>3539</v>
      </c>
      <c r="C20" s="2591">
        <v>0.32373099999999999</v>
      </c>
      <c r="D20" s="2592">
        <v>0.44500800000000001</v>
      </c>
      <c r="E20" s="2592">
        <v>3.3009179999999998</v>
      </c>
      <c r="F20" s="2592">
        <v>0.34762199999999999</v>
      </c>
      <c r="G20" s="2592">
        <v>6.607138</v>
      </c>
      <c r="H20" s="2592">
        <v>6.5507960000000001</v>
      </c>
      <c r="I20" s="2592">
        <v>2.5683639999999999</v>
      </c>
      <c r="J20" s="2592">
        <v>8.6718930000000007</v>
      </c>
      <c r="K20" s="2592">
        <v>8.4451579999999993</v>
      </c>
      <c r="L20" s="2592">
        <v>13.800784</v>
      </c>
      <c r="M20" s="2593">
        <v>9.3935549999999992</v>
      </c>
      <c r="N20" s="2594">
        <v>0.59122399999999997</v>
      </c>
      <c r="O20" s="2594">
        <v>7.6922540000000001</v>
      </c>
      <c r="P20" s="2594">
        <v>1.6502730000000001</v>
      </c>
      <c r="Q20" s="2594">
        <v>0.32571699999999998</v>
      </c>
      <c r="R20" s="2594">
        <v>0.55090399999999995</v>
      </c>
      <c r="S20" s="2595">
        <v>0.617093</v>
      </c>
      <c r="T20" s="2595">
        <v>1.0975440000000001</v>
      </c>
      <c r="U20" s="2596">
        <v>0.38788699999999998</v>
      </c>
      <c r="V20" s="2585">
        <v>0.96395799999999998</v>
      </c>
      <c r="W20" s="2585">
        <v>0.50281699999999996</v>
      </c>
      <c r="X20" s="2585">
        <v>0.86569600000000002</v>
      </c>
      <c r="Y20" s="2585">
        <v>0.54166199999999998</v>
      </c>
      <c r="Z20" s="2585">
        <v>1.523263</v>
      </c>
      <c r="AA20" s="2585">
        <v>0.67796599999999996</v>
      </c>
      <c r="AB20" s="2586">
        <v>0.91152500000000003</v>
      </c>
      <c r="AC20" s="2586">
        <v>0.74520699999999995</v>
      </c>
      <c r="AD20" s="2586">
        <v>0.69394900000000004</v>
      </c>
      <c r="AE20" s="2586">
        <v>0.75905</v>
      </c>
      <c r="AF20" s="2586">
        <v>0.97522200000000003</v>
      </c>
      <c r="AG20" s="2586">
        <v>0.45269799999999999</v>
      </c>
      <c r="AH20" s="2586">
        <v>0.826623</v>
      </c>
      <c r="AI20" s="2586">
        <v>0.63345899999999999</v>
      </c>
      <c r="AJ20" s="2586">
        <v>0.57716800000000001</v>
      </c>
      <c r="AK20" s="2586">
        <v>1.8774900000000001</v>
      </c>
      <c r="AL20" s="2586">
        <v>3.7401110000000002</v>
      </c>
      <c r="AM20" s="2586">
        <v>0.77644299999999999</v>
      </c>
      <c r="AN20" s="2586">
        <v>0.82890299999999995</v>
      </c>
      <c r="AO20" s="2586">
        <v>4.6523770000000004</v>
      </c>
      <c r="AP20" s="2586">
        <v>0.196411</v>
      </c>
      <c r="AQ20" s="2586">
        <v>0.47903299999999999</v>
      </c>
      <c r="AR20" s="2586">
        <v>0.73827200000000004</v>
      </c>
      <c r="AS20" s="2586">
        <v>0.57867999999999997</v>
      </c>
      <c r="AT20" s="2586">
        <v>0.98813300000000004</v>
      </c>
      <c r="AU20" s="2586">
        <v>3.170064</v>
      </c>
      <c r="AV20" s="2586">
        <v>1.111944</v>
      </c>
      <c r="AW20" s="2586">
        <v>0.54341600000000001</v>
      </c>
      <c r="AX20" s="2586">
        <v>1.2802709999999999</v>
      </c>
      <c r="AY20" s="2586">
        <v>0.54615100000000005</v>
      </c>
      <c r="AZ20" s="2586">
        <v>1.1154580000000001</v>
      </c>
      <c r="BA20" s="2587">
        <v>0.52458300000000002</v>
      </c>
      <c r="BB20" s="2587">
        <v>1.1487210000000001</v>
      </c>
      <c r="BC20" s="2587">
        <v>0.18318899999999999</v>
      </c>
      <c r="BD20" s="2587">
        <v>0.32113900000000001</v>
      </c>
      <c r="BE20" s="2587">
        <v>0.26834999999999998</v>
      </c>
      <c r="BF20" s="2588"/>
      <c r="BG20" s="2588"/>
    </row>
    <row r="21" spans="1:59" ht="17.25" x14ac:dyDescent="0.3">
      <c r="A21" s="2589" t="s">
        <v>4835</v>
      </c>
      <c r="B21" s="2590" t="s">
        <v>3540</v>
      </c>
      <c r="C21" s="2591">
        <v>1.403078</v>
      </c>
      <c r="D21" s="2592">
        <v>1.712745</v>
      </c>
      <c r="E21" s="2592">
        <v>1.192982</v>
      </c>
      <c r="F21" s="2592">
        <v>2.1298910000000002</v>
      </c>
      <c r="G21" s="2592">
        <v>1.2749630000000001</v>
      </c>
      <c r="H21" s="2592">
        <v>1.149967</v>
      </c>
      <c r="I21" s="2592">
        <v>7.7453380000000003</v>
      </c>
      <c r="J21" s="2592">
        <v>0.88043000000000005</v>
      </c>
      <c r="K21" s="2592">
        <v>1.587286</v>
      </c>
      <c r="L21" s="2592">
        <v>2.6986669999999999</v>
      </c>
      <c r="M21" s="2593">
        <v>1.5468</v>
      </c>
      <c r="N21" s="2594">
        <v>2.844706</v>
      </c>
      <c r="O21" s="2594">
        <v>1.518203</v>
      </c>
      <c r="P21" s="2594">
        <v>1.772203</v>
      </c>
      <c r="Q21" s="2594">
        <v>3.2571919999999999</v>
      </c>
      <c r="R21" s="2594">
        <v>1.7995239999999999</v>
      </c>
      <c r="S21" s="2595">
        <v>1.6965220000000001</v>
      </c>
      <c r="T21" s="2595">
        <v>1.988769</v>
      </c>
      <c r="U21" s="2596">
        <v>1.3241989999999999</v>
      </c>
      <c r="V21" s="2585">
        <v>1.3989119999999999</v>
      </c>
      <c r="W21" s="2585">
        <v>1.0144150000000001</v>
      </c>
      <c r="X21" s="2585">
        <v>1.216553</v>
      </c>
      <c r="Y21" s="2585">
        <v>2.334676</v>
      </c>
      <c r="Z21" s="2585">
        <v>2.591167</v>
      </c>
      <c r="AA21" s="2585">
        <v>3.1185179999999999</v>
      </c>
      <c r="AB21" s="2586">
        <v>2.0060850000000001</v>
      </c>
      <c r="AC21" s="2586">
        <v>1.2579340000000001</v>
      </c>
      <c r="AD21" s="2586">
        <v>2.0331739999999998</v>
      </c>
      <c r="AE21" s="2586">
        <v>2.8504360000000002</v>
      </c>
      <c r="AF21" s="2586">
        <v>0.89180700000000002</v>
      </c>
      <c r="AG21" s="2586">
        <v>1.396973</v>
      </c>
      <c r="AH21" s="2586">
        <v>1.4104289999999999</v>
      </c>
      <c r="AI21" s="2586">
        <v>1.4469909999999999</v>
      </c>
      <c r="AJ21" s="2586">
        <v>2.22858</v>
      </c>
      <c r="AK21" s="2586">
        <v>1.356376</v>
      </c>
      <c r="AL21" s="2586">
        <v>2.3900990000000002</v>
      </c>
      <c r="AM21" s="2586">
        <v>1.6974039999999999</v>
      </c>
      <c r="AN21" s="2586">
        <v>3.230499</v>
      </c>
      <c r="AO21" s="2586">
        <v>1.6928399999999999</v>
      </c>
      <c r="AP21" s="2586">
        <v>0.114124</v>
      </c>
      <c r="AQ21" s="2586">
        <v>1.3848670000000001</v>
      </c>
      <c r="AR21" s="2586">
        <v>1.533641</v>
      </c>
      <c r="AS21" s="2586">
        <v>1.4694449999999999</v>
      </c>
      <c r="AT21" s="2586">
        <v>1.5520910000000001</v>
      </c>
      <c r="AU21" s="2586">
        <v>1.910274</v>
      </c>
      <c r="AV21" s="2586">
        <v>0.74499400000000005</v>
      </c>
      <c r="AW21" s="2586">
        <v>0.34408300000000003</v>
      </c>
      <c r="AX21" s="2586">
        <v>0.55416299999999996</v>
      </c>
      <c r="AY21" s="2586">
        <v>0.51000800000000002</v>
      </c>
      <c r="AZ21" s="2586">
        <v>1.299693</v>
      </c>
      <c r="BA21" s="2587">
        <v>0.88902000000000003</v>
      </c>
      <c r="BB21" s="2587">
        <v>0.33468199999999998</v>
      </c>
      <c r="BC21" s="2587">
        <v>0.17155999999999999</v>
      </c>
      <c r="BD21" s="2587">
        <v>0.58454799999999996</v>
      </c>
      <c r="BE21" s="2587">
        <v>1.0573030000000001</v>
      </c>
      <c r="BF21" s="2588"/>
      <c r="BG21" s="2588"/>
    </row>
    <row r="22" spans="1:59" ht="17.25" x14ac:dyDescent="0.3">
      <c r="A22" s="2589" t="s">
        <v>4836</v>
      </c>
      <c r="B22" s="2590" t="s">
        <v>3541</v>
      </c>
      <c r="C22" s="2591">
        <v>27.185331000000005</v>
      </c>
      <c r="D22" s="2592">
        <v>22.028818999999999</v>
      </c>
      <c r="E22" s="2592">
        <v>35.07018399999999</v>
      </c>
      <c r="F22" s="2592">
        <v>32.027396999999993</v>
      </c>
      <c r="G22" s="2592">
        <v>30.346934000000005</v>
      </c>
      <c r="H22" s="2592">
        <v>24.153430999999998</v>
      </c>
      <c r="I22" s="2592">
        <v>25.901853000000003</v>
      </c>
      <c r="J22" s="2592">
        <v>21.44654899999999</v>
      </c>
      <c r="K22" s="2592">
        <v>28.356650999999999</v>
      </c>
      <c r="L22" s="2592">
        <v>27.470339999999993</v>
      </c>
      <c r="M22" s="2593">
        <v>29.579845000000006</v>
      </c>
      <c r="N22" s="2594">
        <v>30.906048000000013</v>
      </c>
      <c r="O22" s="2594">
        <v>8.2486209999999858</v>
      </c>
      <c r="P22" s="2594">
        <v>25.532362000000035</v>
      </c>
      <c r="Q22" s="2594">
        <v>21.321840000000009</v>
      </c>
      <c r="R22" s="2594">
        <v>22.373751999999968</v>
      </c>
      <c r="S22" s="2595">
        <v>19.666868999999963</v>
      </c>
      <c r="T22" s="2595">
        <v>19.15944300000001</v>
      </c>
      <c r="U22" s="2596">
        <v>21.695601</v>
      </c>
      <c r="V22" s="2585">
        <v>15.126203</v>
      </c>
      <c r="W22" s="2585">
        <v>15.356263999999999</v>
      </c>
      <c r="X22" s="2585">
        <v>16.273731000000002</v>
      </c>
      <c r="Y22" s="2585">
        <v>16.277384999999999</v>
      </c>
      <c r="Z22" s="2585">
        <v>31.982485</v>
      </c>
      <c r="AA22" s="2585">
        <v>14.125909</v>
      </c>
      <c r="AB22" s="2586">
        <v>19.958051000000001</v>
      </c>
      <c r="AC22" s="2586">
        <v>17.193593</v>
      </c>
      <c r="AD22" s="2586">
        <v>18.078799</v>
      </c>
      <c r="AE22" s="2586">
        <v>18.100528000000001</v>
      </c>
      <c r="AF22" s="2586">
        <v>18.52074</v>
      </c>
      <c r="AG22" s="2586">
        <v>16.544312999999999</v>
      </c>
      <c r="AH22" s="2586">
        <v>23.348794999999999</v>
      </c>
      <c r="AI22" s="2586">
        <v>12.115086000000019</v>
      </c>
      <c r="AJ22" s="2586">
        <v>14.119937</v>
      </c>
      <c r="AK22" s="2586">
        <v>14.200590999999999</v>
      </c>
      <c r="AL22" s="2586">
        <v>20.994408</v>
      </c>
      <c r="AM22" s="2586">
        <v>16.330876</v>
      </c>
      <c r="AN22" s="2586">
        <v>17.237390999999999</v>
      </c>
      <c r="AO22" s="2586">
        <v>12.628064999999999</v>
      </c>
      <c r="AP22" s="2586">
        <v>9.2578300000000002</v>
      </c>
      <c r="AQ22" s="2586">
        <v>9.2737420000000004</v>
      </c>
      <c r="AR22" s="2586">
        <v>14.250151000000001</v>
      </c>
      <c r="AS22" s="2586">
        <v>15.441103</v>
      </c>
      <c r="AT22" s="2586">
        <v>10.358651999999999</v>
      </c>
      <c r="AU22" s="2586">
        <v>11.273531999999999</v>
      </c>
      <c r="AV22" s="2586">
        <v>9.6698950000000004</v>
      </c>
      <c r="AW22" s="2586">
        <v>6.7377380000000002</v>
      </c>
      <c r="AX22" s="2586">
        <v>12.577280999999999</v>
      </c>
      <c r="AY22" s="2586">
        <v>5.5758080000000003</v>
      </c>
      <c r="AZ22" s="2586">
        <v>3.108136</v>
      </c>
      <c r="BA22" s="2587">
        <v>2.2978429999999999</v>
      </c>
      <c r="BB22" s="2587">
        <v>1.90082</v>
      </c>
      <c r="BC22" s="2587">
        <v>0.98790100000000003</v>
      </c>
      <c r="BD22" s="2587">
        <v>1.024753</v>
      </c>
      <c r="BE22" s="2587">
        <v>1.1486879999999999</v>
      </c>
      <c r="BF22" s="2588"/>
      <c r="BG22" s="2588"/>
    </row>
    <row r="23" spans="1:59" ht="33" x14ac:dyDescent="0.3">
      <c r="A23" s="2597" t="s">
        <v>4837</v>
      </c>
      <c r="B23" s="2590" t="s">
        <v>4838</v>
      </c>
      <c r="C23" s="2591">
        <v>0</v>
      </c>
      <c r="D23" s="2592">
        <v>0</v>
      </c>
      <c r="E23" s="2592">
        <v>0</v>
      </c>
      <c r="F23" s="2592">
        <v>0</v>
      </c>
      <c r="G23" s="2592">
        <v>0</v>
      </c>
      <c r="H23" s="2592">
        <v>0</v>
      </c>
      <c r="I23" s="2592">
        <v>0</v>
      </c>
      <c r="J23" s="2592">
        <v>0</v>
      </c>
      <c r="K23" s="2592">
        <v>0</v>
      </c>
      <c r="L23" s="2592">
        <v>0</v>
      </c>
      <c r="M23" s="2593">
        <v>0</v>
      </c>
      <c r="N23" s="2594">
        <v>0</v>
      </c>
      <c r="O23" s="2594">
        <v>0</v>
      </c>
      <c r="P23" s="2594">
        <v>0</v>
      </c>
      <c r="Q23" s="2594">
        <v>0</v>
      </c>
      <c r="R23" s="2594">
        <v>0</v>
      </c>
      <c r="S23" s="2595">
        <v>0</v>
      </c>
      <c r="T23" s="2595">
        <v>0</v>
      </c>
      <c r="U23" s="2596">
        <v>0</v>
      </c>
      <c r="V23" s="2585">
        <v>0</v>
      </c>
      <c r="W23" s="2585">
        <v>0</v>
      </c>
      <c r="X23" s="2585">
        <v>0</v>
      </c>
      <c r="Y23" s="2585">
        <v>0</v>
      </c>
      <c r="Z23" s="2585">
        <v>0</v>
      </c>
      <c r="AA23" s="2585">
        <v>2.9454999999999999E-2</v>
      </c>
      <c r="AB23" s="2586">
        <v>2.5000000000000001E-2</v>
      </c>
      <c r="AC23" s="2586">
        <v>0</v>
      </c>
      <c r="AD23" s="2586">
        <v>0</v>
      </c>
      <c r="AE23" s="2586">
        <v>0</v>
      </c>
      <c r="AF23" s="2586">
        <v>0</v>
      </c>
      <c r="AG23" s="2586">
        <v>0</v>
      </c>
      <c r="AH23" s="2586">
        <v>0</v>
      </c>
      <c r="AI23" s="2586">
        <v>0</v>
      </c>
      <c r="AJ23" s="2586">
        <v>0</v>
      </c>
      <c r="AK23" s="2586">
        <v>0</v>
      </c>
      <c r="AL23" s="2586">
        <v>0</v>
      </c>
      <c r="AM23" s="2586">
        <v>0</v>
      </c>
      <c r="AN23" s="2586">
        <v>0</v>
      </c>
      <c r="AO23" s="2586">
        <v>0</v>
      </c>
      <c r="AP23" s="2586">
        <v>0</v>
      </c>
      <c r="AQ23" s="2586">
        <v>0</v>
      </c>
      <c r="AR23" s="2586">
        <v>0</v>
      </c>
      <c r="AS23" s="2586">
        <v>0</v>
      </c>
      <c r="AT23" s="2586">
        <v>0</v>
      </c>
      <c r="AU23" s="2586">
        <v>0</v>
      </c>
      <c r="AV23" s="2586">
        <v>0</v>
      </c>
      <c r="AW23" s="2586">
        <v>0</v>
      </c>
      <c r="AX23" s="2586">
        <v>0</v>
      </c>
      <c r="AY23" s="2586">
        <v>0</v>
      </c>
      <c r="AZ23" s="2586">
        <v>0</v>
      </c>
      <c r="BA23" s="2586">
        <v>0</v>
      </c>
      <c r="BB23" s="2586">
        <v>0</v>
      </c>
      <c r="BC23" s="2587">
        <v>0</v>
      </c>
      <c r="BD23" s="2587">
        <v>0</v>
      </c>
      <c r="BE23" s="2587">
        <v>0</v>
      </c>
      <c r="BF23" s="2588"/>
      <c r="BG23" s="2588"/>
    </row>
    <row r="24" spans="1:59" ht="17.25" x14ac:dyDescent="0.3">
      <c r="A24" s="2589" t="s">
        <v>4839</v>
      </c>
      <c r="B24" s="2590" t="s">
        <v>4840</v>
      </c>
      <c r="C24" s="2591">
        <v>0.121946</v>
      </c>
      <c r="D24" s="2592">
        <v>0.39519700000000002</v>
      </c>
      <c r="E24" s="2592">
        <v>0.114692</v>
      </c>
      <c r="F24" s="2592">
        <v>0.16900299999999999</v>
      </c>
      <c r="G24" s="2592">
        <v>0.111</v>
      </c>
      <c r="H24" s="2592">
        <v>0.48355100000000001</v>
      </c>
      <c r="I24" s="2592">
        <v>0.17533899999999999</v>
      </c>
      <c r="J24" s="2592">
        <v>0.56850000000000001</v>
      </c>
      <c r="K24" s="2592">
        <v>2.1486000000000002E-2</v>
      </c>
      <c r="L24" s="2592">
        <v>0.12</v>
      </c>
      <c r="M24" s="2593">
        <v>9.1999999999999998E-2</v>
      </c>
      <c r="N24" s="2594">
        <v>0.124974</v>
      </c>
      <c r="O24" s="2594">
        <v>0.32700000000000001</v>
      </c>
      <c r="P24" s="2594">
        <v>0.24496499999999999</v>
      </c>
      <c r="Q24" s="2594">
        <v>0.191553</v>
      </c>
      <c r="R24" s="2594">
        <v>0.22187100000000001</v>
      </c>
      <c r="S24" s="2595">
        <v>0</v>
      </c>
      <c r="T24" s="2595">
        <v>0.19980000000000001</v>
      </c>
      <c r="U24" s="2596">
        <v>0.22989999999999999</v>
      </c>
      <c r="V24" s="2585">
        <v>0.299985</v>
      </c>
      <c r="W24" s="2585">
        <v>0.32097300000000001</v>
      </c>
      <c r="X24" s="2585">
        <v>0.53400000000000003</v>
      </c>
      <c r="Y24" s="2585">
        <v>0.38319999999999999</v>
      </c>
      <c r="Z24" s="2585">
        <v>0.43</v>
      </c>
      <c r="AA24" s="2585">
        <v>0.28999999999999998</v>
      </c>
      <c r="AB24" s="2586">
        <v>0.30060100000000001</v>
      </c>
      <c r="AC24" s="2586">
        <v>0</v>
      </c>
      <c r="AD24" s="2586">
        <v>0.34499999999999997</v>
      </c>
      <c r="AE24" s="2586">
        <v>0.12997400000000001</v>
      </c>
      <c r="AF24" s="2586">
        <v>0.44098100000000001</v>
      </c>
      <c r="AG24" s="2586">
        <v>0.51882499999999998</v>
      </c>
      <c r="AH24" s="2586">
        <v>0.66942100000000004</v>
      </c>
      <c r="AI24" s="2586">
        <v>7.8486E-2</v>
      </c>
      <c r="AJ24" s="2586">
        <v>0.226687</v>
      </c>
      <c r="AK24" s="2586">
        <v>0.29913000000000001</v>
      </c>
      <c r="AL24" s="2586">
        <v>0.18260100000000001</v>
      </c>
      <c r="AM24" s="2586">
        <v>0.42660900000000002</v>
      </c>
      <c r="AN24" s="2586">
        <v>0.19683200000000001</v>
      </c>
      <c r="AO24" s="2586">
        <v>0.222</v>
      </c>
      <c r="AP24" s="2586">
        <v>0</v>
      </c>
      <c r="AQ24" s="2586">
        <v>0.104</v>
      </c>
      <c r="AR24" s="2586">
        <v>0.22123799999999999</v>
      </c>
      <c r="AS24" s="2586">
        <v>0.13247800000000001</v>
      </c>
      <c r="AT24" s="2586">
        <v>0.33807500000000001</v>
      </c>
      <c r="AU24" s="2586">
        <v>0.17499999999999999</v>
      </c>
      <c r="AV24" s="2586">
        <v>0.14599999999999999</v>
      </c>
      <c r="AW24" s="2586">
        <v>0.40186899999999998</v>
      </c>
      <c r="AX24" s="2586">
        <v>0.22181699999999999</v>
      </c>
      <c r="AY24" s="2586">
        <v>9.7000000000000003E-2</v>
      </c>
      <c r="AZ24" s="2586">
        <v>0.31061</v>
      </c>
      <c r="BA24" s="2587">
        <v>0.16191900000000001</v>
      </c>
      <c r="BB24" s="2587">
        <v>0.08</v>
      </c>
      <c r="BC24" s="2587">
        <v>0.13900000000000001</v>
      </c>
      <c r="BD24" s="2587">
        <v>0.19670000000000001</v>
      </c>
      <c r="BE24" s="2587">
        <v>0.08</v>
      </c>
      <c r="BF24" s="2588"/>
      <c r="BG24" s="2588"/>
    </row>
    <row r="25" spans="1:59" ht="18" thickBot="1" x14ac:dyDescent="0.35">
      <c r="A25" s="2600"/>
      <c r="B25" s="2601" t="s">
        <v>4841</v>
      </c>
      <c r="C25" s="2602">
        <v>25.737110000000001</v>
      </c>
      <c r="D25" s="2603">
        <v>22.018177000000001</v>
      </c>
      <c r="E25" s="2603">
        <v>35.687283000000001</v>
      </c>
      <c r="F25" s="2603">
        <v>21.702106000000001</v>
      </c>
      <c r="G25" s="2603">
        <v>37.305055000000003</v>
      </c>
      <c r="H25" s="2603">
        <v>31.659293000000002</v>
      </c>
      <c r="I25" s="2603">
        <v>33.026600000000002</v>
      </c>
      <c r="J25" s="2603">
        <v>29.708821</v>
      </c>
      <c r="K25" s="2603">
        <v>43.738652999999999</v>
      </c>
      <c r="L25" s="2603">
        <v>36.712114999999997</v>
      </c>
      <c r="M25" s="2604">
        <v>30.637415000000001</v>
      </c>
      <c r="N25" s="2605">
        <v>31.055990000000001</v>
      </c>
      <c r="O25" s="2605">
        <v>36.385924000000003</v>
      </c>
      <c r="P25" s="2605">
        <v>35.06711</v>
      </c>
      <c r="Q25" s="2605">
        <v>40.885973999999997</v>
      </c>
      <c r="R25" s="2605">
        <v>49.470982999999997</v>
      </c>
      <c r="S25" s="2606">
        <v>28.184138999999998</v>
      </c>
      <c r="T25" s="2606">
        <v>31.81381</v>
      </c>
      <c r="U25" s="2607">
        <v>18.174779999999998</v>
      </c>
      <c r="V25" s="2608">
        <v>31.765108999999999</v>
      </c>
      <c r="W25" s="2608">
        <v>29.850967000000001</v>
      </c>
      <c r="X25" s="2608">
        <v>29.128205999999999</v>
      </c>
      <c r="Y25" s="2608">
        <v>40.314165000000003</v>
      </c>
      <c r="Z25" s="2608">
        <v>26.839988000000002</v>
      </c>
      <c r="AA25" s="2608">
        <v>26.919129999999999</v>
      </c>
      <c r="AB25" s="2609">
        <v>31.039451</v>
      </c>
      <c r="AC25" s="2609">
        <v>46.404277</v>
      </c>
      <c r="AD25" s="2609">
        <v>47.419716000000001</v>
      </c>
      <c r="AE25" s="2609">
        <v>64.725669999999994</v>
      </c>
      <c r="AF25" s="2609">
        <v>38.270862999999999</v>
      </c>
      <c r="AG25" s="2609">
        <v>36.993046999999997</v>
      </c>
      <c r="AH25" s="2609">
        <v>29.992884</v>
      </c>
      <c r="AI25" s="2609">
        <v>33.049315</v>
      </c>
      <c r="AJ25" s="2609">
        <v>53.468066999999998</v>
      </c>
      <c r="AK25" s="2609">
        <v>35.137366</v>
      </c>
      <c r="AL25" s="2609">
        <v>42.652462999999997</v>
      </c>
      <c r="AM25" s="2609">
        <v>50.251697999999998</v>
      </c>
      <c r="AN25" s="2609">
        <v>36.801167</v>
      </c>
      <c r="AO25" s="2609">
        <v>32.579033000000003</v>
      </c>
      <c r="AP25" s="2609">
        <v>13.407575</v>
      </c>
      <c r="AQ25" s="2609">
        <v>13.947247000000001</v>
      </c>
      <c r="AR25" s="2609">
        <v>27.037309</v>
      </c>
      <c r="AS25" s="2609">
        <v>21.03436</v>
      </c>
      <c r="AT25" s="2609">
        <v>18.686419999999998</v>
      </c>
      <c r="AU25" s="2609">
        <v>17.373142999999999</v>
      </c>
      <c r="AV25" s="2609">
        <v>26.734531</v>
      </c>
      <c r="AW25" s="2609">
        <v>34.279448000000002</v>
      </c>
      <c r="AX25" s="2609">
        <v>35.957728000000003</v>
      </c>
      <c r="AY25" s="2609">
        <v>21.893906000000001</v>
      </c>
      <c r="AZ25" s="2609">
        <v>27.912963000000001</v>
      </c>
      <c r="BA25" s="2610">
        <v>19.263836000000001</v>
      </c>
      <c r="BB25" s="2610">
        <v>18.2925</v>
      </c>
      <c r="BC25" s="2610">
        <v>30.327954999999999</v>
      </c>
      <c r="BD25" s="2610">
        <v>29.553436999999999</v>
      </c>
      <c r="BE25" s="2610">
        <v>27.353370999999999</v>
      </c>
      <c r="BF25" s="2588"/>
      <c r="BG25" s="2588"/>
    </row>
    <row r="26" spans="1:59" ht="18" thickBot="1" x14ac:dyDescent="0.35">
      <c r="A26" s="2611"/>
      <c r="B26" s="2612" t="s">
        <v>114</v>
      </c>
      <c r="C26" s="2613">
        <v>331.22154599999993</v>
      </c>
      <c r="D26" s="2614">
        <v>329.61593399999987</v>
      </c>
      <c r="E26" s="2614">
        <v>450.52565999999996</v>
      </c>
      <c r="F26" s="2614">
        <v>393.22015600000003</v>
      </c>
      <c r="G26" s="2614">
        <v>436.19422500000007</v>
      </c>
      <c r="H26" s="2614">
        <v>389.03623999999996</v>
      </c>
      <c r="I26" s="2614">
        <v>376.47295199999996</v>
      </c>
      <c r="J26" s="2614">
        <v>433.39257800000001</v>
      </c>
      <c r="K26" s="2614">
        <v>380.04286400000001</v>
      </c>
      <c r="L26" s="2614">
        <v>334.96484500000003</v>
      </c>
      <c r="M26" s="2615">
        <v>354.41184200000009</v>
      </c>
      <c r="N26" s="2616">
        <v>342.77341800000011</v>
      </c>
      <c r="O26" s="2616">
        <v>378.5047209999999</v>
      </c>
      <c r="P26" s="2616">
        <v>375.16533900000002</v>
      </c>
      <c r="Q26" s="2616">
        <v>404.32662899999997</v>
      </c>
      <c r="R26" s="2616">
        <v>356.19284700000003</v>
      </c>
      <c r="S26" s="2617">
        <v>338.88403600000004</v>
      </c>
      <c r="T26" s="2617">
        <v>418.06721099999999</v>
      </c>
      <c r="U26" s="2618">
        <v>342.43261199999995</v>
      </c>
      <c r="V26" s="2619">
        <v>372.80672099999992</v>
      </c>
      <c r="W26" s="2620">
        <v>348.67276500000003</v>
      </c>
      <c r="X26" s="2620">
        <v>323.29544999999996</v>
      </c>
      <c r="Y26" s="2620">
        <v>306.74239299999999</v>
      </c>
      <c r="Z26" s="2620">
        <v>394.53658899999999</v>
      </c>
      <c r="AA26" s="2620">
        <v>372.56564600000002</v>
      </c>
      <c r="AB26" s="2621">
        <v>325.29947499999992</v>
      </c>
      <c r="AC26" s="2621">
        <v>361.93969099999998</v>
      </c>
      <c r="AD26" s="2621">
        <v>372.18267200000003</v>
      </c>
      <c r="AE26" s="2621">
        <v>506.66610799999995</v>
      </c>
      <c r="AF26" s="2621">
        <v>460.39336499999996</v>
      </c>
      <c r="AG26" s="2621">
        <v>343.389321</v>
      </c>
      <c r="AH26" s="2621">
        <v>329.39689500000009</v>
      </c>
      <c r="AI26" s="2621">
        <v>356.41321500000009</v>
      </c>
      <c r="AJ26" s="2621">
        <v>387.98195599999997</v>
      </c>
      <c r="AK26" s="2621">
        <v>307.55695500000002</v>
      </c>
      <c r="AL26" s="2621">
        <v>361.10683799999998</v>
      </c>
      <c r="AM26" s="2621">
        <v>340.31638700000008</v>
      </c>
      <c r="AN26" s="2621">
        <v>353.71015999999997</v>
      </c>
      <c r="AO26" s="2621">
        <v>313.13605600000005</v>
      </c>
      <c r="AP26" s="2621">
        <v>120.90965299999999</v>
      </c>
      <c r="AQ26" s="2621">
        <v>96.734831999999997</v>
      </c>
      <c r="AR26" s="2621">
        <v>216.03775899999999</v>
      </c>
      <c r="AS26" s="2621">
        <v>182.51931099999996</v>
      </c>
      <c r="AT26" s="2621">
        <v>197.73801899999998</v>
      </c>
      <c r="AU26" s="2621">
        <v>192.27075599999998</v>
      </c>
      <c r="AV26" s="2621">
        <v>194.18265099999994</v>
      </c>
      <c r="AW26" s="2621">
        <v>198.50699299999997</v>
      </c>
      <c r="AX26" s="2621">
        <v>279.52116999999998</v>
      </c>
      <c r="AY26" s="2621">
        <v>197.03910899999994</v>
      </c>
      <c r="AZ26" s="2621">
        <v>190.91852899999998</v>
      </c>
      <c r="BA26" s="2622">
        <v>155.96555799999999</v>
      </c>
      <c r="BB26" s="2622">
        <v>150.154447</v>
      </c>
      <c r="BC26" s="2622">
        <v>161.942564</v>
      </c>
      <c r="BD26" s="2622">
        <v>245.57111800000001</v>
      </c>
      <c r="BE26" s="2622">
        <v>172.242941</v>
      </c>
      <c r="BF26" s="2588"/>
      <c r="BG26" s="2588"/>
    </row>
    <row r="27" spans="1:59" s="2561" customFormat="1" ht="15" thickTop="1" x14ac:dyDescent="0.25">
      <c r="A27" s="2623" t="s">
        <v>4842</v>
      </c>
      <c r="B27" s="2624"/>
      <c r="BF27" s="2588"/>
      <c r="BG27" s="2588"/>
    </row>
    <row r="28" spans="1:59" s="283" customFormat="1" x14ac:dyDescent="0.25">
      <c r="A28" s="2625" t="s">
        <v>4843</v>
      </c>
      <c r="B28" s="2626"/>
      <c r="C28" s="2626"/>
      <c r="D28" s="2626"/>
      <c r="E28" s="2626"/>
      <c r="F28" s="2626"/>
      <c r="G28" s="2626"/>
      <c r="H28" s="2626"/>
      <c r="I28" s="2626"/>
      <c r="J28" s="2626"/>
      <c r="K28" s="2626"/>
      <c r="L28" s="1157"/>
      <c r="M28" s="1157"/>
      <c r="N28" s="1157"/>
      <c r="AD28" s="2623"/>
      <c r="AE28" s="2623"/>
      <c r="AF28" s="2623"/>
      <c r="AG28" s="2623"/>
      <c r="AH28" s="2623"/>
      <c r="AI28" s="2623"/>
      <c r="AJ28" s="2623"/>
      <c r="AK28" s="2623"/>
      <c r="AL28" s="2623"/>
      <c r="AM28" s="2623"/>
      <c r="AN28" s="2623"/>
      <c r="AO28" s="2623"/>
      <c r="AP28" s="2623"/>
      <c r="AQ28" s="2623"/>
      <c r="AR28" s="2623"/>
      <c r="AS28" s="2623"/>
      <c r="AT28" s="2623"/>
      <c r="AU28" s="2623"/>
      <c r="AV28" s="2623"/>
      <c r="AW28" s="2623"/>
      <c r="AX28" s="2623"/>
      <c r="AY28" s="2627"/>
      <c r="AZ28" s="2627"/>
      <c r="BA28" s="2627"/>
      <c r="BB28" s="2627"/>
      <c r="BC28" s="2627"/>
      <c r="BD28" s="2627"/>
      <c r="BE28" s="2627"/>
      <c r="BF28" s="2588"/>
      <c r="BG28" s="2588"/>
    </row>
    <row r="29" spans="1:59" s="2625" customFormat="1" ht="15.75" x14ac:dyDescent="0.25">
      <c r="A29" s="2628" t="s">
        <v>4844</v>
      </c>
      <c r="B29" s="2629"/>
      <c r="C29" s="2629"/>
      <c r="D29" s="2629"/>
      <c r="E29" s="2629"/>
      <c r="F29" s="2629"/>
      <c r="G29" s="2629"/>
      <c r="H29" s="2629"/>
      <c r="I29" s="2629"/>
      <c r="J29" s="2629"/>
      <c r="K29" s="2629"/>
      <c r="L29" s="2629"/>
      <c r="M29" s="2629"/>
      <c r="N29" s="2630"/>
      <c r="AD29" s="2623"/>
      <c r="AE29" s="2623"/>
      <c r="AF29" s="2623"/>
      <c r="AG29" s="2623"/>
      <c r="AH29" s="2623"/>
      <c r="AI29" s="2623"/>
      <c r="AJ29" s="2623"/>
      <c r="AK29" s="2623"/>
      <c r="AL29" s="2623"/>
      <c r="AM29" s="2623"/>
      <c r="AN29" s="2623"/>
      <c r="AO29" s="2623"/>
      <c r="AP29" s="2623"/>
      <c r="AQ29" s="2623"/>
      <c r="AR29" s="2623"/>
      <c r="AS29" s="2623"/>
      <c r="AT29" s="2623"/>
      <c r="AU29" s="2623"/>
      <c r="AV29" s="2623"/>
      <c r="AW29" s="2623"/>
      <c r="AX29" s="2623"/>
      <c r="AY29" s="2627"/>
      <c r="AZ29" s="2627"/>
      <c r="BA29" s="2627"/>
      <c r="BB29" s="2627"/>
      <c r="BC29" s="2627"/>
      <c r="BD29" s="2627"/>
      <c r="BE29" s="2627"/>
      <c r="BF29" s="2588"/>
      <c r="BG29" s="2588"/>
    </row>
    <row r="30" spans="1:59" s="2623" customFormat="1" x14ac:dyDescent="0.25">
      <c r="A30" s="2623" t="s">
        <v>172</v>
      </c>
      <c r="B30" s="1156"/>
      <c r="AY30" s="2627"/>
      <c r="AZ30" s="2627"/>
      <c r="BA30" s="2627"/>
      <c r="BB30" s="2627"/>
      <c r="BC30" s="2627"/>
      <c r="BD30" s="2627"/>
      <c r="BE30" s="2627"/>
      <c r="BF30" s="2588"/>
      <c r="BG30" s="2588"/>
    </row>
    <row r="31" spans="1:59" s="2623" customFormat="1" x14ac:dyDescent="0.25">
      <c r="A31" s="2623" t="s">
        <v>3553</v>
      </c>
      <c r="B31" s="1156"/>
      <c r="AY31" s="2627"/>
      <c r="AZ31" s="2627"/>
      <c r="BA31" s="2627"/>
      <c r="BB31" s="2627"/>
      <c r="BC31" s="2627"/>
      <c r="BD31" s="2627"/>
      <c r="BE31" s="2627"/>
      <c r="BF31" s="2588"/>
      <c r="BG31" s="2588"/>
    </row>
    <row r="33" spans="2:2" s="1820" customFormat="1" x14ac:dyDescent="0.25">
      <c r="B33" s="2526" t="s">
        <v>4845</v>
      </c>
    </row>
  </sheetData>
  <mergeCells count="1">
    <mergeCell ref="AK2:BE2"/>
  </mergeCells>
  <printOptions horizontalCentered="1"/>
  <pageMargins left="0.74803149606299213" right="0.74803149606299213" top="0.74803149606299213" bottom="0.74803149606299213" header="0.31496062992125984" footer="0"/>
  <pageSetup paperSize="9" scale="6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BG31"/>
  <sheetViews>
    <sheetView showGridLines="0" zoomScale="80" zoomScaleNormal="80" zoomScaleSheetLayoutView="70" workbookViewId="0">
      <pane xSplit="1" topLeftCell="B1" activePane="topRight" state="frozen"/>
      <selection activeCell="A150" sqref="A150"/>
      <selection pane="topRight"/>
    </sheetView>
  </sheetViews>
  <sheetFormatPr defaultColWidth="9.140625" defaultRowHeight="14.25" x14ac:dyDescent="0.25"/>
  <cols>
    <col min="1" max="1" width="13.5703125" style="2631" customWidth="1"/>
    <col min="2" max="2" width="74.5703125" style="2526" bestFit="1" customWidth="1"/>
    <col min="3" max="3" width="7.28515625" style="1820" hidden="1" customWidth="1"/>
    <col min="4" max="4" width="7.5703125" style="1820" hidden="1" customWidth="1"/>
    <col min="5" max="5" width="8" style="1820" hidden="1" customWidth="1"/>
    <col min="6" max="6" width="7.7109375" style="1820" hidden="1" customWidth="1"/>
    <col min="7" max="7" width="8.28515625" style="1820" hidden="1" customWidth="1"/>
    <col min="8" max="8" width="7.28515625" style="1820" hidden="1" customWidth="1"/>
    <col min="9" max="9" width="6.7109375" style="1820" hidden="1" customWidth="1"/>
    <col min="10" max="10" width="8" style="1820" hidden="1" customWidth="1"/>
    <col min="11" max="11" width="7.7109375" style="1820" hidden="1" customWidth="1"/>
    <col min="12" max="12" width="7.42578125" style="1820" hidden="1" customWidth="1"/>
    <col min="13" max="13" width="8.140625" style="1820" hidden="1" customWidth="1"/>
    <col min="14" max="14" width="7.7109375" style="1820" hidden="1" customWidth="1"/>
    <col min="15" max="15" width="7.28515625" style="1820" hidden="1" customWidth="1"/>
    <col min="16" max="16" width="7.5703125" style="1820" hidden="1" customWidth="1"/>
    <col min="17" max="17" width="8" style="1820" hidden="1" customWidth="1"/>
    <col min="18" max="18" width="7.7109375" style="1820" hidden="1" customWidth="1"/>
    <col min="19" max="19" width="9.42578125" style="1820" hidden="1" customWidth="1"/>
    <col min="20" max="20" width="8.5703125" style="1820" hidden="1" customWidth="1"/>
    <col min="21" max="21" width="7.85546875" style="1820" hidden="1" customWidth="1"/>
    <col min="22" max="22" width="9.140625" style="1820" hidden="1" customWidth="1"/>
    <col min="23" max="23" width="8.7109375" style="1820" hidden="1" customWidth="1"/>
    <col min="24" max="24" width="8.42578125" style="1820" hidden="1" customWidth="1"/>
    <col min="25" max="25" width="9.28515625" style="1820" hidden="1" customWidth="1"/>
    <col min="26" max="26" width="8.85546875" style="1820" hidden="1" customWidth="1"/>
    <col min="27" max="27" width="8.42578125" style="1820" hidden="1" customWidth="1"/>
    <col min="28" max="28" width="8.28515625" style="1820" hidden="1" customWidth="1"/>
    <col min="29" max="29" width="8.7109375" style="1820" hidden="1" customWidth="1"/>
    <col min="30" max="30" width="8.42578125" style="1820" hidden="1" customWidth="1"/>
    <col min="31" max="31" width="9" style="1820" hidden="1" customWidth="1"/>
    <col min="32" max="32" width="8.28515625" style="1820" hidden="1" customWidth="1"/>
    <col min="33" max="33" width="7.5703125" style="1820" hidden="1" customWidth="1"/>
    <col min="34" max="34" width="8.85546875" style="1820" hidden="1" customWidth="1"/>
    <col min="35" max="35" width="8.28515625" style="1820" hidden="1" customWidth="1"/>
    <col min="36" max="36" width="8.140625" style="1820" hidden="1" customWidth="1"/>
    <col min="37" max="37" width="8.85546875" style="1820" hidden="1" customWidth="1"/>
    <col min="38" max="38" width="8.42578125" style="1820" hidden="1" customWidth="1"/>
    <col min="39" max="39" width="8.140625" style="1820" hidden="1" customWidth="1"/>
    <col min="40" max="40" width="8.28515625" style="1820" hidden="1" customWidth="1"/>
    <col min="41" max="41" width="8.7109375" style="1820" hidden="1" customWidth="1"/>
    <col min="42" max="42" width="8.42578125" style="1820" hidden="1" customWidth="1"/>
    <col min="43" max="44" width="10.7109375" style="1820" hidden="1" customWidth="1"/>
    <col min="45" max="57" width="10.7109375" style="1820" customWidth="1"/>
    <col min="58" max="58" width="11.85546875" style="1820" bestFit="1" customWidth="1"/>
    <col min="59" max="16384" width="9.140625" style="1820"/>
  </cols>
  <sheetData>
    <row r="1" spans="1:59" s="2558" customFormat="1" ht="18.75" x14ac:dyDescent="0.3">
      <c r="A1" s="2523" t="s">
        <v>4846</v>
      </c>
      <c r="B1" s="2523"/>
    </row>
    <row r="2" spans="1:59" s="2560" customFormat="1" ht="17.25" thickBot="1" x14ac:dyDescent="0.35">
      <c r="A2" s="2559"/>
      <c r="T2" s="2561"/>
      <c r="W2" s="2561"/>
      <c r="Y2" s="2561"/>
      <c r="AE2" s="2562"/>
      <c r="AF2" s="2562"/>
      <c r="AG2" s="2562"/>
      <c r="AH2" s="2562"/>
      <c r="AJ2" s="2563"/>
      <c r="AK2" s="3903" t="s">
        <v>3968</v>
      </c>
      <c r="AL2" s="3903"/>
      <c r="AM2" s="3903"/>
      <c r="AN2" s="3903"/>
      <c r="AO2" s="3903"/>
      <c r="AP2" s="3903"/>
      <c r="AQ2" s="3903"/>
      <c r="AR2" s="3903"/>
      <c r="AS2" s="3903"/>
      <c r="AT2" s="3903"/>
      <c r="AU2" s="3903"/>
      <c r="AV2" s="3903"/>
      <c r="AW2" s="3903"/>
      <c r="AX2" s="3903"/>
      <c r="AY2" s="3903"/>
      <c r="AZ2" s="3903"/>
      <c r="BA2" s="3903"/>
      <c r="BB2" s="3903"/>
      <c r="BC2" s="3903"/>
      <c r="BD2" s="3903"/>
      <c r="BE2" s="3903"/>
    </row>
    <row r="3" spans="1:59" s="2575" customFormat="1" ht="34.5" thickTop="1" thickBot="1" x14ac:dyDescent="0.3">
      <c r="A3" s="2564" t="s">
        <v>4814</v>
      </c>
      <c r="B3" s="2565" t="s">
        <v>4815</v>
      </c>
      <c r="C3" s="2566">
        <v>42737</v>
      </c>
      <c r="D3" s="2567">
        <v>42767</v>
      </c>
      <c r="E3" s="2567">
        <v>42795</v>
      </c>
      <c r="F3" s="2567">
        <v>42826</v>
      </c>
      <c r="G3" s="2567">
        <v>42856</v>
      </c>
      <c r="H3" s="2567">
        <v>42887</v>
      </c>
      <c r="I3" s="2567">
        <v>42917</v>
      </c>
      <c r="J3" s="2567">
        <v>42948</v>
      </c>
      <c r="K3" s="2567">
        <v>42979</v>
      </c>
      <c r="L3" s="2567">
        <v>43009</v>
      </c>
      <c r="M3" s="2568">
        <v>43040</v>
      </c>
      <c r="N3" s="2569">
        <v>43070</v>
      </c>
      <c r="O3" s="2569">
        <v>43101</v>
      </c>
      <c r="P3" s="2569">
        <v>43132</v>
      </c>
      <c r="Q3" s="2569">
        <v>43160</v>
      </c>
      <c r="R3" s="2569">
        <v>43191</v>
      </c>
      <c r="S3" s="2570">
        <v>43221</v>
      </c>
      <c r="T3" s="2570">
        <v>43252</v>
      </c>
      <c r="U3" s="2571">
        <v>43282</v>
      </c>
      <c r="V3" s="2572">
        <v>43313</v>
      </c>
      <c r="W3" s="2573">
        <v>43344</v>
      </c>
      <c r="X3" s="2573">
        <v>43374</v>
      </c>
      <c r="Y3" s="2573">
        <v>43405</v>
      </c>
      <c r="Z3" s="2573">
        <v>43435</v>
      </c>
      <c r="AA3" s="2573">
        <v>43466</v>
      </c>
      <c r="AB3" s="2574">
        <v>43497</v>
      </c>
      <c r="AC3" s="2574">
        <v>43525</v>
      </c>
      <c r="AD3" s="2574">
        <v>43556</v>
      </c>
      <c r="AE3" s="2574">
        <v>43586</v>
      </c>
      <c r="AF3" s="2574">
        <v>43617</v>
      </c>
      <c r="AG3" s="2574">
        <v>43647</v>
      </c>
      <c r="AH3" s="2574">
        <v>43678</v>
      </c>
      <c r="AI3" s="2574">
        <v>43709</v>
      </c>
      <c r="AJ3" s="2574">
        <v>43739</v>
      </c>
      <c r="AK3" s="2574">
        <v>43770</v>
      </c>
      <c r="AL3" s="2574">
        <v>43800</v>
      </c>
      <c r="AM3" s="2574">
        <v>43831</v>
      </c>
      <c r="AN3" s="2574">
        <v>43862</v>
      </c>
      <c r="AO3" s="2574">
        <v>43891</v>
      </c>
      <c r="AP3" s="2574">
        <v>43922</v>
      </c>
      <c r="AQ3" s="2574">
        <v>43952</v>
      </c>
      <c r="AR3" s="2574">
        <v>43983</v>
      </c>
      <c r="AS3" s="2574">
        <v>44013</v>
      </c>
      <c r="AT3" s="2574">
        <v>44044</v>
      </c>
      <c r="AU3" s="2574">
        <v>44075</v>
      </c>
      <c r="AV3" s="2574">
        <v>44105</v>
      </c>
      <c r="AW3" s="2574">
        <v>44136</v>
      </c>
      <c r="AX3" s="2574">
        <v>44166</v>
      </c>
      <c r="AY3" s="2574">
        <v>44197</v>
      </c>
      <c r="AZ3" s="2574">
        <v>44228</v>
      </c>
      <c r="BA3" s="2574">
        <v>44256</v>
      </c>
      <c r="BB3" s="2574">
        <v>44287</v>
      </c>
      <c r="BC3" s="2574">
        <v>44317</v>
      </c>
      <c r="BD3" s="2574">
        <v>44348</v>
      </c>
      <c r="BE3" s="2574">
        <v>44378</v>
      </c>
    </row>
    <row r="4" spans="1:59" ht="17.25" x14ac:dyDescent="0.3">
      <c r="A4" s="2576" t="s">
        <v>4816</v>
      </c>
      <c r="B4" s="2577" t="s">
        <v>3528</v>
      </c>
      <c r="C4" s="2578">
        <v>1.8737269999999999</v>
      </c>
      <c r="D4" s="2579">
        <v>5.6502299999999996</v>
      </c>
      <c r="E4" s="2579">
        <v>6.1793459999999998</v>
      </c>
      <c r="F4" s="2579">
        <v>6.8903819999999998</v>
      </c>
      <c r="G4" s="2579">
        <v>2.9134190000000002</v>
      </c>
      <c r="H4" s="2579">
        <v>1.3776919999999999</v>
      </c>
      <c r="I4" s="2579">
        <v>5.8307270000000004</v>
      </c>
      <c r="J4" s="2579">
        <v>2.699341</v>
      </c>
      <c r="K4" s="2579">
        <v>2.9321660000000001</v>
      </c>
      <c r="L4" s="2579">
        <v>4.1240329999999998</v>
      </c>
      <c r="M4" s="2580">
        <v>1.3591869999999999</v>
      </c>
      <c r="N4" s="2581">
        <v>3.8012929999999998</v>
      </c>
      <c r="O4" s="2581">
        <v>4.0750380000000002</v>
      </c>
      <c r="P4" s="2581">
        <v>5.492051</v>
      </c>
      <c r="Q4" s="2581">
        <v>2.8839169999999998</v>
      </c>
      <c r="R4" s="2581">
        <v>5.3517130000000002</v>
      </c>
      <c r="S4" s="2582">
        <v>3.3357260000000002</v>
      </c>
      <c r="T4" s="2582">
        <v>4.0821009999999998</v>
      </c>
      <c r="U4" s="2583">
        <v>9.1434730000000002</v>
      </c>
      <c r="V4" s="2584">
        <v>4.4307730000000003</v>
      </c>
      <c r="W4" s="2585">
        <v>5.0496080000000001</v>
      </c>
      <c r="X4" s="2585">
        <v>5.7440550000000004</v>
      </c>
      <c r="Y4" s="2585">
        <v>1.312559</v>
      </c>
      <c r="Z4" s="2585">
        <v>1.96679</v>
      </c>
      <c r="AA4" s="2585">
        <v>5.5024449999999998</v>
      </c>
      <c r="AB4" s="2586">
        <v>11.190146</v>
      </c>
      <c r="AC4" s="2586">
        <v>3.9146969999999999</v>
      </c>
      <c r="AD4" s="2586">
        <v>4.536054</v>
      </c>
      <c r="AE4" s="2586">
        <v>4.7452940000000003</v>
      </c>
      <c r="AF4" s="2586">
        <v>11.968059999999999</v>
      </c>
      <c r="AG4" s="2586">
        <v>10.406629000000001</v>
      </c>
      <c r="AH4" s="2586">
        <v>14.553019000000001</v>
      </c>
      <c r="AI4" s="2586">
        <v>10.589162</v>
      </c>
      <c r="AJ4" s="2586">
        <v>19.345385</v>
      </c>
      <c r="AK4" s="2586">
        <v>11.578229</v>
      </c>
      <c r="AL4" s="2586">
        <v>8.3917599999999997</v>
      </c>
      <c r="AM4" s="2586">
        <v>2.779633</v>
      </c>
      <c r="AN4" s="2586">
        <v>4.8686730000000003</v>
      </c>
      <c r="AO4" s="2586">
        <v>11.063675</v>
      </c>
      <c r="AP4" s="2586">
        <v>4.4814850000000002</v>
      </c>
      <c r="AQ4" s="2586">
        <v>1.74898</v>
      </c>
      <c r="AR4" s="2586">
        <v>3.4967459999999999</v>
      </c>
      <c r="AS4" s="2586">
        <v>4.7611949999999998</v>
      </c>
      <c r="AT4" s="2586">
        <v>13.081106999999999</v>
      </c>
      <c r="AU4" s="2586">
        <v>11.208748</v>
      </c>
      <c r="AV4" s="2586">
        <v>4.3680279999999998</v>
      </c>
      <c r="AW4" s="2586">
        <v>0.89159999999999995</v>
      </c>
      <c r="AX4" s="2586">
        <v>2.6544279999999998</v>
      </c>
      <c r="AY4" s="2586">
        <v>4.2001309999999998</v>
      </c>
      <c r="AZ4" s="2586">
        <v>2.9666709999999998</v>
      </c>
      <c r="BA4" s="2586">
        <v>3.3781840000000001</v>
      </c>
      <c r="BB4" s="2586">
        <v>5.29833</v>
      </c>
      <c r="BC4" s="2586">
        <v>4.2538520000000002</v>
      </c>
      <c r="BD4" s="2586">
        <v>2.571167</v>
      </c>
      <c r="BE4" s="2586">
        <v>1.808025</v>
      </c>
      <c r="BF4" s="2588"/>
      <c r="BG4" s="2588"/>
    </row>
    <row r="5" spans="1:59" ht="17.25" x14ac:dyDescent="0.3">
      <c r="A5" s="2589" t="s">
        <v>4817</v>
      </c>
      <c r="B5" s="2590" t="s">
        <v>3529</v>
      </c>
      <c r="C5" s="2591">
        <v>0</v>
      </c>
      <c r="D5" s="2592">
        <v>0</v>
      </c>
      <c r="E5" s="2592">
        <v>0</v>
      </c>
      <c r="F5" s="2592">
        <v>2.3694E-2</v>
      </c>
      <c r="G5" s="2592">
        <v>0</v>
      </c>
      <c r="H5" s="2592">
        <v>0</v>
      </c>
      <c r="I5" s="2592">
        <v>0</v>
      </c>
      <c r="J5" s="2592">
        <v>3.4252999999999999E-2</v>
      </c>
      <c r="K5" s="2592">
        <v>5.4099000000000001E-2</v>
      </c>
      <c r="L5" s="2592">
        <v>4.5046999999999997E-2</v>
      </c>
      <c r="M5" s="2593">
        <v>0</v>
      </c>
      <c r="N5" s="2594">
        <v>0</v>
      </c>
      <c r="O5" s="2594">
        <v>0</v>
      </c>
      <c r="P5" s="2594">
        <v>8.2864999999999994E-2</v>
      </c>
      <c r="Q5" s="2594">
        <v>0</v>
      </c>
      <c r="R5" s="2594">
        <v>0</v>
      </c>
      <c r="S5" s="2595">
        <v>0</v>
      </c>
      <c r="T5" s="2595">
        <v>0</v>
      </c>
      <c r="U5" s="2596">
        <v>0</v>
      </c>
      <c r="V5" s="2585">
        <v>2.775E-2</v>
      </c>
      <c r="W5" s="2585">
        <v>0</v>
      </c>
      <c r="X5" s="2585">
        <v>0</v>
      </c>
      <c r="Y5" s="2585">
        <v>0</v>
      </c>
      <c r="Z5" s="2585">
        <v>0</v>
      </c>
      <c r="AA5" s="2585">
        <v>0</v>
      </c>
      <c r="AB5" s="2586">
        <v>0</v>
      </c>
      <c r="AC5" s="2586">
        <v>0</v>
      </c>
      <c r="AD5" s="2586">
        <v>0</v>
      </c>
      <c r="AE5" s="2586">
        <v>0</v>
      </c>
      <c r="AF5" s="2586">
        <v>2.0589E-2</v>
      </c>
      <c r="AG5" s="2586">
        <v>5.3126E-2</v>
      </c>
      <c r="AH5" s="2586">
        <v>0</v>
      </c>
      <c r="AI5" s="2586">
        <v>3.6579E-2</v>
      </c>
      <c r="AJ5" s="2586">
        <v>0</v>
      </c>
      <c r="AK5" s="2586">
        <v>0</v>
      </c>
      <c r="AL5" s="2586">
        <v>0</v>
      </c>
      <c r="AM5" s="2586">
        <v>0</v>
      </c>
      <c r="AN5" s="2586">
        <v>0</v>
      </c>
      <c r="AO5" s="2586">
        <v>0.114137</v>
      </c>
      <c r="AP5" s="2586">
        <v>0</v>
      </c>
      <c r="AQ5" s="2586">
        <v>0</v>
      </c>
      <c r="AR5" s="2586">
        <v>0</v>
      </c>
      <c r="AS5" s="2586">
        <v>0</v>
      </c>
      <c r="AT5" s="2586">
        <v>0</v>
      </c>
      <c r="AU5" s="2586">
        <v>0</v>
      </c>
      <c r="AV5" s="2586">
        <v>0</v>
      </c>
      <c r="AW5" s="2586">
        <v>0</v>
      </c>
      <c r="AX5" s="2586">
        <v>0</v>
      </c>
      <c r="AY5" s="2586">
        <v>0</v>
      </c>
      <c r="AZ5" s="2586">
        <v>0</v>
      </c>
      <c r="BA5" s="2586">
        <v>0</v>
      </c>
      <c r="BB5" s="2586">
        <v>0</v>
      </c>
      <c r="BC5" s="2586">
        <v>0</v>
      </c>
      <c r="BD5" s="2586">
        <v>0</v>
      </c>
      <c r="BE5" s="2586">
        <v>0</v>
      </c>
      <c r="BF5" s="2588"/>
      <c r="BG5" s="2588"/>
    </row>
    <row r="6" spans="1:59" ht="17.25" x14ac:dyDescent="0.3">
      <c r="A6" s="2589" t="s">
        <v>4818</v>
      </c>
      <c r="B6" s="2590" t="s">
        <v>1149</v>
      </c>
      <c r="C6" s="2591">
        <v>25.505998999999999</v>
      </c>
      <c r="D6" s="2592">
        <v>34.393787000000003</v>
      </c>
      <c r="E6" s="2592">
        <v>42.556314999999998</v>
      </c>
      <c r="F6" s="2592">
        <v>33.276426000000001</v>
      </c>
      <c r="G6" s="2592">
        <v>42.014259000000003</v>
      </c>
      <c r="H6" s="2592">
        <v>25.791346000000001</v>
      </c>
      <c r="I6" s="2592">
        <v>30.973580999999999</v>
      </c>
      <c r="J6" s="2592">
        <v>33.758459999999999</v>
      </c>
      <c r="K6" s="2592">
        <v>26.025895999999999</v>
      </c>
      <c r="L6" s="2592">
        <v>34.561964000000003</v>
      </c>
      <c r="M6" s="2593">
        <v>29.122147999999999</v>
      </c>
      <c r="N6" s="2594">
        <v>25.755611999999999</v>
      </c>
      <c r="O6" s="2594">
        <v>34.601475000000001</v>
      </c>
      <c r="P6" s="2594">
        <v>34.639186000000002</v>
      </c>
      <c r="Q6" s="2594">
        <v>26.550988</v>
      </c>
      <c r="R6" s="2594">
        <v>26.836786</v>
      </c>
      <c r="S6" s="2595">
        <v>31.837437000000001</v>
      </c>
      <c r="T6" s="2595">
        <v>28.543883999999998</v>
      </c>
      <c r="U6" s="2596">
        <v>34.210056000000002</v>
      </c>
      <c r="V6" s="2585">
        <v>40.196989000000002</v>
      </c>
      <c r="W6" s="2585">
        <v>28.634834000000001</v>
      </c>
      <c r="X6" s="2585">
        <v>32.079802999999998</v>
      </c>
      <c r="Y6" s="2585">
        <v>28.314133000000002</v>
      </c>
      <c r="Z6" s="2585">
        <v>39.206673000000002</v>
      </c>
      <c r="AA6" s="2585">
        <v>43.894100000000002</v>
      </c>
      <c r="AB6" s="2586">
        <v>40.363661</v>
      </c>
      <c r="AC6" s="2586">
        <v>30.507442000000001</v>
      </c>
      <c r="AD6" s="2586">
        <v>34.436408999999998</v>
      </c>
      <c r="AE6" s="2586">
        <v>34.797068000000003</v>
      </c>
      <c r="AF6" s="2586">
        <v>29.304745</v>
      </c>
      <c r="AG6" s="2586">
        <v>33.287880000000001</v>
      </c>
      <c r="AH6" s="2586">
        <v>37.400314000000002</v>
      </c>
      <c r="AI6" s="2586">
        <v>25.155100999999998</v>
      </c>
      <c r="AJ6" s="2586">
        <v>39.757447999999997</v>
      </c>
      <c r="AK6" s="2586">
        <v>25.219282</v>
      </c>
      <c r="AL6" s="2586">
        <v>30.162198</v>
      </c>
      <c r="AM6" s="2586">
        <v>29.913892000000001</v>
      </c>
      <c r="AN6" s="2586">
        <v>31.579284999999999</v>
      </c>
      <c r="AO6" s="2586">
        <v>25.076647999999999</v>
      </c>
      <c r="AP6" s="2586">
        <v>17.494340999999999</v>
      </c>
      <c r="AQ6" s="2586">
        <v>21.101254000000001</v>
      </c>
      <c r="AR6" s="2586">
        <v>28.187850000000001</v>
      </c>
      <c r="AS6" s="2586">
        <v>29.038751000000001</v>
      </c>
      <c r="AT6" s="2586">
        <v>33.133577000000002</v>
      </c>
      <c r="AU6" s="2586">
        <v>32.267304000000003</v>
      </c>
      <c r="AV6" s="2586">
        <v>30.417942</v>
      </c>
      <c r="AW6" s="2586">
        <v>36.404601999999997</v>
      </c>
      <c r="AX6" s="2586">
        <v>39.514634999999998</v>
      </c>
      <c r="AY6" s="2586">
        <v>21.836134000000001</v>
      </c>
      <c r="AZ6" s="2586">
        <v>23.311558999999999</v>
      </c>
      <c r="BA6" s="2586">
        <v>31.723936999999999</v>
      </c>
      <c r="BB6" s="2586">
        <v>26.021298000000002</v>
      </c>
      <c r="BC6" s="2586">
        <v>22.023582000000001</v>
      </c>
      <c r="BD6" s="2586">
        <v>26.537953000000002</v>
      </c>
      <c r="BE6" s="2586">
        <v>29.190011999999999</v>
      </c>
      <c r="BF6" s="2588"/>
      <c r="BG6" s="2588"/>
    </row>
    <row r="7" spans="1:59" ht="17.25" x14ac:dyDescent="0.3">
      <c r="A7" s="2589" t="s">
        <v>4819</v>
      </c>
      <c r="B7" s="2590" t="s">
        <v>3530</v>
      </c>
      <c r="C7" s="2591">
        <v>16.069172999999999</v>
      </c>
      <c r="D7" s="2592">
        <v>8.2470289999999995</v>
      </c>
      <c r="E7" s="2592">
        <v>19.579142000000001</v>
      </c>
      <c r="F7" s="2592">
        <v>9.5718099999999993</v>
      </c>
      <c r="G7" s="2592">
        <v>9.8174869999999999</v>
      </c>
      <c r="H7" s="2592">
        <v>11.629056</v>
      </c>
      <c r="I7" s="2592">
        <v>14.737556</v>
      </c>
      <c r="J7" s="2592">
        <v>16.954764000000001</v>
      </c>
      <c r="K7" s="2592">
        <v>2.9596070000000001</v>
      </c>
      <c r="L7" s="2592">
        <v>9.4236889999999995</v>
      </c>
      <c r="M7" s="2593">
        <v>20.105578000000001</v>
      </c>
      <c r="N7" s="2594">
        <v>23.065391000000002</v>
      </c>
      <c r="O7" s="2594">
        <v>20.877905999999999</v>
      </c>
      <c r="P7" s="2594">
        <v>13.191898</v>
      </c>
      <c r="Q7" s="2594">
        <v>19.954177000000001</v>
      </c>
      <c r="R7" s="2594">
        <v>15.967751</v>
      </c>
      <c r="S7" s="2595">
        <v>16.103573000000001</v>
      </c>
      <c r="T7" s="2595">
        <v>15.620875</v>
      </c>
      <c r="U7" s="2596">
        <v>11.735054</v>
      </c>
      <c r="V7" s="2585">
        <v>6.2553280000000004</v>
      </c>
      <c r="W7" s="2585">
        <v>10.372398</v>
      </c>
      <c r="X7" s="2585">
        <v>17.766860000000001</v>
      </c>
      <c r="Y7" s="2585">
        <v>15.11398</v>
      </c>
      <c r="Z7" s="2585">
        <v>8.5498969999999996</v>
      </c>
      <c r="AA7" s="2585">
        <v>24.035513999999999</v>
      </c>
      <c r="AB7" s="2586">
        <v>13.225662</v>
      </c>
      <c r="AC7" s="2586">
        <v>13.931978000000001</v>
      </c>
      <c r="AD7" s="2586">
        <v>14.110277</v>
      </c>
      <c r="AE7" s="2586">
        <v>17.454657999999998</v>
      </c>
      <c r="AF7" s="2586">
        <v>13.506233999999999</v>
      </c>
      <c r="AG7" s="2586">
        <v>12.932368</v>
      </c>
      <c r="AH7" s="2586">
        <v>11.687315</v>
      </c>
      <c r="AI7" s="2586">
        <v>10.098132</v>
      </c>
      <c r="AJ7" s="2586">
        <v>10.077458</v>
      </c>
      <c r="AK7" s="2586">
        <v>7.1232990000000003</v>
      </c>
      <c r="AL7" s="2586">
        <v>16.530802000000001</v>
      </c>
      <c r="AM7" s="2586">
        <v>12.295249</v>
      </c>
      <c r="AN7" s="2586">
        <v>8.7164739999999998</v>
      </c>
      <c r="AO7" s="2586">
        <v>14.287051</v>
      </c>
      <c r="AP7" s="2586">
        <v>10.384662000000001</v>
      </c>
      <c r="AQ7" s="2586">
        <v>8.4363840000000003</v>
      </c>
      <c r="AR7" s="2586">
        <v>10.674552</v>
      </c>
      <c r="AS7" s="2586">
        <v>8.4943069999999992</v>
      </c>
      <c r="AT7" s="2586">
        <v>20.710766</v>
      </c>
      <c r="AU7" s="2586">
        <v>8.5488440000000008</v>
      </c>
      <c r="AV7" s="2586">
        <v>10.853524</v>
      </c>
      <c r="AW7" s="2586">
        <v>13.511532000000001</v>
      </c>
      <c r="AX7" s="2586">
        <v>14.100395000000001</v>
      </c>
      <c r="AY7" s="2586">
        <v>12.607355</v>
      </c>
      <c r="AZ7" s="2586">
        <v>8.6243859999999994</v>
      </c>
      <c r="BA7" s="2586">
        <v>10.459085999999999</v>
      </c>
      <c r="BB7" s="2586">
        <v>11.420045999999999</v>
      </c>
      <c r="BC7" s="2586">
        <v>11.947953999999999</v>
      </c>
      <c r="BD7" s="2586">
        <v>16.568863</v>
      </c>
      <c r="BE7" s="2586">
        <v>12.725279</v>
      </c>
      <c r="BF7" s="2588"/>
      <c r="BG7" s="2588"/>
    </row>
    <row r="8" spans="1:59" ht="17.25" x14ac:dyDescent="0.3">
      <c r="A8" s="2589" t="s">
        <v>4820</v>
      </c>
      <c r="B8" s="2590" t="s">
        <v>3531</v>
      </c>
      <c r="C8" s="2591">
        <v>0.314135</v>
      </c>
      <c r="D8" s="2592">
        <v>0.30244599999999999</v>
      </c>
      <c r="E8" s="2592">
        <v>0.11454400000000001</v>
      </c>
      <c r="F8" s="2592">
        <v>0.45794699999999999</v>
      </c>
      <c r="G8" s="2592">
        <v>0.52052699999999996</v>
      </c>
      <c r="H8" s="2592">
        <v>1.418156</v>
      </c>
      <c r="I8" s="2592">
        <v>0.40640900000000002</v>
      </c>
      <c r="J8" s="2592">
        <v>1.0174879999999999</v>
      </c>
      <c r="K8" s="2592">
        <v>0.26413399999999998</v>
      </c>
      <c r="L8" s="2592">
        <v>0.38948700000000003</v>
      </c>
      <c r="M8" s="2593">
        <v>0.32820300000000002</v>
      </c>
      <c r="N8" s="2594">
        <v>0.37868400000000002</v>
      </c>
      <c r="O8" s="2594">
        <v>0.39469300000000002</v>
      </c>
      <c r="P8" s="2594">
        <v>0.16920399999999999</v>
      </c>
      <c r="Q8" s="2594">
        <v>0.86897100000000005</v>
      </c>
      <c r="R8" s="2594">
        <v>0.90102599999999999</v>
      </c>
      <c r="S8" s="2595">
        <v>0.416653</v>
      </c>
      <c r="T8" s="2595">
        <v>0.31012299999999998</v>
      </c>
      <c r="U8" s="2596">
        <v>0.81714699999999996</v>
      </c>
      <c r="V8" s="2585">
        <v>0.256023</v>
      </c>
      <c r="W8" s="2585">
        <v>1.3923209999999999</v>
      </c>
      <c r="X8" s="2585">
        <v>0.81400600000000001</v>
      </c>
      <c r="Y8" s="2585">
        <v>0.66823299999999997</v>
      </c>
      <c r="Z8" s="2585">
        <v>0.32374799999999998</v>
      </c>
      <c r="AA8" s="2585">
        <v>0.31134000000000001</v>
      </c>
      <c r="AB8" s="2586">
        <v>1.423918</v>
      </c>
      <c r="AC8" s="2586">
        <v>2.5522520000000002</v>
      </c>
      <c r="AD8" s="2586">
        <v>0.361709</v>
      </c>
      <c r="AE8" s="2586">
        <v>1.2384980000000001</v>
      </c>
      <c r="AF8" s="2586">
        <v>0.32272699999999999</v>
      </c>
      <c r="AG8" s="2586">
        <v>0.25684299999999999</v>
      </c>
      <c r="AH8" s="2586">
        <v>1.0206310000000001</v>
      </c>
      <c r="AI8" s="2586">
        <v>0.59074599999999999</v>
      </c>
      <c r="AJ8" s="2586">
        <v>9.2171000000000003E-2</v>
      </c>
      <c r="AK8" s="2586">
        <v>0.62544699999999998</v>
      </c>
      <c r="AL8" s="2586">
        <v>0.66698100000000005</v>
      </c>
      <c r="AM8" s="2586">
        <v>0.53713999999999995</v>
      </c>
      <c r="AN8" s="2586">
        <v>7.4107999999999993E-2</v>
      </c>
      <c r="AO8" s="2586">
        <v>0.102372</v>
      </c>
      <c r="AP8" s="2586">
        <v>0.98668400000000001</v>
      </c>
      <c r="AQ8" s="2586">
        <v>0.46190199999999998</v>
      </c>
      <c r="AR8" s="2586">
        <v>0.39591599999999999</v>
      </c>
      <c r="AS8" s="2586">
        <v>0.46122400000000002</v>
      </c>
      <c r="AT8" s="2586">
        <v>0.321631</v>
      </c>
      <c r="AU8" s="2586">
        <v>0.76549999999999996</v>
      </c>
      <c r="AV8" s="2586">
        <v>0.34033600000000003</v>
      </c>
      <c r="AW8" s="2586">
        <v>0.62412599999999996</v>
      </c>
      <c r="AX8" s="2586">
        <v>0.481603</v>
      </c>
      <c r="AY8" s="2586">
        <v>2.1104080000000001</v>
      </c>
      <c r="AZ8" s="2586">
        <v>0.29708099999999998</v>
      </c>
      <c r="BA8" s="2586">
        <v>0.55460900000000002</v>
      </c>
      <c r="BB8" s="2586">
        <v>9.1655E-2</v>
      </c>
      <c r="BC8" s="2586">
        <v>0.88461500000000004</v>
      </c>
      <c r="BD8" s="2586">
        <v>0.508571</v>
      </c>
      <c r="BE8" s="2586">
        <v>0.131356</v>
      </c>
      <c r="BF8" s="2588"/>
      <c r="BG8" s="2588"/>
    </row>
    <row r="9" spans="1:59" ht="17.25" x14ac:dyDescent="0.3">
      <c r="A9" s="2589" t="s">
        <v>4821</v>
      </c>
      <c r="B9" s="2590" t="s">
        <v>1150</v>
      </c>
      <c r="C9" s="2591">
        <v>5.4787949999999999</v>
      </c>
      <c r="D9" s="2592">
        <v>4.2376849999999999</v>
      </c>
      <c r="E9" s="2592">
        <v>7.9175760000000004</v>
      </c>
      <c r="F9" s="2592">
        <v>14.032254999999999</v>
      </c>
      <c r="G9" s="2592">
        <v>9.3569370000000003</v>
      </c>
      <c r="H9" s="2592">
        <v>7.8336699999999997</v>
      </c>
      <c r="I9" s="2592">
        <v>11.837421000000001</v>
      </c>
      <c r="J9" s="2592">
        <v>9.2373910000000006</v>
      </c>
      <c r="K9" s="2592">
        <v>8.5629399999999993</v>
      </c>
      <c r="L9" s="2592">
        <v>5.0930679999999997</v>
      </c>
      <c r="M9" s="2593">
        <v>7.6807160000000003</v>
      </c>
      <c r="N9" s="2594">
        <v>4.937799</v>
      </c>
      <c r="O9" s="2594">
        <v>9.2499490000000009</v>
      </c>
      <c r="P9" s="2594">
        <v>6.0605370000000001</v>
      </c>
      <c r="Q9" s="2594">
        <v>9.9650049999999997</v>
      </c>
      <c r="R9" s="2594">
        <v>7.4489710000000002</v>
      </c>
      <c r="S9" s="2595">
        <v>9.6599269999999997</v>
      </c>
      <c r="T9" s="2595">
        <v>18.663461000000002</v>
      </c>
      <c r="U9" s="2596">
        <v>11.768860999999999</v>
      </c>
      <c r="V9" s="2585">
        <v>12.067918000000001</v>
      </c>
      <c r="W9" s="2585">
        <v>13.798814</v>
      </c>
      <c r="X9" s="2585">
        <v>8.0550800000000002</v>
      </c>
      <c r="Y9" s="2585">
        <v>11.506123000000001</v>
      </c>
      <c r="Z9" s="2585">
        <v>15.687813</v>
      </c>
      <c r="AA9" s="2585">
        <v>28.353940000000001</v>
      </c>
      <c r="AB9" s="2586">
        <v>13.179735000000001</v>
      </c>
      <c r="AC9" s="2586">
        <v>15.054982000000001</v>
      </c>
      <c r="AD9" s="2586">
        <v>9.7754309999999993</v>
      </c>
      <c r="AE9" s="2586">
        <v>10.015857</v>
      </c>
      <c r="AF9" s="2586">
        <v>13.40202</v>
      </c>
      <c r="AG9" s="2586">
        <v>18.011956000000001</v>
      </c>
      <c r="AH9" s="2586">
        <v>13.791334000000001</v>
      </c>
      <c r="AI9" s="2586">
        <v>17.124707000000001</v>
      </c>
      <c r="AJ9" s="2586">
        <v>7.2097629999999997</v>
      </c>
      <c r="AK9" s="2586">
        <v>14.799659</v>
      </c>
      <c r="AL9" s="2586">
        <v>13.065483</v>
      </c>
      <c r="AM9" s="2586">
        <v>23.875544999999999</v>
      </c>
      <c r="AN9" s="2586">
        <v>9.6195020000000007</v>
      </c>
      <c r="AO9" s="2586">
        <v>6.625013</v>
      </c>
      <c r="AP9" s="2586">
        <v>7.7630330000000001</v>
      </c>
      <c r="AQ9" s="2586">
        <v>7.7691920000000003</v>
      </c>
      <c r="AR9" s="2586">
        <v>6.0490729999999999</v>
      </c>
      <c r="AS9" s="2586">
        <v>11.627424</v>
      </c>
      <c r="AT9" s="2586">
        <v>17.167439000000002</v>
      </c>
      <c r="AU9" s="2586">
        <v>6.8123899999999997</v>
      </c>
      <c r="AV9" s="2586">
        <v>7.7895599999999998</v>
      </c>
      <c r="AW9" s="2586">
        <v>8.1785479999999993</v>
      </c>
      <c r="AX9" s="2586">
        <v>8.0744290000000003</v>
      </c>
      <c r="AY9" s="2586">
        <v>10.802511000000001</v>
      </c>
      <c r="AZ9" s="2586">
        <v>5.3157909999999999</v>
      </c>
      <c r="BA9" s="2586">
        <v>5.0848069999999996</v>
      </c>
      <c r="BB9" s="2586">
        <v>4.9352729999999996</v>
      </c>
      <c r="BC9" s="2586">
        <v>9.2050380000000001</v>
      </c>
      <c r="BD9" s="2586">
        <v>6.4387889999999999</v>
      </c>
      <c r="BE9" s="2586">
        <v>9.2975999999999992</v>
      </c>
      <c r="BF9" s="2588"/>
      <c r="BG9" s="2588"/>
    </row>
    <row r="10" spans="1:59" ht="17.25" x14ac:dyDescent="0.3">
      <c r="A10" s="2597" t="s">
        <v>4822</v>
      </c>
      <c r="B10" s="2590" t="s">
        <v>4823</v>
      </c>
      <c r="C10" s="2591">
        <v>88.102399000000005</v>
      </c>
      <c r="D10" s="2592">
        <v>85.794148000000007</v>
      </c>
      <c r="E10" s="2592">
        <v>117.299482</v>
      </c>
      <c r="F10" s="2592">
        <v>98.597997000000007</v>
      </c>
      <c r="G10" s="2592">
        <v>100.65992900000001</v>
      </c>
      <c r="H10" s="2592">
        <v>115.082792</v>
      </c>
      <c r="I10" s="2592">
        <v>117.499291</v>
      </c>
      <c r="J10" s="2592">
        <v>121.151297</v>
      </c>
      <c r="K10" s="2592">
        <v>106.603751</v>
      </c>
      <c r="L10" s="2592">
        <v>102.995744</v>
      </c>
      <c r="M10" s="2593">
        <v>112.531271</v>
      </c>
      <c r="N10" s="2594">
        <v>124.939334</v>
      </c>
      <c r="O10" s="2594">
        <v>114.061331</v>
      </c>
      <c r="P10" s="2594">
        <v>100.101615</v>
      </c>
      <c r="Q10" s="2594">
        <v>111.013334</v>
      </c>
      <c r="R10" s="2594">
        <v>103.14534399999999</v>
      </c>
      <c r="S10" s="2595">
        <v>127.72086299999999</v>
      </c>
      <c r="T10" s="2595">
        <v>106.31444399999999</v>
      </c>
      <c r="U10" s="2596">
        <v>128.24471199999999</v>
      </c>
      <c r="V10" s="2585">
        <v>130.923158</v>
      </c>
      <c r="W10" s="2585">
        <v>126.183335</v>
      </c>
      <c r="X10" s="2585">
        <v>130.73920699999999</v>
      </c>
      <c r="Y10" s="2585">
        <v>126.426113</v>
      </c>
      <c r="Z10" s="2585">
        <v>132.38606200000001</v>
      </c>
      <c r="AA10" s="2585">
        <v>144.142124</v>
      </c>
      <c r="AB10" s="2586">
        <v>103.01333099999999</v>
      </c>
      <c r="AC10" s="2586">
        <v>93.131393000000003</v>
      </c>
      <c r="AD10" s="2586">
        <v>137.71633499999999</v>
      </c>
      <c r="AE10" s="2586">
        <v>116.832531</v>
      </c>
      <c r="AF10" s="2586">
        <v>124.94443699999999</v>
      </c>
      <c r="AG10" s="2586">
        <v>121.814071</v>
      </c>
      <c r="AH10" s="2586">
        <v>131.043193</v>
      </c>
      <c r="AI10" s="2586">
        <v>127.84418700000001</v>
      </c>
      <c r="AJ10" s="2586">
        <v>148.610355</v>
      </c>
      <c r="AK10" s="2586">
        <v>124.455721</v>
      </c>
      <c r="AL10" s="2586">
        <v>141.20030800000001</v>
      </c>
      <c r="AM10" s="2586">
        <v>139.90540799999999</v>
      </c>
      <c r="AN10" s="2586">
        <v>105.620879</v>
      </c>
      <c r="AO10" s="2586">
        <v>115.532246</v>
      </c>
      <c r="AP10" s="2586">
        <v>87.662088999999995</v>
      </c>
      <c r="AQ10" s="2586">
        <v>83.364671000000001</v>
      </c>
      <c r="AR10" s="2586">
        <v>104.425496</v>
      </c>
      <c r="AS10" s="2586">
        <v>116.183402</v>
      </c>
      <c r="AT10" s="2586">
        <v>119.719639</v>
      </c>
      <c r="AU10" s="2586">
        <v>123.539907</v>
      </c>
      <c r="AV10" s="2586">
        <v>108.449652</v>
      </c>
      <c r="AW10" s="2586">
        <v>134.379503</v>
      </c>
      <c r="AX10" s="2586">
        <v>130.71999600000001</v>
      </c>
      <c r="AY10" s="2586">
        <v>111.604533</v>
      </c>
      <c r="AZ10" s="2586">
        <v>97.841054</v>
      </c>
      <c r="BA10" s="2586">
        <v>103.165576</v>
      </c>
      <c r="BB10" s="2586">
        <v>105.468264</v>
      </c>
      <c r="BC10" s="2586">
        <v>100.29871900000001</v>
      </c>
      <c r="BD10" s="2586">
        <v>130.28607</v>
      </c>
      <c r="BE10" s="2586">
        <v>122.771799</v>
      </c>
      <c r="BF10" s="2588"/>
      <c r="BG10" s="2588"/>
    </row>
    <row r="11" spans="1:59" ht="17.25" x14ac:dyDescent="0.3">
      <c r="A11" s="2589" t="s">
        <v>4824</v>
      </c>
      <c r="B11" s="2590" t="s">
        <v>3533</v>
      </c>
      <c r="C11" s="2591">
        <v>16.889818999999999</v>
      </c>
      <c r="D11" s="2592">
        <v>9.5534099999999995</v>
      </c>
      <c r="E11" s="2592">
        <v>12.725694000000001</v>
      </c>
      <c r="F11" s="2592">
        <v>12.018700000000001</v>
      </c>
      <c r="G11" s="2592">
        <v>24.239138000000001</v>
      </c>
      <c r="H11" s="2592">
        <v>10.063411</v>
      </c>
      <c r="I11" s="2592">
        <v>15.013552000000001</v>
      </c>
      <c r="J11" s="2592">
        <v>26.080587999999999</v>
      </c>
      <c r="K11" s="2592">
        <v>14.526399</v>
      </c>
      <c r="L11" s="2592">
        <v>19.260724</v>
      </c>
      <c r="M11" s="2593">
        <v>20.515142999999998</v>
      </c>
      <c r="N11" s="2594">
        <v>18.348980999999998</v>
      </c>
      <c r="O11" s="2594">
        <v>13.143618999999999</v>
      </c>
      <c r="P11" s="2594">
        <v>17.068452000000001</v>
      </c>
      <c r="Q11" s="2594">
        <v>12.835943</v>
      </c>
      <c r="R11" s="2594">
        <v>11.688777999999999</v>
      </c>
      <c r="S11" s="2595">
        <v>16.368275000000001</v>
      </c>
      <c r="T11" s="2595">
        <v>19.409613</v>
      </c>
      <c r="U11" s="2596">
        <v>12.17878</v>
      </c>
      <c r="V11" s="2585">
        <v>17.784216000000001</v>
      </c>
      <c r="W11" s="2585">
        <v>13.337383000000001</v>
      </c>
      <c r="X11" s="2585">
        <v>24.538827000000001</v>
      </c>
      <c r="Y11" s="2585">
        <v>22.685216</v>
      </c>
      <c r="Z11" s="2585">
        <v>21.039429999999999</v>
      </c>
      <c r="AA11" s="2585">
        <v>13.267977</v>
      </c>
      <c r="AB11" s="2586">
        <v>11.512627999999999</v>
      </c>
      <c r="AC11" s="2586">
        <v>10.64289</v>
      </c>
      <c r="AD11" s="2586">
        <v>16.521840999999998</v>
      </c>
      <c r="AE11" s="2586">
        <v>23.078579000000001</v>
      </c>
      <c r="AF11" s="2586">
        <v>14.985309000000001</v>
      </c>
      <c r="AG11" s="2586">
        <v>9.3366290000000003</v>
      </c>
      <c r="AH11" s="2586">
        <v>12.390865</v>
      </c>
      <c r="AI11" s="2586">
        <v>11.909307</v>
      </c>
      <c r="AJ11" s="2586">
        <v>18.706538999999999</v>
      </c>
      <c r="AK11" s="2586">
        <v>9.8181329999999996</v>
      </c>
      <c r="AL11" s="2586">
        <v>16.861391000000001</v>
      </c>
      <c r="AM11" s="2586">
        <v>5.8926569999999998</v>
      </c>
      <c r="AN11" s="2586">
        <v>16.577617</v>
      </c>
      <c r="AO11" s="2586">
        <v>13.673147999999999</v>
      </c>
      <c r="AP11" s="2586">
        <v>5.0566259999999996</v>
      </c>
      <c r="AQ11" s="2586">
        <v>6.2167079999999997</v>
      </c>
      <c r="AR11" s="2586">
        <v>7.0229600000000003</v>
      </c>
      <c r="AS11" s="2586">
        <v>6.7340489999999997</v>
      </c>
      <c r="AT11" s="2586">
        <v>5.9683799999999998</v>
      </c>
      <c r="AU11" s="2586">
        <v>7.9896320000000003</v>
      </c>
      <c r="AV11" s="2586">
        <v>6.7760360000000004</v>
      </c>
      <c r="AW11" s="2586">
        <v>8.2361470000000008</v>
      </c>
      <c r="AX11" s="2586">
        <v>8.2436539999999994</v>
      </c>
      <c r="AY11" s="2586">
        <v>7.5339299999999998</v>
      </c>
      <c r="AZ11" s="2586">
        <v>7.5924399999999999</v>
      </c>
      <c r="BA11" s="2586">
        <v>7.9684609999999996</v>
      </c>
      <c r="BB11" s="2586">
        <v>10.745780999999999</v>
      </c>
      <c r="BC11" s="2586">
        <v>11.352751</v>
      </c>
      <c r="BD11" s="2586">
        <v>7.9510759999999996</v>
      </c>
      <c r="BE11" s="2586">
        <v>7.7253970000000001</v>
      </c>
      <c r="BF11" s="2588"/>
      <c r="BG11" s="2588"/>
    </row>
    <row r="12" spans="1:59" ht="17.25" x14ac:dyDescent="0.3">
      <c r="A12" s="2589" t="s">
        <v>4825</v>
      </c>
      <c r="B12" s="2590" t="s">
        <v>3534</v>
      </c>
      <c r="C12" s="2591">
        <v>2.8349150000000001</v>
      </c>
      <c r="D12" s="2592">
        <v>12.129167000000001</v>
      </c>
      <c r="E12" s="2592">
        <v>16.03096</v>
      </c>
      <c r="F12" s="2592">
        <v>16.690125999999999</v>
      </c>
      <c r="G12" s="2592">
        <v>12.170495000000001</v>
      </c>
      <c r="H12" s="2592">
        <v>10.831574</v>
      </c>
      <c r="I12" s="2592">
        <v>7.612323</v>
      </c>
      <c r="J12" s="2592">
        <v>16.481141999999998</v>
      </c>
      <c r="K12" s="2592">
        <v>2.4238460000000002</v>
      </c>
      <c r="L12" s="2592">
        <v>1.4669559999999999</v>
      </c>
      <c r="M12" s="2593">
        <v>4.2434839999999996</v>
      </c>
      <c r="N12" s="2594">
        <v>1.5391550000000001</v>
      </c>
      <c r="O12" s="2594">
        <v>6.6895449999999999</v>
      </c>
      <c r="P12" s="2594">
        <v>7.3960610000000004</v>
      </c>
      <c r="Q12" s="2594">
        <v>1.175969</v>
      </c>
      <c r="R12" s="2594">
        <v>4.1955210000000003</v>
      </c>
      <c r="S12" s="2595">
        <v>7.5385330000000002</v>
      </c>
      <c r="T12" s="2595">
        <v>8.6924299999999999</v>
      </c>
      <c r="U12" s="2596">
        <v>5.2511840000000003</v>
      </c>
      <c r="V12" s="2585">
        <v>4.1489450000000003</v>
      </c>
      <c r="W12" s="2585">
        <v>3.0121889999999998</v>
      </c>
      <c r="X12" s="2585">
        <v>3.7753709999999998</v>
      </c>
      <c r="Y12" s="2585">
        <v>3.1713550000000001</v>
      </c>
      <c r="Z12" s="2585">
        <v>9.0371220000000001</v>
      </c>
      <c r="AA12" s="2585">
        <v>3.0327549999999999</v>
      </c>
      <c r="AB12" s="2586">
        <v>3.7700049999999998</v>
      </c>
      <c r="AC12" s="2586">
        <v>6.2537609999999999</v>
      </c>
      <c r="AD12" s="2586">
        <v>5.0543670000000001</v>
      </c>
      <c r="AE12" s="2586">
        <v>6.2473299999999998</v>
      </c>
      <c r="AF12" s="2586">
        <v>5.2664559999999998</v>
      </c>
      <c r="AG12" s="2586">
        <v>4.3990419999999997</v>
      </c>
      <c r="AH12" s="2586">
        <v>4.6921759999999999</v>
      </c>
      <c r="AI12" s="2586">
        <v>8.069839</v>
      </c>
      <c r="AJ12" s="2586">
        <v>6.58758</v>
      </c>
      <c r="AK12" s="2586">
        <v>6.1132809999999997</v>
      </c>
      <c r="AL12" s="2586">
        <v>5.2748869999999997</v>
      </c>
      <c r="AM12" s="2586">
        <v>8.1635840000000002</v>
      </c>
      <c r="AN12" s="2586">
        <v>4.662636</v>
      </c>
      <c r="AO12" s="2586">
        <v>6.0398969999999998</v>
      </c>
      <c r="AP12" s="2586">
        <v>1.1513850000000001</v>
      </c>
      <c r="AQ12" s="2586">
        <v>0.97825099999999998</v>
      </c>
      <c r="AR12" s="2586">
        <v>0.79612700000000003</v>
      </c>
      <c r="AS12" s="2586">
        <v>3.9999199999999999</v>
      </c>
      <c r="AT12" s="2586">
        <v>6.6353999999999997</v>
      </c>
      <c r="AU12" s="2586">
        <v>4.2123200000000001</v>
      </c>
      <c r="AV12" s="2586">
        <v>2.0726819999999999</v>
      </c>
      <c r="AW12" s="2586">
        <v>8.4632190000000005</v>
      </c>
      <c r="AX12" s="2586">
        <v>8.9608380000000007</v>
      </c>
      <c r="AY12" s="2586">
        <v>7.4559470000000001</v>
      </c>
      <c r="AZ12" s="2586">
        <v>24.912561</v>
      </c>
      <c r="BA12" s="2586">
        <v>3.0664910000000001</v>
      </c>
      <c r="BB12" s="2586">
        <v>0.82157400000000003</v>
      </c>
      <c r="BC12" s="2586">
        <v>1.240634</v>
      </c>
      <c r="BD12" s="2586">
        <v>4.6318029999999997</v>
      </c>
      <c r="BE12" s="2586">
        <v>3.9622709999999999</v>
      </c>
      <c r="BF12" s="2588"/>
      <c r="BG12" s="2588"/>
    </row>
    <row r="13" spans="1:59" ht="17.25" x14ac:dyDescent="0.3">
      <c r="A13" s="2589" t="s">
        <v>4826</v>
      </c>
      <c r="B13" s="2590" t="s">
        <v>3535</v>
      </c>
      <c r="C13" s="2591">
        <v>9.6136789999999994</v>
      </c>
      <c r="D13" s="2592">
        <v>13.383050000000001</v>
      </c>
      <c r="E13" s="2592">
        <v>12.783562</v>
      </c>
      <c r="F13" s="2592">
        <v>10.564188</v>
      </c>
      <c r="G13" s="2592">
        <v>21.164238000000001</v>
      </c>
      <c r="H13" s="2592">
        <v>13.447229</v>
      </c>
      <c r="I13" s="2592">
        <v>8.1844809999999999</v>
      </c>
      <c r="J13" s="2592">
        <v>11.053234</v>
      </c>
      <c r="K13" s="2592">
        <v>14.215763000000001</v>
      </c>
      <c r="L13" s="2592">
        <v>9.4190670000000001</v>
      </c>
      <c r="M13" s="2593">
        <v>20.54552</v>
      </c>
      <c r="N13" s="2594">
        <v>19.196999000000002</v>
      </c>
      <c r="O13" s="2594">
        <v>26.085222999999999</v>
      </c>
      <c r="P13" s="2594">
        <v>14.641035</v>
      </c>
      <c r="Q13" s="2594">
        <v>20.054880000000001</v>
      </c>
      <c r="R13" s="2594">
        <v>14.610779000000001</v>
      </c>
      <c r="S13" s="2595">
        <v>20.688759999999998</v>
      </c>
      <c r="T13" s="2595">
        <v>16.058529</v>
      </c>
      <c r="U13" s="2596">
        <v>15.863486999999999</v>
      </c>
      <c r="V13" s="2585">
        <v>15.493672</v>
      </c>
      <c r="W13" s="2585">
        <v>16.918222</v>
      </c>
      <c r="X13" s="2585">
        <v>19.064589999999999</v>
      </c>
      <c r="Y13" s="2585">
        <v>20.031177</v>
      </c>
      <c r="Z13" s="2585">
        <v>27.194441000000001</v>
      </c>
      <c r="AA13" s="2585">
        <v>20.80086</v>
      </c>
      <c r="AB13" s="2586">
        <v>26.048172999999998</v>
      </c>
      <c r="AC13" s="2586">
        <v>16.891673000000001</v>
      </c>
      <c r="AD13" s="2586">
        <v>22.451421</v>
      </c>
      <c r="AE13" s="2586">
        <v>17.842672</v>
      </c>
      <c r="AF13" s="2586">
        <v>25.468492999999999</v>
      </c>
      <c r="AG13" s="2586">
        <v>14.146436</v>
      </c>
      <c r="AH13" s="2586">
        <v>15.217117</v>
      </c>
      <c r="AI13" s="2586">
        <v>14.831144</v>
      </c>
      <c r="AJ13" s="2586">
        <v>19.797871000000001</v>
      </c>
      <c r="AK13" s="2586">
        <v>15.426007</v>
      </c>
      <c r="AL13" s="2586">
        <v>25.291592999999999</v>
      </c>
      <c r="AM13" s="2586">
        <v>28.796835999999999</v>
      </c>
      <c r="AN13" s="2586">
        <v>11.501044</v>
      </c>
      <c r="AO13" s="2586">
        <v>11.170305000000001</v>
      </c>
      <c r="AP13" s="2586">
        <v>6.5262710000000004</v>
      </c>
      <c r="AQ13" s="2586">
        <v>8.3363010000000006</v>
      </c>
      <c r="AR13" s="2586">
        <v>13.547203</v>
      </c>
      <c r="AS13" s="2586">
        <v>20.496839999999999</v>
      </c>
      <c r="AT13" s="2586">
        <v>33.092778000000003</v>
      </c>
      <c r="AU13" s="2586">
        <v>31.021692000000002</v>
      </c>
      <c r="AV13" s="2586">
        <v>7.4542409999999997</v>
      </c>
      <c r="AW13" s="2586">
        <v>7.1216569999999999</v>
      </c>
      <c r="AX13" s="2586">
        <v>24.326357999999999</v>
      </c>
      <c r="AY13" s="2586">
        <v>9.4752329999999994</v>
      </c>
      <c r="AZ13" s="2586">
        <v>14.07959</v>
      </c>
      <c r="BA13" s="2586">
        <v>17.153444</v>
      </c>
      <c r="BB13" s="2586">
        <v>15.307014000000001</v>
      </c>
      <c r="BC13" s="2586">
        <v>11.404833999999999</v>
      </c>
      <c r="BD13" s="2586">
        <v>10.793652</v>
      </c>
      <c r="BE13" s="2586">
        <v>9.0314969999999999</v>
      </c>
      <c r="BF13" s="2588"/>
      <c r="BG13" s="2588"/>
    </row>
    <row r="14" spans="1:59" ht="17.25" x14ac:dyDescent="0.3">
      <c r="A14" s="2589" t="s">
        <v>4827</v>
      </c>
      <c r="B14" s="2590" t="s">
        <v>1155</v>
      </c>
      <c r="C14" s="2591">
        <v>66.404910999999998</v>
      </c>
      <c r="D14" s="2592">
        <v>58.602316999999999</v>
      </c>
      <c r="E14" s="2592">
        <v>81.180053000000001</v>
      </c>
      <c r="F14" s="2592">
        <v>87.228334000000004</v>
      </c>
      <c r="G14" s="2592">
        <v>80.033985999999999</v>
      </c>
      <c r="H14" s="2592">
        <v>81.401861999999994</v>
      </c>
      <c r="I14" s="2592">
        <v>66.227557000000004</v>
      </c>
      <c r="J14" s="2592">
        <v>72.599221</v>
      </c>
      <c r="K14" s="2592">
        <v>39.170645</v>
      </c>
      <c r="L14" s="2592">
        <v>46.559255</v>
      </c>
      <c r="M14" s="2593">
        <v>39.957571999999999</v>
      </c>
      <c r="N14" s="2594">
        <v>63.422184999999999</v>
      </c>
      <c r="O14" s="2594">
        <v>46.861897999999997</v>
      </c>
      <c r="P14" s="2594">
        <v>28.575171999999998</v>
      </c>
      <c r="Q14" s="2594">
        <v>40.040151000000002</v>
      </c>
      <c r="R14" s="2594">
        <v>37.959099999999999</v>
      </c>
      <c r="S14" s="2595">
        <v>57.364122000000002</v>
      </c>
      <c r="T14" s="2595">
        <v>55.643030000000003</v>
      </c>
      <c r="U14" s="2596">
        <v>60.795597000000001</v>
      </c>
      <c r="V14" s="2585">
        <v>70.381085999999996</v>
      </c>
      <c r="W14" s="2585">
        <v>51.429837999999997</v>
      </c>
      <c r="X14" s="2585">
        <v>49.716672000000003</v>
      </c>
      <c r="Y14" s="2585">
        <v>44.700550999999997</v>
      </c>
      <c r="Z14" s="2585">
        <v>43.918005999999998</v>
      </c>
      <c r="AA14" s="2585">
        <v>55.535260000000001</v>
      </c>
      <c r="AB14" s="2586">
        <v>59.700547</v>
      </c>
      <c r="AC14" s="2586">
        <v>54.581446999999997</v>
      </c>
      <c r="AD14" s="2586">
        <v>66.443967999999998</v>
      </c>
      <c r="AE14" s="2586">
        <v>54.049050000000001</v>
      </c>
      <c r="AF14" s="2586">
        <v>35.066723000000003</v>
      </c>
      <c r="AG14" s="2586">
        <v>52.887478000000002</v>
      </c>
      <c r="AH14" s="2586">
        <v>86.718470999999994</v>
      </c>
      <c r="AI14" s="2586">
        <v>33.496088999999998</v>
      </c>
      <c r="AJ14" s="2586">
        <v>38.199157999999997</v>
      </c>
      <c r="AK14" s="2586">
        <v>38.113370000000003</v>
      </c>
      <c r="AL14" s="2586">
        <v>34.329718999999997</v>
      </c>
      <c r="AM14" s="2586">
        <v>48.556652</v>
      </c>
      <c r="AN14" s="2586">
        <v>58.770912000000003</v>
      </c>
      <c r="AO14" s="2586">
        <v>33.459823</v>
      </c>
      <c r="AP14" s="2586">
        <v>11.297886</v>
      </c>
      <c r="AQ14" s="2586">
        <v>11.705798</v>
      </c>
      <c r="AR14" s="2586">
        <v>21.655383</v>
      </c>
      <c r="AS14" s="2586">
        <v>17.692299999999999</v>
      </c>
      <c r="AT14" s="2586">
        <v>49.037706</v>
      </c>
      <c r="AU14" s="2586">
        <v>22.488008000000001</v>
      </c>
      <c r="AV14" s="2586">
        <v>26.456479999999999</v>
      </c>
      <c r="AW14" s="2586">
        <v>22.932599</v>
      </c>
      <c r="AX14" s="2586">
        <v>33.924796999999998</v>
      </c>
      <c r="AY14" s="2586">
        <v>34.759645999999996</v>
      </c>
      <c r="AZ14" s="2586">
        <v>60.092188999999998</v>
      </c>
      <c r="BA14" s="2586">
        <v>27.143796999999999</v>
      </c>
      <c r="BB14" s="2586">
        <v>16.643409999999999</v>
      </c>
      <c r="BC14" s="2586">
        <v>38.133718000000002</v>
      </c>
      <c r="BD14" s="2586">
        <v>31.18815</v>
      </c>
      <c r="BE14" s="2586">
        <v>31.733350000000002</v>
      </c>
      <c r="BF14" s="2588"/>
      <c r="BG14" s="2588"/>
    </row>
    <row r="15" spans="1:59" ht="17.25" x14ac:dyDescent="0.3">
      <c r="A15" s="2589" t="s">
        <v>4828</v>
      </c>
      <c r="B15" s="2590" t="s">
        <v>1156</v>
      </c>
      <c r="C15" s="2591">
        <v>0.44874799999999998</v>
      </c>
      <c r="D15" s="2592">
        <v>0.82886700000000002</v>
      </c>
      <c r="E15" s="2592">
        <v>0.26416000000000001</v>
      </c>
      <c r="F15" s="2592">
        <v>0.57659700000000003</v>
      </c>
      <c r="G15" s="2592">
        <v>1.6295649999999999</v>
      </c>
      <c r="H15" s="2592">
        <v>0.94938299999999998</v>
      </c>
      <c r="I15" s="2592">
        <v>0.37844</v>
      </c>
      <c r="J15" s="2592">
        <v>2.543377</v>
      </c>
      <c r="K15" s="2592">
        <v>3.007225</v>
      </c>
      <c r="L15" s="2592">
        <v>0.16958599999999999</v>
      </c>
      <c r="M15" s="2593">
        <v>1.1107419999999999</v>
      </c>
      <c r="N15" s="2594">
        <v>0.29610500000000001</v>
      </c>
      <c r="O15" s="2594">
        <v>0.44308799999999998</v>
      </c>
      <c r="P15" s="2594">
        <v>0.59339299999999995</v>
      </c>
      <c r="Q15" s="2594">
        <v>2.3893140000000002</v>
      </c>
      <c r="R15" s="2594">
        <v>1.251147</v>
      </c>
      <c r="S15" s="2595">
        <v>0.50114499999999995</v>
      </c>
      <c r="T15" s="2595">
        <v>4.0275920000000003</v>
      </c>
      <c r="U15" s="2596">
        <v>1.4340200000000001</v>
      </c>
      <c r="V15" s="2585">
        <v>0.40084500000000001</v>
      </c>
      <c r="W15" s="2585">
        <v>0.59552099999999997</v>
      </c>
      <c r="X15" s="2585">
        <v>2.4821070000000001</v>
      </c>
      <c r="Y15" s="2585">
        <v>3.4152339999999999</v>
      </c>
      <c r="Z15" s="2585">
        <v>0.64046400000000003</v>
      </c>
      <c r="AA15" s="2585">
        <v>0.99576699999999996</v>
      </c>
      <c r="AB15" s="2586">
        <v>0.45868399999999998</v>
      </c>
      <c r="AC15" s="2586">
        <v>0.27297100000000002</v>
      </c>
      <c r="AD15" s="2586">
        <v>1.480804</v>
      </c>
      <c r="AE15" s="2586">
        <v>0.56556899999999999</v>
      </c>
      <c r="AF15" s="2586">
        <v>4.6659829999999998</v>
      </c>
      <c r="AG15" s="2586">
        <v>1.2907850000000001</v>
      </c>
      <c r="AH15" s="2586">
        <v>4.5029810000000001</v>
      </c>
      <c r="AI15" s="2586">
        <v>2.7573979999999998</v>
      </c>
      <c r="AJ15" s="2586">
        <v>1.1003130000000001</v>
      </c>
      <c r="AK15" s="2586">
        <v>0.60709599999999997</v>
      </c>
      <c r="AL15" s="2586">
        <v>2.3894609999999998</v>
      </c>
      <c r="AM15" s="2586">
        <v>0.91231300000000004</v>
      </c>
      <c r="AN15" s="2586">
        <v>0.39364500000000002</v>
      </c>
      <c r="AO15" s="2586">
        <v>2.520851</v>
      </c>
      <c r="AP15" s="2586">
        <v>1.767317</v>
      </c>
      <c r="AQ15" s="2586">
        <v>0.418985</v>
      </c>
      <c r="AR15" s="2586">
        <v>1.2851900000000001</v>
      </c>
      <c r="AS15" s="2586">
        <v>1.0750010000000001</v>
      </c>
      <c r="AT15" s="2586">
        <v>0.38054399999999999</v>
      </c>
      <c r="AU15" s="2586">
        <v>1.729622</v>
      </c>
      <c r="AV15" s="2586">
        <v>0.68606699999999998</v>
      </c>
      <c r="AW15" s="2586">
        <v>0.45982200000000001</v>
      </c>
      <c r="AX15" s="2586">
        <v>1.63137</v>
      </c>
      <c r="AY15" s="2586">
        <v>0.283663</v>
      </c>
      <c r="AZ15" s="2586">
        <v>0.39727400000000002</v>
      </c>
      <c r="BA15" s="2586">
        <v>1.0963480000000001</v>
      </c>
      <c r="BB15" s="2586">
        <v>0.87477499999999997</v>
      </c>
      <c r="BC15" s="2586">
        <v>2.6401669999999999</v>
      </c>
      <c r="BD15" s="2586">
        <v>0.63343400000000005</v>
      </c>
      <c r="BE15" s="2586">
        <v>2.0881120000000002</v>
      </c>
      <c r="BF15" s="2588"/>
      <c r="BG15" s="2588"/>
    </row>
    <row r="16" spans="1:59" ht="17.25" x14ac:dyDescent="0.3">
      <c r="A16" s="2589" t="s">
        <v>4829</v>
      </c>
      <c r="B16" s="2590" t="s">
        <v>3536</v>
      </c>
      <c r="C16" s="2591">
        <v>3.6187610000000001</v>
      </c>
      <c r="D16" s="2592">
        <v>7.0136200000000004</v>
      </c>
      <c r="E16" s="2592">
        <v>22.555574</v>
      </c>
      <c r="F16" s="2592">
        <v>12.501988000000001</v>
      </c>
      <c r="G16" s="2592">
        <v>18.728594999999999</v>
      </c>
      <c r="H16" s="2592">
        <v>11.814937</v>
      </c>
      <c r="I16" s="2592">
        <v>26.637785999999998</v>
      </c>
      <c r="J16" s="2592">
        <v>22.343195000000001</v>
      </c>
      <c r="K16" s="2592">
        <v>19.145900999999999</v>
      </c>
      <c r="L16" s="2592">
        <v>12.492255</v>
      </c>
      <c r="M16" s="2593">
        <v>8.4747330000000005</v>
      </c>
      <c r="N16" s="2594">
        <v>9.9276599999999995</v>
      </c>
      <c r="O16" s="2594">
        <v>8.3821329999999996</v>
      </c>
      <c r="P16" s="2594">
        <v>9.1300799999999995</v>
      </c>
      <c r="Q16" s="2594">
        <v>18.289963</v>
      </c>
      <c r="R16" s="2594">
        <v>3.7088260000000002</v>
      </c>
      <c r="S16" s="2595">
        <v>11.415812000000001</v>
      </c>
      <c r="T16" s="2595">
        <v>14.786317</v>
      </c>
      <c r="U16" s="2596">
        <v>8.9783849999999994</v>
      </c>
      <c r="V16" s="2585">
        <v>10.02014</v>
      </c>
      <c r="W16" s="2585">
        <v>6.6072379999999997</v>
      </c>
      <c r="X16" s="2585">
        <v>3.8363290000000001</v>
      </c>
      <c r="Y16" s="2585">
        <v>3.7736179999999999</v>
      </c>
      <c r="Z16" s="2585">
        <v>9.8176649999999999</v>
      </c>
      <c r="AA16" s="2585">
        <v>7.0694169999999996</v>
      </c>
      <c r="AB16" s="2586">
        <v>8.6537120000000005</v>
      </c>
      <c r="AC16" s="2586">
        <v>5.3673279999999997</v>
      </c>
      <c r="AD16" s="2586">
        <v>9.4097019999999993</v>
      </c>
      <c r="AE16" s="2586">
        <v>10.400216</v>
      </c>
      <c r="AF16" s="2586">
        <v>5.7474860000000003</v>
      </c>
      <c r="AG16" s="2586">
        <v>13.265599999999999</v>
      </c>
      <c r="AH16" s="2586">
        <v>6.7120090000000001</v>
      </c>
      <c r="AI16" s="2586">
        <v>3.558243</v>
      </c>
      <c r="AJ16" s="2586">
        <v>7.1033730000000004</v>
      </c>
      <c r="AK16" s="2586">
        <v>10.118729</v>
      </c>
      <c r="AL16" s="2586">
        <v>5.1550570000000002</v>
      </c>
      <c r="AM16" s="2586">
        <v>6.403753</v>
      </c>
      <c r="AN16" s="2586">
        <v>6.1364979999999996</v>
      </c>
      <c r="AO16" s="2586">
        <v>3.174458</v>
      </c>
      <c r="AP16" s="2586">
        <v>3.7545920000000002</v>
      </c>
      <c r="AQ16" s="2586">
        <v>4.4936319999999998</v>
      </c>
      <c r="AR16" s="2586">
        <v>3.6302279999999998</v>
      </c>
      <c r="AS16" s="2586">
        <v>3.8203469999999999</v>
      </c>
      <c r="AT16" s="2586">
        <v>4.3114189999999999</v>
      </c>
      <c r="AU16" s="2586">
        <v>8.8552859999999995</v>
      </c>
      <c r="AV16" s="2586">
        <v>7.127211</v>
      </c>
      <c r="AW16" s="2586">
        <v>3.6858249999999999</v>
      </c>
      <c r="AX16" s="2586">
        <v>4.9735329999999998</v>
      </c>
      <c r="AY16" s="2586">
        <v>2.6348929999999999</v>
      </c>
      <c r="AZ16" s="2586">
        <v>5.2874280000000002</v>
      </c>
      <c r="BA16" s="2586">
        <v>2.2079300000000002</v>
      </c>
      <c r="BB16" s="2586">
        <v>1.3088109999999999</v>
      </c>
      <c r="BC16" s="2586">
        <v>1.6555200000000001</v>
      </c>
      <c r="BD16" s="2586">
        <v>3.9725380000000001</v>
      </c>
      <c r="BE16" s="2586">
        <v>2.0763150000000001</v>
      </c>
      <c r="BF16" s="2588"/>
      <c r="BG16" s="2588"/>
    </row>
    <row r="17" spans="1:59" ht="17.25" x14ac:dyDescent="0.3">
      <c r="A17" s="2589" t="s">
        <v>4830</v>
      </c>
      <c r="B17" s="2590" t="s">
        <v>3537</v>
      </c>
      <c r="C17" s="2591">
        <v>3.1371440000000002</v>
      </c>
      <c r="D17" s="2592">
        <v>2.8717259999999998</v>
      </c>
      <c r="E17" s="2592">
        <v>4.2594760000000003</v>
      </c>
      <c r="F17" s="2592">
        <v>3.6478920000000001</v>
      </c>
      <c r="G17" s="2592">
        <v>3.8777750000000002</v>
      </c>
      <c r="H17" s="2592">
        <v>6.4176200000000003</v>
      </c>
      <c r="I17" s="2592">
        <v>4.4376350000000002</v>
      </c>
      <c r="J17" s="2592">
        <v>4.5064820000000001</v>
      </c>
      <c r="K17" s="2592">
        <v>6.3056429999999999</v>
      </c>
      <c r="L17" s="2592">
        <v>5.647602</v>
      </c>
      <c r="M17" s="2593">
        <v>6.9406140000000001</v>
      </c>
      <c r="N17" s="2594">
        <v>4.9382089999999996</v>
      </c>
      <c r="O17" s="2594">
        <v>5.9627509999999999</v>
      </c>
      <c r="P17" s="2594">
        <v>3.783182</v>
      </c>
      <c r="Q17" s="2594">
        <v>5.0711469999999998</v>
      </c>
      <c r="R17" s="2594">
        <v>3.8336190000000001</v>
      </c>
      <c r="S17" s="2595">
        <v>4.9973429999999999</v>
      </c>
      <c r="T17" s="2595">
        <v>6.7400520000000004</v>
      </c>
      <c r="U17" s="2596">
        <v>5.9060589999999999</v>
      </c>
      <c r="V17" s="2585">
        <v>5.1646520000000002</v>
      </c>
      <c r="W17" s="2585">
        <v>10.20861</v>
      </c>
      <c r="X17" s="2585">
        <v>7.5763590000000001</v>
      </c>
      <c r="Y17" s="2585">
        <v>6.0936839999999997</v>
      </c>
      <c r="Z17" s="2585">
        <v>6.4615629999999999</v>
      </c>
      <c r="AA17" s="2585">
        <v>4.4762110000000002</v>
      </c>
      <c r="AB17" s="2586">
        <v>4.6599430000000002</v>
      </c>
      <c r="AC17" s="2586">
        <v>4.4157510000000002</v>
      </c>
      <c r="AD17" s="2586">
        <v>6.3443399999999999</v>
      </c>
      <c r="AE17" s="2586">
        <v>5.3021820000000002</v>
      </c>
      <c r="AF17" s="2586">
        <v>5.2144560000000002</v>
      </c>
      <c r="AG17" s="2586">
        <v>5.5650339999999998</v>
      </c>
      <c r="AH17" s="2586">
        <v>4.4967069999999998</v>
      </c>
      <c r="AI17" s="2586">
        <v>6.1277840000000001</v>
      </c>
      <c r="AJ17" s="2586">
        <v>8.1690109999999994</v>
      </c>
      <c r="AK17" s="2586">
        <v>4.7966439999999997</v>
      </c>
      <c r="AL17" s="2586">
        <v>4.9400490000000001</v>
      </c>
      <c r="AM17" s="2586">
        <v>5.5011760000000001</v>
      </c>
      <c r="AN17" s="2586">
        <v>4.0742250000000002</v>
      </c>
      <c r="AO17" s="2586">
        <v>3.7159819999999999</v>
      </c>
      <c r="AP17" s="2586">
        <v>2.4363049999999999</v>
      </c>
      <c r="AQ17" s="2586">
        <v>3.1200049999999999</v>
      </c>
      <c r="AR17" s="2586">
        <v>3.6456390000000001</v>
      </c>
      <c r="AS17" s="2586">
        <v>3.4316559999999998</v>
      </c>
      <c r="AT17" s="2586">
        <v>4.1066760000000002</v>
      </c>
      <c r="AU17" s="2586">
        <v>5.364986</v>
      </c>
      <c r="AV17" s="2586">
        <v>5.3370160000000002</v>
      </c>
      <c r="AW17" s="2586">
        <v>10.777984999999999</v>
      </c>
      <c r="AX17" s="2586">
        <v>7.9858460000000004</v>
      </c>
      <c r="AY17" s="2586">
        <v>5.4468209999999999</v>
      </c>
      <c r="AZ17" s="2586">
        <v>4.4971230000000002</v>
      </c>
      <c r="BA17" s="2586">
        <v>8.8822969999999994</v>
      </c>
      <c r="BB17" s="2586">
        <v>5.9567509999999997</v>
      </c>
      <c r="BC17" s="2586">
        <v>3.861615</v>
      </c>
      <c r="BD17" s="2586">
        <v>3.7738260000000001</v>
      </c>
      <c r="BE17" s="2586">
        <v>4.1734159999999996</v>
      </c>
      <c r="BF17" s="2588"/>
      <c r="BG17" s="2588"/>
    </row>
    <row r="18" spans="1:59" ht="17.25" x14ac:dyDescent="0.3">
      <c r="A18" s="2589" t="s">
        <v>4831</v>
      </c>
      <c r="B18" s="2590" t="s">
        <v>4832</v>
      </c>
      <c r="C18" s="2591">
        <v>25.437317</v>
      </c>
      <c r="D18" s="2592">
        <v>33.795636999999999</v>
      </c>
      <c r="E18" s="2592">
        <v>13.570392999999999</v>
      </c>
      <c r="F18" s="2592">
        <v>16.030614</v>
      </c>
      <c r="G18" s="2592">
        <v>24.142883999999999</v>
      </c>
      <c r="H18" s="2592">
        <v>33.358784</v>
      </c>
      <c r="I18" s="2592">
        <v>24.439851999999998</v>
      </c>
      <c r="J18" s="2592">
        <v>26.190521</v>
      </c>
      <c r="K18" s="2592">
        <v>36.551259000000002</v>
      </c>
      <c r="L18" s="2592">
        <v>29.649826999999998</v>
      </c>
      <c r="M18" s="2593">
        <v>31.611418</v>
      </c>
      <c r="N18" s="2594">
        <v>19.561145</v>
      </c>
      <c r="O18" s="2594">
        <v>47.460908000000003</v>
      </c>
      <c r="P18" s="2594">
        <v>22.918433</v>
      </c>
      <c r="Q18" s="2594">
        <v>36.100518999999998</v>
      </c>
      <c r="R18" s="2594">
        <v>18.596623999999998</v>
      </c>
      <c r="S18" s="2595">
        <v>36.615346000000002</v>
      </c>
      <c r="T18" s="2595">
        <v>24.380780999999999</v>
      </c>
      <c r="U18" s="2596">
        <v>40.021262</v>
      </c>
      <c r="V18" s="2585">
        <v>41.452291000000002</v>
      </c>
      <c r="W18" s="2585">
        <v>29.955783</v>
      </c>
      <c r="X18" s="2585">
        <v>23.762546</v>
      </c>
      <c r="Y18" s="2585">
        <v>43.376697999999998</v>
      </c>
      <c r="Z18" s="2585">
        <v>26.484911</v>
      </c>
      <c r="AA18" s="2585">
        <v>30.272081</v>
      </c>
      <c r="AB18" s="2586">
        <v>20.059415000000001</v>
      </c>
      <c r="AC18" s="2586">
        <v>25.220177</v>
      </c>
      <c r="AD18" s="2586">
        <v>31.439149</v>
      </c>
      <c r="AE18" s="2586">
        <v>41.028669999999998</v>
      </c>
      <c r="AF18" s="2586">
        <v>30.992667000000001</v>
      </c>
      <c r="AG18" s="2586">
        <v>22.511510999999999</v>
      </c>
      <c r="AH18" s="2586">
        <v>52.375475000000002</v>
      </c>
      <c r="AI18" s="2586">
        <v>51.811596999999999</v>
      </c>
      <c r="AJ18" s="2586">
        <v>34.940002</v>
      </c>
      <c r="AK18" s="2586">
        <v>22.063917</v>
      </c>
      <c r="AL18" s="2586">
        <v>51.551898999999999</v>
      </c>
      <c r="AM18" s="2586">
        <v>36.440601000000001</v>
      </c>
      <c r="AN18" s="2586">
        <v>88.765759000000003</v>
      </c>
      <c r="AO18" s="2586">
        <v>17.978590000000001</v>
      </c>
      <c r="AP18" s="2586">
        <v>5.2843780000000002</v>
      </c>
      <c r="AQ18" s="2586">
        <v>6.4051030000000004</v>
      </c>
      <c r="AR18" s="2586">
        <v>2.7677939999999999</v>
      </c>
      <c r="AS18" s="2586">
        <v>6.67828</v>
      </c>
      <c r="AT18" s="2586">
        <v>70.010741999999993</v>
      </c>
      <c r="AU18" s="2586">
        <v>8.2572709999999994</v>
      </c>
      <c r="AV18" s="2586">
        <v>16.586365000000001</v>
      </c>
      <c r="AW18" s="2586">
        <v>1.50661</v>
      </c>
      <c r="AX18" s="2586">
        <v>3.2257820000000001</v>
      </c>
      <c r="AY18" s="2586">
        <v>2.7597510000000001</v>
      </c>
      <c r="AZ18" s="2586">
        <v>1.2957449999999999</v>
      </c>
      <c r="BA18" s="2586">
        <v>1.688685</v>
      </c>
      <c r="BB18" s="2586">
        <v>4.3720020000000002</v>
      </c>
      <c r="BC18" s="2586">
        <v>1.988361</v>
      </c>
      <c r="BD18" s="2586">
        <v>2.494907</v>
      </c>
      <c r="BE18" s="2586">
        <v>3.2858000000000001</v>
      </c>
      <c r="BF18" s="2588"/>
      <c r="BG18" s="2588"/>
    </row>
    <row r="19" spans="1:59" ht="17.25" x14ac:dyDescent="0.3">
      <c r="A19" s="2589" t="s">
        <v>4833</v>
      </c>
      <c r="B19" s="2590" t="s">
        <v>3538</v>
      </c>
      <c r="C19" s="2591">
        <v>1.0447630000000001</v>
      </c>
      <c r="D19" s="2592">
        <v>0.48388999999999999</v>
      </c>
      <c r="E19" s="2592">
        <v>0.22772400000000001</v>
      </c>
      <c r="F19" s="2592">
        <v>0.82512600000000003</v>
      </c>
      <c r="G19" s="2592">
        <v>1.480442</v>
      </c>
      <c r="H19" s="2592">
        <v>9.4362619999999993</v>
      </c>
      <c r="I19" s="2592">
        <v>0.65076699999999998</v>
      </c>
      <c r="J19" s="2592">
        <v>0.48773699999999998</v>
      </c>
      <c r="K19" s="2592">
        <v>2.6810019999999999</v>
      </c>
      <c r="L19" s="2592">
        <v>0.84370999999999996</v>
      </c>
      <c r="M19" s="2593">
        <v>0.14794299999999999</v>
      </c>
      <c r="N19" s="2594">
        <v>0.17220099999999999</v>
      </c>
      <c r="O19" s="2594">
        <v>0.54732700000000001</v>
      </c>
      <c r="P19" s="2594">
        <v>0.80044499999999996</v>
      </c>
      <c r="Q19" s="2594">
        <v>0.665493</v>
      </c>
      <c r="R19" s="2594">
        <v>1.594938</v>
      </c>
      <c r="S19" s="2595">
        <v>0.39618100000000001</v>
      </c>
      <c r="T19" s="2595">
        <v>2.8493849999999998</v>
      </c>
      <c r="U19" s="2596">
        <v>0.124914</v>
      </c>
      <c r="V19" s="2585">
        <v>6.434342</v>
      </c>
      <c r="W19" s="2585">
        <v>1.0713090000000001</v>
      </c>
      <c r="X19" s="2585">
        <v>1.631243</v>
      </c>
      <c r="Y19" s="2585">
        <v>0.87265400000000004</v>
      </c>
      <c r="Z19" s="2585">
        <v>0.63938399999999995</v>
      </c>
      <c r="AA19" s="2585">
        <v>0.38617000000000001</v>
      </c>
      <c r="AB19" s="2586">
        <v>0.38331599999999999</v>
      </c>
      <c r="AC19" s="2586">
        <v>0.50011899999999998</v>
      </c>
      <c r="AD19" s="2586">
        <v>0.70991899999999997</v>
      </c>
      <c r="AE19" s="2586">
        <v>1.048343</v>
      </c>
      <c r="AF19" s="2586">
        <v>3.0382570000000002</v>
      </c>
      <c r="AG19" s="2586">
        <v>0.97822500000000001</v>
      </c>
      <c r="AH19" s="2586">
        <v>6.3806219999999998</v>
      </c>
      <c r="AI19" s="2586">
        <v>0.60685800000000001</v>
      </c>
      <c r="AJ19" s="2586">
        <v>0.57211699999999999</v>
      </c>
      <c r="AK19" s="2586">
        <v>0.68415999999999999</v>
      </c>
      <c r="AL19" s="2586">
        <v>0.22622700000000001</v>
      </c>
      <c r="AM19" s="2586">
        <v>0.80095799999999995</v>
      </c>
      <c r="AN19" s="2586">
        <v>0.68115400000000004</v>
      </c>
      <c r="AO19" s="2586">
        <v>0.16747600000000001</v>
      </c>
      <c r="AP19" s="2586">
        <v>0.74000100000000002</v>
      </c>
      <c r="AQ19" s="2586">
        <v>0.12765199999999999</v>
      </c>
      <c r="AR19" s="2586">
        <v>3.362835</v>
      </c>
      <c r="AS19" s="2586">
        <v>1.7002090000000001</v>
      </c>
      <c r="AT19" s="2586">
        <v>0.60907299999999998</v>
      </c>
      <c r="AU19" s="2586">
        <v>1.6028039999999999</v>
      </c>
      <c r="AV19" s="2586">
        <v>0.77748399999999995</v>
      </c>
      <c r="AW19" s="2586">
        <v>1.394703</v>
      </c>
      <c r="AX19" s="2586">
        <v>2.2887300000000002</v>
      </c>
      <c r="AY19" s="2586">
        <v>0.65078899999999995</v>
      </c>
      <c r="AZ19" s="2586">
        <v>1.665386</v>
      </c>
      <c r="BA19" s="2586">
        <v>1.3293489999999999</v>
      </c>
      <c r="BB19" s="2586">
        <v>2.353081</v>
      </c>
      <c r="BC19" s="2586">
        <v>1.4402090000000001</v>
      </c>
      <c r="BD19" s="2586">
        <v>1.8814029999999999</v>
      </c>
      <c r="BE19" s="2586">
        <v>0.72431999999999996</v>
      </c>
      <c r="BF19" s="2588"/>
      <c r="BG19" s="2588"/>
    </row>
    <row r="20" spans="1:59" ht="17.25" x14ac:dyDescent="0.3">
      <c r="A20" s="2589" t="s">
        <v>4834</v>
      </c>
      <c r="B20" s="2590" t="s">
        <v>3539</v>
      </c>
      <c r="C20" s="2591">
        <v>4.0357560000000001</v>
      </c>
      <c r="D20" s="2592">
        <v>6.9129310000000004</v>
      </c>
      <c r="E20" s="2592">
        <v>5.1056530000000002</v>
      </c>
      <c r="F20" s="2592">
        <v>5.206658</v>
      </c>
      <c r="G20" s="2592">
        <v>4.378101</v>
      </c>
      <c r="H20" s="2592">
        <v>8.9270289999999992</v>
      </c>
      <c r="I20" s="2592">
        <v>13.045483000000001</v>
      </c>
      <c r="J20" s="2592">
        <v>15.305902</v>
      </c>
      <c r="K20" s="2592">
        <v>10.424073</v>
      </c>
      <c r="L20" s="2592">
        <v>18.761006999999999</v>
      </c>
      <c r="M20" s="2593">
        <v>19.431882999999999</v>
      </c>
      <c r="N20" s="2594">
        <v>6.2664759999999999</v>
      </c>
      <c r="O20" s="2594">
        <v>6.0924269999999998</v>
      </c>
      <c r="P20" s="2594">
        <v>4.2823919999999998</v>
      </c>
      <c r="Q20" s="2594">
        <v>5.8033080000000004</v>
      </c>
      <c r="R20" s="2594">
        <v>4.8931310000000003</v>
      </c>
      <c r="S20" s="2595">
        <v>6.0560960000000001</v>
      </c>
      <c r="T20" s="2595">
        <v>5.1254289999999996</v>
      </c>
      <c r="U20" s="2596">
        <v>4.1904070000000004</v>
      </c>
      <c r="V20" s="2585">
        <v>5.4786710000000003</v>
      </c>
      <c r="W20" s="2585">
        <v>4.8306079999999998</v>
      </c>
      <c r="X20" s="2585">
        <v>5.0418459999999996</v>
      </c>
      <c r="Y20" s="2585">
        <v>4.9606620000000001</v>
      </c>
      <c r="Z20" s="2585">
        <v>5.4875059999999998</v>
      </c>
      <c r="AA20" s="2585">
        <v>4.8999550000000003</v>
      </c>
      <c r="AB20" s="2586">
        <v>6.1767599999999998</v>
      </c>
      <c r="AC20" s="2586">
        <v>5.2119080000000002</v>
      </c>
      <c r="AD20" s="2586">
        <v>5.4412659999999997</v>
      </c>
      <c r="AE20" s="2586">
        <v>2.6514730000000002</v>
      </c>
      <c r="AF20" s="2586">
        <v>6.1941680000000003</v>
      </c>
      <c r="AG20" s="2586">
        <v>14.317636</v>
      </c>
      <c r="AH20" s="2586">
        <v>7.1527570000000003</v>
      </c>
      <c r="AI20" s="2586">
        <v>4.3684010000000004</v>
      </c>
      <c r="AJ20" s="2586">
        <v>4.6561849999999998</v>
      </c>
      <c r="AK20" s="2586">
        <v>8.4458559999999991</v>
      </c>
      <c r="AL20" s="2586">
        <v>4.2078550000000003</v>
      </c>
      <c r="AM20" s="2586">
        <v>7.0906510000000003</v>
      </c>
      <c r="AN20" s="2586">
        <v>8.2583179999999992</v>
      </c>
      <c r="AO20" s="2586">
        <v>4.9307730000000003</v>
      </c>
      <c r="AP20" s="2586">
        <v>3.8840110000000001</v>
      </c>
      <c r="AQ20" s="2586">
        <v>4.4419269999999997</v>
      </c>
      <c r="AR20" s="2586">
        <v>9.2962930000000004</v>
      </c>
      <c r="AS20" s="2586">
        <v>6.5844469999999999</v>
      </c>
      <c r="AT20" s="2586">
        <v>3.0882489999999998</v>
      </c>
      <c r="AU20" s="2586">
        <v>3.7130649999999998</v>
      </c>
      <c r="AV20" s="2586">
        <v>5.414758</v>
      </c>
      <c r="AW20" s="2586">
        <v>5.585636</v>
      </c>
      <c r="AX20" s="2586">
        <v>5.3560910000000002</v>
      </c>
      <c r="AY20" s="2586">
        <v>5.3508880000000003</v>
      </c>
      <c r="AZ20" s="2586">
        <v>1.0585020000000001</v>
      </c>
      <c r="BA20" s="2586">
        <v>0.57048100000000002</v>
      </c>
      <c r="BB20" s="2586">
        <v>0.41812700000000003</v>
      </c>
      <c r="BC20" s="2586">
        <v>0.23558699999999999</v>
      </c>
      <c r="BD20" s="2586">
        <v>0.24615100000000001</v>
      </c>
      <c r="BE20" s="2586">
        <v>0.24873200000000001</v>
      </c>
      <c r="BF20" s="2588"/>
      <c r="BG20" s="2588"/>
    </row>
    <row r="21" spans="1:59" ht="17.25" x14ac:dyDescent="0.3">
      <c r="A21" s="2589" t="s">
        <v>4835</v>
      </c>
      <c r="B21" s="2590" t="s">
        <v>3540</v>
      </c>
      <c r="C21" s="2591">
        <v>0.74888200000000005</v>
      </c>
      <c r="D21" s="2592">
        <v>0.75899799999999995</v>
      </c>
      <c r="E21" s="2592">
        <v>2.2659720000000001</v>
      </c>
      <c r="F21" s="2592">
        <v>0.59607900000000003</v>
      </c>
      <c r="G21" s="2592">
        <v>1.0317769999999999</v>
      </c>
      <c r="H21" s="2592">
        <v>0.47512900000000002</v>
      </c>
      <c r="I21" s="2592">
        <v>0.85426899999999995</v>
      </c>
      <c r="J21" s="2592">
        <v>6.9998420000000001</v>
      </c>
      <c r="K21" s="2592">
        <v>0.55164599999999997</v>
      </c>
      <c r="L21" s="2592">
        <v>1.0960490000000001</v>
      </c>
      <c r="M21" s="2593">
        <v>1.8840209999999999</v>
      </c>
      <c r="N21" s="2594">
        <v>0.89090400000000003</v>
      </c>
      <c r="O21" s="2594">
        <v>0.42893700000000001</v>
      </c>
      <c r="P21" s="2594">
        <v>0.85475199999999996</v>
      </c>
      <c r="Q21" s="2594">
        <v>0.98475800000000002</v>
      </c>
      <c r="R21" s="2594">
        <v>0.65812199999999998</v>
      </c>
      <c r="S21" s="2595">
        <v>0.797983</v>
      </c>
      <c r="T21" s="2595">
        <v>11.352679999999964</v>
      </c>
      <c r="U21" s="2596">
        <v>1.299004</v>
      </c>
      <c r="V21" s="2585">
        <v>1.422291</v>
      </c>
      <c r="W21" s="2585">
        <v>0.55962800000000001</v>
      </c>
      <c r="X21" s="2585">
        <v>1.08646</v>
      </c>
      <c r="Y21" s="2585">
        <v>0.89717100000000005</v>
      </c>
      <c r="Z21" s="2585">
        <v>0.50260000000000005</v>
      </c>
      <c r="AA21" s="2585">
        <v>0.52501200000000003</v>
      </c>
      <c r="AB21" s="2586">
        <v>0.46682899999999999</v>
      </c>
      <c r="AC21" s="2586">
        <v>1.504699</v>
      </c>
      <c r="AD21" s="2586">
        <v>0.44214599999999998</v>
      </c>
      <c r="AE21" s="2586">
        <v>1.188979</v>
      </c>
      <c r="AF21" s="2586">
        <v>1.1832050000000001</v>
      </c>
      <c r="AG21" s="2586">
        <v>2.4345599999999998</v>
      </c>
      <c r="AH21" s="2586">
        <v>0.64086399999999999</v>
      </c>
      <c r="AI21" s="2586">
        <v>1.872325</v>
      </c>
      <c r="AJ21" s="2586">
        <v>1.96594</v>
      </c>
      <c r="AK21" s="2586">
        <v>1.0969469999999999</v>
      </c>
      <c r="AL21" s="2586">
        <v>1.871718</v>
      </c>
      <c r="AM21" s="2586">
        <v>0.49807499999999999</v>
      </c>
      <c r="AN21" s="2586">
        <v>1.139465</v>
      </c>
      <c r="AO21" s="2586">
        <v>0.98894700000000002</v>
      </c>
      <c r="AP21" s="2586">
        <v>0.2</v>
      </c>
      <c r="AQ21" s="2586">
        <v>0.72372499999999995</v>
      </c>
      <c r="AR21" s="2586">
        <v>0.22486900000000001</v>
      </c>
      <c r="AS21" s="2586">
        <v>0.69258399999999998</v>
      </c>
      <c r="AT21" s="2586">
        <v>1.024146</v>
      </c>
      <c r="AU21" s="2586">
        <v>0.117546</v>
      </c>
      <c r="AV21" s="2586">
        <v>2.0448230000000001</v>
      </c>
      <c r="AW21" s="2586">
        <v>0.75801799999999997</v>
      </c>
      <c r="AX21" s="2586">
        <v>1.2622910000000001</v>
      </c>
      <c r="AY21" s="2586">
        <v>1.0720019999999999</v>
      </c>
      <c r="AZ21" s="2586">
        <v>0.99453199999999997</v>
      </c>
      <c r="BA21" s="2586">
        <v>1.3899790000000001</v>
      </c>
      <c r="BB21" s="2586">
        <v>0.72490600000000005</v>
      </c>
      <c r="BC21" s="2586">
        <v>1.050556</v>
      </c>
      <c r="BD21" s="2586">
        <v>0.50901300000000005</v>
      </c>
      <c r="BE21" s="2586">
        <v>0.61131100000000005</v>
      </c>
      <c r="BF21" s="2588"/>
      <c r="BG21" s="2588"/>
    </row>
    <row r="22" spans="1:59" ht="17.25" x14ac:dyDescent="0.3">
      <c r="A22" s="2589" t="s">
        <v>4836</v>
      </c>
      <c r="B22" s="2590" t="s">
        <v>3541</v>
      </c>
      <c r="C22" s="2591">
        <v>19.851663000000002</v>
      </c>
      <c r="D22" s="2592">
        <v>13.033164000000006</v>
      </c>
      <c r="E22" s="2592">
        <v>21.081986999999998</v>
      </c>
      <c r="F22" s="2592">
        <v>18.526280000000007</v>
      </c>
      <c r="G22" s="2592">
        <v>16.120517</v>
      </c>
      <c r="H22" s="2592">
        <v>17.785160999999995</v>
      </c>
      <c r="I22" s="2592">
        <v>20.719462</v>
      </c>
      <c r="J22" s="2592">
        <v>19.627191999999994</v>
      </c>
      <c r="K22" s="2592">
        <v>19.168744000000004</v>
      </c>
      <c r="L22" s="2592">
        <v>15.294706000000005</v>
      </c>
      <c r="M22" s="2593">
        <v>17.228833999999992</v>
      </c>
      <c r="N22" s="2594">
        <v>23.09421900000001</v>
      </c>
      <c r="O22" s="2594">
        <v>8.9935820000000035</v>
      </c>
      <c r="P22" s="2594">
        <v>13.063686000000018</v>
      </c>
      <c r="Q22" s="2594">
        <v>13.357920669999999</v>
      </c>
      <c r="R22" s="2594">
        <v>14.676565000000096</v>
      </c>
      <c r="S22" s="2595">
        <v>14.904435000000035</v>
      </c>
      <c r="T22" s="2595">
        <v>0</v>
      </c>
      <c r="U22" s="2596">
        <v>9.775442</v>
      </c>
      <c r="V22" s="2585">
        <v>10.525415000000001</v>
      </c>
      <c r="W22" s="2585">
        <v>7.8718000000000004</v>
      </c>
      <c r="X22" s="2585">
        <v>11.693187999999999</v>
      </c>
      <c r="Y22" s="2585">
        <v>8.1822700000000008</v>
      </c>
      <c r="Z22" s="2585">
        <v>8.1169449999999994</v>
      </c>
      <c r="AA22" s="2585">
        <v>9.6261550000000007</v>
      </c>
      <c r="AB22" s="2586">
        <v>10.697240000000001</v>
      </c>
      <c r="AC22" s="2586">
        <v>9.0079820000000002</v>
      </c>
      <c r="AD22" s="2586">
        <v>15.839248</v>
      </c>
      <c r="AE22" s="2586">
        <v>17.275794999999999</v>
      </c>
      <c r="AF22" s="2586">
        <v>11.360109</v>
      </c>
      <c r="AG22" s="2586">
        <v>10.89541</v>
      </c>
      <c r="AH22" s="2586">
        <v>17.447255999999999</v>
      </c>
      <c r="AI22" s="2586">
        <v>9.5993610000001013</v>
      </c>
      <c r="AJ22" s="2586">
        <v>12.428986</v>
      </c>
      <c r="AK22" s="2586">
        <v>9.8820099999999798</v>
      </c>
      <c r="AL22" s="2586">
        <v>14.682936</v>
      </c>
      <c r="AM22" s="2586">
        <v>7.1351880000000003</v>
      </c>
      <c r="AN22" s="2586">
        <v>11.056079</v>
      </c>
      <c r="AO22" s="2586">
        <v>8.1852900000000002</v>
      </c>
      <c r="AP22" s="2586">
        <v>7.1307140000000002</v>
      </c>
      <c r="AQ22" s="2586">
        <v>5.5853260000000002</v>
      </c>
      <c r="AR22" s="2586">
        <v>7.3648680000000004</v>
      </c>
      <c r="AS22" s="2586">
        <v>6.9620199999999999</v>
      </c>
      <c r="AT22" s="2586">
        <v>7.2977470000000002</v>
      </c>
      <c r="AU22" s="2586">
        <v>8.6031189999999995</v>
      </c>
      <c r="AV22" s="2586">
        <v>3.9795630000000002</v>
      </c>
      <c r="AW22" s="2586">
        <v>5.2995390000000002</v>
      </c>
      <c r="AX22" s="2586">
        <v>10.538520999999999</v>
      </c>
      <c r="AY22" s="2586">
        <v>4.1882809999999999</v>
      </c>
      <c r="AZ22" s="2586">
        <v>1.7649140000000001</v>
      </c>
      <c r="BA22" s="2586">
        <v>1.228694</v>
      </c>
      <c r="BB22" s="2586">
        <v>0.33211600000000002</v>
      </c>
      <c r="BC22" s="2586">
        <v>0.829461</v>
      </c>
      <c r="BD22" s="2586">
        <v>1.5538000000000001</v>
      </c>
      <c r="BE22" s="2586">
        <v>0.76034299999999999</v>
      </c>
      <c r="BF22" s="2588"/>
      <c r="BG22" s="2588"/>
    </row>
    <row r="23" spans="1:59" ht="33" x14ac:dyDescent="0.3">
      <c r="A23" s="2597" t="s">
        <v>4837</v>
      </c>
      <c r="B23" s="2590" t="s">
        <v>4838</v>
      </c>
      <c r="C23" s="2591">
        <v>0</v>
      </c>
      <c r="D23" s="2592">
        <v>0</v>
      </c>
      <c r="E23" s="2592">
        <v>0</v>
      </c>
      <c r="F23" s="2592">
        <v>1.6775000000000002E-2</v>
      </c>
      <c r="G23" s="2592">
        <v>0</v>
      </c>
      <c r="H23" s="2592">
        <v>0</v>
      </c>
      <c r="I23" s="2592">
        <v>0</v>
      </c>
      <c r="J23" s="2592">
        <v>0</v>
      </c>
      <c r="K23" s="2592">
        <v>0</v>
      </c>
      <c r="L23" s="2592">
        <v>3.8991999999999999E-2</v>
      </c>
      <c r="M23" s="2593">
        <v>0</v>
      </c>
      <c r="N23" s="2594">
        <v>0</v>
      </c>
      <c r="O23" s="2594">
        <v>0</v>
      </c>
      <c r="P23" s="2594">
        <v>0</v>
      </c>
      <c r="Q23" s="2594">
        <v>0</v>
      </c>
      <c r="R23" s="2594">
        <v>0</v>
      </c>
      <c r="S23" s="2595">
        <v>0</v>
      </c>
      <c r="T23" s="2595">
        <v>0</v>
      </c>
      <c r="U23" s="2596">
        <v>0</v>
      </c>
      <c r="V23" s="2585">
        <v>4.6844999999999998E-2</v>
      </c>
      <c r="W23" s="2585">
        <v>0</v>
      </c>
      <c r="X23" s="2585">
        <v>0</v>
      </c>
      <c r="Y23" s="2585">
        <v>2.1377E-2</v>
      </c>
      <c r="Z23" s="2585">
        <v>0</v>
      </c>
      <c r="AA23" s="2585">
        <v>0</v>
      </c>
      <c r="AB23" s="2586">
        <v>0</v>
      </c>
      <c r="AC23" s="2586">
        <v>0</v>
      </c>
      <c r="AD23" s="2586">
        <v>2.5846000000000001E-2</v>
      </c>
      <c r="AE23" s="2586">
        <v>0</v>
      </c>
      <c r="AF23" s="2586">
        <v>0</v>
      </c>
      <c r="AG23" s="2586">
        <v>0</v>
      </c>
      <c r="AH23" s="2586">
        <v>0</v>
      </c>
      <c r="AI23" s="2586">
        <v>8.7517999999999999E-2</v>
      </c>
      <c r="AJ23" s="2586">
        <v>0</v>
      </c>
      <c r="AK23" s="2586">
        <v>0</v>
      </c>
      <c r="AL23" s="2586">
        <v>0</v>
      </c>
      <c r="AM23" s="2586">
        <v>2.6318999999999999E-2</v>
      </c>
      <c r="AN23" s="2586">
        <v>0</v>
      </c>
      <c r="AO23" s="2586">
        <v>0</v>
      </c>
      <c r="AP23" s="2586">
        <v>0</v>
      </c>
      <c r="AQ23" s="2586">
        <v>0</v>
      </c>
      <c r="AR23" s="2586">
        <v>0</v>
      </c>
      <c r="AS23" s="2586">
        <v>2.6033000000000001E-2</v>
      </c>
      <c r="AT23" s="2586">
        <v>0</v>
      </c>
      <c r="AU23" s="2586">
        <v>0</v>
      </c>
      <c r="AV23" s="2586">
        <v>0</v>
      </c>
      <c r="AW23" s="2586">
        <v>0</v>
      </c>
      <c r="AX23" s="2586">
        <v>0</v>
      </c>
      <c r="AY23" s="2586">
        <v>0</v>
      </c>
      <c r="AZ23" s="2586">
        <v>0</v>
      </c>
      <c r="BA23" s="2586">
        <v>0</v>
      </c>
      <c r="BB23" s="2586">
        <v>0</v>
      </c>
      <c r="BC23" s="2586">
        <v>0</v>
      </c>
      <c r="BD23" s="2586">
        <v>0</v>
      </c>
      <c r="BE23" s="2586">
        <v>0</v>
      </c>
      <c r="BF23" s="2588"/>
      <c r="BG23" s="2588"/>
    </row>
    <row r="24" spans="1:59" ht="17.25" x14ac:dyDescent="0.3">
      <c r="A24" s="2589" t="s">
        <v>4839</v>
      </c>
      <c r="B24" s="2590" t="s">
        <v>4840</v>
      </c>
      <c r="C24" s="2591">
        <v>0.10795299999999999</v>
      </c>
      <c r="D24" s="2592">
        <v>0</v>
      </c>
      <c r="E24" s="2592">
        <v>0</v>
      </c>
      <c r="F24" s="2592">
        <v>0</v>
      </c>
      <c r="G24" s="2592">
        <v>0</v>
      </c>
      <c r="H24" s="2592">
        <v>0</v>
      </c>
      <c r="I24" s="2592">
        <v>0</v>
      </c>
      <c r="J24" s="2592">
        <v>0</v>
      </c>
      <c r="K24" s="2592">
        <v>5.7096000000000001E-2</v>
      </c>
      <c r="L24" s="2592">
        <v>0</v>
      </c>
      <c r="M24" s="2593">
        <v>0</v>
      </c>
      <c r="N24" s="2594">
        <v>0</v>
      </c>
      <c r="O24" s="2594">
        <v>0</v>
      </c>
      <c r="P24" s="2594">
        <v>0.12518699999999999</v>
      </c>
      <c r="Q24" s="2594">
        <v>0.146924</v>
      </c>
      <c r="R24" s="2594">
        <v>0</v>
      </c>
      <c r="S24" s="2595">
        <v>0</v>
      </c>
      <c r="T24" s="2595">
        <v>1.645079</v>
      </c>
      <c r="U24" s="2596">
        <v>0</v>
      </c>
      <c r="V24" s="2585">
        <v>0</v>
      </c>
      <c r="W24" s="2585">
        <v>0</v>
      </c>
      <c r="X24" s="2585">
        <v>5.7637000000000001E-2</v>
      </c>
      <c r="Y24" s="2585">
        <v>5.3280000000000001E-2</v>
      </c>
      <c r="Z24" s="2585">
        <v>5.7803E-2</v>
      </c>
      <c r="AA24" s="2585">
        <v>0</v>
      </c>
      <c r="AB24" s="2586">
        <v>0</v>
      </c>
      <c r="AC24" s="2586">
        <v>8.6799000000000001E-2</v>
      </c>
      <c r="AD24" s="2586">
        <v>0</v>
      </c>
      <c r="AE24" s="2586">
        <v>0</v>
      </c>
      <c r="AF24" s="2586">
        <v>0</v>
      </c>
      <c r="AG24" s="2586">
        <v>0</v>
      </c>
      <c r="AH24" s="2586">
        <v>0</v>
      </c>
      <c r="AI24" s="2586">
        <v>0</v>
      </c>
      <c r="AJ24" s="2586">
        <v>0</v>
      </c>
      <c r="AK24" s="2586">
        <v>0</v>
      </c>
      <c r="AL24" s="2586">
        <v>0</v>
      </c>
      <c r="AM24" s="2586">
        <v>0</v>
      </c>
      <c r="AN24" s="2586">
        <v>2.5908E-2</v>
      </c>
      <c r="AO24" s="2586">
        <v>0</v>
      </c>
      <c r="AP24" s="2586">
        <v>0</v>
      </c>
      <c r="AQ24" s="2586">
        <v>0</v>
      </c>
      <c r="AR24" s="2586">
        <v>0</v>
      </c>
      <c r="AS24" s="2586">
        <v>0</v>
      </c>
      <c r="AT24" s="2586">
        <v>0</v>
      </c>
      <c r="AU24" s="2586">
        <v>0</v>
      </c>
      <c r="AV24" s="2586">
        <v>0</v>
      </c>
      <c r="AW24" s="2586">
        <v>0</v>
      </c>
      <c r="AX24" s="2586">
        <v>0</v>
      </c>
      <c r="AY24" s="2586">
        <v>0</v>
      </c>
      <c r="AZ24" s="2586">
        <v>0</v>
      </c>
      <c r="BA24" s="2586">
        <v>0</v>
      </c>
      <c r="BB24" s="2586">
        <v>0</v>
      </c>
      <c r="BC24" s="2586">
        <v>0</v>
      </c>
      <c r="BD24" s="2586">
        <v>0</v>
      </c>
      <c r="BE24" s="2586">
        <v>0</v>
      </c>
      <c r="BF24" s="2588"/>
      <c r="BG24" s="2588"/>
    </row>
    <row r="25" spans="1:59" ht="18" thickBot="1" x14ac:dyDescent="0.35">
      <c r="A25" s="2600"/>
      <c r="B25" s="2601" t="s">
        <v>4841</v>
      </c>
      <c r="C25" s="2602">
        <v>17.782810000000001</v>
      </c>
      <c r="D25" s="2603">
        <v>12.017892</v>
      </c>
      <c r="E25" s="2603">
        <v>19.738841000000001</v>
      </c>
      <c r="F25" s="2603">
        <v>15.312135</v>
      </c>
      <c r="G25" s="2603">
        <v>16.405452</v>
      </c>
      <c r="H25" s="2603">
        <v>16.830299</v>
      </c>
      <c r="I25" s="2603">
        <v>21.621621000000001</v>
      </c>
      <c r="J25" s="2603">
        <v>21.066676000000001</v>
      </c>
      <c r="K25" s="2603">
        <v>26.826301999999998</v>
      </c>
      <c r="L25" s="2603">
        <v>29.465554000000001</v>
      </c>
      <c r="M25" s="2604">
        <v>30.376919000000001</v>
      </c>
      <c r="N25" s="2605">
        <v>25.350349999999999</v>
      </c>
      <c r="O25" s="2605">
        <v>24.122951</v>
      </c>
      <c r="P25" s="2605">
        <v>29.616571</v>
      </c>
      <c r="Q25" s="2605">
        <v>18.463311999999998</v>
      </c>
      <c r="R25" s="2605">
        <v>16.761391</v>
      </c>
      <c r="S25" s="2606">
        <v>19.106369000000001</v>
      </c>
      <c r="T25" s="2606">
        <v>22.919307</v>
      </c>
      <c r="U25" s="2607">
        <v>24.498930999999999</v>
      </c>
      <c r="V25" s="2608">
        <v>30.553647000000002</v>
      </c>
      <c r="W25" s="2608">
        <v>17.544893999999999</v>
      </c>
      <c r="X25" s="2608">
        <v>29.044478999999999</v>
      </c>
      <c r="Y25" s="2608">
        <v>25.846267000000001</v>
      </c>
      <c r="Z25" s="2608">
        <v>29.479147000000001</v>
      </c>
      <c r="AA25" s="2608">
        <v>26.691039</v>
      </c>
      <c r="AB25" s="2609">
        <v>16.687543000000002</v>
      </c>
      <c r="AC25" s="2609">
        <v>18.052790999999999</v>
      </c>
      <c r="AD25" s="2609">
        <v>23.532436000000001</v>
      </c>
      <c r="AE25" s="2609">
        <v>23.143923000000001</v>
      </c>
      <c r="AF25" s="2609">
        <v>27.182373999999999</v>
      </c>
      <c r="AG25" s="2609">
        <v>26.83605</v>
      </c>
      <c r="AH25" s="2609">
        <v>25.347897</v>
      </c>
      <c r="AI25" s="2609">
        <v>17.500761000000001</v>
      </c>
      <c r="AJ25" s="2609">
        <v>21.674337000000001</v>
      </c>
      <c r="AK25" s="2609">
        <v>25.944821000000001</v>
      </c>
      <c r="AL25" s="2609">
        <v>20.521667999999998</v>
      </c>
      <c r="AM25" s="2609">
        <v>22.948094000000001</v>
      </c>
      <c r="AN25" s="2609">
        <v>26.239796999999999</v>
      </c>
      <c r="AO25" s="2609">
        <v>36.396617999999997</v>
      </c>
      <c r="AP25" s="2609">
        <v>21.022086000000002</v>
      </c>
      <c r="AQ25" s="2609">
        <v>16.006062</v>
      </c>
      <c r="AR25" s="2609">
        <v>15.75393</v>
      </c>
      <c r="AS25" s="2609">
        <v>17.553611</v>
      </c>
      <c r="AT25" s="2609">
        <v>45.756053000000001</v>
      </c>
      <c r="AU25" s="2609">
        <v>28.196660000000001</v>
      </c>
      <c r="AV25" s="2609">
        <v>20.745667999999998</v>
      </c>
      <c r="AW25" s="2609">
        <v>20.825569000000002</v>
      </c>
      <c r="AX25" s="2609">
        <v>20.570874</v>
      </c>
      <c r="AY25" s="2609">
        <v>36.143825</v>
      </c>
      <c r="AZ25" s="2609">
        <v>19.675861999999999</v>
      </c>
      <c r="BA25" s="2632">
        <v>20.237238000000001</v>
      </c>
      <c r="BB25" s="2632">
        <v>18.821991000000001</v>
      </c>
      <c r="BC25" s="2632">
        <v>17.297067999999999</v>
      </c>
      <c r="BD25" s="2632">
        <v>15.383995000000001</v>
      </c>
      <c r="BE25" s="2632">
        <v>15.876465</v>
      </c>
      <c r="BF25" s="2588"/>
      <c r="BG25" s="2588"/>
    </row>
    <row r="26" spans="1:59" ht="18" thickBot="1" x14ac:dyDescent="0.35">
      <c r="A26" s="2611"/>
      <c r="B26" s="2612" t="s">
        <v>114</v>
      </c>
      <c r="C26" s="2613">
        <v>309.30134900000002</v>
      </c>
      <c r="D26" s="2614">
        <v>310.00999400000001</v>
      </c>
      <c r="E26" s="2614">
        <v>405.43645399999997</v>
      </c>
      <c r="F26" s="2614">
        <v>362.59200300000009</v>
      </c>
      <c r="G26" s="2614">
        <v>390.6855230000001</v>
      </c>
      <c r="H26" s="2614">
        <v>384.87139199999996</v>
      </c>
      <c r="I26" s="2614">
        <v>391.10821299999998</v>
      </c>
      <c r="J26" s="2614">
        <v>430.138103</v>
      </c>
      <c r="K26" s="2614">
        <v>342.45813700000002</v>
      </c>
      <c r="L26" s="2614">
        <v>346.79832200000004</v>
      </c>
      <c r="M26" s="2615">
        <v>373.59592899999996</v>
      </c>
      <c r="N26" s="2616">
        <v>375.88270199999999</v>
      </c>
      <c r="O26" s="2616">
        <v>378.47478100000001</v>
      </c>
      <c r="P26" s="2616">
        <v>312.58619700000003</v>
      </c>
      <c r="Q26" s="2616">
        <v>346.61599367000008</v>
      </c>
      <c r="R26" s="2616">
        <v>294.08013200000011</v>
      </c>
      <c r="S26" s="2617">
        <v>385.82457900000009</v>
      </c>
      <c r="T26" s="2617">
        <v>367.16511199999997</v>
      </c>
      <c r="U26" s="2618">
        <v>386.23677499999997</v>
      </c>
      <c r="V26" s="2619">
        <v>413.4649970000001</v>
      </c>
      <c r="W26" s="2620">
        <v>349.37433299999998</v>
      </c>
      <c r="X26" s="2620">
        <v>378.506665</v>
      </c>
      <c r="Y26" s="2620">
        <v>371.42235499999998</v>
      </c>
      <c r="Z26" s="2620">
        <v>386.99797000000001</v>
      </c>
      <c r="AA26" s="2620">
        <v>423.8181219999999</v>
      </c>
      <c r="AB26" s="2621">
        <v>351.67124799999999</v>
      </c>
      <c r="AC26" s="2621">
        <v>317.10303999999996</v>
      </c>
      <c r="AD26" s="2621">
        <v>406.07266799999991</v>
      </c>
      <c r="AE26" s="2621">
        <v>388.90668700000003</v>
      </c>
      <c r="AF26" s="2621">
        <v>369.83449800000005</v>
      </c>
      <c r="AG26" s="2621">
        <v>375.62726900000007</v>
      </c>
      <c r="AH26" s="2621">
        <v>453.57100300000002</v>
      </c>
      <c r="AI26" s="2621">
        <v>358.03523900000016</v>
      </c>
      <c r="AJ26" s="2621">
        <v>400.99399200000005</v>
      </c>
      <c r="AK26" s="2621">
        <v>336.91260799999998</v>
      </c>
      <c r="AL26" s="2621">
        <v>397.32199200000002</v>
      </c>
      <c r="AM26" s="2621">
        <v>388.473724</v>
      </c>
      <c r="AN26" s="2621">
        <v>398.761978</v>
      </c>
      <c r="AO26" s="2621">
        <v>315.20329999999996</v>
      </c>
      <c r="AP26" s="2621">
        <v>199.023866</v>
      </c>
      <c r="AQ26" s="2621">
        <v>191.441858</v>
      </c>
      <c r="AR26" s="2621">
        <v>243.58295200000003</v>
      </c>
      <c r="AS26" s="2621">
        <v>268.0136</v>
      </c>
      <c r="AT26" s="2621">
        <v>435.45307200000002</v>
      </c>
      <c r="AU26" s="2621">
        <v>315.29470400000002</v>
      </c>
      <c r="AV26" s="2621">
        <v>267.730501</v>
      </c>
      <c r="AW26" s="2621">
        <v>291.03723999999994</v>
      </c>
      <c r="AX26" s="2621">
        <v>328.83417100000008</v>
      </c>
      <c r="AY26" s="2621">
        <v>280.916741</v>
      </c>
      <c r="AZ26" s="2621">
        <v>281.67008800000002</v>
      </c>
      <c r="BA26" s="2621">
        <v>248.32939300000001</v>
      </c>
      <c r="BB26" s="2621">
        <v>231.91520499999999</v>
      </c>
      <c r="BC26" s="2621">
        <v>241.74424099999999</v>
      </c>
      <c r="BD26" s="2621">
        <v>267.925161</v>
      </c>
      <c r="BE26" s="2621">
        <v>258.22140000000002</v>
      </c>
      <c r="BF26" s="2588"/>
      <c r="BG26" s="2588"/>
    </row>
    <row r="27" spans="1:59" s="2561" customFormat="1" ht="15" thickTop="1" x14ac:dyDescent="0.25">
      <c r="A27" s="2623" t="s">
        <v>4842</v>
      </c>
      <c r="B27" s="2624"/>
      <c r="BF27" s="2588"/>
    </row>
    <row r="28" spans="1:59" s="283" customFormat="1" x14ac:dyDescent="0.25">
      <c r="A28" s="2625" t="s">
        <v>4843</v>
      </c>
      <c r="B28" s="2626"/>
      <c r="C28" s="2626"/>
      <c r="D28" s="2626"/>
      <c r="E28" s="2626"/>
      <c r="F28" s="2626"/>
      <c r="G28" s="2626"/>
      <c r="H28" s="2626"/>
      <c r="I28" s="2626"/>
      <c r="J28" s="2626"/>
      <c r="K28" s="2626"/>
      <c r="L28" s="1157"/>
      <c r="M28" s="1157"/>
      <c r="N28" s="1157"/>
      <c r="AD28" s="2623"/>
      <c r="AE28" s="2623"/>
      <c r="AF28" s="2623"/>
      <c r="AG28" s="2623"/>
      <c r="AH28" s="2623"/>
      <c r="AI28" s="2623"/>
      <c r="AJ28" s="2623"/>
      <c r="AK28" s="2623"/>
      <c r="AL28" s="2623"/>
      <c r="AM28" s="2623"/>
      <c r="AN28" s="2623"/>
      <c r="AO28" s="2623"/>
      <c r="AP28" s="2623"/>
      <c r="AQ28" s="2623"/>
      <c r="AR28" s="2623"/>
      <c r="AS28" s="2623"/>
      <c r="AT28" s="2623"/>
      <c r="AU28" s="2623"/>
      <c r="AV28" s="2623"/>
      <c r="AW28" s="2623"/>
      <c r="AX28" s="2623"/>
      <c r="AY28" s="2627"/>
      <c r="AZ28" s="2627"/>
      <c r="BA28" s="2627"/>
      <c r="BB28" s="2627"/>
      <c r="BC28" s="2627"/>
      <c r="BD28" s="2627"/>
      <c r="BE28" s="2627"/>
      <c r="BF28" s="2588"/>
    </row>
    <row r="29" spans="1:59" s="2625" customFormat="1" ht="15.75" x14ac:dyDescent="0.25">
      <c r="A29" s="2628" t="s">
        <v>4844</v>
      </c>
      <c r="B29" s="2629"/>
      <c r="C29" s="2629"/>
      <c r="D29" s="2629"/>
      <c r="E29" s="2629"/>
      <c r="F29" s="2629"/>
      <c r="G29" s="2629"/>
      <c r="H29" s="2629"/>
      <c r="I29" s="2629"/>
      <c r="J29" s="2629"/>
      <c r="K29" s="2629"/>
      <c r="L29" s="2629"/>
      <c r="M29" s="2629"/>
      <c r="N29" s="2630"/>
      <c r="AD29" s="2623"/>
      <c r="AE29" s="2623"/>
      <c r="AF29" s="2623"/>
      <c r="AG29" s="2623"/>
      <c r="AH29" s="2623"/>
      <c r="AI29" s="2623"/>
      <c r="AJ29" s="2623"/>
      <c r="AK29" s="2623"/>
      <c r="AL29" s="2623"/>
      <c r="AM29" s="2623"/>
      <c r="AN29" s="2623"/>
      <c r="AO29" s="2623"/>
      <c r="AP29" s="2623"/>
      <c r="AQ29" s="2623"/>
      <c r="AR29" s="2623"/>
      <c r="AS29" s="2623"/>
      <c r="AT29" s="2623"/>
      <c r="AU29" s="2623"/>
      <c r="AV29" s="2623"/>
      <c r="AW29" s="2623"/>
      <c r="AX29" s="2623"/>
      <c r="AY29" s="2627"/>
      <c r="AZ29" s="2627"/>
      <c r="BA29" s="2627"/>
      <c r="BB29" s="2627"/>
      <c r="BC29" s="2627"/>
      <c r="BD29" s="2627"/>
      <c r="BE29" s="2627"/>
      <c r="BF29" s="2588"/>
    </row>
    <row r="30" spans="1:59" s="2623" customFormat="1" x14ac:dyDescent="0.25">
      <c r="A30" s="2623" t="s">
        <v>172</v>
      </c>
      <c r="B30" s="1156"/>
      <c r="AY30" s="2627"/>
      <c r="AZ30" s="2627"/>
      <c r="BA30" s="2627"/>
      <c r="BB30" s="2627"/>
      <c r="BC30" s="2627"/>
      <c r="BD30" s="2627"/>
      <c r="BE30" s="2627"/>
      <c r="BF30" s="2588"/>
    </row>
    <row r="31" spans="1:59" s="2623" customFormat="1" x14ac:dyDescent="0.25">
      <c r="A31" s="2623" t="s">
        <v>3553</v>
      </c>
      <c r="B31" s="1156"/>
      <c r="AY31" s="2627"/>
      <c r="AZ31" s="2627"/>
      <c r="BA31" s="2627"/>
      <c r="BB31" s="2627"/>
      <c r="BC31" s="2627"/>
      <c r="BD31" s="2627"/>
      <c r="BE31" s="2627"/>
      <c r="BF31" s="2588"/>
    </row>
  </sheetData>
  <mergeCells count="1">
    <mergeCell ref="AK2:BE2"/>
  </mergeCells>
  <printOptions horizontalCentered="1"/>
  <pageMargins left="0.70866141732283505" right="0.70866141732283505" top="0.74803149606299202" bottom="0.74803149606299202" header="0.31496062992126" footer="0.31496062992126"/>
  <pageSetup paperSize="9" scale="57"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AK121"/>
  <sheetViews>
    <sheetView showGridLines="0" zoomScale="85" zoomScaleNormal="85" zoomScaleSheetLayoutView="115" workbookViewId="0">
      <pane xSplit="1" ySplit="1" topLeftCell="B2" activePane="bottomRight" state="frozen"/>
      <selection activeCell="A150" sqref="A150"/>
      <selection pane="topRight" activeCell="A150" sqref="A150"/>
      <selection pane="bottomLeft" activeCell="A150" sqref="A150"/>
      <selection pane="bottomRight" activeCell="A58" sqref="A58"/>
    </sheetView>
  </sheetViews>
  <sheetFormatPr defaultColWidth="9.140625" defaultRowHeight="16.5" x14ac:dyDescent="0.3"/>
  <cols>
    <col min="1" max="1" width="10.140625" style="2556" customWidth="1"/>
    <col min="2" max="5" width="9.140625" style="2556"/>
    <col min="6" max="6" width="11.42578125" style="2556" bestFit="1" customWidth="1"/>
    <col min="7" max="9" width="9.140625" style="2556"/>
    <col min="10" max="10" width="4.42578125" style="2556" customWidth="1"/>
    <col min="11" max="16384" width="9.140625" style="2556"/>
  </cols>
  <sheetData>
    <row r="1" spans="1:6" ht="18.75" x14ac:dyDescent="0.3">
      <c r="A1" s="2633" t="s">
        <v>4847</v>
      </c>
    </row>
    <row r="2" spans="1:6" ht="17.25" thickBot="1" x14ac:dyDescent="0.35">
      <c r="F2" s="1808" t="s">
        <v>3968</v>
      </c>
    </row>
    <row r="3" spans="1:6" ht="18" thickTop="1" thickBot="1" x14ac:dyDescent="0.35">
      <c r="A3" s="2634"/>
      <c r="B3" s="2635" t="s">
        <v>3947</v>
      </c>
      <c r="C3" s="2635" t="s">
        <v>3950</v>
      </c>
      <c r="D3" s="2635" t="s">
        <v>4848</v>
      </c>
      <c r="E3" s="2635" t="s">
        <v>3715</v>
      </c>
      <c r="F3" s="2635" t="s">
        <v>114</v>
      </c>
    </row>
    <row r="4" spans="1:6" hidden="1" x14ac:dyDescent="0.3">
      <c r="A4" s="2636">
        <v>42736</v>
      </c>
      <c r="B4" s="2637">
        <v>197.51551499999999</v>
      </c>
      <c r="C4" s="2637">
        <v>108.059792</v>
      </c>
      <c r="D4" s="2637">
        <v>17.536251</v>
      </c>
      <c r="E4" s="2637">
        <v>8.1099619999999959</v>
      </c>
      <c r="F4" s="2638">
        <v>331.22152</v>
      </c>
    </row>
    <row r="5" spans="1:6" hidden="1" x14ac:dyDescent="0.3">
      <c r="A5" s="2636">
        <v>42767</v>
      </c>
      <c r="B5" s="2637">
        <v>228.40382600000001</v>
      </c>
      <c r="C5" s="2637">
        <v>76.873213000000007</v>
      </c>
      <c r="D5" s="2637">
        <v>16.246696</v>
      </c>
      <c r="E5" s="2637">
        <v>8.0922000000000054</v>
      </c>
      <c r="F5" s="2638">
        <v>329.61593499999998</v>
      </c>
    </row>
    <row r="6" spans="1:6" hidden="1" x14ac:dyDescent="0.3">
      <c r="A6" s="2636">
        <v>42795</v>
      </c>
      <c r="B6" s="2637">
        <v>262.23346099999998</v>
      </c>
      <c r="C6" s="2637">
        <v>157.87757199999999</v>
      </c>
      <c r="D6" s="2637">
        <v>18.18581</v>
      </c>
      <c r="E6" s="2637">
        <v>12.228756999999995</v>
      </c>
      <c r="F6" s="2638">
        <v>450.52559999999994</v>
      </c>
    </row>
    <row r="7" spans="1:6" hidden="1" x14ac:dyDescent="0.3">
      <c r="A7" s="2636">
        <v>42826</v>
      </c>
      <c r="B7" s="2637">
        <v>227.27950799999999</v>
      </c>
      <c r="C7" s="2637">
        <v>116.36069000000001</v>
      </c>
      <c r="D7" s="2637">
        <v>37.234957000000001</v>
      </c>
      <c r="E7" s="2637">
        <v>12.345025000000007</v>
      </c>
      <c r="F7" s="2638">
        <v>393.22018000000003</v>
      </c>
    </row>
    <row r="8" spans="1:6" hidden="1" x14ac:dyDescent="0.3">
      <c r="A8" s="2636">
        <v>42856</v>
      </c>
      <c r="B8" s="2637">
        <v>221.14980199999999</v>
      </c>
      <c r="C8" s="2637">
        <v>180.70346900000001</v>
      </c>
      <c r="D8" s="2637">
        <v>19.547654999999999</v>
      </c>
      <c r="E8" s="2637">
        <v>14.793257999999994</v>
      </c>
      <c r="F8" s="2638">
        <v>436.19418400000001</v>
      </c>
    </row>
    <row r="9" spans="1:6" hidden="1" x14ac:dyDescent="0.3">
      <c r="A9" s="2636">
        <v>42887</v>
      </c>
      <c r="B9" s="2637">
        <v>199.415333</v>
      </c>
      <c r="C9" s="2637">
        <v>160.60561799999999</v>
      </c>
      <c r="D9" s="2637">
        <v>18.812515999999999</v>
      </c>
      <c r="E9" s="2637">
        <v>10.202784999999992</v>
      </c>
      <c r="F9" s="2638">
        <v>389.03625199999999</v>
      </c>
    </row>
    <row r="10" spans="1:6" hidden="1" x14ac:dyDescent="0.3">
      <c r="A10" s="2636">
        <v>42917</v>
      </c>
      <c r="B10" s="2637">
        <v>212.82882799999999</v>
      </c>
      <c r="C10" s="2637">
        <v>143.08401799999999</v>
      </c>
      <c r="D10" s="2637">
        <v>11.022928</v>
      </c>
      <c r="E10" s="2637">
        <v>9.5371650000000017</v>
      </c>
      <c r="F10" s="2638">
        <v>376.47293899999994</v>
      </c>
    </row>
    <row r="11" spans="1:6" hidden="1" x14ac:dyDescent="0.3">
      <c r="A11" s="2636">
        <v>42948</v>
      </c>
      <c r="B11" s="2637">
        <v>244.11312699999999</v>
      </c>
      <c r="C11" s="2637">
        <v>171.19274899999999</v>
      </c>
      <c r="D11" s="2637">
        <v>11.530946</v>
      </c>
      <c r="E11" s="2637">
        <v>6.5558049999999923</v>
      </c>
      <c r="F11" s="2638">
        <v>433.39262699999995</v>
      </c>
    </row>
    <row r="12" spans="1:6" hidden="1" x14ac:dyDescent="0.3">
      <c r="A12" s="2636">
        <v>42979</v>
      </c>
      <c r="B12" s="2637">
        <v>175.29373100000001</v>
      </c>
      <c r="C12" s="2637">
        <v>156.43955099999999</v>
      </c>
      <c r="D12" s="2637">
        <v>38.328558999999998</v>
      </c>
      <c r="E12" s="2637">
        <v>9.9809910000000031</v>
      </c>
      <c r="F12" s="2638">
        <v>380.04283200000003</v>
      </c>
    </row>
    <row r="13" spans="1:6" hidden="1" x14ac:dyDescent="0.3">
      <c r="A13" s="2636">
        <v>43009</v>
      </c>
      <c r="B13" s="2637">
        <v>181.63092</v>
      </c>
      <c r="C13" s="2637">
        <v>121.399017</v>
      </c>
      <c r="D13" s="2637">
        <v>25.756222000000001</v>
      </c>
      <c r="E13" s="2637">
        <v>6.1786519999999996</v>
      </c>
      <c r="F13" s="2638">
        <v>334.964811</v>
      </c>
    </row>
    <row r="14" spans="1:6" hidden="1" x14ac:dyDescent="0.3">
      <c r="A14" s="2636">
        <v>43040</v>
      </c>
      <c r="B14" s="2637">
        <v>170.63756100000001</v>
      </c>
      <c r="C14" s="2637">
        <v>150.99259599999999</v>
      </c>
      <c r="D14" s="2637">
        <v>24.640027</v>
      </c>
      <c r="E14" s="2637">
        <v>8.1416010000000085</v>
      </c>
      <c r="F14" s="2638">
        <v>354.41178500000001</v>
      </c>
    </row>
    <row r="15" spans="1:6" hidden="1" x14ac:dyDescent="0.3">
      <c r="A15" s="2636">
        <v>43070</v>
      </c>
      <c r="B15" s="2637">
        <v>189.57369800000001</v>
      </c>
      <c r="C15" s="2637">
        <v>119.53563</v>
      </c>
      <c r="D15" s="2637">
        <v>25.42633</v>
      </c>
      <c r="E15" s="2637">
        <v>8.2377680000000026</v>
      </c>
      <c r="F15" s="2638">
        <v>342.77342600000003</v>
      </c>
    </row>
    <row r="16" spans="1:6" hidden="1" x14ac:dyDescent="0.3">
      <c r="A16" s="2639">
        <v>43101</v>
      </c>
      <c r="B16" s="2640">
        <v>179.206379</v>
      </c>
      <c r="C16" s="2640">
        <v>159.20188999999999</v>
      </c>
      <c r="D16" s="2640">
        <v>31.536455</v>
      </c>
      <c r="E16" s="2640">
        <v>8.5600799999999992</v>
      </c>
      <c r="F16" s="2641">
        <v>378.50480400000004</v>
      </c>
    </row>
    <row r="17" spans="1:6" hidden="1" x14ac:dyDescent="0.3">
      <c r="A17" s="2636">
        <v>43132</v>
      </c>
      <c r="B17" s="2637">
        <v>181.44878399999999</v>
      </c>
      <c r="C17" s="2637">
        <v>173.28813600000001</v>
      </c>
      <c r="D17" s="2637">
        <v>13.333466</v>
      </c>
      <c r="E17" s="2637">
        <v>7.0949450000000001</v>
      </c>
      <c r="F17" s="2638">
        <v>375.16533099999998</v>
      </c>
    </row>
    <row r="18" spans="1:6" hidden="1" x14ac:dyDescent="0.3">
      <c r="A18" s="2636">
        <v>43160</v>
      </c>
      <c r="B18" s="2637">
        <v>221.87894299999999</v>
      </c>
      <c r="C18" s="2637">
        <v>138.90938600000001</v>
      </c>
      <c r="D18" s="2637">
        <v>32.483767999999998</v>
      </c>
      <c r="E18" s="2637">
        <v>10.992385000000001</v>
      </c>
      <c r="F18" s="2638">
        <v>404.26448199999999</v>
      </c>
    </row>
    <row r="19" spans="1:6" hidden="1" x14ac:dyDescent="0.3">
      <c r="A19" s="2636">
        <v>43191</v>
      </c>
      <c r="B19" s="2637">
        <v>189.39332099999999</v>
      </c>
      <c r="C19" s="2637">
        <v>137.339338</v>
      </c>
      <c r="D19" s="2637">
        <v>20.377965</v>
      </c>
      <c r="E19" s="2637">
        <v>9.0822330000000004</v>
      </c>
      <c r="F19" s="2638">
        <v>356.192857</v>
      </c>
    </row>
    <row r="20" spans="1:6" hidden="1" x14ac:dyDescent="0.3">
      <c r="A20" s="2636">
        <v>43221</v>
      </c>
      <c r="B20" s="2637">
        <v>210.61475300000001</v>
      </c>
      <c r="C20" s="2637">
        <v>105.244494</v>
      </c>
      <c r="D20" s="2637">
        <v>10.522864</v>
      </c>
      <c r="E20" s="2637">
        <v>12.501957000000001</v>
      </c>
      <c r="F20" s="2638">
        <v>338.88406800000001</v>
      </c>
    </row>
    <row r="21" spans="1:6" hidden="1" x14ac:dyDescent="0.3">
      <c r="A21" s="2636">
        <v>43252</v>
      </c>
      <c r="B21" s="2637">
        <v>191.12283400000001</v>
      </c>
      <c r="C21" s="2637">
        <v>192.25538599999999</v>
      </c>
      <c r="D21" s="2637">
        <v>26.926548</v>
      </c>
      <c r="E21" s="2637">
        <v>7.7624440000000003</v>
      </c>
      <c r="F21" s="2638">
        <v>418.06721200000004</v>
      </c>
    </row>
    <row r="22" spans="1:6" hidden="1" x14ac:dyDescent="0.3">
      <c r="A22" s="2636">
        <v>43282</v>
      </c>
      <c r="B22" s="2637">
        <v>198.883318</v>
      </c>
      <c r="C22" s="2637">
        <v>114.368641</v>
      </c>
      <c r="D22" s="2637">
        <v>13.925440999999999</v>
      </c>
      <c r="E22" s="2637">
        <v>15.255196</v>
      </c>
      <c r="F22" s="2638">
        <v>342.43259599999999</v>
      </c>
    </row>
    <row r="23" spans="1:6" hidden="1" x14ac:dyDescent="0.3">
      <c r="A23" s="2636">
        <v>43313</v>
      </c>
      <c r="B23" s="2637">
        <v>245.63909100000001</v>
      </c>
      <c r="C23" s="2637">
        <v>104.66001900000001</v>
      </c>
      <c r="D23" s="2637">
        <v>17.093844000000001</v>
      </c>
      <c r="E23" s="2637">
        <v>5.4137740000000001</v>
      </c>
      <c r="F23" s="2638">
        <v>372.80672800000002</v>
      </c>
    </row>
    <row r="24" spans="1:6" hidden="1" x14ac:dyDescent="0.3">
      <c r="A24" s="2636">
        <v>43344</v>
      </c>
      <c r="B24" s="2637">
        <v>168.16425899999999</v>
      </c>
      <c r="C24" s="2637">
        <v>146.37354400000001</v>
      </c>
      <c r="D24" s="2637">
        <v>23.715748000000001</v>
      </c>
      <c r="E24" s="2637">
        <v>10.419269</v>
      </c>
      <c r="F24" s="2638">
        <v>348.67282</v>
      </c>
    </row>
    <row r="25" spans="1:6" hidden="1" x14ac:dyDescent="0.3">
      <c r="A25" s="2636">
        <v>43374</v>
      </c>
      <c r="B25" s="2637">
        <v>206.18271899999999</v>
      </c>
      <c r="C25" s="2637">
        <v>89.408169000000001</v>
      </c>
      <c r="D25" s="2637">
        <v>20.596982000000001</v>
      </c>
      <c r="E25" s="2637">
        <v>7.1076090000000001</v>
      </c>
      <c r="F25" s="2638">
        <v>323.29547900000006</v>
      </c>
    </row>
    <row r="26" spans="1:6" hidden="1" x14ac:dyDescent="0.3">
      <c r="A26" s="2636">
        <v>43405</v>
      </c>
      <c r="B26" s="2637">
        <v>170.557939</v>
      </c>
      <c r="C26" s="2637">
        <v>106.4451</v>
      </c>
      <c r="D26" s="2637">
        <v>14.308913</v>
      </c>
      <c r="E26" s="2637">
        <v>15.430426000000001</v>
      </c>
      <c r="F26" s="2638">
        <v>306.74237800000003</v>
      </c>
    </row>
    <row r="27" spans="1:6" hidden="1" x14ac:dyDescent="0.3">
      <c r="A27" s="2636">
        <v>43435</v>
      </c>
      <c r="B27" s="2637">
        <v>251.03595899999999</v>
      </c>
      <c r="C27" s="2637">
        <v>121.560455</v>
      </c>
      <c r="D27" s="2637">
        <v>14.514184</v>
      </c>
      <c r="E27" s="2637">
        <v>7.426005</v>
      </c>
      <c r="F27" s="2638">
        <v>394.53660299999996</v>
      </c>
    </row>
    <row r="28" spans="1:6" hidden="1" x14ac:dyDescent="0.3">
      <c r="A28" s="2636">
        <v>43466</v>
      </c>
      <c r="B28" s="2637">
        <v>223.32334900000001</v>
      </c>
      <c r="C28" s="2637">
        <v>103.93451899999999</v>
      </c>
      <c r="D28" s="2637">
        <v>30.196387999999999</v>
      </c>
      <c r="E28" s="2637">
        <v>15.111413000000001</v>
      </c>
      <c r="F28" s="2638">
        <v>372.56566900000007</v>
      </c>
    </row>
    <row r="29" spans="1:6" hidden="1" x14ac:dyDescent="0.3">
      <c r="A29" s="2636">
        <v>43497</v>
      </c>
      <c r="B29" s="2637">
        <v>209.48335700000001</v>
      </c>
      <c r="C29" s="2637">
        <v>87.078712999999993</v>
      </c>
      <c r="D29" s="2637">
        <v>21.358367999999999</v>
      </c>
      <c r="E29" s="2637">
        <v>7.3790709999999997</v>
      </c>
      <c r="F29" s="2638">
        <v>325.299509</v>
      </c>
    </row>
    <row r="30" spans="1:6" hidden="1" x14ac:dyDescent="0.3">
      <c r="A30" s="2636">
        <v>43525</v>
      </c>
      <c r="B30" s="2637">
        <v>184.33346599999999</v>
      </c>
      <c r="C30" s="2637">
        <v>150.505954</v>
      </c>
      <c r="D30" s="2637">
        <v>22.220123000000001</v>
      </c>
      <c r="E30" s="2637">
        <v>4.8801519999999998</v>
      </c>
      <c r="F30" s="2638">
        <v>361.93969500000003</v>
      </c>
    </row>
    <row r="31" spans="1:6" hidden="1" x14ac:dyDescent="0.3">
      <c r="A31" s="2636">
        <v>43556</v>
      </c>
      <c r="B31" s="2637">
        <v>161.37466800000001</v>
      </c>
      <c r="C31" s="2637">
        <v>185.864499</v>
      </c>
      <c r="D31" s="2637">
        <v>14.68599</v>
      </c>
      <c r="E31" s="2637">
        <v>10.257569999999999</v>
      </c>
      <c r="F31" s="2638">
        <v>372.182727</v>
      </c>
    </row>
    <row r="32" spans="1:6" hidden="1" x14ac:dyDescent="0.3">
      <c r="A32" s="2636">
        <v>43586</v>
      </c>
      <c r="B32" s="2637">
        <v>232.00550999999999</v>
      </c>
      <c r="C32" s="2637">
        <v>247.26540900000001</v>
      </c>
      <c r="D32" s="2637">
        <v>20.564874</v>
      </c>
      <c r="E32" s="2637">
        <v>6.8303159999999998</v>
      </c>
      <c r="F32" s="2638">
        <v>506.66610899999995</v>
      </c>
    </row>
    <row r="33" spans="1:6" hidden="1" x14ac:dyDescent="0.3">
      <c r="A33" s="2636">
        <v>43617</v>
      </c>
      <c r="B33" s="2637">
        <v>174.70720499999999</v>
      </c>
      <c r="C33" s="2637">
        <v>252.02389600000001</v>
      </c>
      <c r="D33" s="2637">
        <v>22.393915</v>
      </c>
      <c r="E33" s="2637">
        <v>11.268364</v>
      </c>
      <c r="F33" s="2638">
        <v>460.39337999999998</v>
      </c>
    </row>
    <row r="34" spans="1:6" hidden="1" x14ac:dyDescent="0.3">
      <c r="A34" s="2636">
        <v>43647</v>
      </c>
      <c r="B34" s="2637">
        <v>186.056893</v>
      </c>
      <c r="C34" s="2637">
        <v>130.51766799999999</v>
      </c>
      <c r="D34" s="2637">
        <v>17.303951000000001</v>
      </c>
      <c r="E34" s="2637">
        <v>9.510802</v>
      </c>
      <c r="F34" s="2638">
        <v>343.38931400000001</v>
      </c>
    </row>
    <row r="35" spans="1:6" hidden="1" x14ac:dyDescent="0.3">
      <c r="A35" s="2636">
        <v>43678</v>
      </c>
      <c r="B35" s="2637">
        <v>176.458046</v>
      </c>
      <c r="C35" s="2637">
        <v>136.06339800000001</v>
      </c>
      <c r="D35" s="2637">
        <v>12.578452</v>
      </c>
      <c r="E35" s="2637">
        <v>4.2970220000000001</v>
      </c>
      <c r="F35" s="2638">
        <v>329.39691800000003</v>
      </c>
    </row>
    <row r="36" spans="1:6" hidden="1" x14ac:dyDescent="0.3">
      <c r="A36" s="2636">
        <v>43709</v>
      </c>
      <c r="B36" s="2637">
        <v>187.03259299999999</v>
      </c>
      <c r="C36" s="2637">
        <v>133.00580500000001</v>
      </c>
      <c r="D36" s="2637">
        <v>24.336462000000001</v>
      </c>
      <c r="E36" s="2637">
        <v>12.038323</v>
      </c>
      <c r="F36" s="2638">
        <v>356.413183</v>
      </c>
    </row>
    <row r="37" spans="1:6" hidden="1" x14ac:dyDescent="0.3">
      <c r="A37" s="2636">
        <v>43739</v>
      </c>
      <c r="B37" s="2637">
        <v>181.16417999999999</v>
      </c>
      <c r="C37" s="2637">
        <v>173.462006</v>
      </c>
      <c r="D37" s="2637">
        <v>27.697617999999999</v>
      </c>
      <c r="E37" s="2637">
        <v>5.658188</v>
      </c>
      <c r="F37" s="2638">
        <v>387.98199199999999</v>
      </c>
    </row>
    <row r="38" spans="1:6" hidden="1" x14ac:dyDescent="0.3">
      <c r="A38" s="2636">
        <v>43770</v>
      </c>
      <c r="B38" s="2637">
        <v>181.50894400000001</v>
      </c>
      <c r="C38" s="2637">
        <v>102.697157</v>
      </c>
      <c r="D38" s="2637">
        <v>16.370560000000001</v>
      </c>
      <c r="E38" s="2637">
        <v>6.9803259999999998</v>
      </c>
      <c r="F38" s="2638">
        <v>307.55698699999999</v>
      </c>
    </row>
    <row r="39" spans="1:6" hidden="1" x14ac:dyDescent="0.3">
      <c r="A39" s="2636">
        <v>43800</v>
      </c>
      <c r="B39" s="2637">
        <v>185.218412</v>
      </c>
      <c r="C39" s="2637">
        <v>143.97160600000001</v>
      </c>
      <c r="D39" s="2637">
        <v>24.363285000000001</v>
      </c>
      <c r="E39" s="2637">
        <v>7.5535139999999998</v>
      </c>
      <c r="F39" s="2638">
        <v>361.10681700000004</v>
      </c>
    </row>
    <row r="40" spans="1:6" hidden="1" x14ac:dyDescent="0.3">
      <c r="A40" s="2636">
        <v>43831</v>
      </c>
      <c r="B40" s="2637">
        <v>189.78112899999999</v>
      </c>
      <c r="C40" s="2637">
        <v>123.542841</v>
      </c>
      <c r="D40" s="2637">
        <v>18.341231000000001</v>
      </c>
      <c r="E40" s="2637">
        <v>8.6512320000000003</v>
      </c>
      <c r="F40" s="2638">
        <v>340.31643299999996</v>
      </c>
    </row>
    <row r="41" spans="1:6" hidden="1" x14ac:dyDescent="0.3">
      <c r="A41" s="2636">
        <v>43862</v>
      </c>
      <c r="B41" s="2637">
        <v>201.45648</v>
      </c>
      <c r="C41" s="2637">
        <v>133.866186</v>
      </c>
      <c r="D41" s="2637">
        <v>12.74198</v>
      </c>
      <c r="E41" s="2637">
        <v>5.6455229999999998</v>
      </c>
      <c r="F41" s="2638">
        <v>353.71016900000006</v>
      </c>
    </row>
    <row r="42" spans="1:6" hidden="1" x14ac:dyDescent="0.3">
      <c r="A42" s="2636">
        <v>43891</v>
      </c>
      <c r="B42" s="2637">
        <v>151.19933700000001</v>
      </c>
      <c r="C42" s="2637">
        <v>149.514985</v>
      </c>
      <c r="D42" s="2637">
        <v>6.8492490000000004</v>
      </c>
      <c r="E42" s="2637">
        <v>5.5724720000000003</v>
      </c>
      <c r="F42" s="2638">
        <v>313.13604300000003</v>
      </c>
    </row>
    <row r="43" spans="1:6" hidden="1" x14ac:dyDescent="0.3">
      <c r="A43" s="2636">
        <v>43922</v>
      </c>
      <c r="B43" s="2637">
        <v>61.714727000000003</v>
      </c>
      <c r="C43" s="2637">
        <v>47.235143999999998</v>
      </c>
      <c r="D43" s="2637">
        <v>9.3678240000000006</v>
      </c>
      <c r="E43" s="2637">
        <v>2.591942</v>
      </c>
      <c r="F43" s="2638">
        <v>120.909637</v>
      </c>
    </row>
    <row r="44" spans="1:6" hidden="1" x14ac:dyDescent="0.3">
      <c r="A44" s="2636">
        <v>43952</v>
      </c>
      <c r="B44" s="2637">
        <v>48.923915000000001</v>
      </c>
      <c r="C44" s="2637">
        <v>41.802812000000003</v>
      </c>
      <c r="D44" s="2637">
        <v>3.0326080000000002</v>
      </c>
      <c r="E44" s="2637">
        <v>2.9755039999999999</v>
      </c>
      <c r="F44" s="2638">
        <v>96.734839000000008</v>
      </c>
    </row>
    <row r="45" spans="1:6" hidden="1" x14ac:dyDescent="0.3">
      <c r="A45" s="2636">
        <v>43983</v>
      </c>
      <c r="B45" s="2637">
        <v>126.34948199999999</v>
      </c>
      <c r="C45" s="2637">
        <v>70.657686999999996</v>
      </c>
      <c r="D45" s="2637">
        <v>6.087288</v>
      </c>
      <c r="E45" s="2637">
        <v>12.943326000000001</v>
      </c>
      <c r="F45" s="2638">
        <v>216.03778299999999</v>
      </c>
    </row>
    <row r="46" spans="1:6" x14ac:dyDescent="0.3">
      <c r="A46" s="2636">
        <v>44013</v>
      </c>
      <c r="B46" s="2637">
        <v>89.495275000000007</v>
      </c>
      <c r="C46" s="2637">
        <v>77.571545</v>
      </c>
      <c r="D46" s="2637">
        <v>8.7806890000000006</v>
      </c>
      <c r="E46" s="2637">
        <v>6.6718080000000004</v>
      </c>
      <c r="F46" s="2638">
        <v>182.519317</v>
      </c>
    </row>
    <row r="47" spans="1:6" x14ac:dyDescent="0.3">
      <c r="A47" s="2636">
        <v>44044</v>
      </c>
      <c r="B47" s="2637">
        <v>136.760446</v>
      </c>
      <c r="C47" s="2637">
        <v>47.600582000000003</v>
      </c>
      <c r="D47" s="2637">
        <v>7.9731259999999997</v>
      </c>
      <c r="E47" s="2637">
        <v>5.4038620000000002</v>
      </c>
      <c r="F47" s="2638">
        <v>197.73801600000002</v>
      </c>
    </row>
    <row r="48" spans="1:6" x14ac:dyDescent="0.3">
      <c r="A48" s="2636">
        <v>44075</v>
      </c>
      <c r="B48" s="2637">
        <v>128.87321399999999</v>
      </c>
      <c r="C48" s="2637">
        <v>50.328643999999997</v>
      </c>
      <c r="D48" s="2637">
        <v>6.651726</v>
      </c>
      <c r="E48" s="2637">
        <v>6.4171690000000003</v>
      </c>
      <c r="F48" s="2638">
        <v>192.27075299999998</v>
      </c>
    </row>
    <row r="49" spans="1:9" x14ac:dyDescent="0.3">
      <c r="A49" s="2636">
        <v>44105</v>
      </c>
      <c r="B49" s="2637">
        <v>121.926874</v>
      </c>
      <c r="C49" s="2637">
        <v>61.394674999999999</v>
      </c>
      <c r="D49" s="2637">
        <v>6.6406140000000002</v>
      </c>
      <c r="E49" s="2637">
        <v>4.220485</v>
      </c>
      <c r="F49" s="2638">
        <v>194.182648</v>
      </c>
    </row>
    <row r="50" spans="1:9" x14ac:dyDescent="0.3">
      <c r="A50" s="2636">
        <v>44136</v>
      </c>
      <c r="B50" s="2637">
        <v>106.734134</v>
      </c>
      <c r="C50" s="2637">
        <v>78.026414000000003</v>
      </c>
      <c r="D50" s="2637">
        <v>7.0158069999999997</v>
      </c>
      <c r="E50" s="2637">
        <v>6.7306410000000003</v>
      </c>
      <c r="F50" s="2638">
        <v>198.50699599999999</v>
      </c>
    </row>
    <row r="51" spans="1:9" ht="18.75" customHeight="1" x14ac:dyDescent="0.3">
      <c r="A51" s="2636">
        <v>44166</v>
      </c>
      <c r="B51" s="2637">
        <v>162.11498599999999</v>
      </c>
      <c r="C51" s="2637">
        <v>93.233040000000003</v>
      </c>
      <c r="D51" s="2637">
        <v>13.513557</v>
      </c>
      <c r="E51" s="2637">
        <v>10.659587</v>
      </c>
      <c r="F51" s="2638">
        <v>279.52116999999998</v>
      </c>
    </row>
    <row r="52" spans="1:9" x14ac:dyDescent="0.3">
      <c r="A52" s="2636">
        <v>44197</v>
      </c>
      <c r="B52" s="2637">
        <v>128.894372</v>
      </c>
      <c r="C52" s="2637">
        <v>57.342188999999998</v>
      </c>
      <c r="D52" s="2637">
        <v>6.0756500000000004</v>
      </c>
      <c r="E52" s="2637">
        <v>4.7268949999999998</v>
      </c>
      <c r="F52" s="2638">
        <v>197.039106</v>
      </c>
      <c r="G52" s="2642"/>
      <c r="H52" s="2642"/>
      <c r="I52" s="2642"/>
    </row>
    <row r="53" spans="1:9" x14ac:dyDescent="0.3">
      <c r="A53" s="2636">
        <v>44228</v>
      </c>
      <c r="B53" s="2637">
        <v>108.091448</v>
      </c>
      <c r="C53" s="2637">
        <v>67.442348999999993</v>
      </c>
      <c r="D53" s="2637">
        <v>6.2298</v>
      </c>
      <c r="E53" s="2637">
        <v>9.1550429999999992</v>
      </c>
      <c r="F53" s="2638">
        <v>190.9</v>
      </c>
      <c r="G53" s="2642"/>
      <c r="H53" s="2642"/>
      <c r="I53" s="2642"/>
    </row>
    <row r="54" spans="1:9" x14ac:dyDescent="0.3">
      <c r="A54" s="2636">
        <v>44256</v>
      </c>
      <c r="B54" s="2637">
        <v>101.13719500000001</v>
      </c>
      <c r="C54" s="2637">
        <v>40.262965999999999</v>
      </c>
      <c r="D54" s="2637">
        <v>9.0323609999999999</v>
      </c>
      <c r="E54" s="2637">
        <v>5.6330330000000002</v>
      </c>
      <c r="F54" s="2638">
        <v>155.96555499999999</v>
      </c>
      <c r="G54" s="2642"/>
      <c r="H54" s="2642"/>
      <c r="I54" s="2642"/>
    </row>
    <row r="55" spans="1:9" x14ac:dyDescent="0.3">
      <c r="A55" s="2636">
        <v>44287</v>
      </c>
      <c r="B55" s="2637">
        <v>87.023555000000002</v>
      </c>
      <c r="C55" s="2637">
        <v>49.665669999999999</v>
      </c>
      <c r="D55" s="2637">
        <v>7.6208609999999997</v>
      </c>
      <c r="E55" s="2637">
        <v>5.8443709999999998</v>
      </c>
      <c r="F55" s="2638">
        <v>150.15445700000001</v>
      </c>
      <c r="G55" s="2642"/>
      <c r="H55" s="2642"/>
      <c r="I55" s="2642"/>
    </row>
    <row r="56" spans="1:9" x14ac:dyDescent="0.3">
      <c r="A56" s="2636">
        <v>44317</v>
      </c>
      <c r="B56" s="2637">
        <v>96.265055000000004</v>
      </c>
      <c r="C56" s="2637">
        <v>52.378472000000002</v>
      </c>
      <c r="D56" s="2637">
        <v>7.1751110000000002</v>
      </c>
      <c r="E56" s="2637">
        <v>6.1139539999999997</v>
      </c>
      <c r="F56" s="2638">
        <v>161.932592</v>
      </c>
      <c r="G56" s="2642"/>
      <c r="H56" s="2642"/>
      <c r="I56" s="2642"/>
    </row>
    <row r="57" spans="1:9" x14ac:dyDescent="0.3">
      <c r="A57" s="2636">
        <v>44348</v>
      </c>
      <c r="B57" s="2637">
        <v>161.94835399999999</v>
      </c>
      <c r="C57" s="2637">
        <v>61.027521999999998</v>
      </c>
      <c r="D57" s="2637">
        <v>11.064107</v>
      </c>
      <c r="E57" s="2637">
        <v>11.513075000000001</v>
      </c>
      <c r="F57" s="2638">
        <v>245.55305799999999</v>
      </c>
      <c r="G57" s="2642"/>
      <c r="H57" s="2642"/>
      <c r="I57" s="2642"/>
    </row>
    <row r="58" spans="1:9" ht="17.25" thickBot="1" x14ac:dyDescent="0.35">
      <c r="A58" s="2643">
        <v>44378</v>
      </c>
      <c r="B58" s="2644">
        <v>103.246818</v>
      </c>
      <c r="C58" s="2644">
        <v>54.836334000000001</v>
      </c>
      <c r="D58" s="2644">
        <v>7.7709989999999998</v>
      </c>
      <c r="E58" s="2644">
        <v>6.3</v>
      </c>
      <c r="F58" s="2645">
        <v>172.24292399999999</v>
      </c>
      <c r="G58" s="2642"/>
      <c r="H58" s="2642"/>
      <c r="I58" s="2642"/>
    </row>
    <row r="59" spans="1:9" ht="19.5" customHeight="1" thickTop="1" x14ac:dyDescent="0.3"/>
    <row r="60" spans="1:9" ht="18.75" x14ac:dyDescent="0.3">
      <c r="A60" s="2633" t="s">
        <v>4849</v>
      </c>
    </row>
    <row r="61" spans="1:9" ht="17.25" thickBot="1" x14ac:dyDescent="0.35">
      <c r="F61" s="1808" t="s">
        <v>3968</v>
      </c>
    </row>
    <row r="62" spans="1:9" ht="18" thickTop="1" thickBot="1" x14ac:dyDescent="0.35">
      <c r="A62" s="2634"/>
      <c r="B62" s="2635" t="s">
        <v>3947</v>
      </c>
      <c r="C62" s="2635" t="s">
        <v>3950</v>
      </c>
      <c r="D62" s="2635" t="s">
        <v>4848</v>
      </c>
      <c r="E62" s="2635" t="s">
        <v>3715</v>
      </c>
      <c r="F62" s="2635" t="s">
        <v>114</v>
      </c>
    </row>
    <row r="63" spans="1:9" hidden="1" x14ac:dyDescent="0.3">
      <c r="A63" s="2636">
        <v>42736</v>
      </c>
      <c r="B63" s="2637">
        <v>232.84009399999999</v>
      </c>
      <c r="C63" s="2637">
        <v>39.449494000000001</v>
      </c>
      <c r="D63" s="2637">
        <v>7.1307369999999999</v>
      </c>
      <c r="E63" s="2637">
        <v>29.880987000000005</v>
      </c>
      <c r="F63" s="2638">
        <v>309.301312</v>
      </c>
    </row>
    <row r="64" spans="1:9" hidden="1" x14ac:dyDescent="0.3">
      <c r="A64" s="2636">
        <v>42767</v>
      </c>
      <c r="B64" s="2637">
        <v>226.67495500000001</v>
      </c>
      <c r="C64" s="2637">
        <v>53.829377999999998</v>
      </c>
      <c r="D64" s="2637">
        <v>5.328449</v>
      </c>
      <c r="E64" s="2637">
        <v>24.177177000000007</v>
      </c>
      <c r="F64" s="2638">
        <v>310.00995900000004</v>
      </c>
    </row>
    <row r="65" spans="1:6" hidden="1" x14ac:dyDescent="0.3">
      <c r="A65" s="2636">
        <v>42795</v>
      </c>
      <c r="B65" s="2637">
        <v>269.84619400000003</v>
      </c>
      <c r="C65" s="2637">
        <v>75.824877000000001</v>
      </c>
      <c r="D65" s="2637">
        <v>15.975016999999999</v>
      </c>
      <c r="E65" s="2637">
        <v>43.790329999999997</v>
      </c>
      <c r="F65" s="2638">
        <v>405.436418</v>
      </c>
    </row>
    <row r="66" spans="1:6" hidden="1" x14ac:dyDescent="0.3">
      <c r="A66" s="2636">
        <v>42826</v>
      </c>
      <c r="B66" s="2637">
        <v>259.88544899999999</v>
      </c>
      <c r="C66" s="2637">
        <v>61.118138999999999</v>
      </c>
      <c r="D66" s="2637">
        <v>7.5908470000000001</v>
      </c>
      <c r="E66" s="2637">
        <v>33.997551000000009</v>
      </c>
      <c r="F66" s="2638">
        <v>362.59198599999996</v>
      </c>
    </row>
    <row r="67" spans="1:6" hidden="1" x14ac:dyDescent="0.3">
      <c r="A67" s="2636">
        <v>42856</v>
      </c>
      <c r="B67" s="2637">
        <v>289.61493899999999</v>
      </c>
      <c r="C67" s="2637">
        <v>51.847866000000003</v>
      </c>
      <c r="D67" s="2637">
        <v>11.355527</v>
      </c>
      <c r="E67" s="2637">
        <v>37.867214999999995</v>
      </c>
      <c r="F67" s="2638">
        <v>390.68554699999999</v>
      </c>
    </row>
    <row r="68" spans="1:6" hidden="1" x14ac:dyDescent="0.3">
      <c r="A68" s="2636">
        <v>42887</v>
      </c>
      <c r="B68" s="2637">
        <v>253.55466699999999</v>
      </c>
      <c r="C68" s="2637">
        <v>59.990659000000001</v>
      </c>
      <c r="D68" s="2637">
        <v>17.969121999999999</v>
      </c>
      <c r="E68" s="2637">
        <v>53.356980999999998</v>
      </c>
      <c r="F68" s="2638">
        <v>384.87142900000003</v>
      </c>
    </row>
    <row r="69" spans="1:6" hidden="1" x14ac:dyDescent="0.3">
      <c r="A69" s="2636">
        <v>42917</v>
      </c>
      <c r="B69" s="2637">
        <v>276.54206199999999</v>
      </c>
      <c r="C69" s="2637">
        <v>62.868993000000003</v>
      </c>
      <c r="D69" s="2637">
        <v>7.8254520000000003</v>
      </c>
      <c r="E69" s="2637">
        <v>43.871718000000001</v>
      </c>
      <c r="F69" s="2638">
        <v>391.10822499999995</v>
      </c>
    </row>
    <row r="70" spans="1:6" hidden="1" x14ac:dyDescent="0.3">
      <c r="A70" s="2636">
        <v>42948</v>
      </c>
      <c r="B70" s="2637">
        <v>304.52462700000001</v>
      </c>
      <c r="C70" s="2637">
        <v>72.811452000000003</v>
      </c>
      <c r="D70" s="2637">
        <v>13.622331000000001</v>
      </c>
      <c r="E70" s="2637">
        <v>39.179689999999994</v>
      </c>
      <c r="F70" s="2638">
        <v>430.13810000000001</v>
      </c>
    </row>
    <row r="71" spans="1:6" hidden="1" x14ac:dyDescent="0.3">
      <c r="A71" s="2636">
        <v>42979</v>
      </c>
      <c r="B71" s="2637">
        <v>223.844401</v>
      </c>
      <c r="C71" s="2637">
        <v>56.833683999999998</v>
      </c>
      <c r="D71" s="2637">
        <v>23.617999999999999</v>
      </c>
      <c r="E71" s="2637">
        <v>38.162030999999999</v>
      </c>
      <c r="F71" s="2638">
        <v>342.45811600000002</v>
      </c>
    </row>
    <row r="72" spans="1:6" hidden="1" x14ac:dyDescent="0.3">
      <c r="A72" s="2636">
        <v>43009</v>
      </c>
      <c r="B72" s="2637">
        <v>229.63985500000001</v>
      </c>
      <c r="C72" s="2637">
        <v>70.042503999999994</v>
      </c>
      <c r="D72" s="2637">
        <v>9.8876899999999992</v>
      </c>
      <c r="E72" s="2637">
        <v>37.228288000000006</v>
      </c>
      <c r="F72" s="2638">
        <v>346.79833700000006</v>
      </c>
    </row>
    <row r="73" spans="1:6" hidden="1" x14ac:dyDescent="0.3">
      <c r="A73" s="2636">
        <v>43040</v>
      </c>
      <c r="B73" s="2637">
        <v>230.37339299999999</v>
      </c>
      <c r="C73" s="2637">
        <v>102.877647</v>
      </c>
      <c r="D73" s="2637">
        <v>8.7727459999999997</v>
      </c>
      <c r="E73" s="2637">
        <v>31.572137999999995</v>
      </c>
      <c r="F73" s="2638">
        <v>373.59592399999997</v>
      </c>
    </row>
    <row r="74" spans="1:6" hidden="1" x14ac:dyDescent="0.3">
      <c r="A74" s="2636">
        <v>43070</v>
      </c>
      <c r="B74" s="2637">
        <v>239.39757299999999</v>
      </c>
      <c r="C74" s="2637">
        <v>97.079510999999997</v>
      </c>
      <c r="D74" s="2637">
        <v>11.683376000000001</v>
      </c>
      <c r="E74" s="2637">
        <v>27.722265000000007</v>
      </c>
      <c r="F74" s="2638">
        <v>375.88272499999999</v>
      </c>
    </row>
    <row r="75" spans="1:6" hidden="1" x14ac:dyDescent="0.3">
      <c r="A75" s="2639">
        <v>43101</v>
      </c>
      <c r="B75" s="2640">
        <v>276.03976999999998</v>
      </c>
      <c r="C75" s="2640">
        <v>53.969467999999999</v>
      </c>
      <c r="D75" s="2640">
        <v>18.685690999999998</v>
      </c>
      <c r="E75" s="2640">
        <v>29.77983900000001</v>
      </c>
      <c r="F75" s="2641">
        <v>378.47476800000004</v>
      </c>
    </row>
    <row r="76" spans="1:6" hidden="1" x14ac:dyDescent="0.3">
      <c r="A76" s="2636">
        <v>43132</v>
      </c>
      <c r="B76" s="2637">
        <v>203.959622</v>
      </c>
      <c r="C76" s="2637">
        <v>67.724095000000005</v>
      </c>
      <c r="D76" s="2637">
        <v>9.9935989999999997</v>
      </c>
      <c r="E76" s="2637">
        <v>30.908878999999999</v>
      </c>
      <c r="F76" s="2638">
        <v>312.58619500000003</v>
      </c>
    </row>
    <row r="77" spans="1:6" hidden="1" x14ac:dyDescent="0.3">
      <c r="A77" s="2636">
        <v>43160</v>
      </c>
      <c r="B77" s="2637">
        <v>202.153876</v>
      </c>
      <c r="C77" s="2637">
        <v>69.712320000000005</v>
      </c>
      <c r="D77" s="2637">
        <v>36.895088999999999</v>
      </c>
      <c r="E77" s="2637">
        <v>37.854708000000002</v>
      </c>
      <c r="F77" s="2638">
        <v>346.615993</v>
      </c>
    </row>
    <row r="78" spans="1:6" hidden="1" x14ac:dyDescent="0.3">
      <c r="A78" s="2636">
        <v>43191</v>
      </c>
      <c r="B78" s="2637">
        <v>175.99469199999999</v>
      </c>
      <c r="C78" s="2637">
        <v>73.353504999999998</v>
      </c>
      <c r="D78" s="2637">
        <v>9.4582719999999991</v>
      </c>
      <c r="E78" s="2637">
        <v>35.273654999999998</v>
      </c>
      <c r="F78" s="2638">
        <v>294.08012400000001</v>
      </c>
    </row>
    <row r="79" spans="1:6" hidden="1" x14ac:dyDescent="0.3">
      <c r="A79" s="2636">
        <v>43221</v>
      </c>
      <c r="B79" s="2637">
        <v>239.26319699999999</v>
      </c>
      <c r="C79" s="2637">
        <v>101.169685</v>
      </c>
      <c r="D79" s="2637">
        <v>9.2102140000000006</v>
      </c>
      <c r="E79" s="2637">
        <v>36.181494999999998</v>
      </c>
      <c r="F79" s="2638">
        <v>385.824591</v>
      </c>
    </row>
    <row r="80" spans="1:6" hidden="1" x14ac:dyDescent="0.3">
      <c r="A80" s="2636">
        <v>43252</v>
      </c>
      <c r="B80" s="2637">
        <v>244.87490099999999</v>
      </c>
      <c r="C80" s="2637">
        <v>66.456429</v>
      </c>
      <c r="D80" s="2637">
        <v>13.102838999999999</v>
      </c>
      <c r="E80" s="2637">
        <v>42.730958999999999</v>
      </c>
      <c r="F80" s="2638">
        <v>367.16512799999998</v>
      </c>
    </row>
    <row r="81" spans="1:6" hidden="1" x14ac:dyDescent="0.3">
      <c r="A81" s="2636">
        <v>43282</v>
      </c>
      <c r="B81" s="2637">
        <v>268.98317500000002</v>
      </c>
      <c r="C81" s="2637">
        <v>70.967664999999997</v>
      </c>
      <c r="D81" s="2637">
        <v>12.001822000000001</v>
      </c>
      <c r="E81" s="2637">
        <v>34.284165000000002</v>
      </c>
      <c r="F81" s="2638">
        <v>386.23682700000006</v>
      </c>
    </row>
    <row r="82" spans="1:6" hidden="1" x14ac:dyDescent="0.3">
      <c r="A82" s="2636">
        <v>43313</v>
      </c>
      <c r="B82" s="2637">
        <v>280.07678399999998</v>
      </c>
      <c r="C82" s="2637">
        <v>69.800085999999993</v>
      </c>
      <c r="D82" s="2637">
        <v>19.413848999999999</v>
      </c>
      <c r="E82" s="2637">
        <v>44.174278000000001</v>
      </c>
      <c r="F82" s="2638">
        <v>413.46499699999998</v>
      </c>
    </row>
    <row r="83" spans="1:6" hidden="1" x14ac:dyDescent="0.3">
      <c r="A83" s="2636">
        <v>43344</v>
      </c>
      <c r="B83" s="2637">
        <v>229.104073</v>
      </c>
      <c r="C83" s="2637">
        <v>75.174757999999997</v>
      </c>
      <c r="D83" s="2637">
        <v>9.319407</v>
      </c>
      <c r="E83" s="2637">
        <v>35.776114</v>
      </c>
      <c r="F83" s="2638">
        <v>349.37435199999999</v>
      </c>
    </row>
    <row r="84" spans="1:6" hidden="1" x14ac:dyDescent="0.3">
      <c r="A84" s="2636">
        <v>43374</v>
      </c>
      <c r="B84" s="2637">
        <v>232.88340199999999</v>
      </c>
      <c r="C84" s="2637">
        <v>99.286843000000005</v>
      </c>
      <c r="D84" s="2637">
        <v>11.396564</v>
      </c>
      <c r="E84" s="2637">
        <v>34.939860000000003</v>
      </c>
      <c r="F84" s="2638">
        <v>378.50666899999999</v>
      </c>
    </row>
    <row r="85" spans="1:6" hidden="1" x14ac:dyDescent="0.3">
      <c r="A85" s="2636">
        <v>43405</v>
      </c>
      <c r="B85" s="2637">
        <v>239.50547900000001</v>
      </c>
      <c r="C85" s="2637">
        <v>91.631730000000005</v>
      </c>
      <c r="D85" s="2637">
        <v>6.9769920000000001</v>
      </c>
      <c r="E85" s="2637">
        <v>33.308155999999997</v>
      </c>
      <c r="F85" s="2638">
        <v>371.42235699999998</v>
      </c>
    </row>
    <row r="86" spans="1:6" hidden="1" x14ac:dyDescent="0.3">
      <c r="A86" s="2636">
        <v>43435</v>
      </c>
      <c r="B86" s="2637">
        <v>272.59127999999998</v>
      </c>
      <c r="C86" s="2637">
        <v>71.706374999999994</v>
      </c>
      <c r="D86" s="2637">
        <v>8.8965169999999993</v>
      </c>
      <c r="E86" s="2637">
        <v>33.803832</v>
      </c>
      <c r="F86" s="2638">
        <v>386.99800399999998</v>
      </c>
    </row>
    <row r="87" spans="1:6" hidden="1" x14ac:dyDescent="0.3">
      <c r="A87" s="2636">
        <v>43466</v>
      </c>
      <c r="B87" s="2637">
        <v>303.532265</v>
      </c>
      <c r="C87" s="2637">
        <v>75.319193999999996</v>
      </c>
      <c r="D87" s="2637">
        <v>10.041487</v>
      </c>
      <c r="E87" s="2637">
        <v>34.925192000000003</v>
      </c>
      <c r="F87" s="2638">
        <v>423.81813799999998</v>
      </c>
    </row>
    <row r="88" spans="1:6" hidden="1" x14ac:dyDescent="0.3">
      <c r="A88" s="2636">
        <v>43497</v>
      </c>
      <c r="B88" s="2637">
        <v>237.718187</v>
      </c>
      <c r="C88" s="2637">
        <v>66.561183</v>
      </c>
      <c r="D88" s="2637">
        <v>9.8629470000000001</v>
      </c>
      <c r="E88" s="2637">
        <v>37.528931</v>
      </c>
      <c r="F88" s="2638">
        <v>351.67124799999999</v>
      </c>
    </row>
    <row r="89" spans="1:6" hidden="1" x14ac:dyDescent="0.3">
      <c r="A89" s="2636">
        <v>43525</v>
      </c>
      <c r="B89" s="2637">
        <v>196.10418000000001</v>
      </c>
      <c r="C89" s="2637">
        <v>77.760188999999997</v>
      </c>
      <c r="D89" s="2637">
        <v>8.2067169999999994</v>
      </c>
      <c r="E89" s="2637">
        <v>35.031973999999998</v>
      </c>
      <c r="F89" s="2638">
        <v>317.10306000000003</v>
      </c>
    </row>
    <row r="90" spans="1:6" hidden="1" x14ac:dyDescent="0.3">
      <c r="A90" s="2636">
        <v>43556</v>
      </c>
      <c r="B90" s="2637">
        <v>230.63819000000001</v>
      </c>
      <c r="C90" s="2637">
        <v>127.887473</v>
      </c>
      <c r="D90" s="2637">
        <v>11.147404</v>
      </c>
      <c r="E90" s="2637">
        <v>36.399636999999998</v>
      </c>
      <c r="F90" s="2638">
        <v>406.07270399999999</v>
      </c>
    </row>
    <row r="91" spans="1:6" hidden="1" x14ac:dyDescent="0.3">
      <c r="A91" s="2636">
        <v>43586</v>
      </c>
      <c r="B91" s="2637">
        <v>277.991603</v>
      </c>
      <c r="C91" s="2637">
        <v>63.813343000000003</v>
      </c>
      <c r="D91" s="2637">
        <v>12.042906</v>
      </c>
      <c r="E91" s="2637">
        <v>35.058844000000001</v>
      </c>
      <c r="F91" s="2638">
        <v>388.90669600000001</v>
      </c>
    </row>
    <row r="92" spans="1:6" hidden="1" x14ac:dyDescent="0.3">
      <c r="A92" s="2636">
        <v>43617</v>
      </c>
      <c r="B92" s="2637">
        <v>248.19874300000001</v>
      </c>
      <c r="C92" s="2637">
        <v>68.735696000000004</v>
      </c>
      <c r="D92" s="2637">
        <v>12.627808999999999</v>
      </c>
      <c r="E92" s="2637">
        <v>40.272264</v>
      </c>
      <c r="F92" s="2638">
        <v>369.83451200000002</v>
      </c>
    </row>
    <row r="93" spans="1:6" hidden="1" x14ac:dyDescent="0.3">
      <c r="A93" s="2636">
        <v>43647</v>
      </c>
      <c r="B93" s="2637">
        <v>225.71867800000001</v>
      </c>
      <c r="C93" s="2637">
        <v>90.078790999999995</v>
      </c>
      <c r="D93" s="2637">
        <v>21.497747</v>
      </c>
      <c r="E93" s="2637">
        <v>38.332016000000003</v>
      </c>
      <c r="F93" s="2638">
        <v>375.62723199999999</v>
      </c>
    </row>
    <row r="94" spans="1:6" hidden="1" x14ac:dyDescent="0.3">
      <c r="A94" s="2636">
        <v>43678</v>
      </c>
      <c r="B94" s="2637">
        <v>313.26755000000003</v>
      </c>
      <c r="C94" s="2637">
        <v>76.748981999999998</v>
      </c>
      <c r="D94" s="2637">
        <v>18.314587</v>
      </c>
      <c r="E94" s="2637">
        <v>45.239902999999998</v>
      </c>
      <c r="F94" s="2638">
        <v>453.57102200000008</v>
      </c>
    </row>
    <row r="95" spans="1:6" hidden="1" x14ac:dyDescent="0.3">
      <c r="A95" s="2636">
        <v>43709</v>
      </c>
      <c r="B95" s="2637">
        <v>237.57028700000001</v>
      </c>
      <c r="C95" s="2637">
        <v>73.094210000000004</v>
      </c>
      <c r="D95" s="2637">
        <v>11.037868</v>
      </c>
      <c r="E95" s="2637">
        <v>36.332877000000003</v>
      </c>
      <c r="F95" s="2638">
        <v>358.03524199999998</v>
      </c>
    </row>
    <row r="96" spans="1:6" hidden="1" x14ac:dyDescent="0.3">
      <c r="A96" s="2636">
        <v>43739</v>
      </c>
      <c r="B96" s="2637">
        <v>284.247885</v>
      </c>
      <c r="C96" s="2637">
        <v>63.423949</v>
      </c>
      <c r="D96" s="2637">
        <v>12.434461000000001</v>
      </c>
      <c r="E96" s="2637">
        <v>40.887667999999998</v>
      </c>
      <c r="F96" s="2638">
        <v>400.99396300000001</v>
      </c>
    </row>
    <row r="97" spans="1:11" hidden="1" x14ac:dyDescent="0.3">
      <c r="A97" s="2636">
        <v>43770</v>
      </c>
      <c r="B97" s="2637">
        <v>221.55847199999999</v>
      </c>
      <c r="C97" s="2637">
        <v>79.661023</v>
      </c>
      <c r="D97" s="2637">
        <v>8.4149840000000005</v>
      </c>
      <c r="E97" s="2637">
        <v>27.278126</v>
      </c>
      <c r="F97" s="2638">
        <v>336.91260499999999</v>
      </c>
    </row>
    <row r="98" spans="1:11" hidden="1" x14ac:dyDescent="0.3">
      <c r="A98" s="2636">
        <v>43800</v>
      </c>
      <c r="B98" s="2637">
        <v>270.23328500000002</v>
      </c>
      <c r="C98" s="2637">
        <v>83.147076999999996</v>
      </c>
      <c r="D98" s="2637">
        <v>10.63932</v>
      </c>
      <c r="E98" s="2637">
        <v>33.302286000000002</v>
      </c>
      <c r="F98" s="2638">
        <v>397.32196799999997</v>
      </c>
    </row>
    <row r="99" spans="1:11" hidden="1" x14ac:dyDescent="0.3">
      <c r="A99" s="2636">
        <v>43831</v>
      </c>
      <c r="B99" s="2637">
        <v>239.48152899999999</v>
      </c>
      <c r="C99" s="2637">
        <v>102.12904</v>
      </c>
      <c r="D99" s="2637">
        <v>8.1191790000000008</v>
      </c>
      <c r="E99" s="2637">
        <v>38.744025000000001</v>
      </c>
      <c r="F99" s="2638">
        <v>388.47377299999999</v>
      </c>
    </row>
    <row r="100" spans="1:11" hidden="1" x14ac:dyDescent="0.3">
      <c r="A100" s="2636">
        <v>43862</v>
      </c>
      <c r="B100" s="2637">
        <v>235.48427000000001</v>
      </c>
      <c r="C100" s="2637">
        <v>71.485218000000003</v>
      </c>
      <c r="D100" s="2637">
        <v>54.754061</v>
      </c>
      <c r="E100" s="2637">
        <v>37.038384000000001</v>
      </c>
      <c r="F100" s="2638">
        <v>398.761933</v>
      </c>
    </row>
    <row r="101" spans="1:11" hidden="1" x14ac:dyDescent="0.3">
      <c r="A101" s="2636">
        <v>43891</v>
      </c>
      <c r="B101" s="2637">
        <v>216.58340799999999</v>
      </c>
      <c r="C101" s="2637">
        <v>55.798383000000001</v>
      </c>
      <c r="D101" s="2637">
        <v>6.4700319999999998</v>
      </c>
      <c r="E101" s="2637">
        <v>36.351478999999998</v>
      </c>
      <c r="F101" s="2638">
        <v>315.20330200000001</v>
      </c>
    </row>
    <row r="102" spans="1:11" hidden="1" x14ac:dyDescent="0.3">
      <c r="A102" s="2636">
        <v>43922</v>
      </c>
      <c r="B102" s="2637">
        <v>130.00830400000001</v>
      </c>
      <c r="C102" s="2637">
        <v>44.040267999999998</v>
      </c>
      <c r="D102" s="2637">
        <v>4.6301420000000002</v>
      </c>
      <c r="E102" s="2637">
        <v>20.35764</v>
      </c>
      <c r="F102" s="2638">
        <v>199.03635400000002</v>
      </c>
    </row>
    <row r="103" spans="1:11" hidden="1" x14ac:dyDescent="0.3">
      <c r="A103" s="2636">
        <v>43952</v>
      </c>
      <c r="B103" s="2637">
        <v>122.826075</v>
      </c>
      <c r="C103" s="2637">
        <v>42.192487999999997</v>
      </c>
      <c r="D103" s="2637">
        <v>6.7991999999999999</v>
      </c>
      <c r="E103" s="2637">
        <v>19.624096999999999</v>
      </c>
      <c r="F103" s="2638">
        <v>191.44186000000002</v>
      </c>
    </row>
    <row r="104" spans="1:11" hidden="1" x14ac:dyDescent="0.3">
      <c r="A104" s="2636">
        <v>43983</v>
      </c>
      <c r="B104" s="2637">
        <v>150.280609</v>
      </c>
      <c r="C104" s="2637">
        <v>57.934928999999997</v>
      </c>
      <c r="D104" s="2637">
        <v>9.8985430000000001</v>
      </c>
      <c r="E104" s="2637">
        <v>25.468888</v>
      </c>
      <c r="F104" s="2638">
        <v>243.58296899999996</v>
      </c>
    </row>
    <row r="105" spans="1:11" x14ac:dyDescent="0.3">
      <c r="A105" s="2636">
        <v>44013</v>
      </c>
      <c r="B105" s="2637">
        <v>171.10065900000001</v>
      </c>
      <c r="C105" s="2637">
        <v>62.231839000000001</v>
      </c>
      <c r="D105" s="2637">
        <v>8.0274099999999997</v>
      </c>
      <c r="E105" s="2637">
        <v>26.65371</v>
      </c>
      <c r="F105" s="2638">
        <v>268.01361800000001</v>
      </c>
    </row>
    <row r="106" spans="1:11" x14ac:dyDescent="0.3">
      <c r="A106" s="2636">
        <v>44044</v>
      </c>
      <c r="B106" s="2637">
        <v>319.52940100000001</v>
      </c>
      <c r="C106" s="2637">
        <v>73.433158000000006</v>
      </c>
      <c r="D106" s="2637">
        <v>9.1668950000000002</v>
      </c>
      <c r="E106" s="2637">
        <v>33.323593000000002</v>
      </c>
      <c r="F106" s="2638">
        <v>435.45304700000003</v>
      </c>
    </row>
    <row r="107" spans="1:11" x14ac:dyDescent="0.3">
      <c r="A107" s="2636">
        <v>44075</v>
      </c>
      <c r="B107" s="2637">
        <v>178.95326600000001</v>
      </c>
      <c r="C107" s="2637">
        <v>100.257238</v>
      </c>
      <c r="D107" s="2637">
        <v>11.829174999999999</v>
      </c>
      <c r="E107" s="2637">
        <v>24.255016000000001</v>
      </c>
      <c r="F107" s="2638">
        <v>315.29469500000005</v>
      </c>
    </row>
    <row r="108" spans="1:11" x14ac:dyDescent="0.3">
      <c r="A108" s="2636">
        <v>44105</v>
      </c>
      <c r="B108" s="2637">
        <v>183.60753700000001</v>
      </c>
      <c r="C108" s="2637">
        <v>55.285085000000002</v>
      </c>
      <c r="D108" s="2637">
        <v>5.6543729999999996</v>
      </c>
      <c r="E108" s="2637">
        <v>23.116522</v>
      </c>
      <c r="F108" s="2638">
        <v>267.73050699999999</v>
      </c>
    </row>
    <row r="109" spans="1:11" x14ac:dyDescent="0.3">
      <c r="A109" s="2636">
        <v>44136</v>
      </c>
      <c r="B109" s="2637">
        <v>191.086972</v>
      </c>
      <c r="C109" s="2637">
        <v>59.222841000000003</v>
      </c>
      <c r="D109" s="2637">
        <v>8.4513060000000007</v>
      </c>
      <c r="E109" s="2637">
        <v>32.276119000000001</v>
      </c>
      <c r="F109" s="2638">
        <v>291.037238</v>
      </c>
    </row>
    <row r="110" spans="1:11" x14ac:dyDescent="0.3">
      <c r="A110" s="2636">
        <v>44166</v>
      </c>
      <c r="B110" s="2637">
        <v>224.268126</v>
      </c>
      <c r="C110" s="2637">
        <v>67.174497000000002</v>
      </c>
      <c r="D110" s="2637">
        <v>8.6459930000000007</v>
      </c>
      <c r="E110" s="2637">
        <v>28.745550000000001</v>
      </c>
      <c r="F110" s="2638">
        <v>328.83416599999998</v>
      </c>
    </row>
    <row r="111" spans="1:11" x14ac:dyDescent="0.3">
      <c r="A111" s="2636">
        <v>44197</v>
      </c>
      <c r="B111" s="2637">
        <v>168.632274</v>
      </c>
      <c r="C111" s="2637">
        <v>79.961414000000005</v>
      </c>
      <c r="D111" s="2637">
        <v>5.4970939999999997</v>
      </c>
      <c r="E111" s="2637">
        <v>26.825990999999998</v>
      </c>
      <c r="F111" s="2638">
        <v>280.91677299999998</v>
      </c>
      <c r="G111" s="2642"/>
      <c r="H111" s="2642"/>
      <c r="I111" s="2642"/>
      <c r="J111" s="2642"/>
      <c r="K111" s="2642"/>
    </row>
    <row r="112" spans="1:11" x14ac:dyDescent="0.3">
      <c r="A112" s="2636">
        <v>44228</v>
      </c>
      <c r="B112" s="2637">
        <v>169.48578599999999</v>
      </c>
      <c r="C112" s="2637">
        <v>71.126624000000007</v>
      </c>
      <c r="D112" s="2637">
        <v>7.9932439999999998</v>
      </c>
      <c r="E112" s="2637">
        <v>33.064444999999999</v>
      </c>
      <c r="F112" s="2638">
        <v>281.7</v>
      </c>
      <c r="G112" s="2642"/>
      <c r="H112" s="2642"/>
      <c r="I112" s="2642"/>
      <c r="J112" s="2642"/>
      <c r="K112" s="2642"/>
    </row>
    <row r="113" spans="1:37" x14ac:dyDescent="0.3">
      <c r="A113" s="2636">
        <v>44256</v>
      </c>
      <c r="B113" s="2637">
        <v>142.00661700000001</v>
      </c>
      <c r="C113" s="2637">
        <v>74.491876000000005</v>
      </c>
      <c r="D113" s="2637">
        <v>6.829682</v>
      </c>
      <c r="E113" s="2637">
        <v>25.001207000000001</v>
      </c>
      <c r="F113" s="2638">
        <v>248.32938200000001</v>
      </c>
      <c r="G113" s="2642"/>
      <c r="H113" s="2642"/>
      <c r="I113" s="2642"/>
      <c r="J113" s="2642"/>
      <c r="K113" s="2642"/>
    </row>
    <row r="114" spans="1:37" x14ac:dyDescent="0.3">
      <c r="A114" s="2636">
        <v>44287</v>
      </c>
      <c r="B114" s="2637">
        <v>161.01977099999999</v>
      </c>
      <c r="C114" s="2637">
        <v>42.693876000000003</v>
      </c>
      <c r="D114" s="2637">
        <v>6.0050610000000004</v>
      </c>
      <c r="E114" s="2637">
        <v>22.196490000000001</v>
      </c>
      <c r="F114" s="2638">
        <v>231.915198</v>
      </c>
      <c r="G114" s="2642"/>
      <c r="H114" s="2642"/>
      <c r="I114" s="2642"/>
      <c r="J114" s="2642"/>
      <c r="K114" s="2642"/>
    </row>
    <row r="115" spans="1:37" x14ac:dyDescent="0.3">
      <c r="A115" s="2636">
        <v>44317</v>
      </c>
      <c r="B115" s="2637">
        <v>150.78252699999999</v>
      </c>
      <c r="C115" s="2637">
        <v>42.213121999999998</v>
      </c>
      <c r="D115" s="2637">
        <v>21.789214999999999</v>
      </c>
      <c r="E115" s="2637">
        <v>26.949366000000001</v>
      </c>
      <c r="F115" s="2638">
        <v>241.73422999999997</v>
      </c>
      <c r="G115" s="2642"/>
      <c r="H115" s="2642"/>
      <c r="I115" s="2642"/>
      <c r="J115" s="2642"/>
      <c r="K115" s="2642"/>
    </row>
    <row r="116" spans="1:37" x14ac:dyDescent="0.3">
      <c r="A116" s="2636">
        <v>44348</v>
      </c>
      <c r="B116" s="2637">
        <v>162.27600000000001</v>
      </c>
      <c r="C116" s="2637">
        <v>63.416823000000001</v>
      </c>
      <c r="D116" s="2637">
        <v>16.990724</v>
      </c>
      <c r="E116" s="2637">
        <v>25.195048</v>
      </c>
      <c r="F116" s="2638">
        <v>267.87859500000002</v>
      </c>
      <c r="G116" s="2642"/>
      <c r="H116" s="2642"/>
      <c r="I116" s="2642"/>
      <c r="J116" s="2642"/>
      <c r="K116" s="2642"/>
    </row>
    <row r="117" spans="1:37" ht="17.25" thickBot="1" x14ac:dyDescent="0.35">
      <c r="A117" s="2643">
        <v>44378</v>
      </c>
      <c r="B117" s="2644">
        <v>169.630866</v>
      </c>
      <c r="C117" s="2644">
        <v>54.187372000000003</v>
      </c>
      <c r="D117" s="2644">
        <v>9.1654450000000001</v>
      </c>
      <c r="E117" s="2644">
        <v>25.237717</v>
      </c>
      <c r="F117" s="2645">
        <v>258.22140000000002</v>
      </c>
      <c r="G117" s="2642"/>
      <c r="H117" s="2642"/>
      <c r="I117" s="2642"/>
      <c r="J117" s="2642"/>
      <c r="K117" s="2642"/>
    </row>
    <row r="118" spans="1:37" s="2625" customFormat="1" ht="16.5" customHeight="1" thickTop="1" x14ac:dyDescent="0.25">
      <c r="A118" s="2646" t="s">
        <v>4850</v>
      </c>
      <c r="B118" s="2646"/>
      <c r="C118" s="2646"/>
      <c r="D118" s="2646"/>
      <c r="E118" s="2646"/>
      <c r="F118" s="2646"/>
      <c r="U118" s="2623"/>
      <c r="V118" s="2623"/>
      <c r="W118" s="2623"/>
      <c r="X118" s="2623"/>
      <c r="Y118" s="2623"/>
      <c r="Z118" s="2623"/>
      <c r="AA118" s="2623"/>
      <c r="AB118" s="2623"/>
      <c r="AC118" s="2623"/>
      <c r="AD118" s="2623"/>
      <c r="AE118" s="2623"/>
      <c r="AF118" s="2623"/>
      <c r="AG118" s="2623"/>
      <c r="AH118" s="2623"/>
      <c r="AI118" s="2623"/>
      <c r="AJ118" s="2627"/>
      <c r="AK118" s="2647"/>
    </row>
    <row r="119" spans="1:37" s="2625" customFormat="1" ht="14.25" x14ac:dyDescent="0.25">
      <c r="A119" s="2646" t="s">
        <v>4851</v>
      </c>
      <c r="B119" s="2646"/>
      <c r="C119" s="2646"/>
      <c r="D119" s="2646"/>
      <c r="E119" s="2646"/>
      <c r="F119" s="2646"/>
      <c r="U119" s="2623"/>
      <c r="V119" s="2623"/>
      <c r="W119" s="2623"/>
      <c r="X119" s="2623"/>
      <c r="Y119" s="2623"/>
      <c r="Z119" s="2623"/>
      <c r="AA119" s="2623"/>
      <c r="AB119" s="2623"/>
      <c r="AC119" s="2623"/>
      <c r="AD119" s="2623"/>
      <c r="AE119" s="2623"/>
      <c r="AF119" s="2623"/>
      <c r="AG119" s="2623"/>
      <c r="AH119" s="2623"/>
      <c r="AI119" s="2623"/>
      <c r="AJ119" s="2627"/>
      <c r="AK119" s="2647"/>
    </row>
    <row r="120" spans="1:37" s="2648" customFormat="1" ht="18" customHeight="1" x14ac:dyDescent="0.25">
      <c r="A120" s="324" t="s">
        <v>172</v>
      </c>
    </row>
    <row r="121" spans="1:37" s="2648" customFormat="1" ht="18" customHeight="1" x14ac:dyDescent="0.25">
      <c r="A121" s="2649" t="s">
        <v>3553</v>
      </c>
      <c r="B121" s="2650"/>
      <c r="C121" s="2650"/>
      <c r="D121" s="2650"/>
    </row>
  </sheetData>
  <printOptions horizontalCentered="1"/>
  <pageMargins left="0.7" right="0.7" top="0.75" bottom="0.75" header="0.3" footer="0.3"/>
  <pageSetup paperSize="9" scale="88"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CL99"/>
  <sheetViews>
    <sheetView zoomScale="85" zoomScaleNormal="85" workbookViewId="0"/>
  </sheetViews>
  <sheetFormatPr defaultColWidth="11.140625" defaultRowHeight="15" x14ac:dyDescent="0.25"/>
  <cols>
    <col min="1" max="1" width="10.85546875" style="2654" customWidth="1"/>
    <col min="2" max="2" width="68.42578125" style="1806" customWidth="1"/>
    <col min="3" max="3" width="11.28515625" style="2655" hidden="1" customWidth="1"/>
    <col min="4" max="4" width="6.28515625" style="2655" hidden="1" customWidth="1"/>
    <col min="5" max="5" width="11.28515625" style="2655" hidden="1" customWidth="1"/>
    <col min="6" max="6" width="7" style="2655" hidden="1" customWidth="1"/>
    <col min="7" max="7" width="11.28515625" style="2655" hidden="1" customWidth="1"/>
    <col min="8" max="8" width="7" style="2655" hidden="1" customWidth="1"/>
    <col min="9" max="9" width="11.28515625" style="2655" hidden="1" customWidth="1"/>
    <col min="10" max="10" width="7" style="2655" hidden="1" customWidth="1"/>
    <col min="11" max="11" width="11.28515625" style="2655" hidden="1" customWidth="1"/>
    <col min="12" max="12" width="7" style="2655" hidden="1" customWidth="1"/>
    <col min="13" max="13" width="11.28515625" style="2655" hidden="1" customWidth="1"/>
    <col min="14" max="14" width="6.28515625" style="2655" hidden="1" customWidth="1"/>
    <col min="15" max="15" width="11.28515625" style="2655" hidden="1" customWidth="1"/>
    <col min="16" max="16" width="7" style="2655" hidden="1" customWidth="1"/>
    <col min="17" max="17" width="11.28515625" style="2655" hidden="1" customWidth="1"/>
    <col min="18" max="18" width="6.28515625" style="2655" hidden="1" customWidth="1"/>
    <col min="19" max="19" width="11.28515625" style="2655" hidden="1" customWidth="1"/>
    <col min="20" max="20" width="6.28515625" style="2655" hidden="1" customWidth="1"/>
    <col min="21" max="21" width="11.28515625" style="2655" hidden="1" customWidth="1"/>
    <col min="22" max="22" width="6.28515625" style="2655" hidden="1" customWidth="1"/>
    <col min="23" max="23" width="11.28515625" style="2655" hidden="1" customWidth="1"/>
    <col min="24" max="24" width="6.28515625" style="2655" hidden="1" customWidth="1"/>
    <col min="25" max="25" width="11.28515625" style="2655" hidden="1" customWidth="1"/>
    <col min="26" max="26" width="6.28515625" style="2655" hidden="1" customWidth="1"/>
    <col min="27" max="27" width="11.28515625" style="2655" hidden="1" customWidth="1"/>
    <col min="28" max="28" width="6.28515625" style="2655" hidden="1" customWidth="1"/>
    <col min="29" max="29" width="11.28515625" style="2655" hidden="1" customWidth="1"/>
    <col min="30" max="30" width="6.28515625" style="2655" hidden="1" customWidth="1"/>
    <col min="31" max="31" width="11.28515625" style="2655" hidden="1" customWidth="1"/>
    <col min="32" max="32" width="6.28515625" style="2655" hidden="1" customWidth="1"/>
    <col min="33" max="33" width="11.28515625" style="2655" hidden="1" customWidth="1"/>
    <col min="34" max="34" width="6.28515625" style="2655" hidden="1" customWidth="1"/>
    <col min="35" max="35" width="11.28515625" style="2655" hidden="1" customWidth="1"/>
    <col min="36" max="36" width="6.28515625" style="2655" hidden="1" customWidth="1"/>
    <col min="37" max="37" width="11.28515625" style="2655" hidden="1" customWidth="1"/>
    <col min="38" max="38" width="7" style="2655" hidden="1" customWidth="1"/>
    <col min="39" max="39" width="11.28515625" style="2655" hidden="1" customWidth="1"/>
    <col min="40" max="40" width="6.28515625" style="2655" hidden="1" customWidth="1"/>
    <col min="41" max="41" width="11.28515625" style="2655" hidden="1" customWidth="1"/>
    <col min="42" max="42" width="6.28515625" style="2655" hidden="1" customWidth="1"/>
    <col min="43" max="43" width="11.28515625" style="2655" hidden="1" customWidth="1"/>
    <col min="44" max="44" width="7" style="2655" hidden="1" customWidth="1"/>
    <col min="45" max="45" width="11.28515625" style="2655" hidden="1" customWidth="1"/>
    <col min="46" max="46" width="7" style="2655" hidden="1" customWidth="1"/>
    <col min="47" max="47" width="11.28515625" style="2655" hidden="1" customWidth="1"/>
    <col min="48" max="48" width="6.28515625" style="2655" hidden="1" customWidth="1"/>
    <col min="49" max="49" width="11.28515625" style="2655" hidden="1" customWidth="1"/>
    <col min="50" max="50" width="6.28515625" style="2655" hidden="1" customWidth="1"/>
    <col min="51" max="51" width="11.28515625" style="2655" hidden="1" customWidth="1"/>
    <col min="52" max="52" width="6.28515625" style="2655" hidden="1" customWidth="1"/>
    <col min="53" max="53" width="11.28515625" style="2655" hidden="1" customWidth="1"/>
    <col min="54" max="54" width="6.28515625" style="2655" hidden="1" customWidth="1"/>
    <col min="55" max="55" width="11.28515625" style="2655" hidden="1" customWidth="1"/>
    <col min="56" max="56" width="6.28515625" style="2655" hidden="1" customWidth="1"/>
    <col min="57" max="57" width="11.28515625" style="2655" hidden="1" customWidth="1"/>
    <col min="58" max="58" width="6.28515625" style="2655" hidden="1" customWidth="1"/>
    <col min="59" max="59" width="11.28515625" style="2655" hidden="1" customWidth="1"/>
    <col min="60" max="60" width="6.28515625" style="2655" hidden="1" customWidth="1"/>
    <col min="61" max="61" width="11.28515625" style="2655" hidden="1" customWidth="1"/>
    <col min="62" max="62" width="6.28515625" style="2655" hidden="1" customWidth="1"/>
    <col min="63" max="63" width="11.28515625" style="2655" hidden="1" customWidth="1"/>
    <col min="64" max="64" width="6.28515625" style="2655" hidden="1" customWidth="1"/>
    <col min="65" max="65" width="11.28515625" style="2655" hidden="1" customWidth="1"/>
    <col min="66" max="66" width="6.28515625" style="2655" hidden="1" customWidth="1"/>
    <col min="67" max="82" width="13.85546875" style="2655" hidden="1" customWidth="1"/>
    <col min="83" max="88" width="13.85546875" style="2655" customWidth="1"/>
    <col min="89" max="89" width="11.42578125" style="2362" customWidth="1"/>
    <col min="90" max="16384" width="11.140625" style="1806"/>
  </cols>
  <sheetData>
    <row r="1" spans="1:89" s="841" customFormat="1" ht="18.75" x14ac:dyDescent="0.3">
      <c r="A1" s="2651" t="s">
        <v>4852</v>
      </c>
      <c r="B1" s="838"/>
      <c r="C1" s="2652"/>
      <c r="D1" s="2652"/>
      <c r="E1" s="2652"/>
      <c r="F1" s="2652"/>
      <c r="G1" s="2652"/>
      <c r="H1" s="2652"/>
      <c r="I1" s="2652"/>
      <c r="J1" s="2652"/>
      <c r="K1" s="2652"/>
      <c r="L1" s="2652"/>
      <c r="M1" s="2652"/>
      <c r="N1" s="2652"/>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c r="AR1" s="2653"/>
      <c r="AS1" s="2653"/>
      <c r="AT1" s="2653"/>
      <c r="AU1" s="2653"/>
      <c r="AV1" s="2653"/>
      <c r="AW1" s="2653"/>
      <c r="AX1" s="2653"/>
      <c r="AY1" s="2653"/>
      <c r="AZ1" s="2653"/>
      <c r="BA1" s="2653"/>
      <c r="BB1" s="2653"/>
      <c r="BC1" s="2653"/>
      <c r="BD1" s="2653"/>
      <c r="BE1" s="2653"/>
      <c r="BF1" s="2653"/>
      <c r="BG1" s="2653"/>
      <c r="BH1" s="2653"/>
      <c r="BI1" s="2653"/>
      <c r="BJ1" s="2653"/>
      <c r="BK1" s="2653"/>
      <c r="BL1" s="2653"/>
      <c r="BM1" s="2653"/>
      <c r="BN1" s="2653"/>
      <c r="BO1" s="2653"/>
      <c r="BP1" s="2653"/>
      <c r="BQ1" s="2653"/>
      <c r="BR1" s="2653"/>
      <c r="BS1" s="2653"/>
      <c r="BT1" s="2653"/>
      <c r="BU1" s="2653"/>
      <c r="BV1" s="2653"/>
      <c r="BW1" s="2653"/>
      <c r="BX1" s="2653"/>
      <c r="BY1" s="2653"/>
      <c r="BZ1" s="2653"/>
      <c r="CA1" s="2653"/>
      <c r="CB1" s="2653"/>
      <c r="CC1" s="2653"/>
      <c r="CD1" s="2653"/>
      <c r="CE1" s="2653"/>
      <c r="CF1" s="2653"/>
      <c r="CG1" s="2653"/>
      <c r="CH1" s="2653"/>
      <c r="CI1" s="2653"/>
      <c r="CJ1" s="2653"/>
      <c r="CK1" s="2362"/>
    </row>
    <row r="2" spans="1:89" ht="15.75" thickBot="1" x14ac:dyDescent="0.3">
      <c r="O2" s="3910"/>
      <c r="P2" s="3910"/>
      <c r="Q2" s="2656"/>
      <c r="R2" s="2656"/>
      <c r="S2" s="2656"/>
      <c r="T2" s="2656"/>
      <c r="U2" s="3910"/>
      <c r="V2" s="3910"/>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7"/>
      <c r="CF2" s="2657"/>
      <c r="CG2" s="3911"/>
      <c r="CH2" s="3911"/>
      <c r="CI2" s="3911" t="s">
        <v>3968</v>
      </c>
      <c r="CJ2" s="3911"/>
    </row>
    <row r="3" spans="1:89" s="847" customFormat="1" ht="21.75" customHeight="1" thickTop="1" thickBot="1" x14ac:dyDescent="0.35">
      <c r="A3" s="3906" t="s">
        <v>4853</v>
      </c>
      <c r="B3" s="3896" t="s">
        <v>4854</v>
      </c>
      <c r="C3" s="3908">
        <v>43101</v>
      </c>
      <c r="D3" s="3905"/>
      <c r="E3" s="3904">
        <v>43132</v>
      </c>
      <c r="F3" s="3905"/>
      <c r="G3" s="3904">
        <v>43160</v>
      </c>
      <c r="H3" s="3905"/>
      <c r="I3" s="3904">
        <v>43191</v>
      </c>
      <c r="J3" s="3905"/>
      <c r="K3" s="3904">
        <v>43221</v>
      </c>
      <c r="L3" s="3905"/>
      <c r="M3" s="3904">
        <v>43252</v>
      </c>
      <c r="N3" s="3905"/>
      <c r="O3" s="3904">
        <v>43282</v>
      </c>
      <c r="P3" s="3905"/>
      <c r="Q3" s="3904">
        <v>43313</v>
      </c>
      <c r="R3" s="3908"/>
      <c r="S3" s="3909">
        <v>43344</v>
      </c>
      <c r="T3" s="3909"/>
      <c r="U3" s="3909">
        <v>43374</v>
      </c>
      <c r="V3" s="3909"/>
      <c r="W3" s="3909">
        <v>43405</v>
      </c>
      <c r="X3" s="3909"/>
      <c r="Y3" s="3909">
        <v>43435</v>
      </c>
      <c r="Z3" s="3913"/>
      <c r="AA3" s="3909">
        <v>43466</v>
      </c>
      <c r="AB3" s="3913"/>
      <c r="AC3" s="3909">
        <v>43497</v>
      </c>
      <c r="AD3" s="3913"/>
      <c r="AE3" s="3909">
        <v>43525</v>
      </c>
      <c r="AF3" s="3913"/>
      <c r="AG3" s="3912">
        <v>43556</v>
      </c>
      <c r="AH3" s="3912"/>
      <c r="AI3" s="3912">
        <v>43586</v>
      </c>
      <c r="AJ3" s="3912"/>
      <c r="AK3" s="3912">
        <v>43617</v>
      </c>
      <c r="AL3" s="3912"/>
      <c r="AM3" s="3912">
        <v>43647</v>
      </c>
      <c r="AN3" s="3912"/>
      <c r="AO3" s="3914">
        <v>43678</v>
      </c>
      <c r="AP3" s="3915"/>
      <c r="AQ3" s="3912">
        <v>43709</v>
      </c>
      <c r="AR3" s="3912"/>
      <c r="AS3" s="3912">
        <v>43739</v>
      </c>
      <c r="AT3" s="3912"/>
      <c r="AU3" s="3914">
        <v>43770</v>
      </c>
      <c r="AV3" s="3915"/>
      <c r="AW3" s="3914">
        <v>43800</v>
      </c>
      <c r="AX3" s="3915"/>
      <c r="AY3" s="3916">
        <v>43831</v>
      </c>
      <c r="AZ3" s="3917"/>
      <c r="BA3" s="3916">
        <v>43862</v>
      </c>
      <c r="BB3" s="3917"/>
      <c r="BC3" s="3916">
        <v>43891</v>
      </c>
      <c r="BD3" s="3917"/>
      <c r="BE3" s="3916">
        <v>43922</v>
      </c>
      <c r="BF3" s="3917"/>
      <c r="BG3" s="3916">
        <v>43952</v>
      </c>
      <c r="BH3" s="3917"/>
      <c r="BI3" s="3916">
        <v>43983</v>
      </c>
      <c r="BJ3" s="3917"/>
      <c r="BK3" s="3916">
        <v>44013</v>
      </c>
      <c r="BL3" s="3917"/>
      <c r="BM3" s="3916">
        <v>44044</v>
      </c>
      <c r="BN3" s="3917"/>
      <c r="BO3" s="3916">
        <v>44075</v>
      </c>
      <c r="BP3" s="3917"/>
      <c r="BQ3" s="3916">
        <v>44105</v>
      </c>
      <c r="BR3" s="3917"/>
      <c r="BS3" s="3916">
        <v>44136</v>
      </c>
      <c r="BT3" s="3917"/>
      <c r="BU3" s="3916">
        <v>44166</v>
      </c>
      <c r="BV3" s="3917"/>
      <c r="BW3" s="3916">
        <v>44197</v>
      </c>
      <c r="BX3" s="3917"/>
      <c r="BY3" s="3916">
        <v>44228</v>
      </c>
      <c r="BZ3" s="3917"/>
      <c r="CA3" s="3916">
        <v>44256</v>
      </c>
      <c r="CB3" s="3917"/>
      <c r="CC3" s="3916">
        <v>44287</v>
      </c>
      <c r="CD3" s="3917"/>
      <c r="CE3" s="3916">
        <v>44317</v>
      </c>
      <c r="CF3" s="3917"/>
      <c r="CG3" s="3916">
        <v>44348</v>
      </c>
      <c r="CH3" s="3917"/>
      <c r="CI3" s="3916">
        <v>44378</v>
      </c>
      <c r="CJ3" s="3917"/>
      <c r="CK3" s="2362"/>
    </row>
    <row r="4" spans="1:89" s="847" customFormat="1" ht="17.25" thickBot="1" x14ac:dyDescent="0.35">
      <c r="A4" s="3907"/>
      <c r="B4" s="3759"/>
      <c r="C4" s="2658" t="s">
        <v>4301</v>
      </c>
      <c r="D4" s="2659" t="s">
        <v>4302</v>
      </c>
      <c r="E4" s="2660" t="s">
        <v>4301</v>
      </c>
      <c r="F4" s="2659" t="s">
        <v>4302</v>
      </c>
      <c r="G4" s="2660" t="s">
        <v>4301</v>
      </c>
      <c r="H4" s="2659" t="s">
        <v>4302</v>
      </c>
      <c r="I4" s="2660" t="s">
        <v>4301</v>
      </c>
      <c r="J4" s="2659" t="s">
        <v>4302</v>
      </c>
      <c r="K4" s="2660" t="s">
        <v>4301</v>
      </c>
      <c r="L4" s="2659" t="s">
        <v>4302</v>
      </c>
      <c r="M4" s="2660" t="s">
        <v>4301</v>
      </c>
      <c r="N4" s="2659" t="s">
        <v>4302</v>
      </c>
      <c r="O4" s="2660" t="s">
        <v>4301</v>
      </c>
      <c r="P4" s="2659" t="s">
        <v>4302</v>
      </c>
      <c r="Q4" s="2659" t="s">
        <v>4301</v>
      </c>
      <c r="R4" s="2661" t="s">
        <v>4302</v>
      </c>
      <c r="S4" s="2662" t="s">
        <v>4301</v>
      </c>
      <c r="T4" s="2662" t="s">
        <v>4302</v>
      </c>
      <c r="U4" s="2662" t="s">
        <v>4301</v>
      </c>
      <c r="V4" s="2662" t="s">
        <v>4302</v>
      </c>
      <c r="W4" s="2662" t="s">
        <v>4301</v>
      </c>
      <c r="X4" s="2662" t="s">
        <v>4302</v>
      </c>
      <c r="Y4" s="2662" t="s">
        <v>4301</v>
      </c>
      <c r="Z4" s="2663" t="s">
        <v>4302</v>
      </c>
      <c r="AA4" s="2662" t="s">
        <v>4301</v>
      </c>
      <c r="AB4" s="2663" t="s">
        <v>4302</v>
      </c>
      <c r="AC4" s="2662" t="s">
        <v>4301</v>
      </c>
      <c r="AD4" s="2663" t="s">
        <v>4302</v>
      </c>
      <c r="AE4" s="2662" t="s">
        <v>4301</v>
      </c>
      <c r="AF4" s="2663" t="s">
        <v>4302</v>
      </c>
      <c r="AG4" s="2664" t="s">
        <v>4301</v>
      </c>
      <c r="AH4" s="2664" t="s">
        <v>4302</v>
      </c>
      <c r="AI4" s="2664" t="s">
        <v>4301</v>
      </c>
      <c r="AJ4" s="2664" t="s">
        <v>4302</v>
      </c>
      <c r="AK4" s="2664" t="s">
        <v>4301</v>
      </c>
      <c r="AL4" s="2664" t="s">
        <v>4302</v>
      </c>
      <c r="AM4" s="2664" t="s">
        <v>4301</v>
      </c>
      <c r="AN4" s="2664" t="s">
        <v>4302</v>
      </c>
      <c r="AO4" s="2664" t="s">
        <v>4301</v>
      </c>
      <c r="AP4" s="2664" t="s">
        <v>4302</v>
      </c>
      <c r="AQ4" s="2664" t="s">
        <v>4301</v>
      </c>
      <c r="AR4" s="2664" t="s">
        <v>4302</v>
      </c>
      <c r="AS4" s="2664" t="s">
        <v>4301</v>
      </c>
      <c r="AT4" s="2664" t="s">
        <v>4302</v>
      </c>
      <c r="AU4" s="2664" t="s">
        <v>4301</v>
      </c>
      <c r="AV4" s="2664" t="s">
        <v>4302</v>
      </c>
      <c r="AW4" s="2664" t="s">
        <v>4301</v>
      </c>
      <c r="AX4" s="2664" t="s">
        <v>4302</v>
      </c>
      <c r="AY4" s="2664" t="s">
        <v>4301</v>
      </c>
      <c r="AZ4" s="2664" t="s">
        <v>4302</v>
      </c>
      <c r="BA4" s="2664" t="s">
        <v>4301</v>
      </c>
      <c r="BB4" s="2664" t="s">
        <v>4302</v>
      </c>
      <c r="BC4" s="2665" t="s">
        <v>4301</v>
      </c>
      <c r="BD4" s="2665" t="s">
        <v>4302</v>
      </c>
      <c r="BE4" s="2665" t="s">
        <v>4301</v>
      </c>
      <c r="BF4" s="2665" t="s">
        <v>4302</v>
      </c>
      <c r="BG4" s="2665" t="s">
        <v>4301</v>
      </c>
      <c r="BH4" s="2665" t="s">
        <v>4302</v>
      </c>
      <c r="BI4" s="2665" t="s">
        <v>4301</v>
      </c>
      <c r="BJ4" s="2665" t="s">
        <v>4302</v>
      </c>
      <c r="BK4" s="2665" t="s">
        <v>4301</v>
      </c>
      <c r="BL4" s="2665" t="s">
        <v>4302</v>
      </c>
      <c r="BM4" s="2665" t="s">
        <v>4301</v>
      </c>
      <c r="BN4" s="2665" t="s">
        <v>4302</v>
      </c>
      <c r="BO4" s="2665" t="s">
        <v>4301</v>
      </c>
      <c r="BP4" s="2665" t="s">
        <v>4302</v>
      </c>
      <c r="BQ4" s="2665" t="s">
        <v>4301</v>
      </c>
      <c r="BR4" s="2665" t="s">
        <v>4302</v>
      </c>
      <c r="BS4" s="2665" t="s">
        <v>4301</v>
      </c>
      <c r="BT4" s="2665" t="s">
        <v>4302</v>
      </c>
      <c r="BU4" s="2665" t="s">
        <v>4301</v>
      </c>
      <c r="BV4" s="2665" t="s">
        <v>4302</v>
      </c>
      <c r="BW4" s="2665" t="s">
        <v>4301</v>
      </c>
      <c r="BX4" s="2665" t="s">
        <v>4302</v>
      </c>
      <c r="BY4" s="2665" t="s">
        <v>4301</v>
      </c>
      <c r="BZ4" s="2665" t="s">
        <v>4302</v>
      </c>
      <c r="CA4" s="2665" t="s">
        <v>4301</v>
      </c>
      <c r="CB4" s="2665" t="s">
        <v>4302</v>
      </c>
      <c r="CC4" s="2665" t="s">
        <v>4301</v>
      </c>
      <c r="CD4" s="2665" t="s">
        <v>4302</v>
      </c>
      <c r="CE4" s="2665" t="s">
        <v>4301</v>
      </c>
      <c r="CF4" s="2665" t="s">
        <v>4302</v>
      </c>
      <c r="CG4" s="2665" t="s">
        <v>4301</v>
      </c>
      <c r="CH4" s="2665" t="s">
        <v>4302</v>
      </c>
      <c r="CI4" s="2665" t="s">
        <v>4301</v>
      </c>
      <c r="CJ4" s="2665" t="s">
        <v>4302</v>
      </c>
      <c r="CK4" s="2362"/>
    </row>
    <row r="5" spans="1:89" s="847" customFormat="1" ht="17.25" thickBot="1" x14ac:dyDescent="0.35">
      <c r="A5" s="3918" t="s">
        <v>3947</v>
      </c>
      <c r="B5" s="3919"/>
      <c r="C5" s="3919"/>
      <c r="D5" s="3919"/>
      <c r="E5" s="3919"/>
      <c r="F5" s="3919"/>
      <c r="G5" s="3919"/>
      <c r="H5" s="3919"/>
      <c r="I5" s="3919"/>
      <c r="J5" s="3919"/>
      <c r="K5" s="3919"/>
      <c r="L5" s="3919"/>
      <c r="M5" s="3919"/>
      <c r="N5" s="3919"/>
      <c r="O5" s="3919"/>
      <c r="P5" s="3919"/>
      <c r="Q5" s="3919"/>
      <c r="R5" s="3919"/>
      <c r="S5" s="3919"/>
      <c r="T5" s="3919"/>
      <c r="U5" s="3919"/>
      <c r="V5" s="3919"/>
      <c r="W5" s="3919"/>
      <c r="X5" s="3919"/>
      <c r="Y5" s="3919"/>
      <c r="Z5" s="3919"/>
      <c r="AA5" s="3919"/>
      <c r="AB5" s="3919"/>
      <c r="AC5" s="3919"/>
      <c r="AD5" s="3919"/>
      <c r="AE5" s="3919"/>
      <c r="AF5" s="3919"/>
      <c r="AG5" s="3919"/>
      <c r="AH5" s="3919"/>
      <c r="AI5" s="3919"/>
      <c r="AJ5" s="3919"/>
      <c r="AK5" s="3919"/>
      <c r="AL5" s="3919"/>
      <c r="AM5" s="3919"/>
      <c r="AN5" s="3919"/>
      <c r="AO5" s="3919"/>
      <c r="AP5" s="3919"/>
      <c r="AQ5" s="3919"/>
      <c r="AR5" s="3919"/>
      <c r="AS5" s="3919"/>
      <c r="AT5" s="3919"/>
      <c r="AU5" s="3919"/>
      <c r="AV5" s="3919"/>
      <c r="AW5" s="3919"/>
      <c r="AX5" s="3919"/>
      <c r="AY5" s="3919"/>
      <c r="AZ5" s="3919"/>
      <c r="BA5" s="3919"/>
      <c r="BB5" s="3919"/>
      <c r="BC5" s="3919"/>
      <c r="BD5" s="3919"/>
      <c r="BE5" s="3919"/>
      <c r="BF5" s="3919"/>
      <c r="BG5" s="3919"/>
      <c r="BH5" s="3919"/>
      <c r="BI5" s="3919"/>
      <c r="BJ5" s="3919"/>
      <c r="BK5" s="3919"/>
      <c r="BL5" s="3919"/>
      <c r="BM5" s="3919"/>
      <c r="BN5" s="3919"/>
      <c r="BO5" s="3919"/>
      <c r="BP5" s="3919"/>
      <c r="BQ5" s="3919"/>
      <c r="BR5" s="3919"/>
      <c r="BS5" s="3919"/>
      <c r="BT5" s="3919"/>
      <c r="BU5" s="3919"/>
      <c r="BV5" s="3919"/>
      <c r="BW5" s="3919"/>
      <c r="BX5" s="3919"/>
      <c r="BY5" s="3919"/>
      <c r="BZ5" s="3919"/>
      <c r="CA5" s="3919"/>
      <c r="CB5" s="3919"/>
      <c r="CC5" s="3919"/>
      <c r="CD5" s="3919"/>
      <c r="CE5" s="3919"/>
      <c r="CF5" s="3919"/>
      <c r="CG5" s="3919"/>
      <c r="CH5" s="3919"/>
      <c r="CI5" s="3919"/>
      <c r="CJ5" s="3920"/>
      <c r="CK5" s="2362"/>
    </row>
    <row r="6" spans="1:89" s="847" customFormat="1" ht="17.25" x14ac:dyDescent="0.3">
      <c r="A6" s="2666" t="s">
        <v>4816</v>
      </c>
      <c r="B6" s="2667" t="s">
        <v>3528</v>
      </c>
      <c r="C6" s="2668">
        <v>13.525</v>
      </c>
      <c r="D6" s="2668">
        <v>0</v>
      </c>
      <c r="E6" s="2668">
        <v>32.814999999999998</v>
      </c>
      <c r="F6" s="2668">
        <v>0</v>
      </c>
      <c r="G6" s="2668">
        <v>66.375</v>
      </c>
      <c r="H6" s="2668">
        <v>0</v>
      </c>
      <c r="I6" s="2668">
        <v>25.5</v>
      </c>
      <c r="J6" s="2668">
        <v>0.5</v>
      </c>
      <c r="K6" s="2669">
        <v>36.774999999999999</v>
      </c>
      <c r="L6" s="2668">
        <v>0</v>
      </c>
      <c r="M6" s="2668">
        <v>0.8</v>
      </c>
      <c r="N6" s="2668">
        <v>6.01</v>
      </c>
      <c r="O6" s="2669">
        <v>0</v>
      </c>
      <c r="P6" s="2668">
        <v>0.79</v>
      </c>
      <c r="Q6" s="2668">
        <v>2.5</v>
      </c>
      <c r="R6" s="2670">
        <v>0</v>
      </c>
      <c r="S6" s="2671">
        <v>4.5</v>
      </c>
      <c r="T6" s="2671">
        <v>0</v>
      </c>
      <c r="U6" s="2671">
        <v>4</v>
      </c>
      <c r="V6" s="2671">
        <v>2.4</v>
      </c>
      <c r="W6" s="2671">
        <v>0.79200000000000004</v>
      </c>
      <c r="X6" s="2671">
        <v>1.7350000000000001</v>
      </c>
      <c r="Y6" s="2671">
        <v>6.9039999999999999</v>
      </c>
      <c r="Z6" s="2671">
        <v>4.3250000000000002</v>
      </c>
      <c r="AA6" s="2671">
        <v>12.76</v>
      </c>
      <c r="AB6" s="2671">
        <v>0</v>
      </c>
      <c r="AC6" s="2672">
        <v>5.9320000000000004</v>
      </c>
      <c r="AD6" s="2672">
        <v>2.5</v>
      </c>
      <c r="AE6" s="2672">
        <v>1.1000000000000001</v>
      </c>
      <c r="AF6" s="2672">
        <v>0.72</v>
      </c>
      <c r="AG6" s="2673">
        <v>9.8149999999999995</v>
      </c>
      <c r="AH6" s="2674">
        <v>0</v>
      </c>
      <c r="AI6" s="2674">
        <v>4.3179999999999996</v>
      </c>
      <c r="AJ6" s="2674">
        <v>0.47399999999999998</v>
      </c>
      <c r="AK6" s="2674">
        <v>11.135999999999999</v>
      </c>
      <c r="AL6" s="2674">
        <v>26.906600000000001</v>
      </c>
      <c r="AM6" s="2674">
        <v>12.24</v>
      </c>
      <c r="AN6" s="2674">
        <v>5.3049999999999997</v>
      </c>
      <c r="AO6" s="2674">
        <v>0.22500000000000001</v>
      </c>
      <c r="AP6" s="2674">
        <v>8.8109999999999999</v>
      </c>
      <c r="AQ6" s="2674">
        <v>0.3</v>
      </c>
      <c r="AR6" s="2674">
        <v>18.669</v>
      </c>
      <c r="AS6" s="2674">
        <v>3.10575</v>
      </c>
      <c r="AT6" s="2674">
        <v>7.5840000000000005</v>
      </c>
      <c r="AU6" s="2675">
        <v>2</v>
      </c>
      <c r="AV6" s="2675">
        <v>2.5000000000000001E-2</v>
      </c>
      <c r="AW6" s="2675">
        <v>1.85</v>
      </c>
      <c r="AX6" s="2675">
        <v>0</v>
      </c>
      <c r="AY6" s="2675">
        <v>1.2000000000000002</v>
      </c>
      <c r="AZ6" s="2675">
        <v>2</v>
      </c>
      <c r="BA6" s="2675">
        <v>0.2</v>
      </c>
      <c r="BB6" s="2675">
        <v>0</v>
      </c>
      <c r="BC6" s="2675">
        <v>1.8</v>
      </c>
      <c r="BD6" s="2675">
        <v>0</v>
      </c>
      <c r="BE6" s="2675">
        <v>1.2</v>
      </c>
      <c r="BF6" s="2675">
        <v>0.46600000000000003</v>
      </c>
      <c r="BG6" s="2675">
        <v>1.47</v>
      </c>
      <c r="BH6" s="2675">
        <v>2.5400499999999999</v>
      </c>
      <c r="BI6" s="2675">
        <v>2.9</v>
      </c>
      <c r="BJ6" s="2675">
        <v>4.3250000000000002</v>
      </c>
      <c r="BK6" s="2675">
        <v>1.7749999999999999</v>
      </c>
      <c r="BL6" s="2675">
        <v>2</v>
      </c>
      <c r="BM6" s="2675">
        <v>13.306573999999999</v>
      </c>
      <c r="BN6" s="2675">
        <v>0.20957400000000001</v>
      </c>
      <c r="BO6" s="2675">
        <v>9.2140000000000004</v>
      </c>
      <c r="BP6" s="2675">
        <v>0</v>
      </c>
      <c r="BQ6" s="2675">
        <v>5.6070000000000002</v>
      </c>
      <c r="BR6" s="2675">
        <v>0.6</v>
      </c>
      <c r="BS6" s="2675">
        <v>7.2910000000000004</v>
      </c>
      <c r="BT6" s="2675">
        <v>0</v>
      </c>
      <c r="BU6" s="2675">
        <v>7.8710000000000004</v>
      </c>
      <c r="BV6" s="2675">
        <v>1.798</v>
      </c>
      <c r="BW6" s="2675">
        <v>4</v>
      </c>
      <c r="BX6" s="2675">
        <v>0.25</v>
      </c>
      <c r="BY6" s="2675">
        <v>1.2793299999999999</v>
      </c>
      <c r="BZ6" s="2675">
        <v>1.3287819999999999</v>
      </c>
      <c r="CA6" s="2675">
        <v>0</v>
      </c>
      <c r="CB6" s="2675">
        <v>0.52600000000000002</v>
      </c>
      <c r="CC6" s="2675">
        <v>7.8999999999999995</v>
      </c>
      <c r="CD6" s="2675">
        <v>0</v>
      </c>
      <c r="CE6" s="2675">
        <v>1.5325000000000002</v>
      </c>
      <c r="CF6" s="2675">
        <v>0</v>
      </c>
      <c r="CG6" s="2675">
        <v>1.2650000000000001</v>
      </c>
      <c r="CH6" s="2675">
        <v>0.1</v>
      </c>
      <c r="CI6" s="2675">
        <v>1.157</v>
      </c>
      <c r="CJ6" s="2675">
        <v>0.5</v>
      </c>
      <c r="CK6" s="2676"/>
    </row>
    <row r="7" spans="1:89" s="847" customFormat="1" ht="17.25" x14ac:dyDescent="0.3">
      <c r="A7" s="2666" t="s">
        <v>4818</v>
      </c>
      <c r="B7" s="2677" t="s">
        <v>1149</v>
      </c>
      <c r="C7" s="2668">
        <v>14.308999999999999</v>
      </c>
      <c r="D7" s="2668">
        <v>1.31</v>
      </c>
      <c r="E7" s="2668">
        <v>14.647</v>
      </c>
      <c r="F7" s="2668">
        <v>2.9750000000000001</v>
      </c>
      <c r="G7" s="2668">
        <v>16.533999999999999</v>
      </c>
      <c r="H7" s="2668">
        <v>4.8</v>
      </c>
      <c r="I7" s="2668">
        <v>14.157</v>
      </c>
      <c r="J7" s="2668">
        <v>0.72499999999999998</v>
      </c>
      <c r="K7" s="2669">
        <v>26.327000000000002</v>
      </c>
      <c r="L7" s="2668">
        <v>0.45700000000000002</v>
      </c>
      <c r="M7" s="2668">
        <v>16.515999999999998</v>
      </c>
      <c r="N7" s="2668">
        <v>3.2120000000000002</v>
      </c>
      <c r="O7" s="2669">
        <v>13.907999999999999</v>
      </c>
      <c r="P7" s="2668">
        <v>8.4049999999999994</v>
      </c>
      <c r="Q7" s="2668">
        <v>13.241</v>
      </c>
      <c r="R7" s="2670">
        <v>0.5</v>
      </c>
      <c r="S7" s="2678">
        <v>11.438000000000001</v>
      </c>
      <c r="T7" s="2678">
        <v>1.88</v>
      </c>
      <c r="U7" s="2678">
        <v>15.233000000000001</v>
      </c>
      <c r="V7" s="2678">
        <v>1.1299999999999999</v>
      </c>
      <c r="W7" s="2678">
        <v>13.048999999999999</v>
      </c>
      <c r="X7" s="2678">
        <v>0</v>
      </c>
      <c r="Y7" s="2678">
        <v>21.199000000000002</v>
      </c>
      <c r="Z7" s="2678">
        <v>0.3</v>
      </c>
      <c r="AA7" s="2678">
        <v>20.422000000000001</v>
      </c>
      <c r="AB7" s="2678">
        <v>0</v>
      </c>
      <c r="AC7" s="2679">
        <v>14.102</v>
      </c>
      <c r="AD7" s="2679">
        <v>0.93</v>
      </c>
      <c r="AE7" s="2679">
        <v>10.545</v>
      </c>
      <c r="AF7" s="2679">
        <v>0.625</v>
      </c>
      <c r="AG7" s="2680">
        <v>13.544</v>
      </c>
      <c r="AH7" s="2681">
        <v>2.2999999999999998</v>
      </c>
      <c r="AI7" s="2681">
        <v>11.374000000000001</v>
      </c>
      <c r="AJ7" s="2681">
        <v>6.4009999999999998</v>
      </c>
      <c r="AK7" s="2681">
        <v>19.888999999999999</v>
      </c>
      <c r="AL7" s="2681">
        <v>17.60961562</v>
      </c>
      <c r="AM7" s="2681">
        <v>15.445</v>
      </c>
      <c r="AN7" s="2681">
        <v>16.774999999999999</v>
      </c>
      <c r="AO7" s="2681">
        <v>6.5739999999999998</v>
      </c>
      <c r="AP7" s="2681">
        <v>12.228</v>
      </c>
      <c r="AQ7" s="2681">
        <v>9.020999999999999</v>
      </c>
      <c r="AR7" s="2681">
        <v>11.62</v>
      </c>
      <c r="AS7" s="2681">
        <v>14.048</v>
      </c>
      <c r="AT7" s="2681">
        <v>14.655000000000001</v>
      </c>
      <c r="AU7" s="2682">
        <v>10.508999999999999</v>
      </c>
      <c r="AV7" s="2682">
        <v>9.3829999999999991</v>
      </c>
      <c r="AW7" s="2682">
        <v>12.082999999999998</v>
      </c>
      <c r="AX7" s="2682">
        <v>7.7607116300000003</v>
      </c>
      <c r="AY7" s="2682">
        <v>13.073999999999998</v>
      </c>
      <c r="AZ7" s="2682">
        <v>10.305</v>
      </c>
      <c r="BA7" s="2682">
        <v>11.227999999999998</v>
      </c>
      <c r="BB7" s="2682">
        <v>4.4409999999999998</v>
      </c>
      <c r="BC7" s="2682">
        <v>22.272999999999996</v>
      </c>
      <c r="BD7" s="2682">
        <v>6.6390000000000002</v>
      </c>
      <c r="BE7" s="2682">
        <v>7.8089999999999993</v>
      </c>
      <c r="BF7" s="2682">
        <v>6.92</v>
      </c>
      <c r="BG7" s="2682">
        <v>6.3669938900000007</v>
      </c>
      <c r="BH7" s="2682">
        <v>10.908999999999999</v>
      </c>
      <c r="BI7" s="2682">
        <v>12.417</v>
      </c>
      <c r="BJ7" s="2682">
        <v>13.06</v>
      </c>
      <c r="BK7" s="2682">
        <v>24.373999999999999</v>
      </c>
      <c r="BL7" s="2682">
        <v>23.104999999999997</v>
      </c>
      <c r="BM7" s="2682">
        <v>16.172000000000001</v>
      </c>
      <c r="BN7" s="2682">
        <v>21.635000000000002</v>
      </c>
      <c r="BO7" s="2682">
        <v>20.096999999999998</v>
      </c>
      <c r="BP7" s="2682">
        <v>20.7</v>
      </c>
      <c r="BQ7" s="2682">
        <v>21.689999999999998</v>
      </c>
      <c r="BR7" s="2682">
        <v>18.395000000000003</v>
      </c>
      <c r="BS7" s="2682">
        <v>45.550999999999988</v>
      </c>
      <c r="BT7" s="2682">
        <v>17.455000000000002</v>
      </c>
      <c r="BU7" s="2682">
        <v>19.644000000000002</v>
      </c>
      <c r="BV7" s="2682">
        <v>17.912337000000001</v>
      </c>
      <c r="BW7" s="2682">
        <v>23.628</v>
      </c>
      <c r="BX7" s="2682">
        <v>12.526999999999999</v>
      </c>
      <c r="BY7" s="2682">
        <v>16.101999999999997</v>
      </c>
      <c r="BZ7" s="2682">
        <v>7.907</v>
      </c>
      <c r="CA7" s="2682">
        <v>30.090999999999998</v>
      </c>
      <c r="CB7" s="2682">
        <v>4.2869999999999999</v>
      </c>
      <c r="CC7" s="2682">
        <v>32.375</v>
      </c>
      <c r="CD7" s="2682">
        <v>4.4550000000000001</v>
      </c>
      <c r="CE7" s="2682">
        <v>22.145</v>
      </c>
      <c r="CF7" s="2682">
        <v>6.93</v>
      </c>
      <c r="CG7" s="2682">
        <v>32.836000000000006</v>
      </c>
      <c r="CH7" s="2682">
        <v>11.637649999999997</v>
      </c>
      <c r="CI7" s="2682">
        <v>25.655000000000001</v>
      </c>
      <c r="CJ7" s="2682">
        <v>12.912000000000001</v>
      </c>
      <c r="CK7" s="2676"/>
    </row>
    <row r="8" spans="1:89" s="847" customFormat="1" ht="17.25" x14ac:dyDescent="0.3">
      <c r="A8" s="2666" t="s">
        <v>4819</v>
      </c>
      <c r="B8" s="2677" t="s">
        <v>3530</v>
      </c>
      <c r="C8" s="2668"/>
      <c r="D8" s="2668"/>
      <c r="E8" s="2668"/>
      <c r="F8" s="2668"/>
      <c r="G8" s="2668"/>
      <c r="H8" s="2668"/>
      <c r="I8" s="2668"/>
      <c r="J8" s="2668"/>
      <c r="K8" s="2669"/>
      <c r="L8" s="2668"/>
      <c r="M8" s="2668"/>
      <c r="N8" s="2668"/>
      <c r="O8" s="2669"/>
      <c r="P8" s="2668"/>
      <c r="Q8" s="2668"/>
      <c r="R8" s="2670"/>
      <c r="S8" s="2678"/>
      <c r="T8" s="2678"/>
      <c r="U8" s="2678"/>
      <c r="V8" s="2678"/>
      <c r="W8" s="2678"/>
      <c r="X8" s="2678"/>
      <c r="Y8" s="2678"/>
      <c r="Z8" s="2678"/>
      <c r="AA8" s="2678"/>
      <c r="AB8" s="2678"/>
      <c r="AC8" s="2679"/>
      <c r="AD8" s="2679"/>
      <c r="AE8" s="2679">
        <v>0</v>
      </c>
      <c r="AF8" s="2679">
        <v>0</v>
      </c>
      <c r="AG8" s="2680">
        <v>0</v>
      </c>
      <c r="AH8" s="2681">
        <v>0</v>
      </c>
      <c r="AI8" s="2681">
        <v>0</v>
      </c>
      <c r="AJ8" s="2681">
        <v>0</v>
      </c>
      <c r="AK8" s="2681">
        <v>0</v>
      </c>
      <c r="AL8" s="2681">
        <v>0</v>
      </c>
      <c r="AM8" s="2681">
        <v>0</v>
      </c>
      <c r="AN8" s="2681">
        <v>0.09</v>
      </c>
      <c r="AO8" s="2681">
        <v>0</v>
      </c>
      <c r="AP8" s="2681">
        <v>0</v>
      </c>
      <c r="AQ8" s="2681">
        <v>0</v>
      </c>
      <c r="AR8" s="2681">
        <v>0</v>
      </c>
      <c r="AS8" s="2681">
        <v>0</v>
      </c>
      <c r="AT8" s="2681">
        <v>2.5789999999999997</v>
      </c>
      <c r="AU8" s="2682">
        <v>0</v>
      </c>
      <c r="AV8" s="2682">
        <v>5.2084999999999999</v>
      </c>
      <c r="AW8" s="2682">
        <v>0</v>
      </c>
      <c r="AX8" s="2682">
        <v>7.4739999999999993</v>
      </c>
      <c r="AY8" s="2682">
        <v>0</v>
      </c>
      <c r="AZ8" s="2682">
        <v>0</v>
      </c>
      <c r="BA8" s="2682">
        <v>0</v>
      </c>
      <c r="BB8" s="2682">
        <v>8.68</v>
      </c>
      <c r="BC8" s="2682">
        <v>0</v>
      </c>
      <c r="BD8" s="2682">
        <v>12.690999999999999</v>
      </c>
      <c r="BE8" s="2682">
        <v>0</v>
      </c>
      <c r="BF8" s="2682">
        <v>6.1037340000000002</v>
      </c>
      <c r="BG8" s="2682">
        <v>0</v>
      </c>
      <c r="BH8" s="2682">
        <v>5.2847430000000006</v>
      </c>
      <c r="BI8" s="2682">
        <v>0.621</v>
      </c>
      <c r="BJ8" s="2682">
        <v>9.6509999999999998</v>
      </c>
      <c r="BK8" s="2682">
        <v>0.872</v>
      </c>
      <c r="BL8" s="2682">
        <v>8.3190000000000008</v>
      </c>
      <c r="BM8" s="2682">
        <v>0.12</v>
      </c>
      <c r="BN8" s="2682">
        <v>0.59</v>
      </c>
      <c r="BO8" s="2682">
        <v>0</v>
      </c>
      <c r="BP8" s="2682">
        <v>0</v>
      </c>
      <c r="BQ8" s="2682">
        <v>0</v>
      </c>
      <c r="BR8" s="2682">
        <v>0</v>
      </c>
      <c r="BS8" s="2682">
        <v>0</v>
      </c>
      <c r="BT8" s="2682">
        <v>0</v>
      </c>
      <c r="BU8" s="2682">
        <v>0</v>
      </c>
      <c r="BV8" s="2682">
        <v>0</v>
      </c>
      <c r="BW8" s="2682">
        <v>0</v>
      </c>
      <c r="BX8" s="2682">
        <v>0</v>
      </c>
      <c r="BY8" s="2682">
        <v>0</v>
      </c>
      <c r="BZ8" s="2682">
        <v>0</v>
      </c>
      <c r="CA8" s="2682">
        <v>0</v>
      </c>
      <c r="CB8" s="2682">
        <v>0</v>
      </c>
      <c r="CC8" s="2682">
        <v>0</v>
      </c>
      <c r="CD8" s="2682">
        <v>0</v>
      </c>
      <c r="CE8" s="2682">
        <v>0</v>
      </c>
      <c r="CF8" s="2682">
        <v>0</v>
      </c>
      <c r="CG8" s="2682">
        <v>0</v>
      </c>
      <c r="CH8" s="2682">
        <v>0.104</v>
      </c>
      <c r="CI8" s="2682">
        <v>0</v>
      </c>
      <c r="CJ8" s="2682">
        <v>10.86</v>
      </c>
      <c r="CK8" s="2676"/>
    </row>
    <row r="9" spans="1:89" s="847" customFormat="1" ht="17.25" x14ac:dyDescent="0.3">
      <c r="A9" s="2666" t="s">
        <v>4820</v>
      </c>
      <c r="B9" s="2677" t="s">
        <v>3531</v>
      </c>
      <c r="C9" s="2668"/>
      <c r="D9" s="2668"/>
      <c r="E9" s="2668"/>
      <c r="F9" s="2668"/>
      <c r="G9" s="2668"/>
      <c r="H9" s="2668"/>
      <c r="I9" s="2668"/>
      <c r="J9" s="2668"/>
      <c r="K9" s="2669"/>
      <c r="L9" s="2668"/>
      <c r="M9" s="2668"/>
      <c r="N9" s="2668"/>
      <c r="O9" s="2669"/>
      <c r="P9" s="2668"/>
      <c r="Q9" s="2668"/>
      <c r="R9" s="2670"/>
      <c r="S9" s="2678"/>
      <c r="T9" s="2678"/>
      <c r="U9" s="2678"/>
      <c r="V9" s="2678"/>
      <c r="W9" s="2678"/>
      <c r="X9" s="2678"/>
      <c r="Y9" s="2678"/>
      <c r="Z9" s="2678"/>
      <c r="AA9" s="2678"/>
      <c r="AB9" s="2678"/>
      <c r="AC9" s="2679"/>
      <c r="AD9" s="2679"/>
      <c r="AE9" s="2679"/>
      <c r="AF9" s="2679"/>
      <c r="AG9" s="2680"/>
      <c r="AH9" s="2681"/>
      <c r="AI9" s="2681">
        <v>0</v>
      </c>
      <c r="AJ9" s="2681">
        <v>0</v>
      </c>
      <c r="AK9" s="2681">
        <v>0</v>
      </c>
      <c r="AL9" s="2681">
        <v>0</v>
      </c>
      <c r="AM9" s="2681">
        <v>0.105</v>
      </c>
      <c r="AN9" s="2681">
        <v>0</v>
      </c>
      <c r="AO9" s="2681">
        <v>4.2000000000000003E-2</v>
      </c>
      <c r="AP9" s="2681">
        <v>0</v>
      </c>
      <c r="AQ9" s="2681">
        <v>0</v>
      </c>
      <c r="AR9" s="2681">
        <v>0</v>
      </c>
      <c r="AS9" s="2681">
        <v>5.5E-2</v>
      </c>
      <c r="AT9" s="2681">
        <v>0</v>
      </c>
      <c r="AU9" s="2682">
        <v>0.03</v>
      </c>
      <c r="AV9" s="2682">
        <v>0</v>
      </c>
      <c r="AW9" s="2682">
        <v>8.3000000000000004E-2</v>
      </c>
      <c r="AX9" s="2682">
        <v>0</v>
      </c>
      <c r="AY9" s="2682">
        <v>0</v>
      </c>
      <c r="AZ9" s="2682">
        <v>0</v>
      </c>
      <c r="BA9" s="2682">
        <v>0.128</v>
      </c>
      <c r="BB9" s="2682">
        <v>0</v>
      </c>
      <c r="BC9" s="2682">
        <v>0.38</v>
      </c>
      <c r="BD9" s="2682">
        <v>0</v>
      </c>
      <c r="BE9" s="2682">
        <v>0.42000000000000004</v>
      </c>
      <c r="BF9" s="2682">
        <v>0</v>
      </c>
      <c r="BG9" s="2682">
        <v>0.32</v>
      </c>
      <c r="BH9" s="2682">
        <v>0</v>
      </c>
      <c r="BI9" s="2682">
        <v>0.32</v>
      </c>
      <c r="BJ9" s="2682">
        <v>0</v>
      </c>
      <c r="BK9" s="2682">
        <v>0.32</v>
      </c>
      <c r="BL9" s="2682">
        <v>0</v>
      </c>
      <c r="BM9" s="2682">
        <v>0.32</v>
      </c>
      <c r="BN9" s="2682">
        <v>0</v>
      </c>
      <c r="BO9" s="2682">
        <v>0.67999999999999994</v>
      </c>
      <c r="BP9" s="2682">
        <v>0</v>
      </c>
      <c r="BQ9" s="2682">
        <v>0.77</v>
      </c>
      <c r="BR9" s="2682">
        <v>0</v>
      </c>
      <c r="BS9" s="2682">
        <v>0.86</v>
      </c>
      <c r="BT9" s="2682">
        <v>0</v>
      </c>
      <c r="BU9" s="2682">
        <v>0.98</v>
      </c>
      <c r="BV9" s="2682">
        <v>0</v>
      </c>
      <c r="BW9" s="2682">
        <v>1.08</v>
      </c>
      <c r="BX9" s="2682">
        <v>0</v>
      </c>
      <c r="BY9" s="2682">
        <v>1.08</v>
      </c>
      <c r="BZ9" s="2682">
        <v>0</v>
      </c>
      <c r="CA9" s="2682">
        <v>0.57499999999999996</v>
      </c>
      <c r="CB9" s="2682">
        <v>0</v>
      </c>
      <c r="CC9" s="2682">
        <v>1.19</v>
      </c>
      <c r="CD9" s="2682">
        <v>0</v>
      </c>
      <c r="CE9" s="2682">
        <v>1.23</v>
      </c>
      <c r="CF9" s="2682">
        <v>0</v>
      </c>
      <c r="CG9" s="2682">
        <v>1.446</v>
      </c>
      <c r="CH9" s="2682">
        <v>0</v>
      </c>
      <c r="CI9" s="2682">
        <v>1.4410000000000001</v>
      </c>
      <c r="CJ9" s="2682">
        <v>0</v>
      </c>
      <c r="CK9" s="2676"/>
    </row>
    <row r="10" spans="1:89" s="847" customFormat="1" ht="17.25" x14ac:dyDescent="0.3">
      <c r="A10" s="2666" t="s">
        <v>4821</v>
      </c>
      <c r="B10" s="2677" t="s">
        <v>1150</v>
      </c>
      <c r="C10" s="2668">
        <v>0.25</v>
      </c>
      <c r="D10" s="2668">
        <v>0</v>
      </c>
      <c r="E10" s="2668">
        <v>0.34200000000000003</v>
      </c>
      <c r="F10" s="2668">
        <v>0</v>
      </c>
      <c r="G10" s="2668">
        <v>0.78</v>
      </c>
      <c r="H10" s="2668">
        <v>0</v>
      </c>
      <c r="I10" s="2668">
        <v>0.35</v>
      </c>
      <c r="J10" s="2668">
        <v>0</v>
      </c>
      <c r="K10" s="2669">
        <v>0.35699999999999998</v>
      </c>
      <c r="L10" s="2668">
        <v>0</v>
      </c>
      <c r="M10" s="2668">
        <v>0</v>
      </c>
      <c r="N10" s="2668">
        <v>0.6</v>
      </c>
      <c r="O10" s="2669">
        <v>4.2519999999999998</v>
      </c>
      <c r="P10" s="2668">
        <v>0</v>
      </c>
      <c r="Q10" s="2668">
        <v>4.0140000000000002</v>
      </c>
      <c r="R10" s="2670">
        <v>0</v>
      </c>
      <c r="S10" s="2678">
        <v>2.95</v>
      </c>
      <c r="T10" s="2678">
        <v>0</v>
      </c>
      <c r="U10" s="2678">
        <v>5.2430000000000003</v>
      </c>
      <c r="V10" s="2678">
        <v>0</v>
      </c>
      <c r="W10" s="2678">
        <v>5.59</v>
      </c>
      <c r="X10" s="2678">
        <v>0</v>
      </c>
      <c r="Y10" s="2678">
        <v>6.734</v>
      </c>
      <c r="Z10" s="2678">
        <v>0</v>
      </c>
      <c r="AA10" s="2678">
        <v>7.77</v>
      </c>
      <c r="AB10" s="2678">
        <v>1.27</v>
      </c>
      <c r="AC10" s="2679">
        <v>2.4900000000000002</v>
      </c>
      <c r="AD10" s="2679">
        <v>0</v>
      </c>
      <c r="AE10" s="2679">
        <v>2.44</v>
      </c>
      <c r="AF10" s="2679">
        <v>0</v>
      </c>
      <c r="AG10" s="2680">
        <v>1.5</v>
      </c>
      <c r="AH10" s="2681">
        <v>1.2</v>
      </c>
      <c r="AI10" s="2681">
        <v>1.925</v>
      </c>
      <c r="AJ10" s="2681">
        <v>0</v>
      </c>
      <c r="AK10" s="2681">
        <v>0.5</v>
      </c>
      <c r="AL10" s="2681">
        <v>0</v>
      </c>
      <c r="AM10" s="2681">
        <v>0.3</v>
      </c>
      <c r="AN10" s="2681">
        <v>1.56</v>
      </c>
      <c r="AO10" s="2681">
        <v>0.73</v>
      </c>
      <c r="AP10" s="2681">
        <v>0</v>
      </c>
      <c r="AQ10" s="2681">
        <v>0</v>
      </c>
      <c r="AR10" s="2681">
        <v>0</v>
      </c>
      <c r="AS10" s="2681">
        <v>0.30000000000000004</v>
      </c>
      <c r="AT10" s="2681">
        <v>0</v>
      </c>
      <c r="AU10" s="2682">
        <v>0.30000000000000004</v>
      </c>
      <c r="AV10" s="2682">
        <v>0</v>
      </c>
      <c r="AW10" s="2682">
        <v>0</v>
      </c>
      <c r="AX10" s="2682">
        <v>0</v>
      </c>
      <c r="AY10" s="2682">
        <v>0.30000000000000004</v>
      </c>
      <c r="AZ10" s="2682">
        <v>0</v>
      </c>
      <c r="BA10" s="2682">
        <v>0.1</v>
      </c>
      <c r="BB10" s="2682">
        <v>0</v>
      </c>
      <c r="BC10" s="2682">
        <v>0</v>
      </c>
      <c r="BD10" s="2682">
        <v>0</v>
      </c>
      <c r="BE10" s="2682">
        <v>0.30000000000000004</v>
      </c>
      <c r="BF10" s="2682">
        <v>1.4</v>
      </c>
      <c r="BG10" s="2682">
        <v>0</v>
      </c>
      <c r="BH10" s="2682">
        <v>1.6719999999999999</v>
      </c>
      <c r="BI10" s="2682">
        <v>0.13</v>
      </c>
      <c r="BJ10" s="2682">
        <v>0</v>
      </c>
      <c r="BK10" s="2682">
        <v>3.2050000000000001</v>
      </c>
      <c r="BL10" s="2682">
        <v>0</v>
      </c>
      <c r="BM10" s="2682">
        <v>0.36</v>
      </c>
      <c r="BN10" s="2682">
        <v>0</v>
      </c>
      <c r="BO10" s="2682">
        <v>2.5810000000000004</v>
      </c>
      <c r="BP10" s="2682">
        <v>0</v>
      </c>
      <c r="BQ10" s="2682">
        <v>0.74</v>
      </c>
      <c r="BR10" s="2682">
        <v>2.0999999999999996</v>
      </c>
      <c r="BS10" s="2682">
        <v>0.37</v>
      </c>
      <c r="BT10" s="2682">
        <v>0</v>
      </c>
      <c r="BU10" s="2682">
        <v>0.44400000000000001</v>
      </c>
      <c r="BV10" s="2682">
        <v>0</v>
      </c>
      <c r="BW10" s="2682">
        <v>0.82400000000000007</v>
      </c>
      <c r="BX10" s="2682">
        <v>0</v>
      </c>
      <c r="BY10" s="2682">
        <v>0.52200000000000002</v>
      </c>
      <c r="BZ10" s="2682">
        <v>0.05</v>
      </c>
      <c r="CA10" s="2682">
        <v>0.52300000000000002</v>
      </c>
      <c r="CB10" s="2682">
        <v>2.7675000000000001</v>
      </c>
      <c r="CC10" s="2682">
        <v>0.91399999999999992</v>
      </c>
      <c r="CD10" s="2682">
        <v>0</v>
      </c>
      <c r="CE10" s="2682">
        <v>0.56000000000000005</v>
      </c>
      <c r="CF10" s="2682">
        <v>0</v>
      </c>
      <c r="CG10" s="2682">
        <v>0.54600000000000004</v>
      </c>
      <c r="CH10" s="2682">
        <v>0</v>
      </c>
      <c r="CI10" s="2682">
        <v>0.94199999999999995</v>
      </c>
      <c r="CJ10" s="2682">
        <v>0.02</v>
      </c>
      <c r="CK10" s="2676"/>
    </row>
    <row r="11" spans="1:89" s="847" customFormat="1" ht="17.25" x14ac:dyDescent="0.3">
      <c r="A11" s="2666" t="s">
        <v>4822</v>
      </c>
      <c r="B11" s="2677" t="s">
        <v>4823</v>
      </c>
      <c r="C11" s="2668">
        <v>20.21746907</v>
      </c>
      <c r="D11" s="2668">
        <v>0.2</v>
      </c>
      <c r="E11" s="2668">
        <v>20.149017180000001</v>
      </c>
      <c r="F11" s="2668">
        <v>0</v>
      </c>
      <c r="G11" s="2668">
        <v>13.61564409</v>
      </c>
      <c r="H11" s="2668">
        <v>0</v>
      </c>
      <c r="I11" s="2668">
        <v>46.902014719999997</v>
      </c>
      <c r="J11" s="2668">
        <v>1.0149999999999999</v>
      </c>
      <c r="K11" s="2669">
        <v>23.802492350000001</v>
      </c>
      <c r="L11" s="2669">
        <v>0.34699999999999998</v>
      </c>
      <c r="M11" s="2669">
        <v>17.57952088</v>
      </c>
      <c r="N11" s="2669">
        <v>0.35499999999999998</v>
      </c>
      <c r="O11" s="2669">
        <v>13.889362260000002</v>
      </c>
      <c r="P11" s="2669">
        <v>0.05</v>
      </c>
      <c r="Q11" s="2669">
        <v>14.355987539999999</v>
      </c>
      <c r="R11" s="2683">
        <v>0</v>
      </c>
      <c r="S11" s="2678">
        <v>12.60221488</v>
      </c>
      <c r="T11" s="2678">
        <v>0</v>
      </c>
      <c r="U11" s="2678">
        <v>23.224584840000002</v>
      </c>
      <c r="V11" s="2678">
        <v>0</v>
      </c>
      <c r="W11" s="2678">
        <v>24.889187799999998</v>
      </c>
      <c r="X11" s="2678">
        <v>0</v>
      </c>
      <c r="Y11" s="2678">
        <v>31.936883880000003</v>
      </c>
      <c r="Z11" s="2678">
        <v>0</v>
      </c>
      <c r="AA11" s="2678">
        <v>33.005209579999999</v>
      </c>
      <c r="AB11" s="2678">
        <v>0</v>
      </c>
      <c r="AC11" s="2679">
        <v>29.336324000000001</v>
      </c>
      <c r="AD11" s="2679">
        <v>7.0000000000000007E-2</v>
      </c>
      <c r="AE11" s="2679">
        <v>24.235054479999999</v>
      </c>
      <c r="AF11" s="2679">
        <v>0.14000000000000001</v>
      </c>
      <c r="AG11" s="2680">
        <v>33.201685850000004</v>
      </c>
      <c r="AH11" s="2681">
        <v>1.87</v>
      </c>
      <c r="AI11" s="2681">
        <v>32.78772069</v>
      </c>
      <c r="AJ11" s="2681">
        <v>0.05</v>
      </c>
      <c r="AK11" s="2681">
        <v>27.693999999999999</v>
      </c>
      <c r="AL11" s="2681">
        <v>0</v>
      </c>
      <c r="AM11" s="2681">
        <v>46.280999999999999</v>
      </c>
      <c r="AN11" s="2681">
        <v>0</v>
      </c>
      <c r="AO11" s="2681">
        <v>25.512</v>
      </c>
      <c r="AP11" s="2681">
        <v>0.25</v>
      </c>
      <c r="AQ11" s="2681">
        <v>27.938164799999996</v>
      </c>
      <c r="AR11" s="2681">
        <v>0.93500000000000005</v>
      </c>
      <c r="AS11" s="2681">
        <v>22.358000000000008</v>
      </c>
      <c r="AT11" s="2681">
        <v>0</v>
      </c>
      <c r="AU11" s="2682">
        <v>29.814999999999994</v>
      </c>
      <c r="AV11" s="2682">
        <v>7.0000000000000007E-2</v>
      </c>
      <c r="AW11" s="2682">
        <v>47.334999999999987</v>
      </c>
      <c r="AX11" s="2682">
        <v>0</v>
      </c>
      <c r="AY11" s="2682">
        <v>34.819999999999993</v>
      </c>
      <c r="AZ11" s="2682">
        <v>0</v>
      </c>
      <c r="BA11" s="2682">
        <v>41.15</v>
      </c>
      <c r="BB11" s="2682">
        <v>0</v>
      </c>
      <c r="BC11" s="2682">
        <v>37.628999999999998</v>
      </c>
      <c r="BD11" s="2682">
        <v>0</v>
      </c>
      <c r="BE11" s="2682">
        <v>13.453000000000001</v>
      </c>
      <c r="BF11" s="2682">
        <v>3</v>
      </c>
      <c r="BG11" s="2682">
        <v>15.570324569999997</v>
      </c>
      <c r="BH11" s="2682">
        <v>1</v>
      </c>
      <c r="BI11" s="2682">
        <v>22.657525110000002</v>
      </c>
      <c r="BJ11" s="2682">
        <v>1</v>
      </c>
      <c r="BK11" s="2682">
        <v>61.936999999999991</v>
      </c>
      <c r="BL11" s="2682">
        <v>0</v>
      </c>
      <c r="BM11" s="2682">
        <v>69.257999999999996</v>
      </c>
      <c r="BN11" s="2682">
        <v>0</v>
      </c>
      <c r="BO11" s="2682">
        <v>53.804404000000005</v>
      </c>
      <c r="BP11" s="2682">
        <v>0</v>
      </c>
      <c r="BQ11" s="2682">
        <v>65.564022829999985</v>
      </c>
      <c r="BR11" s="2682">
        <v>0</v>
      </c>
      <c r="BS11" s="2682">
        <v>67.409000000000006</v>
      </c>
      <c r="BT11" s="2682">
        <v>0</v>
      </c>
      <c r="BU11" s="2682">
        <v>55.701641000000002</v>
      </c>
      <c r="BV11" s="2682">
        <v>0</v>
      </c>
      <c r="BW11" s="2682">
        <v>45.860000000000014</v>
      </c>
      <c r="BX11" s="2682">
        <v>0.15</v>
      </c>
      <c r="BY11" s="2682">
        <v>35.007000000000005</v>
      </c>
      <c r="BZ11" s="2682">
        <v>0</v>
      </c>
      <c r="CA11" s="2682">
        <v>46.838000000000008</v>
      </c>
      <c r="CB11" s="2682">
        <v>7.5000000000000011E-2</v>
      </c>
      <c r="CC11" s="2682">
        <v>49.174999999999997</v>
      </c>
      <c r="CD11" s="2682">
        <v>0</v>
      </c>
      <c r="CE11" s="2682">
        <v>49.225000000000001</v>
      </c>
      <c r="CF11" s="2682">
        <v>0</v>
      </c>
      <c r="CG11" s="2682">
        <v>60.5</v>
      </c>
      <c r="CH11" s="2682">
        <v>2.6675000000000004</v>
      </c>
      <c r="CI11" s="2682">
        <v>48.625</v>
      </c>
      <c r="CJ11" s="2682">
        <v>1</v>
      </c>
      <c r="CK11" s="2676"/>
    </row>
    <row r="12" spans="1:89" s="847" customFormat="1" ht="17.25" x14ac:dyDescent="0.3">
      <c r="A12" s="2666" t="s">
        <v>4824</v>
      </c>
      <c r="B12" s="2677" t="s">
        <v>3533</v>
      </c>
      <c r="C12" s="2668">
        <v>7.7549999999999999</v>
      </c>
      <c r="D12" s="2669">
        <v>0</v>
      </c>
      <c r="E12" s="2669">
        <v>9.01</v>
      </c>
      <c r="F12" s="2669">
        <v>0</v>
      </c>
      <c r="G12" s="2669">
        <v>8.9312859299999996</v>
      </c>
      <c r="H12" s="2669">
        <v>0</v>
      </c>
      <c r="I12" s="2669">
        <v>7.6</v>
      </c>
      <c r="J12" s="2669">
        <v>0</v>
      </c>
      <c r="K12" s="2669">
        <v>11.96</v>
      </c>
      <c r="L12" s="2668">
        <v>0</v>
      </c>
      <c r="M12" s="2668">
        <v>9.36</v>
      </c>
      <c r="N12" s="2668">
        <v>0</v>
      </c>
      <c r="O12" s="2669">
        <v>4.9400000000000004</v>
      </c>
      <c r="P12" s="2668">
        <v>0</v>
      </c>
      <c r="Q12" s="2668">
        <v>3.9849999999999999</v>
      </c>
      <c r="R12" s="2670">
        <v>0</v>
      </c>
      <c r="S12" s="2678">
        <v>4.375</v>
      </c>
      <c r="T12" s="2678">
        <v>0</v>
      </c>
      <c r="U12" s="2678">
        <v>7.1550000000000002</v>
      </c>
      <c r="V12" s="2678">
        <v>0</v>
      </c>
      <c r="W12" s="2678">
        <v>7.13</v>
      </c>
      <c r="X12" s="2678">
        <v>0</v>
      </c>
      <c r="Y12" s="2678">
        <v>4.7549999999999999</v>
      </c>
      <c r="Z12" s="2678">
        <v>0</v>
      </c>
      <c r="AA12" s="2678">
        <v>4.5750000000000002</v>
      </c>
      <c r="AB12" s="2678">
        <v>0</v>
      </c>
      <c r="AC12" s="2679">
        <v>4.3460000000000001</v>
      </c>
      <c r="AD12" s="2679">
        <v>0</v>
      </c>
      <c r="AE12" s="2679">
        <v>6.9</v>
      </c>
      <c r="AF12" s="2679">
        <v>0</v>
      </c>
      <c r="AG12" s="2680">
        <v>6.65</v>
      </c>
      <c r="AH12" s="2681">
        <v>0.52500000000000002</v>
      </c>
      <c r="AI12" s="2681">
        <v>5.2939999999999996</v>
      </c>
      <c r="AJ12" s="2681">
        <v>0</v>
      </c>
      <c r="AK12" s="2681">
        <v>1.3</v>
      </c>
      <c r="AL12" s="2681">
        <v>0</v>
      </c>
      <c r="AM12" s="2681">
        <v>1.7</v>
      </c>
      <c r="AN12" s="2681">
        <v>0</v>
      </c>
      <c r="AO12" s="2681">
        <v>1.4</v>
      </c>
      <c r="AP12" s="2681">
        <v>0</v>
      </c>
      <c r="AQ12" s="2681">
        <v>1.75</v>
      </c>
      <c r="AR12" s="2681">
        <v>0</v>
      </c>
      <c r="AS12" s="2681">
        <v>2.7749999999999999</v>
      </c>
      <c r="AT12" s="2681">
        <v>0</v>
      </c>
      <c r="AU12" s="2682">
        <v>1.53</v>
      </c>
      <c r="AV12" s="2682">
        <v>0</v>
      </c>
      <c r="AW12" s="2682">
        <v>0.27</v>
      </c>
      <c r="AX12" s="2682">
        <v>0</v>
      </c>
      <c r="AY12" s="2682">
        <v>1.0900000000000001</v>
      </c>
      <c r="AZ12" s="2682">
        <v>0</v>
      </c>
      <c r="BA12" s="2682">
        <v>2.4899999999999998</v>
      </c>
      <c r="BB12" s="2682">
        <v>0</v>
      </c>
      <c r="BC12" s="2682">
        <v>1.895</v>
      </c>
      <c r="BD12" s="2682">
        <v>0</v>
      </c>
      <c r="BE12" s="2682">
        <v>3.2299999999999995</v>
      </c>
      <c r="BF12" s="2682">
        <v>0</v>
      </c>
      <c r="BG12" s="2682">
        <v>5.1000000000000005</v>
      </c>
      <c r="BH12" s="2682">
        <v>0</v>
      </c>
      <c r="BI12" s="2682">
        <v>0.30000000000000004</v>
      </c>
      <c r="BJ12" s="2682">
        <v>0</v>
      </c>
      <c r="BK12" s="2682">
        <v>0.2</v>
      </c>
      <c r="BL12" s="2682">
        <v>0</v>
      </c>
      <c r="BM12" s="2682">
        <v>1.2749999999999999</v>
      </c>
      <c r="BN12" s="2682">
        <v>0</v>
      </c>
      <c r="BO12" s="2682">
        <v>6</v>
      </c>
      <c r="BP12" s="2682">
        <v>0</v>
      </c>
      <c r="BQ12" s="2682">
        <v>1</v>
      </c>
      <c r="BR12" s="2682">
        <v>0</v>
      </c>
      <c r="BS12" s="2682">
        <v>2</v>
      </c>
      <c r="BT12" s="2682">
        <v>0</v>
      </c>
      <c r="BU12" s="2682">
        <v>1</v>
      </c>
      <c r="BV12" s="2682">
        <v>0</v>
      </c>
      <c r="BW12" s="2682">
        <v>3</v>
      </c>
      <c r="BX12" s="2682">
        <v>0</v>
      </c>
      <c r="BY12" s="2682">
        <v>4</v>
      </c>
      <c r="BZ12" s="2682">
        <v>0</v>
      </c>
      <c r="CA12" s="2682">
        <v>5</v>
      </c>
      <c r="CB12" s="2682">
        <v>0</v>
      </c>
      <c r="CC12" s="2682">
        <v>3.5</v>
      </c>
      <c r="CD12" s="2682">
        <v>0</v>
      </c>
      <c r="CE12" s="2682">
        <v>5</v>
      </c>
      <c r="CF12" s="2682">
        <v>0</v>
      </c>
      <c r="CG12" s="2682">
        <v>2</v>
      </c>
      <c r="CH12" s="2682">
        <v>0</v>
      </c>
      <c r="CI12" s="2682">
        <v>0</v>
      </c>
      <c r="CJ12" s="2682">
        <v>0</v>
      </c>
      <c r="CK12" s="2676"/>
    </row>
    <row r="13" spans="1:89" s="847" customFormat="1" ht="17.25" x14ac:dyDescent="0.3">
      <c r="A13" s="2666" t="s">
        <v>4825</v>
      </c>
      <c r="B13" s="2677" t="s">
        <v>3534</v>
      </c>
      <c r="C13" s="2668">
        <v>45.758279999999999</v>
      </c>
      <c r="D13" s="2668">
        <v>1.3</v>
      </c>
      <c r="E13" s="2668">
        <v>32.723280000000003</v>
      </c>
      <c r="F13" s="2668">
        <v>0</v>
      </c>
      <c r="G13" s="2668">
        <v>22.55228</v>
      </c>
      <c r="H13" s="2668">
        <v>0.5</v>
      </c>
      <c r="I13" s="2668">
        <v>12.123279999999999</v>
      </c>
      <c r="J13" s="2668">
        <v>2.2650000000000001</v>
      </c>
      <c r="K13" s="2669">
        <v>23.204280000000001</v>
      </c>
      <c r="L13" s="2668">
        <v>2.82</v>
      </c>
      <c r="M13" s="2668">
        <v>23.325060000000001</v>
      </c>
      <c r="N13" s="2668">
        <v>6.8548</v>
      </c>
      <c r="O13" s="2669">
        <v>19.948060000000002</v>
      </c>
      <c r="P13" s="2668">
        <v>0.3</v>
      </c>
      <c r="Q13" s="2668">
        <v>37.762279999999997</v>
      </c>
      <c r="R13" s="2670">
        <v>1.25</v>
      </c>
      <c r="S13" s="2678">
        <v>27.763000000000002</v>
      </c>
      <c r="T13" s="2678">
        <v>1.05</v>
      </c>
      <c r="U13" s="2678">
        <v>33.340000000000003</v>
      </c>
      <c r="V13" s="2678">
        <v>0.25</v>
      </c>
      <c r="W13" s="2678">
        <v>12.79</v>
      </c>
      <c r="X13" s="2678">
        <v>0</v>
      </c>
      <c r="Y13" s="2678">
        <v>7.1395348800000002</v>
      </c>
      <c r="Z13" s="2678">
        <v>0.65</v>
      </c>
      <c r="AA13" s="2678">
        <v>2.4750000000000001</v>
      </c>
      <c r="AB13" s="2678">
        <v>0.877</v>
      </c>
      <c r="AC13" s="2679">
        <v>5.1071812899999998</v>
      </c>
      <c r="AD13" s="2679">
        <v>1.65</v>
      </c>
      <c r="AE13" s="2679">
        <v>6.165</v>
      </c>
      <c r="AF13" s="2679">
        <v>0.67100000000000004</v>
      </c>
      <c r="AG13" s="2680">
        <v>8.49</v>
      </c>
      <c r="AH13" s="2681">
        <v>0.95</v>
      </c>
      <c r="AI13" s="2681">
        <v>0.87299741999999991</v>
      </c>
      <c r="AJ13" s="2681">
        <v>0.215</v>
      </c>
      <c r="AK13" s="2681">
        <v>8.5</v>
      </c>
      <c r="AL13" s="2681">
        <v>6</v>
      </c>
      <c r="AM13" s="2681">
        <v>1.99</v>
      </c>
      <c r="AN13" s="2681">
        <v>1.3</v>
      </c>
      <c r="AO13" s="2681">
        <v>4.01</v>
      </c>
      <c r="AP13" s="2681">
        <v>7.01</v>
      </c>
      <c r="AQ13" s="2681">
        <v>18.75</v>
      </c>
      <c r="AR13" s="2681">
        <v>2.1113400000000002</v>
      </c>
      <c r="AS13" s="2681">
        <v>29.890599999999999</v>
      </c>
      <c r="AT13" s="2681">
        <v>5.7846000000000002</v>
      </c>
      <c r="AU13" s="2682">
        <v>8.1655999999999995</v>
      </c>
      <c r="AV13" s="2682">
        <v>4.7</v>
      </c>
      <c r="AW13" s="2682">
        <v>15.3156</v>
      </c>
      <c r="AX13" s="2682">
        <v>0</v>
      </c>
      <c r="AY13" s="2682">
        <v>3.2</v>
      </c>
      <c r="AZ13" s="2682">
        <v>7.5</v>
      </c>
      <c r="BA13" s="2682">
        <v>1.1575</v>
      </c>
      <c r="BB13" s="2682">
        <v>0.49500000000000005</v>
      </c>
      <c r="BC13" s="2682">
        <v>2.468</v>
      </c>
      <c r="BD13" s="2682">
        <v>0.5</v>
      </c>
      <c r="BE13" s="2682">
        <v>2.4245000000000001</v>
      </c>
      <c r="BF13" s="2682">
        <v>0</v>
      </c>
      <c r="BG13" s="2682">
        <v>2.6745000000000001</v>
      </c>
      <c r="BH13" s="2682">
        <v>0.53</v>
      </c>
      <c r="BI13" s="2682">
        <v>0</v>
      </c>
      <c r="BJ13" s="2682">
        <v>0</v>
      </c>
      <c r="BK13" s="2682">
        <v>13.15</v>
      </c>
      <c r="BL13" s="2682">
        <v>0.3</v>
      </c>
      <c r="BM13" s="2682">
        <v>2.6</v>
      </c>
      <c r="BN13" s="2682">
        <v>10</v>
      </c>
      <c r="BO13" s="2682">
        <v>6.625</v>
      </c>
      <c r="BP13" s="2682">
        <v>9.2032190000000007</v>
      </c>
      <c r="BQ13" s="2682">
        <v>1.0549999999999999</v>
      </c>
      <c r="BR13" s="2682">
        <v>4.2032189999999998</v>
      </c>
      <c r="BS13" s="2682">
        <v>12.7</v>
      </c>
      <c r="BT13" s="2682">
        <v>14.719999999999999</v>
      </c>
      <c r="BU13" s="2682">
        <v>16.25</v>
      </c>
      <c r="BV13" s="2682">
        <v>9.86</v>
      </c>
      <c r="BW13" s="2682">
        <v>4.25</v>
      </c>
      <c r="BX13" s="2682">
        <v>10.459999999999999</v>
      </c>
      <c r="BY13" s="2682">
        <v>9</v>
      </c>
      <c r="BZ13" s="2682">
        <v>9.86</v>
      </c>
      <c r="CA13" s="2682">
        <v>2</v>
      </c>
      <c r="CB13" s="2682">
        <v>0</v>
      </c>
      <c r="CC13" s="2682">
        <v>5.75</v>
      </c>
      <c r="CD13" s="2682">
        <v>0.7</v>
      </c>
      <c r="CE13" s="2682">
        <v>9.1999999999999993</v>
      </c>
      <c r="CF13" s="2682">
        <v>0</v>
      </c>
      <c r="CG13" s="2682">
        <v>10.899999999999999</v>
      </c>
      <c r="CH13" s="2682">
        <v>0</v>
      </c>
      <c r="CI13" s="2682">
        <v>7.55</v>
      </c>
      <c r="CJ13" s="2682">
        <v>0</v>
      </c>
      <c r="CK13" s="2676"/>
    </row>
    <row r="14" spans="1:89" s="847" customFormat="1" ht="17.25" x14ac:dyDescent="0.3">
      <c r="A14" s="2666" t="s">
        <v>4826</v>
      </c>
      <c r="B14" s="2677" t="s">
        <v>3535</v>
      </c>
      <c r="C14" s="2668">
        <v>1.905</v>
      </c>
      <c r="D14" s="2668">
        <v>0</v>
      </c>
      <c r="E14" s="2668">
        <v>0.745</v>
      </c>
      <c r="F14" s="2668">
        <v>0</v>
      </c>
      <c r="G14" s="2668">
        <v>1.875</v>
      </c>
      <c r="H14" s="2668">
        <v>0</v>
      </c>
      <c r="I14" s="2668">
        <v>1.23</v>
      </c>
      <c r="J14" s="2668">
        <v>0</v>
      </c>
      <c r="K14" s="2669">
        <v>2.62</v>
      </c>
      <c r="L14" s="2668">
        <v>0</v>
      </c>
      <c r="M14" s="2668">
        <v>3.03</v>
      </c>
      <c r="N14" s="2668">
        <v>0</v>
      </c>
      <c r="O14" s="2669">
        <v>2.65</v>
      </c>
      <c r="P14" s="2668">
        <v>0</v>
      </c>
      <c r="Q14" s="2668">
        <v>2.46</v>
      </c>
      <c r="R14" s="2670">
        <v>0</v>
      </c>
      <c r="S14" s="2678">
        <v>1.056</v>
      </c>
      <c r="T14" s="2678">
        <v>0</v>
      </c>
      <c r="U14" s="2678">
        <v>0</v>
      </c>
      <c r="V14" s="2678">
        <v>0</v>
      </c>
      <c r="W14" s="2678">
        <v>2.25</v>
      </c>
      <c r="X14" s="2678">
        <v>0</v>
      </c>
      <c r="Y14" s="2678">
        <v>0</v>
      </c>
      <c r="Z14" s="2678">
        <v>0</v>
      </c>
      <c r="AA14" s="2678">
        <v>0</v>
      </c>
      <c r="AB14" s="2678">
        <v>0</v>
      </c>
      <c r="AC14" s="2679">
        <v>1.32</v>
      </c>
      <c r="AD14" s="2679">
        <v>0</v>
      </c>
      <c r="AE14" s="2679">
        <v>2.4550000000000001</v>
      </c>
      <c r="AF14" s="2679">
        <v>0</v>
      </c>
      <c r="AG14" s="2680">
        <v>2.46</v>
      </c>
      <c r="AH14" s="2681">
        <v>0</v>
      </c>
      <c r="AI14" s="2681">
        <v>0.255</v>
      </c>
      <c r="AJ14" s="2681">
        <v>0</v>
      </c>
      <c r="AK14" s="2681">
        <v>5.4240000000000004</v>
      </c>
      <c r="AL14" s="2681">
        <v>0</v>
      </c>
      <c r="AM14" s="2681">
        <v>2.2000000000000002</v>
      </c>
      <c r="AN14" s="2681">
        <v>0</v>
      </c>
      <c r="AO14" s="2681">
        <v>5.5</v>
      </c>
      <c r="AP14" s="2681">
        <v>0</v>
      </c>
      <c r="AQ14" s="2681">
        <v>5.0200000000000005</v>
      </c>
      <c r="AR14" s="2681">
        <v>0</v>
      </c>
      <c r="AS14" s="2681">
        <v>3.52</v>
      </c>
      <c r="AT14" s="2681">
        <v>0</v>
      </c>
      <c r="AU14" s="2682">
        <v>4.98001</v>
      </c>
      <c r="AV14" s="2682">
        <v>0</v>
      </c>
      <c r="AW14" s="2682">
        <v>2.7250000000000001</v>
      </c>
      <c r="AX14" s="2682">
        <v>0</v>
      </c>
      <c r="AY14" s="2682">
        <v>4.3850000000000007</v>
      </c>
      <c r="AZ14" s="2682">
        <v>0</v>
      </c>
      <c r="BA14" s="2682">
        <v>2.0549999999999997</v>
      </c>
      <c r="BB14" s="2682">
        <v>0</v>
      </c>
      <c r="BC14" s="2682">
        <v>4.8100000000000005</v>
      </c>
      <c r="BD14" s="2682">
        <v>0</v>
      </c>
      <c r="BE14" s="2682">
        <v>3.44824083</v>
      </c>
      <c r="BF14" s="2682">
        <v>0</v>
      </c>
      <c r="BG14" s="2682">
        <v>3.6503758300000002</v>
      </c>
      <c r="BH14" s="2682">
        <v>0</v>
      </c>
      <c r="BI14" s="2682">
        <v>6.0088961700000008</v>
      </c>
      <c r="BJ14" s="2682">
        <v>0.48599999999999999</v>
      </c>
      <c r="BK14" s="2682">
        <v>5.5942408300000004</v>
      </c>
      <c r="BL14" s="2682">
        <v>0</v>
      </c>
      <c r="BM14" s="2682">
        <v>5.5714816600000008</v>
      </c>
      <c r="BN14" s="2682">
        <v>1</v>
      </c>
      <c r="BO14" s="2682">
        <v>0.32</v>
      </c>
      <c r="BP14" s="2682">
        <v>0</v>
      </c>
      <c r="BQ14" s="2682">
        <v>0</v>
      </c>
      <c r="BR14" s="2682">
        <v>0</v>
      </c>
      <c r="BS14" s="2682">
        <v>1.8699999999999999</v>
      </c>
      <c r="BT14" s="2682">
        <v>0</v>
      </c>
      <c r="BU14" s="2682">
        <v>0</v>
      </c>
      <c r="BV14" s="2682">
        <v>1.4</v>
      </c>
      <c r="BW14" s="2682">
        <v>0</v>
      </c>
      <c r="BX14" s="2682">
        <v>0</v>
      </c>
      <c r="BY14" s="2682">
        <v>0.4</v>
      </c>
      <c r="BZ14" s="2682">
        <v>0</v>
      </c>
      <c r="CA14" s="2682">
        <v>0</v>
      </c>
      <c r="CB14" s="2682">
        <v>0.25</v>
      </c>
      <c r="CC14" s="2682">
        <v>0</v>
      </c>
      <c r="CD14" s="2682">
        <v>0</v>
      </c>
      <c r="CE14" s="2682">
        <v>0</v>
      </c>
      <c r="CF14" s="2682">
        <v>0.2</v>
      </c>
      <c r="CG14" s="2682">
        <v>0.2</v>
      </c>
      <c r="CH14" s="2682">
        <v>0</v>
      </c>
      <c r="CI14" s="2682">
        <v>0</v>
      </c>
      <c r="CJ14" s="2682">
        <v>0.3</v>
      </c>
      <c r="CK14" s="2676"/>
    </row>
    <row r="15" spans="1:89" s="847" customFormat="1" ht="17.25" x14ac:dyDescent="0.3">
      <c r="A15" s="2666" t="s">
        <v>4827</v>
      </c>
      <c r="B15" s="2677" t="s">
        <v>1155</v>
      </c>
      <c r="C15" s="2668">
        <v>338.49152800000002</v>
      </c>
      <c r="D15" s="2668">
        <v>65.127109149999995</v>
      </c>
      <c r="E15" s="2668">
        <v>340.17269874999994</v>
      </c>
      <c r="F15" s="2668">
        <v>210.30647868</v>
      </c>
      <c r="G15" s="2668">
        <v>310.33459085999999</v>
      </c>
      <c r="H15" s="2668">
        <v>263.10811609000001</v>
      </c>
      <c r="I15" s="2668">
        <v>342.09115270999996</v>
      </c>
      <c r="J15" s="2668">
        <v>89.893186289999974</v>
      </c>
      <c r="K15" s="2669">
        <v>435.52581905000005</v>
      </c>
      <c r="L15" s="2668">
        <v>83.364604099999994</v>
      </c>
      <c r="M15" s="2668">
        <v>417.65808118000007</v>
      </c>
      <c r="N15" s="2668">
        <v>71.309720320000011</v>
      </c>
      <c r="O15" s="2669">
        <v>299.65887624000015</v>
      </c>
      <c r="P15" s="2668">
        <v>136.18072051999999</v>
      </c>
      <c r="Q15" s="2668">
        <v>243.08413280000011</v>
      </c>
      <c r="R15" s="2670">
        <v>80.087113340000002</v>
      </c>
      <c r="S15" s="2678">
        <v>301.92879793999998</v>
      </c>
      <c r="T15" s="2678">
        <v>48.181882209999998</v>
      </c>
      <c r="U15" s="2678">
        <v>204.38111503999994</v>
      </c>
      <c r="V15" s="2678">
        <v>80.179591400000007</v>
      </c>
      <c r="W15" s="2678">
        <v>251.47948204000005</v>
      </c>
      <c r="X15" s="2678">
        <v>59.816023789999996</v>
      </c>
      <c r="Y15" s="2678">
        <v>338.79139493999975</v>
      </c>
      <c r="Z15" s="2678">
        <v>49.043482850000004</v>
      </c>
      <c r="AA15" s="2678">
        <v>348.99357450999992</v>
      </c>
      <c r="AB15" s="2678">
        <v>25.49138026</v>
      </c>
      <c r="AC15" s="2679">
        <v>411.17957194999968</v>
      </c>
      <c r="AD15" s="2679">
        <v>55.40953932</v>
      </c>
      <c r="AE15" s="2679">
        <v>628.02381604999971</v>
      </c>
      <c r="AF15" s="2679">
        <v>38.211232810000006</v>
      </c>
      <c r="AG15" s="2680">
        <v>607.42099672000018</v>
      </c>
      <c r="AH15" s="2681">
        <v>25.261482000000001</v>
      </c>
      <c r="AI15" s="2681">
        <v>560.08025080999982</v>
      </c>
      <c r="AJ15" s="2681">
        <v>37.352272999999997</v>
      </c>
      <c r="AK15" s="2681">
        <v>731.9814514200001</v>
      </c>
      <c r="AL15" s="2681">
        <v>124.10028714999999</v>
      </c>
      <c r="AM15" s="2681">
        <v>402.42638737999999</v>
      </c>
      <c r="AN15" s="2681">
        <v>26.8838428</v>
      </c>
      <c r="AO15" s="2681">
        <v>627.51656354000011</v>
      </c>
      <c r="AP15" s="2681">
        <v>53.458305319999994</v>
      </c>
      <c r="AQ15" s="2681">
        <v>467.78428994999985</v>
      </c>
      <c r="AR15" s="2681">
        <v>86.494309149999992</v>
      </c>
      <c r="AS15" s="2681">
        <v>745.40213086999984</v>
      </c>
      <c r="AT15" s="2681">
        <v>186.19907872000002</v>
      </c>
      <c r="AU15" s="2682">
        <v>460.09924364000011</v>
      </c>
      <c r="AV15" s="2682">
        <v>175.38433003999998</v>
      </c>
      <c r="AW15" s="2682">
        <v>590.05201737999994</v>
      </c>
      <c r="AX15" s="2682">
        <v>97.99848627999998</v>
      </c>
      <c r="AY15" s="2682">
        <v>548.41857400999993</v>
      </c>
      <c r="AZ15" s="2682">
        <v>94.467328550000005</v>
      </c>
      <c r="BA15" s="2682">
        <v>356.48712003000003</v>
      </c>
      <c r="BB15" s="2682">
        <v>94.878434180000028</v>
      </c>
      <c r="BC15" s="2682">
        <v>116.31169556000003</v>
      </c>
      <c r="BD15" s="2682">
        <v>62.844692430000009</v>
      </c>
      <c r="BE15" s="2682">
        <v>70.195708010000004</v>
      </c>
      <c r="BF15" s="2682">
        <v>25.900523719999999</v>
      </c>
      <c r="BG15" s="2682">
        <v>146.06203421000004</v>
      </c>
      <c r="BH15" s="2682">
        <v>7.7900000000000009</v>
      </c>
      <c r="BI15" s="2682">
        <v>175.02488783000007</v>
      </c>
      <c r="BJ15" s="2682">
        <v>60.788814649999999</v>
      </c>
      <c r="BK15" s="2682">
        <v>129.67361061</v>
      </c>
      <c r="BL15" s="2682">
        <v>87.015083040000022</v>
      </c>
      <c r="BM15" s="2682">
        <v>123.49772595000002</v>
      </c>
      <c r="BN15" s="2682">
        <v>65.309168240000005</v>
      </c>
      <c r="BO15" s="2682">
        <v>143.20572161000004</v>
      </c>
      <c r="BP15" s="2682">
        <v>76.64164913999997</v>
      </c>
      <c r="BQ15" s="2682">
        <v>201.55118945999996</v>
      </c>
      <c r="BR15" s="2682">
        <v>5.65126566</v>
      </c>
      <c r="BS15" s="2682">
        <v>166.12721233999997</v>
      </c>
      <c r="BT15" s="2682">
        <v>6.7865239300000004</v>
      </c>
      <c r="BU15" s="2682">
        <v>120.20451301999999</v>
      </c>
      <c r="BV15" s="2682">
        <v>32.774743530000002</v>
      </c>
      <c r="BW15" s="2682">
        <v>67.736009569999993</v>
      </c>
      <c r="BX15" s="2682">
        <v>56.171323090000001</v>
      </c>
      <c r="BY15" s="2682">
        <v>135.50158079000002</v>
      </c>
      <c r="BZ15" s="2682">
        <v>12.47077064</v>
      </c>
      <c r="CA15" s="2682">
        <v>247.1942617899999</v>
      </c>
      <c r="CB15" s="2682">
        <v>18.342122280000002</v>
      </c>
      <c r="CC15" s="2682">
        <v>398.25491356000015</v>
      </c>
      <c r="CD15" s="2682">
        <v>18.123827160000001</v>
      </c>
      <c r="CE15" s="2682">
        <v>446.98578651999998</v>
      </c>
      <c r="CF15" s="2682">
        <v>38.729028380000003</v>
      </c>
      <c r="CG15" s="2682">
        <v>326.85729507999991</v>
      </c>
      <c r="CH15" s="2682">
        <v>71.963579430000024</v>
      </c>
      <c r="CI15" s="2682">
        <v>399.44163467999988</v>
      </c>
      <c r="CJ15" s="2682">
        <v>196.75431021</v>
      </c>
      <c r="CK15" s="2676"/>
    </row>
    <row r="16" spans="1:89" s="847" customFormat="1" ht="17.25" x14ac:dyDescent="0.3">
      <c r="A16" s="2666" t="s">
        <v>4828</v>
      </c>
      <c r="B16" s="2677" t="s">
        <v>1156</v>
      </c>
      <c r="C16" s="2668"/>
      <c r="D16" s="2668"/>
      <c r="E16" s="2668"/>
      <c r="F16" s="2668"/>
      <c r="G16" s="2668"/>
      <c r="H16" s="2668"/>
      <c r="I16" s="2668"/>
      <c r="J16" s="2668"/>
      <c r="K16" s="2669">
        <v>0</v>
      </c>
      <c r="L16" s="2668">
        <v>0</v>
      </c>
      <c r="M16" s="2668">
        <v>0</v>
      </c>
      <c r="N16" s="2668">
        <v>0</v>
      </c>
      <c r="O16" s="2669">
        <v>0</v>
      </c>
      <c r="P16" s="2668">
        <v>0</v>
      </c>
      <c r="Q16" s="2668">
        <v>0</v>
      </c>
      <c r="R16" s="2670">
        <v>0</v>
      </c>
      <c r="S16" s="2678">
        <v>0</v>
      </c>
      <c r="T16" s="2678">
        <v>0</v>
      </c>
      <c r="U16" s="2678">
        <v>0</v>
      </c>
      <c r="V16" s="2678">
        <v>0</v>
      </c>
      <c r="W16" s="2678">
        <v>0</v>
      </c>
      <c r="X16" s="2678">
        <v>0</v>
      </c>
      <c r="Y16" s="2678">
        <v>0</v>
      </c>
      <c r="Z16" s="2678">
        <v>0</v>
      </c>
      <c r="AA16" s="2678">
        <v>0</v>
      </c>
      <c r="AB16" s="2678">
        <v>0</v>
      </c>
      <c r="AC16" s="2679">
        <v>0</v>
      </c>
      <c r="AD16" s="2679">
        <v>0</v>
      </c>
      <c r="AE16" s="2679">
        <v>0</v>
      </c>
      <c r="AF16" s="2679">
        <v>0</v>
      </c>
      <c r="AG16" s="2680">
        <v>0</v>
      </c>
      <c r="AH16" s="2681">
        <v>0</v>
      </c>
      <c r="AI16" s="2681">
        <v>0</v>
      </c>
      <c r="AJ16" s="2681">
        <v>0</v>
      </c>
      <c r="AK16" s="2681">
        <v>0</v>
      </c>
      <c r="AL16" s="2681">
        <v>0</v>
      </c>
      <c r="AM16" s="2681">
        <v>0</v>
      </c>
      <c r="AN16" s="2681">
        <v>0</v>
      </c>
      <c r="AO16" s="2681">
        <v>0</v>
      </c>
      <c r="AP16" s="2681">
        <v>0</v>
      </c>
      <c r="AQ16" s="2681">
        <v>0</v>
      </c>
      <c r="AR16" s="2681">
        <v>0</v>
      </c>
      <c r="AS16" s="2681">
        <v>0</v>
      </c>
      <c r="AT16" s="2681">
        <v>0</v>
      </c>
      <c r="AU16" s="2682">
        <v>0</v>
      </c>
      <c r="AV16" s="2682">
        <v>0</v>
      </c>
      <c r="AW16" s="2682">
        <v>0</v>
      </c>
      <c r="AX16" s="2682">
        <v>0</v>
      </c>
      <c r="AY16" s="2682">
        <v>0</v>
      </c>
      <c r="AZ16" s="2682">
        <v>0</v>
      </c>
      <c r="BA16" s="2682">
        <v>0</v>
      </c>
      <c r="BB16" s="2682">
        <v>0</v>
      </c>
      <c r="BC16" s="2682">
        <v>0</v>
      </c>
      <c r="BD16" s="2682">
        <v>0</v>
      </c>
      <c r="BE16" s="2682">
        <v>0</v>
      </c>
      <c r="BF16" s="2682">
        <v>0</v>
      </c>
      <c r="BG16" s="2682">
        <v>0</v>
      </c>
      <c r="BH16" s="2682">
        <v>0</v>
      </c>
      <c r="BI16" s="2682">
        <v>0</v>
      </c>
      <c r="BJ16" s="2682">
        <v>0</v>
      </c>
      <c r="BK16" s="2682">
        <v>0</v>
      </c>
      <c r="BL16" s="2682">
        <v>0</v>
      </c>
      <c r="BM16" s="2682">
        <v>0</v>
      </c>
      <c r="BN16" s="2682">
        <v>0</v>
      </c>
      <c r="BO16" s="2682">
        <v>0</v>
      </c>
      <c r="BP16" s="2682">
        <v>0</v>
      </c>
      <c r="BQ16" s="2682">
        <v>0</v>
      </c>
      <c r="BR16" s="2682">
        <v>0</v>
      </c>
      <c r="BS16" s="2682">
        <v>0</v>
      </c>
      <c r="BT16" s="2682">
        <v>0</v>
      </c>
      <c r="BU16" s="2682">
        <v>0</v>
      </c>
      <c r="BV16" s="2682">
        <v>0</v>
      </c>
      <c r="BW16" s="2682">
        <v>0</v>
      </c>
      <c r="BX16" s="2682">
        <v>0</v>
      </c>
      <c r="BY16" s="2682">
        <v>0</v>
      </c>
      <c r="BZ16" s="2682">
        <v>0</v>
      </c>
      <c r="CA16" s="2682">
        <v>0</v>
      </c>
      <c r="CB16" s="2682">
        <v>0</v>
      </c>
      <c r="CC16" s="2682">
        <v>0</v>
      </c>
      <c r="CD16" s="2682">
        <v>0</v>
      </c>
      <c r="CE16" s="2682">
        <v>0</v>
      </c>
      <c r="CF16" s="2682">
        <v>0</v>
      </c>
      <c r="CG16" s="2682">
        <v>0</v>
      </c>
      <c r="CH16" s="2682">
        <v>0</v>
      </c>
      <c r="CI16" s="2682">
        <v>0</v>
      </c>
      <c r="CJ16" s="2682">
        <v>0</v>
      </c>
      <c r="CK16" s="2676"/>
    </row>
    <row r="17" spans="1:90" s="847" customFormat="1" ht="17.25" x14ac:dyDescent="0.3">
      <c r="A17" s="2666" t="s">
        <v>4829</v>
      </c>
      <c r="B17" s="2677" t="s">
        <v>3536</v>
      </c>
      <c r="C17" s="2668">
        <v>0.51800000000000002</v>
      </c>
      <c r="D17" s="2668">
        <v>0</v>
      </c>
      <c r="E17" s="2668">
        <v>1.7999999999999999E-2</v>
      </c>
      <c r="F17" s="2668">
        <v>0</v>
      </c>
      <c r="G17" s="2668">
        <v>0.15</v>
      </c>
      <c r="H17" s="2668">
        <v>0</v>
      </c>
      <c r="I17" s="2668">
        <v>0</v>
      </c>
      <c r="J17" s="2668">
        <v>0.5</v>
      </c>
      <c r="K17" s="2669">
        <v>0</v>
      </c>
      <c r="L17" s="2668">
        <v>1.49</v>
      </c>
      <c r="M17" s="2668">
        <v>0</v>
      </c>
      <c r="N17" s="2668">
        <v>1.7084999999999999</v>
      </c>
      <c r="O17" s="2669">
        <v>0</v>
      </c>
      <c r="P17" s="2668">
        <v>0.15</v>
      </c>
      <c r="Q17" s="2668">
        <v>0</v>
      </c>
      <c r="R17" s="2670">
        <v>0</v>
      </c>
      <c r="S17" s="2678">
        <v>0.5</v>
      </c>
      <c r="T17" s="2678">
        <v>0</v>
      </c>
      <c r="U17" s="2678">
        <v>0</v>
      </c>
      <c r="V17" s="2678">
        <v>0</v>
      </c>
      <c r="W17" s="2678">
        <v>0</v>
      </c>
      <c r="X17" s="2678">
        <v>0</v>
      </c>
      <c r="Y17" s="2678">
        <v>0</v>
      </c>
      <c r="Z17" s="2678">
        <v>0</v>
      </c>
      <c r="AA17" s="2678">
        <v>0</v>
      </c>
      <c r="AB17" s="2678">
        <v>0</v>
      </c>
      <c r="AC17" s="2679">
        <v>0</v>
      </c>
      <c r="AD17" s="2679">
        <v>0</v>
      </c>
      <c r="AE17" s="2679">
        <v>0.5</v>
      </c>
      <c r="AF17" s="2679">
        <v>0</v>
      </c>
      <c r="AG17" s="2680">
        <v>0</v>
      </c>
      <c r="AH17" s="2681">
        <v>0</v>
      </c>
      <c r="AI17" s="2681">
        <v>0.47499999999999998</v>
      </c>
      <c r="AJ17" s="2681">
        <v>0</v>
      </c>
      <c r="AK17" s="2681">
        <v>0</v>
      </c>
      <c r="AL17" s="2681">
        <v>0</v>
      </c>
      <c r="AM17" s="2681">
        <v>1.18</v>
      </c>
      <c r="AN17" s="2681">
        <v>0</v>
      </c>
      <c r="AO17" s="2681">
        <v>0.72499999999999998</v>
      </c>
      <c r="AP17" s="2681">
        <v>0</v>
      </c>
      <c r="AQ17" s="2681">
        <v>2.605</v>
      </c>
      <c r="AR17" s="2681">
        <v>0</v>
      </c>
      <c r="AS17" s="2681">
        <v>0</v>
      </c>
      <c r="AT17" s="2681">
        <v>0</v>
      </c>
      <c r="AU17" s="2682">
        <v>0</v>
      </c>
      <c r="AV17" s="2682">
        <v>0</v>
      </c>
      <c r="AW17" s="2682">
        <v>0.3</v>
      </c>
      <c r="AX17" s="2682">
        <v>0</v>
      </c>
      <c r="AY17" s="2682">
        <v>7.4999999999999997E-2</v>
      </c>
      <c r="AZ17" s="2682">
        <v>0</v>
      </c>
      <c r="BA17" s="2682">
        <v>0.13</v>
      </c>
      <c r="BB17" s="2682">
        <v>0</v>
      </c>
      <c r="BC17" s="2682">
        <v>0</v>
      </c>
      <c r="BD17" s="2682">
        <v>0</v>
      </c>
      <c r="BE17" s="2682">
        <v>0</v>
      </c>
      <c r="BF17" s="2682">
        <v>0</v>
      </c>
      <c r="BG17" s="2682">
        <v>0.48</v>
      </c>
      <c r="BH17" s="2682">
        <v>0</v>
      </c>
      <c r="BI17" s="2682">
        <v>0</v>
      </c>
      <c r="BJ17" s="2682">
        <v>0</v>
      </c>
      <c r="BK17" s="2682">
        <v>0</v>
      </c>
      <c r="BL17" s="2682">
        <v>0</v>
      </c>
      <c r="BM17" s="2682">
        <v>0</v>
      </c>
      <c r="BN17" s="2682">
        <v>0</v>
      </c>
      <c r="BO17" s="2682">
        <v>0.48</v>
      </c>
      <c r="BP17" s="2682">
        <v>0</v>
      </c>
      <c r="BQ17" s="2682">
        <v>2.8600000000000003</v>
      </c>
      <c r="BR17" s="2682">
        <v>0</v>
      </c>
      <c r="BS17" s="2682">
        <v>2.84</v>
      </c>
      <c r="BT17" s="2682">
        <v>0</v>
      </c>
      <c r="BU17" s="2682">
        <v>1.4550000000000001</v>
      </c>
      <c r="BV17" s="2682">
        <v>0</v>
      </c>
      <c r="BW17" s="2682">
        <v>1.4550000000000001</v>
      </c>
      <c r="BX17" s="2682">
        <v>0</v>
      </c>
      <c r="BY17" s="2682">
        <v>0.76</v>
      </c>
      <c r="BZ17" s="2682">
        <v>0</v>
      </c>
      <c r="CA17" s="2682">
        <v>1.4550000000000001</v>
      </c>
      <c r="CB17" s="2682">
        <v>0</v>
      </c>
      <c r="CC17" s="2682">
        <v>1.1400000000000001</v>
      </c>
      <c r="CD17" s="2682">
        <v>0</v>
      </c>
      <c r="CE17" s="2682">
        <v>2.7199999999999998</v>
      </c>
      <c r="CF17" s="2682">
        <v>0</v>
      </c>
      <c r="CG17" s="2682">
        <v>2.6199999999999997</v>
      </c>
      <c r="CH17" s="2682">
        <v>0</v>
      </c>
      <c r="CI17" s="2682">
        <v>0.57499999999999996</v>
      </c>
      <c r="CJ17" s="2682">
        <v>0</v>
      </c>
      <c r="CK17" s="2676"/>
    </row>
    <row r="18" spans="1:90" s="847" customFormat="1" ht="17.25" x14ac:dyDescent="0.3">
      <c r="A18" s="2666" t="s">
        <v>4830</v>
      </c>
      <c r="B18" s="2677" t="s">
        <v>3537</v>
      </c>
      <c r="C18" s="2668">
        <v>0.51500000000000001</v>
      </c>
      <c r="D18" s="2668">
        <v>0</v>
      </c>
      <c r="E18" s="2668">
        <v>0</v>
      </c>
      <c r="F18" s="2668">
        <v>0</v>
      </c>
      <c r="G18" s="2668">
        <v>0</v>
      </c>
      <c r="H18" s="2668">
        <v>0</v>
      </c>
      <c r="I18" s="2668">
        <v>0</v>
      </c>
      <c r="J18" s="2668">
        <v>0</v>
      </c>
      <c r="K18" s="2669">
        <v>0.64500000000000002</v>
      </c>
      <c r="L18" s="2668">
        <v>0</v>
      </c>
      <c r="M18" s="2668">
        <v>0</v>
      </c>
      <c r="N18" s="2668">
        <v>0</v>
      </c>
      <c r="O18" s="2669">
        <v>0</v>
      </c>
      <c r="P18" s="2668">
        <v>0</v>
      </c>
      <c r="Q18" s="2668">
        <v>0</v>
      </c>
      <c r="R18" s="2670">
        <v>0</v>
      </c>
      <c r="S18" s="2678">
        <v>0</v>
      </c>
      <c r="T18" s="2678">
        <v>0</v>
      </c>
      <c r="U18" s="2678">
        <v>0</v>
      </c>
      <c r="V18" s="2678">
        <v>0</v>
      </c>
      <c r="W18" s="2678">
        <v>0</v>
      </c>
      <c r="X18" s="2678">
        <v>0</v>
      </c>
      <c r="Y18" s="2678">
        <v>0</v>
      </c>
      <c r="Z18" s="2678">
        <v>0</v>
      </c>
      <c r="AA18" s="2678">
        <v>0</v>
      </c>
      <c r="AB18" s="2678">
        <v>0</v>
      </c>
      <c r="AC18" s="2679">
        <v>0</v>
      </c>
      <c r="AD18" s="2679">
        <v>0</v>
      </c>
      <c r="AE18" s="2679">
        <v>0</v>
      </c>
      <c r="AF18" s="2679">
        <v>0</v>
      </c>
      <c r="AG18" s="2680">
        <v>0</v>
      </c>
      <c r="AH18" s="2681">
        <v>0</v>
      </c>
      <c r="AI18" s="2681">
        <v>0</v>
      </c>
      <c r="AJ18" s="2681">
        <v>0</v>
      </c>
      <c r="AK18" s="2681">
        <v>0</v>
      </c>
      <c r="AL18" s="2681">
        <v>0</v>
      </c>
      <c r="AM18" s="2681">
        <v>0</v>
      </c>
      <c r="AN18" s="2681">
        <v>0</v>
      </c>
      <c r="AO18" s="2681">
        <v>0</v>
      </c>
      <c r="AP18" s="2681">
        <v>0</v>
      </c>
      <c r="AQ18" s="2681">
        <v>0</v>
      </c>
      <c r="AR18" s="2681">
        <v>0</v>
      </c>
      <c r="AS18" s="2681">
        <v>0</v>
      </c>
      <c r="AT18" s="2681">
        <v>0</v>
      </c>
      <c r="AU18" s="2682">
        <v>0</v>
      </c>
      <c r="AV18" s="2682">
        <v>0</v>
      </c>
      <c r="AW18" s="2682">
        <v>0</v>
      </c>
      <c r="AX18" s="2682">
        <v>0</v>
      </c>
      <c r="AY18" s="2682">
        <v>0</v>
      </c>
      <c r="AZ18" s="2682">
        <v>0</v>
      </c>
      <c r="BA18" s="2682">
        <v>0</v>
      </c>
      <c r="BB18" s="2682">
        <v>0</v>
      </c>
      <c r="BC18" s="2682">
        <v>0</v>
      </c>
      <c r="BD18" s="2682">
        <v>0</v>
      </c>
      <c r="BE18" s="2682">
        <v>0</v>
      </c>
      <c r="BF18" s="2682">
        <v>0</v>
      </c>
      <c r="BG18" s="2682">
        <v>0</v>
      </c>
      <c r="BH18" s="2682">
        <v>0</v>
      </c>
      <c r="BI18" s="2682">
        <v>0</v>
      </c>
      <c r="BJ18" s="2682">
        <v>0</v>
      </c>
      <c r="BK18" s="2682">
        <v>0</v>
      </c>
      <c r="BL18" s="2682">
        <v>0</v>
      </c>
      <c r="BM18" s="2682">
        <v>0</v>
      </c>
      <c r="BN18" s="2682">
        <v>0</v>
      </c>
      <c r="BO18" s="2682">
        <v>0.2</v>
      </c>
      <c r="BP18" s="2682">
        <v>0</v>
      </c>
      <c r="BQ18" s="2682">
        <v>0</v>
      </c>
      <c r="BR18" s="2682">
        <v>0</v>
      </c>
      <c r="BS18" s="2682">
        <v>0</v>
      </c>
      <c r="BT18" s="2682">
        <v>0</v>
      </c>
      <c r="BU18" s="2682">
        <v>0</v>
      </c>
      <c r="BV18" s="2682">
        <v>0</v>
      </c>
      <c r="BW18" s="2682">
        <v>0</v>
      </c>
      <c r="BX18" s="2682">
        <v>0</v>
      </c>
      <c r="BY18" s="2682">
        <v>0</v>
      </c>
      <c r="BZ18" s="2682">
        <v>0</v>
      </c>
      <c r="CA18" s="2682">
        <v>0</v>
      </c>
      <c r="CB18" s="2682">
        <v>0</v>
      </c>
      <c r="CC18" s="2682">
        <v>0</v>
      </c>
      <c r="CD18" s="2682">
        <v>0</v>
      </c>
      <c r="CE18" s="2682">
        <v>0.2</v>
      </c>
      <c r="CF18" s="2682">
        <v>0</v>
      </c>
      <c r="CG18" s="2682">
        <v>0</v>
      </c>
      <c r="CH18" s="2682">
        <v>0</v>
      </c>
      <c r="CI18" s="2682">
        <v>0.2</v>
      </c>
      <c r="CJ18" s="2682">
        <v>0</v>
      </c>
      <c r="CK18" s="2676"/>
    </row>
    <row r="19" spans="1:90" s="847" customFormat="1" ht="17.25" x14ac:dyDescent="0.3">
      <c r="A19" s="2666" t="s">
        <v>4836</v>
      </c>
      <c r="B19" s="2677" t="s">
        <v>3541</v>
      </c>
      <c r="C19" s="2668">
        <v>1.0783674999999999</v>
      </c>
      <c r="D19" s="2668">
        <v>0</v>
      </c>
      <c r="E19" s="2668">
        <v>28.08187032</v>
      </c>
      <c r="F19" s="2668">
        <v>0</v>
      </c>
      <c r="G19" s="2668">
        <v>14.991367500000001</v>
      </c>
      <c r="H19" s="2668">
        <v>0</v>
      </c>
      <c r="I19" s="2668">
        <v>2.8913674999999999</v>
      </c>
      <c r="J19" s="2668">
        <v>1</v>
      </c>
      <c r="K19" s="2669">
        <v>12.2233675</v>
      </c>
      <c r="L19" s="2668">
        <v>0</v>
      </c>
      <c r="M19" s="2668">
        <v>12.2233675</v>
      </c>
      <c r="N19" s="2668">
        <v>0</v>
      </c>
      <c r="O19" s="2669">
        <v>0.17499999999999999</v>
      </c>
      <c r="P19" s="2668">
        <v>0</v>
      </c>
      <c r="Q19" s="2668">
        <v>0.2233675</v>
      </c>
      <c r="R19" s="2670">
        <v>0</v>
      </c>
      <c r="S19" s="2678">
        <v>12.398367500000001</v>
      </c>
      <c r="T19" s="2678">
        <v>0</v>
      </c>
      <c r="U19" s="2678">
        <v>0</v>
      </c>
      <c r="V19" s="2678">
        <v>0</v>
      </c>
      <c r="W19" s="2678">
        <v>6.9233675000000003</v>
      </c>
      <c r="X19" s="2678">
        <v>0</v>
      </c>
      <c r="Y19" s="2678">
        <v>3.3233674999999998</v>
      </c>
      <c r="Z19" s="2678">
        <v>0</v>
      </c>
      <c r="AA19" s="2678">
        <v>0</v>
      </c>
      <c r="AB19" s="2678">
        <v>0</v>
      </c>
      <c r="AC19" s="2679">
        <v>0.72336750000000005</v>
      </c>
      <c r="AD19" s="2679">
        <v>0</v>
      </c>
      <c r="AE19" s="2679">
        <v>0.62</v>
      </c>
      <c r="AF19" s="2679">
        <v>0.12</v>
      </c>
      <c r="AG19" s="2680">
        <v>0.5</v>
      </c>
      <c r="AH19" s="2681">
        <v>0</v>
      </c>
      <c r="AI19" s="2681">
        <v>0.5</v>
      </c>
      <c r="AJ19" s="2681">
        <v>0</v>
      </c>
      <c r="AK19" s="2681">
        <v>0</v>
      </c>
      <c r="AL19" s="2681">
        <v>0</v>
      </c>
      <c r="AM19" s="2681">
        <v>0</v>
      </c>
      <c r="AN19" s="2681">
        <v>0</v>
      </c>
      <c r="AO19" s="2681">
        <v>0</v>
      </c>
      <c r="AP19" s="2681">
        <v>0</v>
      </c>
      <c r="AQ19" s="2681">
        <v>0</v>
      </c>
      <c r="AR19" s="2681">
        <v>0</v>
      </c>
      <c r="AS19" s="2681">
        <v>0</v>
      </c>
      <c r="AT19" s="2681">
        <v>0</v>
      </c>
      <c r="AU19" s="2682">
        <v>0.67</v>
      </c>
      <c r="AV19" s="2682">
        <v>0</v>
      </c>
      <c r="AW19" s="2682">
        <v>1.34</v>
      </c>
      <c r="AX19" s="2682">
        <v>5.0000000000000001E-3</v>
      </c>
      <c r="AY19" s="2682">
        <v>1.34</v>
      </c>
      <c r="AZ19" s="2682">
        <v>0</v>
      </c>
      <c r="BA19" s="2682">
        <v>1.369</v>
      </c>
      <c r="BB19" s="2682">
        <v>0</v>
      </c>
      <c r="BC19" s="2682">
        <v>1.94</v>
      </c>
      <c r="BD19" s="2682">
        <v>0</v>
      </c>
      <c r="BE19" s="2682">
        <v>0.5</v>
      </c>
      <c r="BF19" s="2682">
        <v>0</v>
      </c>
      <c r="BG19" s="2682">
        <v>3.242</v>
      </c>
      <c r="BH19" s="2682">
        <v>0</v>
      </c>
      <c r="BI19" s="2682">
        <v>0.63400000000000001</v>
      </c>
      <c r="BJ19" s="2682">
        <v>0</v>
      </c>
      <c r="BK19" s="2682">
        <v>1.0009999999999999</v>
      </c>
      <c r="BL19" s="2682">
        <v>0</v>
      </c>
      <c r="BM19" s="2682">
        <v>1.268</v>
      </c>
      <c r="BN19" s="2682">
        <v>0</v>
      </c>
      <c r="BO19" s="2682">
        <v>0.63400000000000001</v>
      </c>
      <c r="BP19" s="2682">
        <v>0</v>
      </c>
      <c r="BQ19" s="2682">
        <v>0.88853798000000006</v>
      </c>
      <c r="BR19" s="2682">
        <v>0</v>
      </c>
      <c r="BS19" s="2682">
        <v>0.36834544000000002</v>
      </c>
      <c r="BT19" s="2682">
        <v>0</v>
      </c>
      <c r="BU19" s="2682">
        <v>0.3</v>
      </c>
      <c r="BV19" s="2682">
        <v>0</v>
      </c>
      <c r="BW19" s="2682">
        <v>0.89999999999999991</v>
      </c>
      <c r="BX19" s="2682">
        <v>0</v>
      </c>
      <c r="BY19" s="2682">
        <v>1.2</v>
      </c>
      <c r="BZ19" s="2682">
        <v>0</v>
      </c>
      <c r="CA19" s="2682">
        <v>2.2000000000000002</v>
      </c>
      <c r="CB19" s="2682">
        <v>0</v>
      </c>
      <c r="CC19" s="2682">
        <v>2</v>
      </c>
      <c r="CD19" s="2682">
        <v>0</v>
      </c>
      <c r="CE19" s="2682">
        <v>2.02</v>
      </c>
      <c r="CF19" s="2682">
        <v>0</v>
      </c>
      <c r="CG19" s="2682">
        <v>0.68</v>
      </c>
      <c r="CH19" s="2682">
        <v>0</v>
      </c>
      <c r="CI19" s="2682">
        <v>0</v>
      </c>
      <c r="CJ19" s="2682">
        <v>0</v>
      </c>
      <c r="CK19" s="2676"/>
    </row>
    <row r="20" spans="1:90" s="847" customFormat="1" ht="18" thickBot="1" x14ac:dyDescent="0.35">
      <c r="A20" s="2666"/>
      <c r="B20" s="2684" t="s">
        <v>4841</v>
      </c>
      <c r="C20" s="2668">
        <v>0</v>
      </c>
      <c r="D20" s="2668">
        <v>0</v>
      </c>
      <c r="E20" s="2668">
        <v>0</v>
      </c>
      <c r="F20" s="2668">
        <v>0</v>
      </c>
      <c r="G20" s="2668">
        <v>0</v>
      </c>
      <c r="H20" s="2668">
        <v>0</v>
      </c>
      <c r="I20" s="2668">
        <v>0</v>
      </c>
      <c r="J20" s="2668">
        <v>0</v>
      </c>
      <c r="K20" s="2669">
        <v>0</v>
      </c>
      <c r="L20" s="2668">
        <v>0</v>
      </c>
      <c r="M20" s="2668">
        <v>0.2233675</v>
      </c>
      <c r="N20" s="2668">
        <v>0</v>
      </c>
      <c r="O20" s="2669">
        <v>0.72336750000000005</v>
      </c>
      <c r="P20" s="2668">
        <v>0</v>
      </c>
      <c r="Q20" s="2668">
        <v>0.2233675</v>
      </c>
      <c r="R20" s="2670">
        <v>0</v>
      </c>
      <c r="S20" s="2685">
        <v>0.89836749999999999</v>
      </c>
      <c r="T20" s="2685">
        <v>0</v>
      </c>
      <c r="U20" s="2685">
        <v>0.2233675</v>
      </c>
      <c r="V20" s="2685">
        <v>0</v>
      </c>
      <c r="W20" s="2685">
        <v>0.72336750000000005</v>
      </c>
      <c r="X20" s="2685">
        <v>0</v>
      </c>
      <c r="Y20" s="2685">
        <v>0.72336750000000005</v>
      </c>
      <c r="Z20" s="2685">
        <v>0</v>
      </c>
      <c r="AA20" s="2685">
        <v>0.72336750000000005</v>
      </c>
      <c r="AB20" s="2685">
        <v>0</v>
      </c>
      <c r="AC20" s="2686">
        <v>0.72336750000000005</v>
      </c>
      <c r="AD20" s="2686">
        <v>0</v>
      </c>
      <c r="AE20" s="2686">
        <v>0.62</v>
      </c>
      <c r="AF20" s="2686">
        <v>0</v>
      </c>
      <c r="AG20" s="2687">
        <v>0.5</v>
      </c>
      <c r="AH20" s="2688">
        <v>0</v>
      </c>
      <c r="AI20" s="2688">
        <v>0.5</v>
      </c>
      <c r="AJ20" s="2688">
        <v>0</v>
      </c>
      <c r="AK20" s="2688">
        <v>0.5</v>
      </c>
      <c r="AL20" s="2688">
        <v>0</v>
      </c>
      <c r="AM20" s="2688">
        <v>0.5</v>
      </c>
      <c r="AN20" s="2688">
        <v>0</v>
      </c>
      <c r="AO20" s="2688">
        <v>0.5</v>
      </c>
      <c r="AP20" s="2688">
        <v>0</v>
      </c>
      <c r="AQ20" s="2688">
        <v>0.5</v>
      </c>
      <c r="AR20" s="2688">
        <v>0</v>
      </c>
      <c r="AS20" s="2688">
        <v>0.5</v>
      </c>
      <c r="AT20" s="2688">
        <v>0</v>
      </c>
      <c r="AU20" s="2689">
        <v>0.5</v>
      </c>
      <c r="AV20" s="2689">
        <v>0</v>
      </c>
      <c r="AW20" s="2689">
        <v>0</v>
      </c>
      <c r="AX20" s="2689">
        <v>0</v>
      </c>
      <c r="AY20" s="2689">
        <v>0.5</v>
      </c>
      <c r="AZ20" s="2689">
        <v>0</v>
      </c>
      <c r="BA20" s="2689">
        <v>0.6</v>
      </c>
      <c r="BB20" s="2689">
        <v>0</v>
      </c>
      <c r="BC20" s="2689">
        <v>0</v>
      </c>
      <c r="BD20" s="2689">
        <v>0</v>
      </c>
      <c r="BE20" s="2689">
        <v>0.5</v>
      </c>
      <c r="BF20" s="2689">
        <v>0</v>
      </c>
      <c r="BG20" s="2689">
        <v>0.6</v>
      </c>
      <c r="BH20" s="2689">
        <v>0</v>
      </c>
      <c r="BI20" s="2689">
        <v>0.5</v>
      </c>
      <c r="BJ20" s="2689">
        <v>0</v>
      </c>
      <c r="BK20" s="2689">
        <v>0.6</v>
      </c>
      <c r="BL20" s="2689">
        <v>0</v>
      </c>
      <c r="BM20" s="2689">
        <v>0.7</v>
      </c>
      <c r="BN20" s="2689">
        <v>0</v>
      </c>
      <c r="BO20" s="2689">
        <v>1</v>
      </c>
      <c r="BP20" s="2689">
        <v>0</v>
      </c>
      <c r="BQ20" s="2689">
        <v>0.5</v>
      </c>
      <c r="BR20" s="2689">
        <v>0</v>
      </c>
      <c r="BS20" s="2689">
        <v>0.5</v>
      </c>
      <c r="BT20" s="2689">
        <v>0</v>
      </c>
      <c r="BU20" s="2689">
        <v>0.54699748999999998</v>
      </c>
      <c r="BV20" s="2689">
        <v>0</v>
      </c>
      <c r="BW20" s="2689">
        <v>0</v>
      </c>
      <c r="BX20" s="2689">
        <v>0.5</v>
      </c>
      <c r="BY20" s="2689">
        <v>0.25</v>
      </c>
      <c r="BZ20" s="2689">
        <v>0</v>
      </c>
      <c r="CA20" s="2689">
        <v>0.25</v>
      </c>
      <c r="CB20" s="2689">
        <v>0</v>
      </c>
      <c r="CC20" s="2689">
        <v>0.125</v>
      </c>
      <c r="CD20" s="2689">
        <v>0</v>
      </c>
      <c r="CE20" s="2689">
        <v>0.125</v>
      </c>
      <c r="CF20" s="2689">
        <v>0</v>
      </c>
      <c r="CG20" s="2689">
        <v>0.125</v>
      </c>
      <c r="CH20" s="2689">
        <v>0</v>
      </c>
      <c r="CI20" s="2689">
        <v>0.125</v>
      </c>
      <c r="CJ20" s="2689">
        <v>0</v>
      </c>
      <c r="CK20" s="2676"/>
    </row>
    <row r="21" spans="1:90" s="847" customFormat="1" ht="17.25" thickBot="1" x14ac:dyDescent="0.35">
      <c r="A21" s="2690"/>
      <c r="B21" s="2691" t="s">
        <v>4855</v>
      </c>
      <c r="C21" s="2692">
        <v>444.32264456999997</v>
      </c>
      <c r="D21" s="2692">
        <v>67.937109149999998</v>
      </c>
      <c r="E21" s="2692">
        <v>478.70386624999992</v>
      </c>
      <c r="F21" s="2692">
        <v>213.28147867999999</v>
      </c>
      <c r="G21" s="2692">
        <v>456.13916838</v>
      </c>
      <c r="H21" s="2692">
        <v>268.40811609000002</v>
      </c>
      <c r="I21" s="2692">
        <v>452.84481492999993</v>
      </c>
      <c r="J21" s="2692">
        <v>95.89818628999997</v>
      </c>
      <c r="K21" s="2693">
        <v>573.43995890000008</v>
      </c>
      <c r="L21" s="2692">
        <v>88.478604099999984</v>
      </c>
      <c r="M21" s="2692">
        <v>500.71539706000004</v>
      </c>
      <c r="N21" s="2692">
        <v>90.050020320000002</v>
      </c>
      <c r="O21" s="2693">
        <v>360.14466600000014</v>
      </c>
      <c r="P21" s="2692">
        <v>145.87572051999999</v>
      </c>
      <c r="Q21" s="2692">
        <v>321.84913534000009</v>
      </c>
      <c r="R21" s="2694">
        <v>81.837113340000002</v>
      </c>
      <c r="S21" s="2695">
        <v>380.40974782000001</v>
      </c>
      <c r="T21" s="2695">
        <v>51.111882209999997</v>
      </c>
      <c r="U21" s="2695">
        <v>292.80006737999997</v>
      </c>
      <c r="V21" s="2695">
        <v>83.959591400000008</v>
      </c>
      <c r="W21" s="2695">
        <v>325.61640484000003</v>
      </c>
      <c r="X21" s="2695">
        <v>61.551023789999995</v>
      </c>
      <c r="Y21" s="2695">
        <v>421.50654869999977</v>
      </c>
      <c r="Z21" s="2695">
        <v>54.318482850000002</v>
      </c>
      <c r="AA21" s="2695">
        <v>430.72415158999991</v>
      </c>
      <c r="AB21" s="2695">
        <v>27.638380259999998</v>
      </c>
      <c r="AC21" s="2695">
        <v>475.25981223999969</v>
      </c>
      <c r="AD21" s="2695">
        <v>60.559539319999999</v>
      </c>
      <c r="AE21" s="2695">
        <v>683.60387052999977</v>
      </c>
      <c r="AF21" s="2695">
        <v>40.487232810000002</v>
      </c>
      <c r="AG21" s="2696">
        <v>684.08168257000011</v>
      </c>
      <c r="AH21" s="2697">
        <v>32.106482</v>
      </c>
      <c r="AI21" s="2697">
        <v>618.38196891999985</v>
      </c>
      <c r="AJ21" s="2697">
        <v>44.492272999999997</v>
      </c>
      <c r="AK21" s="2697">
        <v>806.92445142000008</v>
      </c>
      <c r="AL21" s="2697">
        <v>174.61650276999998</v>
      </c>
      <c r="AM21" s="2697">
        <v>484.36738738000003</v>
      </c>
      <c r="AN21" s="2697">
        <v>51.913842799999998</v>
      </c>
      <c r="AO21" s="2697">
        <v>672.73456354000007</v>
      </c>
      <c r="AP21" s="2697">
        <v>81.75730532</v>
      </c>
      <c r="AQ21" s="2697">
        <v>533.66845474999991</v>
      </c>
      <c r="AR21" s="2697">
        <v>119.82964914999999</v>
      </c>
      <c r="AS21" s="2697">
        <v>821.95448086999977</v>
      </c>
      <c r="AT21" s="2697">
        <v>216.80167872000001</v>
      </c>
      <c r="AU21" s="2698">
        <v>518.59885364000002</v>
      </c>
      <c r="AV21" s="2698">
        <v>194.77083003999996</v>
      </c>
      <c r="AW21" s="2698">
        <v>671.35361737999995</v>
      </c>
      <c r="AX21" s="2698">
        <v>113.23819790999997</v>
      </c>
      <c r="AY21" s="2698">
        <v>608.40257401000031</v>
      </c>
      <c r="AZ21" s="2698">
        <v>114.27232855000001</v>
      </c>
      <c r="BA21" s="2698">
        <v>417.09462003000021</v>
      </c>
      <c r="BB21" s="2698">
        <v>108.49443417999998</v>
      </c>
      <c r="BC21" s="2698">
        <v>189.50669556000003</v>
      </c>
      <c r="BD21" s="2698">
        <v>82.674692430000007</v>
      </c>
      <c r="BE21" s="2698">
        <v>103.48044884000001</v>
      </c>
      <c r="BF21" s="2698">
        <v>43.79025772</v>
      </c>
      <c r="BG21" s="2698">
        <v>185.53622850000002</v>
      </c>
      <c r="BH21" s="2698">
        <v>29.725793000000003</v>
      </c>
      <c r="BI21" s="2698">
        <v>221.51330911000005</v>
      </c>
      <c r="BJ21" s="2698">
        <v>89.310814649999998</v>
      </c>
      <c r="BK21" s="2698">
        <v>242.70185143999998</v>
      </c>
      <c r="BL21" s="2698">
        <v>120.73908304000003</v>
      </c>
      <c r="BM21" s="2698">
        <v>234.44878161</v>
      </c>
      <c r="BN21" s="2698">
        <v>98.743742240000003</v>
      </c>
      <c r="BO21" s="2698">
        <v>244.84112561000001</v>
      </c>
      <c r="BP21" s="2698">
        <v>106.54486813999998</v>
      </c>
      <c r="BQ21" s="2698">
        <v>302.22575026999999</v>
      </c>
      <c r="BR21" s="2698">
        <v>30.949484660000007</v>
      </c>
      <c r="BS21" s="2698">
        <v>307.88655777999992</v>
      </c>
      <c r="BT21" s="2698">
        <v>38.961523929999998</v>
      </c>
      <c r="BU21" s="2698">
        <v>224.39715151000001</v>
      </c>
      <c r="BV21" s="2698">
        <v>63.745080530000003</v>
      </c>
      <c r="BW21" s="2698">
        <v>152.73300957000004</v>
      </c>
      <c r="BX21" s="2698">
        <v>80.058323090000002</v>
      </c>
      <c r="BY21" s="2698">
        <v>205.10191079000001</v>
      </c>
      <c r="BZ21" s="2698">
        <v>31.616552640000002</v>
      </c>
      <c r="CA21" s="2698">
        <v>336.12626178999989</v>
      </c>
      <c r="CB21" s="2698">
        <v>26.247622280000002</v>
      </c>
      <c r="CC21" s="2698">
        <v>502.32391356000016</v>
      </c>
      <c r="CD21" s="2698">
        <v>23.278827160000002</v>
      </c>
      <c r="CE21" s="2698">
        <v>540.94328652000002</v>
      </c>
      <c r="CF21" s="2698">
        <v>45.859028380000005</v>
      </c>
      <c r="CG21" s="2698">
        <f>SUM(CG6:CG20)</f>
        <v>439.97529507999991</v>
      </c>
      <c r="CH21" s="2698">
        <f>SUM(CH6:CH20)</f>
        <v>86.472729430000015</v>
      </c>
      <c r="CI21" s="2699">
        <f>SUM(CI6:CI20)</f>
        <v>485.71163467999986</v>
      </c>
      <c r="CJ21" s="2699">
        <f>SUM(CJ6:CJ20)</f>
        <v>222.34631021000001</v>
      </c>
      <c r="CK21" s="2676"/>
    </row>
    <row r="22" spans="1:90" s="847" customFormat="1" ht="17.25" thickBot="1" x14ac:dyDescent="0.35">
      <c r="A22" s="3918" t="s">
        <v>3950</v>
      </c>
      <c r="B22" s="3919"/>
      <c r="C22" s="3919"/>
      <c r="D22" s="3919"/>
      <c r="E22" s="3919"/>
      <c r="F22" s="3919"/>
      <c r="G22" s="3919"/>
      <c r="H22" s="3919"/>
      <c r="I22" s="3919"/>
      <c r="J22" s="3919"/>
      <c r="K22" s="3919"/>
      <c r="L22" s="3919"/>
      <c r="M22" s="3919"/>
      <c r="N22" s="3919"/>
      <c r="O22" s="3919"/>
      <c r="P22" s="3919"/>
      <c r="Q22" s="3919"/>
      <c r="R22" s="3919"/>
      <c r="S22" s="3919"/>
      <c r="T22" s="3919"/>
      <c r="U22" s="3919"/>
      <c r="V22" s="3919"/>
      <c r="W22" s="3919"/>
      <c r="X22" s="3919"/>
      <c r="Y22" s="3919"/>
      <c r="Z22" s="3919"/>
      <c r="AA22" s="3919"/>
      <c r="AB22" s="3919"/>
      <c r="AC22" s="3919"/>
      <c r="AD22" s="3919"/>
      <c r="AE22" s="3919"/>
      <c r="AF22" s="3919"/>
      <c r="AG22" s="3919"/>
      <c r="AH22" s="3919"/>
      <c r="AI22" s="3919"/>
      <c r="AJ22" s="3919"/>
      <c r="AK22" s="3919"/>
      <c r="AL22" s="3919"/>
      <c r="AM22" s="3919"/>
      <c r="AN22" s="3919"/>
      <c r="AO22" s="3919"/>
      <c r="AP22" s="3919"/>
      <c r="AQ22" s="3919"/>
      <c r="AR22" s="3919"/>
      <c r="AS22" s="3919"/>
      <c r="AT22" s="3919"/>
      <c r="AU22" s="3919"/>
      <c r="AV22" s="3919"/>
      <c r="AW22" s="3919"/>
      <c r="AX22" s="3919"/>
      <c r="AY22" s="3919"/>
      <c r="AZ22" s="3919"/>
      <c r="BA22" s="3919"/>
      <c r="BB22" s="3919"/>
      <c r="BC22" s="3919"/>
      <c r="BD22" s="3919"/>
      <c r="BE22" s="3919"/>
      <c r="BF22" s="3919"/>
      <c r="BG22" s="3919"/>
      <c r="BH22" s="3919"/>
      <c r="BI22" s="3919"/>
      <c r="BJ22" s="3919"/>
      <c r="BK22" s="3919"/>
      <c r="BL22" s="3919"/>
      <c r="BM22" s="3919"/>
      <c r="BN22" s="3919"/>
      <c r="BO22" s="3919"/>
      <c r="BP22" s="3919"/>
      <c r="BQ22" s="3919"/>
      <c r="BR22" s="3919"/>
      <c r="BS22" s="3919"/>
      <c r="BT22" s="3919"/>
      <c r="BU22" s="3919"/>
      <c r="BV22" s="3919"/>
      <c r="BW22" s="3919"/>
      <c r="BX22" s="3919"/>
      <c r="BY22" s="3919"/>
      <c r="BZ22" s="3919"/>
      <c r="CA22" s="3919"/>
      <c r="CB22" s="3919"/>
      <c r="CC22" s="3919"/>
      <c r="CD22" s="3919"/>
      <c r="CE22" s="3919"/>
      <c r="CF22" s="3919"/>
      <c r="CG22" s="3919"/>
      <c r="CH22" s="3919"/>
      <c r="CI22" s="3919"/>
      <c r="CJ22" s="3920"/>
      <c r="CK22" s="2676"/>
    </row>
    <row r="23" spans="1:90" ht="16.5" x14ac:dyDescent="0.3">
      <c r="A23" s="2700" t="s">
        <v>4816</v>
      </c>
      <c r="B23" s="2667" t="s">
        <v>3528</v>
      </c>
      <c r="C23" s="2701">
        <v>12.186464998992015</v>
      </c>
      <c r="D23" s="2701">
        <v>0</v>
      </c>
      <c r="E23" s="2701">
        <v>77.323555206577325</v>
      </c>
      <c r="F23" s="2701">
        <v>1.130804388123859</v>
      </c>
      <c r="G23" s="2701">
        <v>28.844582861843293</v>
      </c>
      <c r="H23" s="2701">
        <v>0.9446048168175748</v>
      </c>
      <c r="I23" s="2701">
        <v>0</v>
      </c>
      <c r="J23" s="2701">
        <v>0.30295426400957287</v>
      </c>
      <c r="K23" s="2701">
        <v>11.815775575628594</v>
      </c>
      <c r="L23" s="2701">
        <v>0.40766431022960353</v>
      </c>
      <c r="M23" s="2701">
        <v>0</v>
      </c>
      <c r="N23" s="2701">
        <v>0.91883915723270793</v>
      </c>
      <c r="O23" s="2701">
        <v>3.511321498675068</v>
      </c>
      <c r="P23" s="2701">
        <v>0.41285904817574165</v>
      </c>
      <c r="Q23" s="2701">
        <v>7.1360126291799402</v>
      </c>
      <c r="R23" s="2653">
        <v>0</v>
      </c>
      <c r="S23" s="2702">
        <v>0.81292066796621554</v>
      </c>
      <c r="T23" s="2702">
        <v>0</v>
      </c>
      <c r="U23" s="2702">
        <v>8.2581384452785955E-2</v>
      </c>
      <c r="V23" s="2702">
        <v>0</v>
      </c>
      <c r="W23" s="2702">
        <v>7.9503565306568533E-2</v>
      </c>
      <c r="X23" s="2702">
        <v>0</v>
      </c>
      <c r="Y23" s="2702">
        <v>0</v>
      </c>
      <c r="Z23" s="2702">
        <v>0</v>
      </c>
      <c r="AA23" s="2702">
        <v>0</v>
      </c>
      <c r="AB23" s="2702">
        <v>0</v>
      </c>
      <c r="AC23" s="2702">
        <v>3.2817642847636241</v>
      </c>
      <c r="AD23" s="2702">
        <v>9.3622569938775643E-2</v>
      </c>
      <c r="AE23" s="2702">
        <v>0.78892430414499048</v>
      </c>
      <c r="AF23" s="2703">
        <v>0.24653140808513804</v>
      </c>
      <c r="AG23" s="2704">
        <v>0.80567846090012984</v>
      </c>
      <c r="AH23" s="2704">
        <v>0</v>
      </c>
      <c r="AI23" s="2704">
        <v>2.6425210757909809</v>
      </c>
      <c r="AJ23" s="2704">
        <v>1.2522970117991752</v>
      </c>
      <c r="AK23" s="2704">
        <v>2.5428629468907666</v>
      </c>
      <c r="AL23" s="2704">
        <v>14.550974176833076</v>
      </c>
      <c r="AM23" s="2704">
        <v>2.976738940314807</v>
      </c>
      <c r="AN23" s="2704">
        <v>3.2691919422423235E-2</v>
      </c>
      <c r="AO23" s="2704">
        <v>4.1980743454860185</v>
      </c>
      <c r="AP23" s="2704">
        <v>0</v>
      </c>
      <c r="AQ23" s="2704">
        <v>0.19037331155144765</v>
      </c>
      <c r="AR23" s="2704">
        <v>0</v>
      </c>
      <c r="AS23" s="2704">
        <v>1.0559276819322165</v>
      </c>
      <c r="AT23" s="2704">
        <v>1.6254748494932065</v>
      </c>
      <c r="AU23" s="2675">
        <v>0.38328394730746662</v>
      </c>
      <c r="AV23" s="2675">
        <v>4.4418045343586759E-2</v>
      </c>
      <c r="AW23" s="2675">
        <v>1.3657179921274389</v>
      </c>
      <c r="AX23" s="2675">
        <v>2.897862089534638E-2</v>
      </c>
      <c r="AY23" s="2675">
        <v>3.913228206619229</v>
      </c>
      <c r="AZ23" s="2675">
        <v>1.1008058944319621</v>
      </c>
      <c r="BA23" s="2675">
        <v>2.9006444721401863</v>
      </c>
      <c r="BB23" s="2675">
        <v>0</v>
      </c>
      <c r="BC23" s="2675">
        <v>1.9448251452762815</v>
      </c>
      <c r="BD23" s="2675">
        <v>0</v>
      </c>
      <c r="BE23" s="2675">
        <v>10.094280390311756</v>
      </c>
      <c r="BF23" s="2675">
        <v>0.53638827596908933</v>
      </c>
      <c r="BG23" s="2675">
        <v>0</v>
      </c>
      <c r="BH23" s="2675">
        <v>3.2242164647705636</v>
      </c>
      <c r="BI23" s="2675">
        <v>0</v>
      </c>
      <c r="BJ23" s="2675">
        <v>3.8408461885902496</v>
      </c>
      <c r="BK23" s="2675">
        <v>0.60665580204894709</v>
      </c>
      <c r="BL23" s="2675">
        <v>0</v>
      </c>
      <c r="BM23" s="2675">
        <v>0.11911765578572518</v>
      </c>
      <c r="BN23" s="2675">
        <v>11.970531576726785</v>
      </c>
      <c r="BO23" s="2675">
        <v>0.29159637887264594</v>
      </c>
      <c r="BP23" s="2675">
        <v>12.52439304613589</v>
      </c>
      <c r="BQ23" s="2675">
        <v>0.59303255270567989</v>
      </c>
      <c r="BR23" s="2675">
        <v>12.901422456859189</v>
      </c>
      <c r="BS23" s="2675">
        <v>3.4135021438603443</v>
      </c>
      <c r="BT23" s="2675">
        <v>14.163785113191903</v>
      </c>
      <c r="BU23" s="2675">
        <v>9.6561943443422873</v>
      </c>
      <c r="BV23" s="2675">
        <v>4.0007749686443361</v>
      </c>
      <c r="BW23" s="2675">
        <v>1.0717221585835335</v>
      </c>
      <c r="BX23" s="2675">
        <v>6.1375276680306028</v>
      </c>
      <c r="BY23" s="2675">
        <v>1.1916431373665544</v>
      </c>
      <c r="BZ23" s="2675">
        <v>0.20928609929903824</v>
      </c>
      <c r="CA23" s="2675">
        <v>0.21697845023557005</v>
      </c>
      <c r="CB23" s="2675">
        <v>2.140422178509632</v>
      </c>
      <c r="CC23" s="2675">
        <v>2.0816963830743958</v>
      </c>
      <c r="CD23" s="2675">
        <v>0.12946451458849584</v>
      </c>
      <c r="CE23" s="2675">
        <v>4.035226620761593</v>
      </c>
      <c r="CF23" s="2675">
        <v>0.541912585885859</v>
      </c>
      <c r="CG23" s="2675">
        <v>5.1910173424796735</v>
      </c>
      <c r="CH23" s="2675">
        <v>0</v>
      </c>
      <c r="CI23" s="2675">
        <v>5.4380105526681239</v>
      </c>
      <c r="CJ23" s="2675">
        <v>0</v>
      </c>
      <c r="CK23" s="2676"/>
      <c r="CL23" s="847"/>
    </row>
    <row r="24" spans="1:90" ht="16.5" x14ac:dyDescent="0.3">
      <c r="A24" s="2666" t="s">
        <v>4818</v>
      </c>
      <c r="B24" s="2677" t="s">
        <v>1149</v>
      </c>
      <c r="C24" s="2701">
        <v>48.326687526136048</v>
      </c>
      <c r="D24" s="2701">
        <v>4.3691120161310808</v>
      </c>
      <c r="E24" s="2701">
        <v>49.623442357508161</v>
      </c>
      <c r="F24" s="2701">
        <v>2.0262237960037353</v>
      </c>
      <c r="G24" s="2701">
        <v>26.696344396656794</v>
      </c>
      <c r="H24" s="2701">
        <v>1.3359000190246217</v>
      </c>
      <c r="I24" s="2701">
        <v>45.970114630170748</v>
      </c>
      <c r="J24" s="2701">
        <v>1.1867547525182875</v>
      </c>
      <c r="K24" s="2701">
        <v>46.157896301157521</v>
      </c>
      <c r="L24" s="2701">
        <v>0.4093509919101882</v>
      </c>
      <c r="M24" s="2701">
        <v>4.3195012484276107</v>
      </c>
      <c r="N24" s="2701">
        <v>0.57202712550150403</v>
      </c>
      <c r="O24" s="2701">
        <v>46.584908350872631</v>
      </c>
      <c r="P24" s="2701">
        <v>1.0677173651502767</v>
      </c>
      <c r="Q24" s="2701">
        <v>41.95401868338547</v>
      </c>
      <c r="R24" s="2653">
        <v>0.22866942350764269</v>
      </c>
      <c r="S24" s="2705">
        <v>2.4835353005854235</v>
      </c>
      <c r="T24" s="2705">
        <v>0</v>
      </c>
      <c r="U24" s="2705">
        <v>11.667013723009307</v>
      </c>
      <c r="V24" s="2705">
        <v>0</v>
      </c>
      <c r="W24" s="2705">
        <v>10.61855242710636</v>
      </c>
      <c r="X24" s="2705">
        <v>0.11277420462035721</v>
      </c>
      <c r="Y24" s="2705">
        <v>5.477302000316782</v>
      </c>
      <c r="Z24" s="2705">
        <v>0</v>
      </c>
      <c r="AA24" s="2705">
        <v>5.2333616809475085</v>
      </c>
      <c r="AB24" s="2705">
        <v>0.63088010351057622</v>
      </c>
      <c r="AC24" s="2705">
        <v>5.0867115810309391</v>
      </c>
      <c r="AD24" s="2705">
        <v>0</v>
      </c>
      <c r="AE24" s="2705">
        <v>6.7367785608633959</v>
      </c>
      <c r="AF24" s="2706">
        <v>8.6409766962892015E-2</v>
      </c>
      <c r="AG24" s="2707">
        <v>7.3727945753799631</v>
      </c>
      <c r="AH24" s="2707">
        <v>9.4550833360280848E-2</v>
      </c>
      <c r="AI24" s="2707">
        <v>6.8422684875158968</v>
      </c>
      <c r="AJ24" s="2707">
        <v>0</v>
      </c>
      <c r="AK24" s="2707">
        <v>4.0624531296114759</v>
      </c>
      <c r="AL24" s="2707">
        <v>2.2832913307821133E-2</v>
      </c>
      <c r="AM24" s="2707">
        <v>2.3342528236893956</v>
      </c>
      <c r="AN24" s="2707">
        <v>0</v>
      </c>
      <c r="AO24" s="2707">
        <v>4.4236502334325687</v>
      </c>
      <c r="AP24" s="2707">
        <v>0</v>
      </c>
      <c r="AQ24" s="2707">
        <v>3.599635709223588</v>
      </c>
      <c r="AR24" s="2707">
        <v>0.38285805505827641</v>
      </c>
      <c r="AS24" s="2707">
        <v>3.4242270879047583</v>
      </c>
      <c r="AT24" s="2707">
        <v>0.22091712495641389</v>
      </c>
      <c r="AU24" s="2682">
        <v>2.697640782752186</v>
      </c>
      <c r="AV24" s="2682">
        <v>1.8676710906509784</v>
      </c>
      <c r="AW24" s="2682">
        <v>4.7022192510011003</v>
      </c>
      <c r="AX24" s="2682">
        <v>0.40012098758955578</v>
      </c>
      <c r="AY24" s="2682">
        <v>2.7109735736857905</v>
      </c>
      <c r="AZ24" s="2682">
        <v>0.22154252929092597</v>
      </c>
      <c r="BA24" s="2682">
        <v>2.0390498408119013</v>
      </c>
      <c r="BB24" s="2682">
        <v>0.15869014189214647</v>
      </c>
      <c r="BC24" s="2682">
        <v>3.9664975040459387</v>
      </c>
      <c r="BD24" s="2682">
        <v>0</v>
      </c>
      <c r="BE24" s="2682">
        <v>2.123764843678055</v>
      </c>
      <c r="BF24" s="2682">
        <v>0</v>
      </c>
      <c r="BG24" s="2682">
        <v>1.5033084141988122</v>
      </c>
      <c r="BH24" s="2682">
        <v>0</v>
      </c>
      <c r="BI24" s="2682">
        <v>2.2886238873544049</v>
      </c>
      <c r="BJ24" s="2682">
        <v>0.60395131485391418</v>
      </c>
      <c r="BK24" s="2682">
        <v>3.6884903007955554</v>
      </c>
      <c r="BL24" s="2682">
        <v>3.1460608556468976</v>
      </c>
      <c r="BM24" s="2682">
        <v>3.8625413962064283</v>
      </c>
      <c r="BN24" s="2682">
        <v>5.6017494120306957</v>
      </c>
      <c r="BO24" s="2682">
        <v>4.0467575890052867</v>
      </c>
      <c r="BP24" s="2682">
        <v>3.2852792890616089</v>
      </c>
      <c r="BQ24" s="2682">
        <v>3.1727911217878866</v>
      </c>
      <c r="BR24" s="2682">
        <v>4.1426832539186016</v>
      </c>
      <c r="BS24" s="2682">
        <v>4.9806854763715833</v>
      </c>
      <c r="BT24" s="2682">
        <v>1.8902877341541364</v>
      </c>
      <c r="BU24" s="2682">
        <v>4.7075028812320925</v>
      </c>
      <c r="BV24" s="2682">
        <v>0.50409176297967995</v>
      </c>
      <c r="BW24" s="2682">
        <v>3.8298387852480991</v>
      </c>
      <c r="BX24" s="2682">
        <v>0</v>
      </c>
      <c r="BY24" s="2682">
        <v>3.0310236478956534</v>
      </c>
      <c r="BZ24" s="2682">
        <v>0</v>
      </c>
      <c r="CA24" s="2682">
        <v>5.493899828228539</v>
      </c>
      <c r="CB24" s="2682">
        <v>0</v>
      </c>
      <c r="CC24" s="2682">
        <v>3.698688571656723</v>
      </c>
      <c r="CD24" s="2682">
        <v>0</v>
      </c>
      <c r="CE24" s="2682">
        <v>4.9621757573043634</v>
      </c>
      <c r="CF24" s="2682">
        <v>0</v>
      </c>
      <c r="CG24" s="2682">
        <v>6.1157417045910352</v>
      </c>
      <c r="CH24" s="2682">
        <v>0.15021040126960999</v>
      </c>
      <c r="CI24" s="2682">
        <v>5.6934199098006983</v>
      </c>
      <c r="CJ24" s="2682">
        <v>2.9015146237128482</v>
      </c>
      <c r="CK24" s="2676"/>
      <c r="CL24" s="847"/>
    </row>
    <row r="25" spans="1:90" s="847" customFormat="1" ht="16.5" x14ac:dyDescent="0.3">
      <c r="A25" s="2666" t="s">
        <v>4819</v>
      </c>
      <c r="B25" s="2677" t="s">
        <v>3530</v>
      </c>
      <c r="C25" s="2701"/>
      <c r="D25" s="2701"/>
      <c r="E25" s="2701"/>
      <c r="F25" s="2701"/>
      <c r="G25" s="2701"/>
      <c r="H25" s="2701"/>
      <c r="I25" s="2701"/>
      <c r="J25" s="2701"/>
      <c r="K25" s="2708"/>
      <c r="L25" s="2701"/>
      <c r="M25" s="2701"/>
      <c r="N25" s="2701"/>
      <c r="O25" s="2708"/>
      <c r="P25" s="2701"/>
      <c r="Q25" s="2701"/>
      <c r="R25" s="2653"/>
      <c r="S25" s="2705"/>
      <c r="T25" s="2705"/>
      <c r="U25" s="2705"/>
      <c r="V25" s="2705"/>
      <c r="W25" s="2705"/>
      <c r="X25" s="2705"/>
      <c r="Y25" s="2705"/>
      <c r="Z25" s="2705"/>
      <c r="AA25" s="2705"/>
      <c r="AB25" s="2705"/>
      <c r="AC25" s="2705"/>
      <c r="AD25" s="2705"/>
      <c r="AE25" s="2705">
        <v>0</v>
      </c>
      <c r="AF25" s="2706">
        <v>0</v>
      </c>
      <c r="AG25" s="2707">
        <v>0</v>
      </c>
      <c r="AH25" s="2707">
        <v>0</v>
      </c>
      <c r="AI25" s="2707">
        <v>0</v>
      </c>
      <c r="AJ25" s="2707">
        <v>0.16761059888091145</v>
      </c>
      <c r="AK25" s="2707">
        <v>0</v>
      </c>
      <c r="AL25" s="2707">
        <v>0</v>
      </c>
      <c r="AM25" s="2707">
        <v>0</v>
      </c>
      <c r="AN25" s="2707">
        <v>0</v>
      </c>
      <c r="AO25" s="2707">
        <v>0</v>
      </c>
      <c r="AP25" s="2707">
        <v>0</v>
      </c>
      <c r="AQ25" s="2707">
        <v>0</v>
      </c>
      <c r="AR25" s="2707">
        <v>0</v>
      </c>
      <c r="AS25" s="2707">
        <v>0</v>
      </c>
      <c r="AT25" s="2707">
        <v>0</v>
      </c>
      <c r="AU25" s="2682">
        <v>0</v>
      </c>
      <c r="AV25" s="2682">
        <v>0</v>
      </c>
      <c r="AW25" s="2682">
        <v>0</v>
      </c>
      <c r="AX25" s="2682">
        <v>0.84846825575581575</v>
      </c>
      <c r="AY25" s="2682">
        <v>0</v>
      </c>
      <c r="AZ25" s="2682">
        <v>0</v>
      </c>
      <c r="BA25" s="2682">
        <v>0</v>
      </c>
      <c r="BB25" s="2682">
        <v>0</v>
      </c>
      <c r="BC25" s="2682">
        <v>0</v>
      </c>
      <c r="BD25" s="2682">
        <v>1.1675638319584825</v>
      </c>
      <c r="BE25" s="2682">
        <v>0</v>
      </c>
      <c r="BF25" s="2682">
        <v>0</v>
      </c>
      <c r="BG25" s="2682">
        <v>0</v>
      </c>
      <c r="BH25" s="2682">
        <v>0</v>
      </c>
      <c r="BI25" s="2682">
        <v>0</v>
      </c>
      <c r="BJ25" s="2682">
        <v>0</v>
      </c>
      <c r="BK25" s="2682">
        <v>0</v>
      </c>
      <c r="BL25" s="2682">
        <v>7.6843713178376891E-2</v>
      </c>
      <c r="BM25" s="2682">
        <v>0</v>
      </c>
      <c r="BN25" s="2682">
        <v>0</v>
      </c>
      <c r="BO25" s="2682">
        <v>0</v>
      </c>
      <c r="BP25" s="2682">
        <v>0.16986724743849077</v>
      </c>
      <c r="BQ25" s="2682">
        <v>0</v>
      </c>
      <c r="BR25" s="2682">
        <v>0.13113139530776741</v>
      </c>
      <c r="BS25" s="2682">
        <v>0</v>
      </c>
      <c r="BT25" s="2682">
        <v>0</v>
      </c>
      <c r="BU25" s="2682">
        <v>0</v>
      </c>
      <c r="BV25" s="2682">
        <v>0</v>
      </c>
      <c r="BW25" s="2682">
        <v>0</v>
      </c>
      <c r="BX25" s="2682">
        <v>0</v>
      </c>
      <c r="BY25" s="2682">
        <v>0</v>
      </c>
      <c r="BZ25" s="2682">
        <v>0</v>
      </c>
      <c r="CA25" s="2682">
        <v>0</v>
      </c>
      <c r="CB25" s="2682">
        <v>0</v>
      </c>
      <c r="CC25" s="2682">
        <v>0</v>
      </c>
      <c r="CD25" s="2682">
        <v>0</v>
      </c>
      <c r="CE25" s="2682">
        <v>0</v>
      </c>
      <c r="CF25" s="2682">
        <v>0</v>
      </c>
      <c r="CG25" s="2682">
        <v>0</v>
      </c>
      <c r="CH25" s="2682">
        <v>0</v>
      </c>
      <c r="CI25" s="2682">
        <v>0</v>
      </c>
      <c r="CJ25" s="2682">
        <v>0.35615254922178713</v>
      </c>
      <c r="CK25" s="2676"/>
    </row>
    <row r="26" spans="1:90" s="847" customFormat="1" ht="16.5" x14ac:dyDescent="0.3">
      <c r="A26" s="2666" t="s">
        <v>4820</v>
      </c>
      <c r="B26" s="2677" t="s">
        <v>3531</v>
      </c>
      <c r="C26" s="2701"/>
      <c r="D26" s="2701"/>
      <c r="E26" s="2701"/>
      <c r="F26" s="2701"/>
      <c r="G26" s="2701"/>
      <c r="H26" s="2701"/>
      <c r="I26" s="2701"/>
      <c r="J26" s="2701"/>
      <c r="K26" s="2708"/>
      <c r="L26" s="2701"/>
      <c r="M26" s="2701"/>
      <c r="N26" s="2701"/>
      <c r="O26" s="2708"/>
      <c r="P26" s="2701"/>
      <c r="Q26" s="2701"/>
      <c r="R26" s="2653"/>
      <c r="S26" s="2705"/>
      <c r="T26" s="2705"/>
      <c r="U26" s="2705"/>
      <c r="V26" s="2705"/>
      <c r="W26" s="2705"/>
      <c r="X26" s="2705"/>
      <c r="Y26" s="2705"/>
      <c r="Z26" s="2705"/>
      <c r="AA26" s="2705"/>
      <c r="AB26" s="2705"/>
      <c r="AC26" s="2705"/>
      <c r="AD26" s="2705"/>
      <c r="AE26" s="2705"/>
      <c r="AF26" s="2705"/>
      <c r="AG26" s="2709"/>
      <c r="AH26" s="2707"/>
      <c r="AI26" s="2707">
        <v>0</v>
      </c>
      <c r="AJ26" s="2707">
        <v>0</v>
      </c>
      <c r="AK26" s="2707">
        <v>0</v>
      </c>
      <c r="AL26" s="2707">
        <v>0</v>
      </c>
      <c r="AM26" s="2707">
        <v>0</v>
      </c>
      <c r="AN26" s="2707">
        <v>0</v>
      </c>
      <c r="AO26" s="2707">
        <v>0</v>
      </c>
      <c r="AP26" s="2707">
        <v>0</v>
      </c>
      <c r="AQ26" s="2707">
        <v>0</v>
      </c>
      <c r="AR26" s="2707">
        <v>0</v>
      </c>
      <c r="AS26" s="2707">
        <v>0</v>
      </c>
      <c r="AT26" s="2707">
        <v>0</v>
      </c>
      <c r="AU26" s="2682">
        <v>0</v>
      </c>
      <c r="AV26" s="2682">
        <v>0</v>
      </c>
      <c r="AW26" s="2682">
        <v>0</v>
      </c>
      <c r="AX26" s="2682">
        <v>0</v>
      </c>
      <c r="AY26" s="2682">
        <v>0</v>
      </c>
      <c r="AZ26" s="2682">
        <v>0</v>
      </c>
      <c r="BA26" s="2682">
        <v>0</v>
      </c>
      <c r="BB26" s="2682">
        <v>0</v>
      </c>
      <c r="BC26" s="2682">
        <v>0</v>
      </c>
      <c r="BD26" s="2682">
        <v>0</v>
      </c>
      <c r="BE26" s="2682">
        <v>0</v>
      </c>
      <c r="BF26" s="2682">
        <v>0</v>
      </c>
      <c r="BG26" s="2682">
        <v>0</v>
      </c>
      <c r="BH26" s="2682">
        <v>0</v>
      </c>
      <c r="BI26" s="2682">
        <v>4.6969079096161215E-2</v>
      </c>
      <c r="BJ26" s="2682">
        <v>0</v>
      </c>
      <c r="BK26" s="2682">
        <v>4.8666915355638517E-2</v>
      </c>
      <c r="BL26" s="2682">
        <v>0</v>
      </c>
      <c r="BM26" s="2682">
        <v>0.13764660050006208</v>
      </c>
      <c r="BN26" s="2682">
        <v>0</v>
      </c>
      <c r="BO26" s="2682">
        <v>0.27201349469983138</v>
      </c>
      <c r="BP26" s="2682">
        <v>0</v>
      </c>
      <c r="BQ26" s="2682">
        <v>0.28838661783305325</v>
      </c>
      <c r="BR26" s="2682">
        <v>0</v>
      </c>
      <c r="BS26" s="2682">
        <v>0.3097386925651171</v>
      </c>
      <c r="BT26" s="2682">
        <v>0</v>
      </c>
      <c r="BU26" s="2682">
        <v>0.31810095392158133</v>
      </c>
      <c r="BV26" s="2682">
        <v>0</v>
      </c>
      <c r="BW26" s="2682">
        <v>0.31617654517493654</v>
      </c>
      <c r="BX26" s="2682">
        <v>0</v>
      </c>
      <c r="BY26" s="2682">
        <v>0.31675880050746663</v>
      </c>
      <c r="BZ26" s="2682">
        <v>0</v>
      </c>
      <c r="CA26" s="2682">
        <v>0.30796650124955449</v>
      </c>
      <c r="CB26" s="2682">
        <v>0</v>
      </c>
      <c r="CC26" s="2682">
        <v>0.31301674987929473</v>
      </c>
      <c r="CD26" s="2682">
        <v>0</v>
      </c>
      <c r="CE26" s="2682">
        <v>0.51767378203417147</v>
      </c>
      <c r="CF26" s="2682">
        <v>0</v>
      </c>
      <c r="CG26" s="2682">
        <v>0.73218479879693765</v>
      </c>
      <c r="CH26" s="2682">
        <v>0</v>
      </c>
      <c r="CI26" s="2682">
        <v>0.70659216631599464</v>
      </c>
      <c r="CJ26" s="2682">
        <v>0</v>
      </c>
      <c r="CK26" s="2676"/>
    </row>
    <row r="27" spans="1:90" ht="16.5" x14ac:dyDescent="0.3">
      <c r="A27" s="2666" t="s">
        <v>4821</v>
      </c>
      <c r="B27" s="2677" t="s">
        <v>1150</v>
      </c>
      <c r="C27" s="2701">
        <v>6.8231160773080637</v>
      </c>
      <c r="D27" s="2701">
        <v>0.88471917591609084</v>
      </c>
      <c r="E27" s="2701">
        <v>6.7353739781390161</v>
      </c>
      <c r="F27" s="2701">
        <v>1.3249809955741534</v>
      </c>
      <c r="G27" s="2701">
        <v>6.7207583898531276</v>
      </c>
      <c r="H27" s="2701">
        <v>2.2896361428380945</v>
      </c>
      <c r="I27" s="2701">
        <v>6.6430700622147363</v>
      </c>
      <c r="J27" s="2701">
        <v>2.9651192383426781</v>
      </c>
      <c r="K27" s="2701">
        <v>0</v>
      </c>
      <c r="L27" s="2701">
        <v>3.090112321583518</v>
      </c>
      <c r="M27" s="2701">
        <v>0.91764894159930066</v>
      </c>
      <c r="N27" s="2701">
        <v>1.7143827793775395</v>
      </c>
      <c r="O27" s="2701">
        <v>8.6838502101096182</v>
      </c>
      <c r="P27" s="2701">
        <v>4.1070326621715086E-2</v>
      </c>
      <c r="Q27" s="2701">
        <v>0.51419401821625055</v>
      </c>
      <c r="R27" s="2653">
        <v>0</v>
      </c>
      <c r="S27" s="2705">
        <v>0.15126504559498635</v>
      </c>
      <c r="T27" s="2705">
        <v>0.27403554462084279</v>
      </c>
      <c r="U27" s="2705">
        <v>0.45393220965218772</v>
      </c>
      <c r="V27" s="2705">
        <v>0.26504080774744054</v>
      </c>
      <c r="W27" s="2705">
        <v>2.1224269787078289</v>
      </c>
      <c r="X27" s="2705">
        <v>0</v>
      </c>
      <c r="Y27" s="2705">
        <v>2.0101730086341858</v>
      </c>
      <c r="Z27" s="2705">
        <v>0</v>
      </c>
      <c r="AA27" s="2705">
        <v>0.94165599927406241</v>
      </c>
      <c r="AB27" s="2705">
        <v>0</v>
      </c>
      <c r="AC27" s="2705">
        <v>0.39522355877349702</v>
      </c>
      <c r="AD27" s="2705">
        <v>0</v>
      </c>
      <c r="AE27" s="2705">
        <v>0.78744317670152053</v>
      </c>
      <c r="AF27" s="2706">
        <v>0</v>
      </c>
      <c r="AG27" s="2707">
        <v>0.38847288149445658</v>
      </c>
      <c r="AH27" s="2707">
        <v>0</v>
      </c>
      <c r="AI27" s="2707">
        <v>1.2307623911020873</v>
      </c>
      <c r="AJ27" s="2707">
        <v>0</v>
      </c>
      <c r="AK27" s="2707">
        <v>0</v>
      </c>
      <c r="AL27" s="2707">
        <v>0</v>
      </c>
      <c r="AM27" s="2707">
        <v>0</v>
      </c>
      <c r="AN27" s="2707">
        <v>0</v>
      </c>
      <c r="AO27" s="2707">
        <v>0</v>
      </c>
      <c r="AP27" s="2707">
        <v>0.45933650729821279</v>
      </c>
      <c r="AQ27" s="2707">
        <v>1.3068304330953384</v>
      </c>
      <c r="AR27" s="2707">
        <v>0.48552833387594885</v>
      </c>
      <c r="AS27" s="2707">
        <v>1.5345518804449645</v>
      </c>
      <c r="AT27" s="2707">
        <v>6.7078355820143681E-2</v>
      </c>
      <c r="AU27" s="2682">
        <v>1.3850365632153334</v>
      </c>
      <c r="AV27" s="2682">
        <v>0</v>
      </c>
      <c r="AW27" s="2682">
        <v>1.1203698988213822</v>
      </c>
      <c r="AX27" s="2682">
        <v>0</v>
      </c>
      <c r="AY27" s="2682">
        <v>2.702839517169322</v>
      </c>
      <c r="AZ27" s="2682">
        <v>0</v>
      </c>
      <c r="BA27" s="2682">
        <v>2.0887055722818144</v>
      </c>
      <c r="BB27" s="2682">
        <v>0</v>
      </c>
      <c r="BC27" s="2682">
        <v>2.3409372033110318</v>
      </c>
      <c r="BD27" s="2682">
        <v>0</v>
      </c>
      <c r="BE27" s="2682">
        <v>2.1608459014813972</v>
      </c>
      <c r="BF27" s="2682">
        <v>0</v>
      </c>
      <c r="BG27" s="2682">
        <v>3.1053697190381895</v>
      </c>
      <c r="BH27" s="2682">
        <v>0</v>
      </c>
      <c r="BI27" s="2682">
        <v>1.6772885773606794</v>
      </c>
      <c r="BJ27" s="2682">
        <v>0.15842863168040983</v>
      </c>
      <c r="BK27" s="2682">
        <v>4.2344036754053995</v>
      </c>
      <c r="BL27" s="2682">
        <v>0</v>
      </c>
      <c r="BM27" s="2682">
        <v>0</v>
      </c>
      <c r="BN27" s="2682">
        <v>0</v>
      </c>
      <c r="BO27" s="2682">
        <v>0</v>
      </c>
      <c r="BP27" s="2682">
        <v>0</v>
      </c>
      <c r="BQ27" s="2682">
        <v>0</v>
      </c>
      <c r="BR27" s="2682">
        <v>0</v>
      </c>
      <c r="BS27" s="2682">
        <v>3.2099655534618803</v>
      </c>
      <c r="BT27" s="2682">
        <v>0</v>
      </c>
      <c r="BU27" s="2682">
        <v>3.4151460669112739</v>
      </c>
      <c r="BV27" s="2682">
        <v>0</v>
      </c>
      <c r="BW27" s="2682">
        <v>6.1189178916717015</v>
      </c>
      <c r="BX27" s="2682">
        <v>0</v>
      </c>
      <c r="BY27" s="2682">
        <v>0.83820233880647532</v>
      </c>
      <c r="BZ27" s="2682">
        <v>0.98344472003563399</v>
      </c>
      <c r="CA27" s="2682">
        <v>1.2983405552668947</v>
      </c>
      <c r="CB27" s="2682">
        <v>0</v>
      </c>
      <c r="CC27" s="2682">
        <v>5.9302165611683513E-2</v>
      </c>
      <c r="CD27" s="2682">
        <v>0</v>
      </c>
      <c r="CE27" s="2682">
        <v>0.13265558947156803</v>
      </c>
      <c r="CF27" s="2682">
        <v>0.12123685481182334</v>
      </c>
      <c r="CG27" s="2682">
        <v>0.37800814924038573</v>
      </c>
      <c r="CH27" s="2682">
        <v>0.51723790597833263</v>
      </c>
      <c r="CI27" s="2682">
        <v>0.13570536133134539</v>
      </c>
      <c r="CJ27" s="2682">
        <v>0</v>
      </c>
      <c r="CK27" s="2676"/>
      <c r="CL27" s="847"/>
    </row>
    <row r="28" spans="1:90" ht="16.5" x14ac:dyDescent="0.3">
      <c r="A28" s="2666" t="s">
        <v>4822</v>
      </c>
      <c r="B28" s="2677" t="s">
        <v>4823</v>
      </c>
      <c r="C28" s="2701">
        <v>19.904297721927762</v>
      </c>
      <c r="D28" s="2708">
        <v>0</v>
      </c>
      <c r="E28" s="2701">
        <v>21.515667363786893</v>
      </c>
      <c r="F28" s="2701">
        <v>0</v>
      </c>
      <c r="G28" s="2701">
        <v>6.0689734275424101</v>
      </c>
      <c r="H28" s="2701">
        <v>0</v>
      </c>
      <c r="I28" s="2701">
        <v>15.774566277368788</v>
      </c>
      <c r="J28" s="2701">
        <v>0</v>
      </c>
      <c r="K28" s="2701">
        <v>5.1225910719823702</v>
      </c>
      <c r="L28" s="2708">
        <v>0</v>
      </c>
      <c r="M28" s="2701">
        <v>8.4168339428689745</v>
      </c>
      <c r="N28" s="2701">
        <v>0</v>
      </c>
      <c r="O28" s="2701">
        <v>1.9066054345792662</v>
      </c>
      <c r="P28" s="2708">
        <v>0</v>
      </c>
      <c r="Q28" s="2701">
        <v>7.7310231178802269</v>
      </c>
      <c r="R28" s="2653">
        <v>0</v>
      </c>
      <c r="S28" s="2705">
        <v>7.5310227954433575</v>
      </c>
      <c r="T28" s="2705">
        <v>6.2804294664107543E-2</v>
      </c>
      <c r="U28" s="2705">
        <v>11.848940234452368</v>
      </c>
      <c r="V28" s="2705">
        <v>0</v>
      </c>
      <c r="W28" s="2705">
        <v>9.4773758892395925</v>
      </c>
      <c r="X28" s="2705">
        <v>0</v>
      </c>
      <c r="Y28" s="2705">
        <v>7.4682218531376918</v>
      </c>
      <c r="Z28" s="2705">
        <v>0</v>
      </c>
      <c r="AA28" s="2705">
        <v>7.6581295859978384</v>
      </c>
      <c r="AB28" s="2705">
        <v>0</v>
      </c>
      <c r="AC28" s="2705">
        <v>18.156685360645607</v>
      </c>
      <c r="AD28" s="2705">
        <v>0</v>
      </c>
      <c r="AE28" s="2705">
        <v>17.712486039005906</v>
      </c>
      <c r="AF28" s="2706">
        <v>0</v>
      </c>
      <c r="AG28" s="2707">
        <v>20.539704913288723</v>
      </c>
      <c r="AH28" s="2707">
        <v>0</v>
      </c>
      <c r="AI28" s="2707">
        <v>18.580242584323429</v>
      </c>
      <c r="AJ28" s="2707">
        <v>0</v>
      </c>
      <c r="AK28" s="2707">
        <v>8.1962567871826604</v>
      </c>
      <c r="AL28" s="2707">
        <v>0</v>
      </c>
      <c r="AM28" s="2707">
        <v>11.810412105283346</v>
      </c>
      <c r="AN28" s="2707">
        <v>0</v>
      </c>
      <c r="AO28" s="2707">
        <v>13.790047280941799</v>
      </c>
      <c r="AP28" s="2707">
        <v>0</v>
      </c>
      <c r="AQ28" s="2707">
        <v>20.660048480139039</v>
      </c>
      <c r="AR28" s="2707">
        <v>0</v>
      </c>
      <c r="AS28" s="2707">
        <v>16.81386451548817</v>
      </c>
      <c r="AT28" s="2707">
        <v>0</v>
      </c>
      <c r="AU28" s="2682">
        <v>14.27162304902356</v>
      </c>
      <c r="AV28" s="2682">
        <v>0</v>
      </c>
      <c r="AW28" s="2682">
        <v>11.278925758949734</v>
      </c>
      <c r="AX28" s="2682">
        <v>0</v>
      </c>
      <c r="AY28" s="2682">
        <v>12.878963719619136</v>
      </c>
      <c r="AZ28" s="2682">
        <v>0</v>
      </c>
      <c r="BA28" s="2682">
        <v>9.6404821853951574</v>
      </c>
      <c r="BB28" s="2682">
        <v>0</v>
      </c>
      <c r="BC28" s="2682">
        <v>8.9457349003092048</v>
      </c>
      <c r="BD28" s="2682">
        <v>0</v>
      </c>
      <c r="BE28" s="2682">
        <v>4.6052268946539865</v>
      </c>
      <c r="BF28" s="2682">
        <v>0</v>
      </c>
      <c r="BG28" s="2682">
        <v>6.6239643502346528</v>
      </c>
      <c r="BH28" s="2682">
        <v>0</v>
      </c>
      <c r="BI28" s="2682">
        <v>12.505505800665794</v>
      </c>
      <c r="BJ28" s="2682">
        <v>0</v>
      </c>
      <c r="BK28" s="2682">
        <v>18.328208541735698</v>
      </c>
      <c r="BL28" s="2682">
        <v>0</v>
      </c>
      <c r="BM28" s="2682">
        <v>12.680083884861729</v>
      </c>
      <c r="BN28" s="2682">
        <v>0</v>
      </c>
      <c r="BO28" s="2682">
        <v>13.925618739516185</v>
      </c>
      <c r="BP28" s="2682">
        <v>0</v>
      </c>
      <c r="BQ28" s="2682">
        <v>13.020723411573936</v>
      </c>
      <c r="BR28" s="2682">
        <v>0</v>
      </c>
      <c r="BS28" s="2682">
        <v>15.83507505016158</v>
      </c>
      <c r="BT28" s="2682">
        <v>0</v>
      </c>
      <c r="BU28" s="2682">
        <v>21.708188642764672</v>
      </c>
      <c r="BV28" s="2682">
        <v>0</v>
      </c>
      <c r="BW28" s="2682">
        <v>20.057421777555362</v>
      </c>
      <c r="BX28" s="2682">
        <v>0</v>
      </c>
      <c r="BY28" s="2682">
        <v>19.898915790067186</v>
      </c>
      <c r="BZ28" s="2682">
        <v>0</v>
      </c>
      <c r="CA28" s="2682">
        <v>26.668273953088921</v>
      </c>
      <c r="CB28" s="2682">
        <v>0</v>
      </c>
      <c r="CC28" s="2682">
        <v>30.87855387884191</v>
      </c>
      <c r="CD28" s="2682">
        <v>0</v>
      </c>
      <c r="CE28" s="2682">
        <v>28.638688314550844</v>
      </c>
      <c r="CF28" s="2682">
        <v>0.269870629513981</v>
      </c>
      <c r="CG28" s="2682">
        <v>32.088727998046259</v>
      </c>
      <c r="CH28" s="2682">
        <v>0</v>
      </c>
      <c r="CI28" s="2682">
        <v>18.033543736443402</v>
      </c>
      <c r="CJ28" s="2682">
        <v>0</v>
      </c>
      <c r="CK28" s="2676"/>
      <c r="CL28" s="847"/>
    </row>
    <row r="29" spans="1:90" s="2655" customFormat="1" ht="16.5" x14ac:dyDescent="0.3">
      <c r="A29" s="2666" t="s">
        <v>4824</v>
      </c>
      <c r="B29" s="2677" t="s">
        <v>3533</v>
      </c>
      <c r="C29" s="2701">
        <v>0</v>
      </c>
      <c r="D29" s="2701">
        <v>0</v>
      </c>
      <c r="E29" s="2701">
        <v>0</v>
      </c>
      <c r="F29" s="2701">
        <v>0</v>
      </c>
      <c r="G29" s="2701">
        <v>0</v>
      </c>
      <c r="H29" s="2701">
        <v>0</v>
      </c>
      <c r="I29" s="2701">
        <v>0</v>
      </c>
      <c r="J29" s="2701">
        <v>0</v>
      </c>
      <c r="K29" s="2701">
        <v>0</v>
      </c>
      <c r="L29" s="2701">
        <v>0</v>
      </c>
      <c r="M29" s="2701">
        <v>0</v>
      </c>
      <c r="N29" s="2701">
        <v>0</v>
      </c>
      <c r="O29" s="2701">
        <v>0</v>
      </c>
      <c r="P29" s="2701">
        <v>0</v>
      </c>
      <c r="Q29" s="2701">
        <v>0</v>
      </c>
      <c r="R29" s="2653">
        <v>0</v>
      </c>
      <c r="S29" s="2705">
        <v>0</v>
      </c>
      <c r="T29" s="2705">
        <v>0</v>
      </c>
      <c r="U29" s="2705">
        <v>0</v>
      </c>
      <c r="V29" s="2705">
        <v>0</v>
      </c>
      <c r="W29" s="2705">
        <v>0</v>
      </c>
      <c r="X29" s="2705">
        <v>0</v>
      </c>
      <c r="Y29" s="2705">
        <v>0</v>
      </c>
      <c r="Z29" s="2705">
        <v>0</v>
      </c>
      <c r="AA29" s="2705">
        <v>0</v>
      </c>
      <c r="AB29" s="2705">
        <v>0</v>
      </c>
      <c r="AC29" s="2705">
        <v>0</v>
      </c>
      <c r="AD29" s="2705">
        <v>0</v>
      </c>
      <c r="AE29" s="2705">
        <v>0</v>
      </c>
      <c r="AF29" s="2706">
        <v>0</v>
      </c>
      <c r="AG29" s="2707">
        <v>0</v>
      </c>
      <c r="AH29" s="2707">
        <v>0</v>
      </c>
      <c r="AI29" s="2707">
        <v>0</v>
      </c>
      <c r="AJ29" s="2707">
        <v>0</v>
      </c>
      <c r="AK29" s="2707">
        <v>0</v>
      </c>
      <c r="AL29" s="2707">
        <v>0</v>
      </c>
      <c r="AM29" s="2707">
        <v>0</v>
      </c>
      <c r="AN29" s="2707">
        <v>0</v>
      </c>
      <c r="AO29" s="2707">
        <v>0</v>
      </c>
      <c r="AP29" s="2707">
        <v>0</v>
      </c>
      <c r="AQ29" s="2707">
        <v>0</v>
      </c>
      <c r="AR29" s="2707">
        <v>0</v>
      </c>
      <c r="AS29" s="2707">
        <v>0</v>
      </c>
      <c r="AT29" s="2707">
        <v>0</v>
      </c>
      <c r="AU29" s="2682">
        <v>0</v>
      </c>
      <c r="AV29" s="2682">
        <v>0</v>
      </c>
      <c r="AW29" s="2682">
        <v>0</v>
      </c>
      <c r="AX29" s="2682">
        <v>0</v>
      </c>
      <c r="AY29" s="2682">
        <v>0</v>
      </c>
      <c r="AZ29" s="2682">
        <v>0</v>
      </c>
      <c r="BA29" s="2682">
        <v>0</v>
      </c>
      <c r="BB29" s="2682">
        <v>0</v>
      </c>
      <c r="BC29" s="2682">
        <v>0</v>
      </c>
      <c r="BD29" s="2682">
        <v>0</v>
      </c>
      <c r="BE29" s="2682">
        <v>0</v>
      </c>
      <c r="BF29" s="2682">
        <v>0</v>
      </c>
      <c r="BG29" s="2682">
        <v>0</v>
      </c>
      <c r="BH29" s="2682">
        <v>0</v>
      </c>
      <c r="BI29" s="2682">
        <v>0</v>
      </c>
      <c r="BJ29" s="2682">
        <v>0</v>
      </c>
      <c r="BK29" s="2682">
        <v>0</v>
      </c>
      <c r="BL29" s="2682">
        <v>0</v>
      </c>
      <c r="BM29" s="2682">
        <v>0</v>
      </c>
      <c r="BN29" s="2682">
        <v>0</v>
      </c>
      <c r="BO29" s="2682">
        <v>0</v>
      </c>
      <c r="BP29" s="2682">
        <v>0</v>
      </c>
      <c r="BQ29" s="2682">
        <v>0</v>
      </c>
      <c r="BR29" s="2682">
        <v>0</v>
      </c>
      <c r="BS29" s="2682">
        <v>0</v>
      </c>
      <c r="BT29" s="2682">
        <v>0</v>
      </c>
      <c r="BU29" s="2682">
        <v>0</v>
      </c>
      <c r="BV29" s="2682">
        <v>0</v>
      </c>
      <c r="BW29" s="2682">
        <v>0</v>
      </c>
      <c r="BX29" s="2682">
        <v>0</v>
      </c>
      <c r="BY29" s="2682">
        <v>0</v>
      </c>
      <c r="BZ29" s="2682">
        <v>0</v>
      </c>
      <c r="CA29" s="2682">
        <v>0</v>
      </c>
      <c r="CB29" s="2682">
        <v>0</v>
      </c>
      <c r="CC29" s="2682">
        <v>0</v>
      </c>
      <c r="CD29" s="2682">
        <v>0</v>
      </c>
      <c r="CE29" s="2682">
        <v>0</v>
      </c>
      <c r="CF29" s="2682">
        <v>0</v>
      </c>
      <c r="CG29" s="2682">
        <v>0</v>
      </c>
      <c r="CH29" s="2682">
        <v>0</v>
      </c>
      <c r="CI29" s="2682">
        <v>0</v>
      </c>
      <c r="CJ29" s="2682">
        <v>0</v>
      </c>
      <c r="CK29" s="2676"/>
      <c r="CL29" s="847"/>
    </row>
    <row r="30" spans="1:90" ht="16.5" x14ac:dyDescent="0.3">
      <c r="A30" s="2666" t="s">
        <v>4825</v>
      </c>
      <c r="B30" s="2677" t="s">
        <v>3534</v>
      </c>
      <c r="C30" s="2701">
        <v>214.49253337533298</v>
      </c>
      <c r="D30" s="2701">
        <v>2.1513906565802747</v>
      </c>
      <c r="E30" s="2701">
        <v>182.86209544525417</v>
      </c>
      <c r="F30" s="2701">
        <v>0</v>
      </c>
      <c r="G30" s="2701">
        <v>227.35241093266669</v>
      </c>
      <c r="H30" s="2701">
        <v>0</v>
      </c>
      <c r="I30" s="2701">
        <v>188.37796111919587</v>
      </c>
      <c r="J30" s="2701">
        <v>2.4203191541424496</v>
      </c>
      <c r="K30" s="2708">
        <v>160.26381955274869</v>
      </c>
      <c r="L30" s="2701">
        <v>0.2865038248165972</v>
      </c>
      <c r="M30" s="2701">
        <v>178.49066158484922</v>
      </c>
      <c r="N30" s="2701">
        <v>0</v>
      </c>
      <c r="O30" s="2708">
        <v>168.14289393390106</v>
      </c>
      <c r="P30" s="2701">
        <v>0</v>
      </c>
      <c r="Q30" s="2701">
        <v>145.7489747403217</v>
      </c>
      <c r="R30" s="2653">
        <v>0.35937275588489248</v>
      </c>
      <c r="S30" s="2705">
        <v>142.27509560528128</v>
      </c>
      <c r="T30" s="2705">
        <v>0</v>
      </c>
      <c r="U30" s="2705">
        <v>168.33737161644453</v>
      </c>
      <c r="V30" s="2705">
        <v>0.46326593125145765</v>
      </c>
      <c r="W30" s="2705">
        <v>89.69182652591698</v>
      </c>
      <c r="X30" s="2705">
        <v>0.51420475495529216</v>
      </c>
      <c r="Y30" s="2705">
        <v>104.93339073355524</v>
      </c>
      <c r="Z30" s="2705">
        <v>0.91836594140743999</v>
      </c>
      <c r="AA30" s="2705">
        <v>121.24037647940062</v>
      </c>
      <c r="AB30" s="2705">
        <v>0.22801479652591899</v>
      </c>
      <c r="AC30" s="2705">
        <v>150.59068428132142</v>
      </c>
      <c r="AD30" s="2705">
        <v>0</v>
      </c>
      <c r="AE30" s="2705">
        <v>237.40298939727083</v>
      </c>
      <c r="AF30" s="2706">
        <v>3.578576641409593</v>
      </c>
      <c r="AG30" s="2707">
        <v>261.78368129338043</v>
      </c>
      <c r="AH30" s="2707">
        <v>0.3603277704376785</v>
      </c>
      <c r="AI30" s="2707">
        <v>258.96245516216368</v>
      </c>
      <c r="AJ30" s="2707">
        <v>0</v>
      </c>
      <c r="AK30" s="2707">
        <v>7.6522598718574484</v>
      </c>
      <c r="AL30" s="2707">
        <v>4.3303434788329067</v>
      </c>
      <c r="AM30" s="2707">
        <v>313.863503283341</v>
      </c>
      <c r="AN30" s="2707">
        <v>1.8037490913641705</v>
      </c>
      <c r="AO30" s="2707">
        <v>236.07205847991824</v>
      </c>
      <c r="AP30" s="2707">
        <v>2.0706539222101075</v>
      </c>
      <c r="AQ30" s="2707">
        <v>94.687653380170033</v>
      </c>
      <c r="AR30" s="2707">
        <v>0.38412251916779538</v>
      </c>
      <c r="AS30" s="2707">
        <v>30.379620583995258</v>
      </c>
      <c r="AT30" s="2707">
        <v>1.5834188042524309</v>
      </c>
      <c r="AU30" s="2682">
        <v>24.844546295881031</v>
      </c>
      <c r="AV30" s="2682">
        <v>3.2108370559463744</v>
      </c>
      <c r="AW30" s="2682">
        <v>68.980723110592294</v>
      </c>
      <c r="AX30" s="2682">
        <v>1.04679825625282</v>
      </c>
      <c r="AY30" s="2682">
        <v>65.528590710360987</v>
      </c>
      <c r="AZ30" s="2682">
        <v>3.2044165277034411</v>
      </c>
      <c r="BA30" s="2682">
        <v>75.381606470418504</v>
      </c>
      <c r="BB30" s="2682">
        <v>0.63045924364218642</v>
      </c>
      <c r="BC30" s="2682">
        <v>59.06200670547021</v>
      </c>
      <c r="BD30" s="2682">
        <v>0.42896956106973827</v>
      </c>
      <c r="BE30" s="2682">
        <v>39.692410817057713</v>
      </c>
      <c r="BF30" s="2682">
        <v>1.5002719184062308</v>
      </c>
      <c r="BG30" s="2682">
        <v>44.477150317376385</v>
      </c>
      <c r="BH30" s="2682">
        <v>5.2992145335638883</v>
      </c>
      <c r="BI30" s="2682">
        <v>59.734636687463663</v>
      </c>
      <c r="BJ30" s="2682">
        <v>19.395589763168672</v>
      </c>
      <c r="BK30" s="2682">
        <v>9.0852114070064562</v>
      </c>
      <c r="BL30" s="2682">
        <v>13.959599280943614</v>
      </c>
      <c r="BM30" s="2682">
        <v>4.7288648877126986</v>
      </c>
      <c r="BN30" s="2682">
        <v>1.2330111347759263</v>
      </c>
      <c r="BO30" s="2682">
        <v>0.27884444685021104</v>
      </c>
      <c r="BP30" s="2682">
        <v>7.9471485828177322</v>
      </c>
      <c r="BQ30" s="2682">
        <v>6.448945014288137</v>
      </c>
      <c r="BR30" s="2682">
        <v>15.638388049822618</v>
      </c>
      <c r="BS30" s="2682">
        <v>5.9594702644950193</v>
      </c>
      <c r="BT30" s="2682">
        <v>51.179207037112775</v>
      </c>
      <c r="BU30" s="2682">
        <v>7.2269842719089938</v>
      </c>
      <c r="BV30" s="2682">
        <v>40.905396889360603</v>
      </c>
      <c r="BW30" s="2682">
        <v>4.7528872597799001</v>
      </c>
      <c r="BX30" s="2682">
        <v>8.3939940377398035</v>
      </c>
      <c r="BY30" s="2682">
        <v>4.0736559728104718</v>
      </c>
      <c r="BZ30" s="2682">
        <v>9.0627351170065893</v>
      </c>
      <c r="CA30" s="2682">
        <v>3.1754086430647259</v>
      </c>
      <c r="CB30" s="2682">
        <v>3.883374288368485</v>
      </c>
      <c r="CC30" s="2682">
        <v>1.086882436608013</v>
      </c>
      <c r="CD30" s="2682">
        <v>1.5415822156133794</v>
      </c>
      <c r="CE30" s="2682">
        <v>2.5976948221871603</v>
      </c>
      <c r="CF30" s="2682">
        <v>2.3578960091838232</v>
      </c>
      <c r="CG30" s="2682">
        <v>8.1774519435186548</v>
      </c>
      <c r="CH30" s="2682">
        <v>2.7455074381682829</v>
      </c>
      <c r="CI30" s="2682">
        <v>8.3462619957826476</v>
      </c>
      <c r="CJ30" s="2682">
        <v>9.5194723898170484</v>
      </c>
      <c r="CK30" s="2676"/>
      <c r="CL30" s="847"/>
    </row>
    <row r="31" spans="1:90" ht="16.5" x14ac:dyDescent="0.3">
      <c r="A31" s="2666" t="s">
        <v>4826</v>
      </c>
      <c r="B31" s="2677" t="s">
        <v>3535</v>
      </c>
      <c r="C31" s="2701">
        <v>0</v>
      </c>
      <c r="D31" s="2701">
        <v>0</v>
      </c>
      <c r="E31" s="2701">
        <v>0</v>
      </c>
      <c r="F31" s="2701">
        <v>0</v>
      </c>
      <c r="G31" s="2701">
        <v>0</v>
      </c>
      <c r="H31" s="2701">
        <v>0</v>
      </c>
      <c r="I31" s="2701">
        <v>0</v>
      </c>
      <c r="J31" s="2701">
        <v>0</v>
      </c>
      <c r="K31" s="2701">
        <v>0</v>
      </c>
      <c r="L31" s="2701">
        <v>0</v>
      </c>
      <c r="M31" s="2701">
        <v>0</v>
      </c>
      <c r="N31" s="2701">
        <v>0</v>
      </c>
      <c r="O31" s="2701">
        <v>0</v>
      </c>
      <c r="P31" s="2701">
        <v>0</v>
      </c>
      <c r="Q31" s="2701">
        <v>0</v>
      </c>
      <c r="R31" s="2653">
        <v>0</v>
      </c>
      <c r="S31" s="2705">
        <v>0</v>
      </c>
      <c r="T31" s="2705">
        <v>0</v>
      </c>
      <c r="U31" s="2705">
        <v>0</v>
      </c>
      <c r="V31" s="2705">
        <v>0</v>
      </c>
      <c r="W31" s="2705">
        <v>0</v>
      </c>
      <c r="X31" s="2705">
        <v>0.42908053753684017</v>
      </c>
      <c r="Y31" s="2705">
        <v>1.123574724279129</v>
      </c>
      <c r="Z31" s="2705">
        <v>0.21485506256634881</v>
      </c>
      <c r="AA31" s="2705">
        <v>0</v>
      </c>
      <c r="AB31" s="2705">
        <v>0.37640873659446245</v>
      </c>
      <c r="AC31" s="2705">
        <v>1.1244196774732775</v>
      </c>
      <c r="AD31" s="2705">
        <v>0.3872591715454039</v>
      </c>
      <c r="AE31" s="2705">
        <v>0</v>
      </c>
      <c r="AF31" s="2706">
        <v>0.37696324505833162</v>
      </c>
      <c r="AG31" s="2707">
        <v>1.0994193545414814</v>
      </c>
      <c r="AH31" s="2707">
        <v>0.46226854415395358</v>
      </c>
      <c r="AI31" s="2707">
        <v>0</v>
      </c>
      <c r="AJ31" s="2707">
        <v>0</v>
      </c>
      <c r="AK31" s="2707">
        <v>0</v>
      </c>
      <c r="AL31" s="2707">
        <v>0.36744663443198256</v>
      </c>
      <c r="AM31" s="2707">
        <v>0</v>
      </c>
      <c r="AN31" s="2707">
        <v>8.3834222804141628E-2</v>
      </c>
      <c r="AO31" s="2707">
        <v>0</v>
      </c>
      <c r="AP31" s="2707">
        <v>0.36310495633743983</v>
      </c>
      <c r="AQ31" s="2707">
        <v>0</v>
      </c>
      <c r="AR31" s="2707">
        <v>0</v>
      </c>
      <c r="AS31" s="2707">
        <v>0</v>
      </c>
      <c r="AT31" s="2707">
        <v>0.44890198445704399</v>
      </c>
      <c r="AU31" s="2682">
        <v>0</v>
      </c>
      <c r="AV31" s="2682">
        <v>0.15823694594810422</v>
      </c>
      <c r="AW31" s="2682">
        <v>0</v>
      </c>
      <c r="AX31" s="2682">
        <v>0</v>
      </c>
      <c r="AY31" s="2682">
        <v>0</v>
      </c>
      <c r="AZ31" s="2682">
        <v>0</v>
      </c>
      <c r="BA31" s="2682">
        <v>0.31980170911209632</v>
      </c>
      <c r="BB31" s="2682">
        <v>0</v>
      </c>
      <c r="BC31" s="2682">
        <v>0</v>
      </c>
      <c r="BD31" s="2682">
        <v>0</v>
      </c>
      <c r="BE31" s="2682">
        <v>0</v>
      </c>
      <c r="BF31" s="2682">
        <v>0</v>
      </c>
      <c r="BG31" s="2682">
        <v>0</v>
      </c>
      <c r="BH31" s="2682">
        <v>0</v>
      </c>
      <c r="BI31" s="2682">
        <v>0</v>
      </c>
      <c r="BJ31" s="2682">
        <v>0</v>
      </c>
      <c r="BK31" s="2682">
        <v>0</v>
      </c>
      <c r="BL31" s="2682">
        <v>0</v>
      </c>
      <c r="BM31" s="2682">
        <v>0.41395275408711707</v>
      </c>
      <c r="BN31" s="2682">
        <v>0</v>
      </c>
      <c r="BO31" s="2682">
        <v>0</v>
      </c>
      <c r="BP31" s="2682">
        <v>0</v>
      </c>
      <c r="BQ31" s="2682">
        <v>0</v>
      </c>
      <c r="BR31" s="2682">
        <v>0</v>
      </c>
      <c r="BS31" s="2682">
        <v>0</v>
      </c>
      <c r="BT31" s="2682">
        <v>0</v>
      </c>
      <c r="BU31" s="2682">
        <v>0</v>
      </c>
      <c r="BV31" s="2682">
        <v>0</v>
      </c>
      <c r="BW31" s="2682">
        <v>0.21531260019605783</v>
      </c>
      <c r="BX31" s="2682">
        <v>0</v>
      </c>
      <c r="BY31" s="2682">
        <v>0</v>
      </c>
      <c r="BZ31" s="2682">
        <v>0</v>
      </c>
      <c r="CA31" s="2682">
        <v>0.1265970120398964</v>
      </c>
      <c r="CB31" s="2682">
        <v>0</v>
      </c>
      <c r="CC31" s="2682">
        <v>0</v>
      </c>
      <c r="CD31" s="2682">
        <v>0</v>
      </c>
      <c r="CE31" s="2682">
        <v>0</v>
      </c>
      <c r="CF31" s="2682">
        <v>0</v>
      </c>
      <c r="CG31" s="2682">
        <v>0</v>
      </c>
      <c r="CH31" s="2682">
        <v>0</v>
      </c>
      <c r="CI31" s="2682">
        <v>0</v>
      </c>
      <c r="CJ31" s="2682">
        <v>0</v>
      </c>
      <c r="CK31" s="2676"/>
      <c r="CL31" s="847"/>
    </row>
    <row r="32" spans="1:90" ht="16.5" x14ac:dyDescent="0.3">
      <c r="A32" s="2666" t="s">
        <v>4827</v>
      </c>
      <c r="B32" s="2677" t="s">
        <v>1155</v>
      </c>
      <c r="C32" s="2701">
        <v>26.976512889245921</v>
      </c>
      <c r="D32" s="2701">
        <v>1.3549209104237259</v>
      </c>
      <c r="E32" s="2701">
        <v>36.145375551151922</v>
      </c>
      <c r="F32" s="2701">
        <v>12.721862113663409</v>
      </c>
      <c r="G32" s="2701">
        <v>67.118756419647099</v>
      </c>
      <c r="H32" s="2701">
        <v>0.2222599568982529</v>
      </c>
      <c r="I32" s="2701">
        <v>11.596347946872436</v>
      </c>
      <c r="J32" s="2701">
        <v>2.5449698508308103</v>
      </c>
      <c r="K32" s="2701">
        <v>20.344514973641399</v>
      </c>
      <c r="L32" s="2701">
        <v>17.519076228044785</v>
      </c>
      <c r="M32" s="2701">
        <v>5.7953978001959294</v>
      </c>
      <c r="N32" s="2701">
        <v>0.11613461063764656</v>
      </c>
      <c r="O32" s="2701">
        <v>18.885970702442073</v>
      </c>
      <c r="P32" s="2701">
        <v>5.7514984284777659</v>
      </c>
      <c r="Q32" s="2701">
        <v>13.497736802216705</v>
      </c>
      <c r="R32" s="2653">
        <v>0.59622206562536528</v>
      </c>
      <c r="S32" s="2705">
        <v>58.953895983079761</v>
      </c>
      <c r="T32" s="2705">
        <v>2.0266700944921872</v>
      </c>
      <c r="U32" s="2705">
        <v>10.457013665457655</v>
      </c>
      <c r="V32" s="2705">
        <v>2.0359043693067251</v>
      </c>
      <c r="W32" s="2705">
        <v>19.039669116431284</v>
      </c>
      <c r="X32" s="2705">
        <v>2.2138096895296364</v>
      </c>
      <c r="Y32" s="2705">
        <v>14.402710301232567</v>
      </c>
      <c r="Z32" s="2705">
        <v>1.3011916176652765</v>
      </c>
      <c r="AA32" s="2705">
        <v>11.513731450261631</v>
      </c>
      <c r="AB32" s="2705">
        <v>3.0577609939201835</v>
      </c>
      <c r="AC32" s="2705">
        <v>16.994285208376269</v>
      </c>
      <c r="AD32" s="2705">
        <v>0</v>
      </c>
      <c r="AE32" s="2705">
        <v>24.637206693348705</v>
      </c>
      <c r="AF32" s="2706">
        <v>2.2634488530200096</v>
      </c>
      <c r="AG32" s="2707">
        <v>21.227735711549215</v>
      </c>
      <c r="AH32" s="2707">
        <v>0.20714199605245406</v>
      </c>
      <c r="AI32" s="2707">
        <v>17.957944411203353</v>
      </c>
      <c r="AJ32" s="2707">
        <v>0</v>
      </c>
      <c r="AK32" s="2707">
        <v>29.31896127359731</v>
      </c>
      <c r="AL32" s="2707">
        <v>4.0857298336912429</v>
      </c>
      <c r="AM32" s="2707">
        <v>26.431994817554571</v>
      </c>
      <c r="AN32" s="2707">
        <v>0</v>
      </c>
      <c r="AO32" s="2707">
        <v>11.152458070037042</v>
      </c>
      <c r="AP32" s="2707">
        <v>0.38484483362294497</v>
      </c>
      <c r="AQ32" s="2707">
        <v>11.167997828919846</v>
      </c>
      <c r="AR32" s="2707">
        <v>2.7504732356520099E-2</v>
      </c>
      <c r="AS32" s="2707">
        <v>33.17187270266286</v>
      </c>
      <c r="AT32" s="2707">
        <v>0</v>
      </c>
      <c r="AU32" s="2682">
        <v>15.873724885199195</v>
      </c>
      <c r="AV32" s="2682">
        <v>0</v>
      </c>
      <c r="AW32" s="2682">
        <v>3.332632538393109</v>
      </c>
      <c r="AX32" s="2682">
        <v>0</v>
      </c>
      <c r="AY32" s="2682">
        <v>24.944735026081382</v>
      </c>
      <c r="AZ32" s="2682">
        <v>0.27235008490505502</v>
      </c>
      <c r="BA32" s="2682">
        <v>3.7951013917002783</v>
      </c>
      <c r="BB32" s="2682">
        <v>0</v>
      </c>
      <c r="BC32" s="2682">
        <v>8.3783851711377704</v>
      </c>
      <c r="BD32" s="2682">
        <v>2.2049311684846864</v>
      </c>
      <c r="BE32" s="2682">
        <v>2.6827591759115097</v>
      </c>
      <c r="BF32" s="2682">
        <v>8.5596929893134208E-2</v>
      </c>
      <c r="BG32" s="2682">
        <v>5.349213133184425</v>
      </c>
      <c r="BH32" s="2682">
        <v>0.4272561921141057</v>
      </c>
      <c r="BI32" s="2682">
        <v>12.55463328359437</v>
      </c>
      <c r="BJ32" s="2682">
        <v>6.7683492110889865E-2</v>
      </c>
      <c r="BK32" s="2682">
        <v>23.119301219870621</v>
      </c>
      <c r="BL32" s="2682">
        <v>18.55494868667223</v>
      </c>
      <c r="BM32" s="2682">
        <v>3.7199701753969694</v>
      </c>
      <c r="BN32" s="2682">
        <v>0.96742915501761551</v>
      </c>
      <c r="BO32" s="2682">
        <v>2.0292680337886408</v>
      </c>
      <c r="BP32" s="2682">
        <v>1.7403416921159141</v>
      </c>
      <c r="BQ32" s="2682">
        <v>6.1937744601757974</v>
      </c>
      <c r="BR32" s="2682">
        <v>2.2605946697876806</v>
      </c>
      <c r="BS32" s="2682">
        <v>14.489082710643107</v>
      </c>
      <c r="BT32" s="2682">
        <v>1.2569954460905606</v>
      </c>
      <c r="BU32" s="2682">
        <v>6.6783834975024483</v>
      </c>
      <c r="BV32" s="2682">
        <v>0.78787708086498043</v>
      </c>
      <c r="BW32" s="2682">
        <v>7.8656544763210858</v>
      </c>
      <c r="BX32" s="2682">
        <v>0.76646410280943122</v>
      </c>
      <c r="BY32" s="2682">
        <v>6.9966836099821368</v>
      </c>
      <c r="BZ32" s="2682">
        <v>0</v>
      </c>
      <c r="CA32" s="2682">
        <v>10.117410704088055</v>
      </c>
      <c r="CB32" s="2682">
        <v>0.76173523158564249</v>
      </c>
      <c r="CC32" s="2682">
        <v>2.0980912386651984</v>
      </c>
      <c r="CD32" s="2682">
        <v>0.44996445932324636</v>
      </c>
      <c r="CE32" s="2682">
        <v>16.479882574280971</v>
      </c>
      <c r="CF32" s="2682">
        <v>1.5761071857515194</v>
      </c>
      <c r="CG32" s="2682">
        <v>9.3659001026954556</v>
      </c>
      <c r="CH32" s="2682">
        <v>1.3245698094925336</v>
      </c>
      <c r="CI32" s="2682">
        <v>12.581716991850945</v>
      </c>
      <c r="CJ32" s="2682">
        <v>3.1614809037696063</v>
      </c>
      <c r="CK32" s="2676"/>
      <c r="CL32" s="847"/>
    </row>
    <row r="33" spans="1:90" s="847" customFormat="1" ht="16.5" x14ac:dyDescent="0.3">
      <c r="A33" s="2666" t="s">
        <v>4828</v>
      </c>
      <c r="B33" s="2677" t="s">
        <v>1156</v>
      </c>
      <c r="C33" s="2701"/>
      <c r="D33" s="2701"/>
      <c r="E33" s="2701"/>
      <c r="F33" s="2701"/>
      <c r="G33" s="2701"/>
      <c r="H33" s="2701"/>
      <c r="I33" s="2701"/>
      <c r="J33" s="2701"/>
      <c r="K33" s="2708">
        <v>0</v>
      </c>
      <c r="L33" s="2701">
        <v>0</v>
      </c>
      <c r="M33" s="2701">
        <v>0</v>
      </c>
      <c r="N33" s="2701">
        <v>0</v>
      </c>
      <c r="O33" s="2708">
        <v>0.72709426967004509</v>
      </c>
      <c r="P33" s="2701">
        <v>0</v>
      </c>
      <c r="Q33" s="2701">
        <v>0.40929959241272296</v>
      </c>
      <c r="R33" s="2653">
        <v>0</v>
      </c>
      <c r="S33" s="2705">
        <v>1.7130392838007538</v>
      </c>
      <c r="T33" s="2705">
        <v>0</v>
      </c>
      <c r="U33" s="2705">
        <v>0.56741526206523463</v>
      </c>
      <c r="V33" s="2705">
        <v>0</v>
      </c>
      <c r="W33" s="2705">
        <v>1.4940023513631042</v>
      </c>
      <c r="X33" s="2705">
        <v>0</v>
      </c>
      <c r="Y33" s="2705">
        <v>1.7013210999898702</v>
      </c>
      <c r="Z33" s="2705">
        <v>0</v>
      </c>
      <c r="AA33" s="2705">
        <v>1.9679250700080972</v>
      </c>
      <c r="AB33" s="2705">
        <v>0</v>
      </c>
      <c r="AC33" s="2705">
        <v>3.300148523462779</v>
      </c>
      <c r="AD33" s="2705">
        <v>0</v>
      </c>
      <c r="AE33" s="2705">
        <v>0.67022254337977905</v>
      </c>
      <c r="AF33" s="2706">
        <v>0</v>
      </c>
      <c r="AG33" s="2707">
        <v>2.9268076551360944</v>
      </c>
      <c r="AH33" s="2707">
        <v>0</v>
      </c>
      <c r="AI33" s="2707">
        <v>1.5556866918125962</v>
      </c>
      <c r="AJ33" s="2707">
        <v>0</v>
      </c>
      <c r="AK33" s="2707">
        <v>0</v>
      </c>
      <c r="AL33" s="2707">
        <v>0</v>
      </c>
      <c r="AM33" s="2707">
        <v>0</v>
      </c>
      <c r="AN33" s="2707">
        <v>0</v>
      </c>
      <c r="AO33" s="2707">
        <v>0</v>
      </c>
      <c r="AP33" s="2707">
        <v>0</v>
      </c>
      <c r="AQ33" s="2707">
        <v>0</v>
      </c>
      <c r="AR33" s="2707">
        <v>0</v>
      </c>
      <c r="AS33" s="2707">
        <v>0</v>
      </c>
      <c r="AT33" s="2707">
        <v>0</v>
      </c>
      <c r="AU33" s="2682">
        <v>0</v>
      </c>
      <c r="AV33" s="2682">
        <v>0</v>
      </c>
      <c r="AW33" s="2682">
        <v>0</v>
      </c>
      <c r="AX33" s="2682">
        <v>0</v>
      </c>
      <c r="AY33" s="2682">
        <v>0</v>
      </c>
      <c r="AZ33" s="2682">
        <v>0</v>
      </c>
      <c r="BA33" s="2682">
        <v>0</v>
      </c>
      <c r="BB33" s="2682">
        <v>0</v>
      </c>
      <c r="BC33" s="2682">
        <v>0</v>
      </c>
      <c r="BD33" s="2682">
        <v>0</v>
      </c>
      <c r="BE33" s="2682">
        <v>0</v>
      </c>
      <c r="BF33" s="2682">
        <v>0</v>
      </c>
      <c r="BG33" s="2682">
        <v>0</v>
      </c>
      <c r="BH33" s="2682">
        <v>0</v>
      </c>
      <c r="BI33" s="2682">
        <v>0</v>
      </c>
      <c r="BJ33" s="2682">
        <v>0</v>
      </c>
      <c r="BK33" s="2682">
        <v>0</v>
      </c>
      <c r="BL33" s="2682">
        <v>0</v>
      </c>
      <c r="BM33" s="2682">
        <v>0</v>
      </c>
      <c r="BN33" s="2682">
        <v>0</v>
      </c>
      <c r="BO33" s="2682">
        <v>0</v>
      </c>
      <c r="BP33" s="2682">
        <v>2.9331967878825091</v>
      </c>
      <c r="BQ33" s="2682">
        <v>0</v>
      </c>
      <c r="BR33" s="2682">
        <v>0</v>
      </c>
      <c r="BS33" s="2682">
        <v>0</v>
      </c>
      <c r="BT33" s="2682">
        <v>0</v>
      </c>
      <c r="BU33" s="2682">
        <v>0</v>
      </c>
      <c r="BV33" s="2682">
        <v>0</v>
      </c>
      <c r="BW33" s="2682">
        <v>0</v>
      </c>
      <c r="BX33" s="2682">
        <v>0</v>
      </c>
      <c r="BY33" s="2682">
        <v>0</v>
      </c>
      <c r="BZ33" s="2682">
        <v>0</v>
      </c>
      <c r="CA33" s="2682">
        <v>0</v>
      </c>
      <c r="CB33" s="2682">
        <v>2.9670958197829496</v>
      </c>
      <c r="CC33" s="2682">
        <v>0</v>
      </c>
      <c r="CD33" s="2682">
        <v>0</v>
      </c>
      <c r="CE33" s="2682">
        <v>0</v>
      </c>
      <c r="CF33" s="2682">
        <v>0</v>
      </c>
      <c r="CG33" s="2682">
        <v>0</v>
      </c>
      <c r="CH33" s="2682">
        <v>0</v>
      </c>
      <c r="CI33" s="2682">
        <v>0</v>
      </c>
      <c r="CJ33" s="2682">
        <v>0</v>
      </c>
      <c r="CK33" s="2676"/>
    </row>
    <row r="34" spans="1:90" ht="16.5" x14ac:dyDescent="0.3">
      <c r="A34" s="2666" t="s">
        <v>4829</v>
      </c>
      <c r="B34" s="2677" t="s">
        <v>3536</v>
      </c>
      <c r="C34" s="2701">
        <v>5.9960206464881489</v>
      </c>
      <c r="D34" s="2701">
        <v>0</v>
      </c>
      <c r="E34" s="2701">
        <v>20.084235165497279</v>
      </c>
      <c r="F34" s="2701">
        <v>0</v>
      </c>
      <c r="G34" s="2701">
        <v>4.9516787868205521</v>
      </c>
      <c r="H34" s="2701">
        <v>0</v>
      </c>
      <c r="I34" s="2701">
        <v>0</v>
      </c>
      <c r="J34" s="2701">
        <v>0</v>
      </c>
      <c r="K34" s="2701">
        <v>4.7421232562140005</v>
      </c>
      <c r="L34" s="2701">
        <v>0</v>
      </c>
      <c r="M34" s="2701">
        <v>8.6622203431744964</v>
      </c>
      <c r="N34" s="2701">
        <v>0.57369056222745674</v>
      </c>
      <c r="O34" s="2701">
        <v>0</v>
      </c>
      <c r="P34" s="2701">
        <v>0</v>
      </c>
      <c r="Q34" s="2701">
        <v>11.04628252593236</v>
      </c>
      <c r="R34" s="2653">
        <v>0</v>
      </c>
      <c r="S34" s="2705">
        <v>0</v>
      </c>
      <c r="T34" s="2705">
        <v>0</v>
      </c>
      <c r="U34" s="2705">
        <v>0</v>
      </c>
      <c r="V34" s="2705">
        <v>0</v>
      </c>
      <c r="W34" s="2705">
        <v>4.5253896802497549</v>
      </c>
      <c r="X34" s="2705">
        <v>0</v>
      </c>
      <c r="Y34" s="2705">
        <v>0</v>
      </c>
      <c r="Z34" s="2705">
        <v>0</v>
      </c>
      <c r="AA34" s="2705">
        <v>0</v>
      </c>
      <c r="AB34" s="2705">
        <v>4.5813989976318625</v>
      </c>
      <c r="AC34" s="2705">
        <v>0</v>
      </c>
      <c r="AD34" s="2705">
        <v>0</v>
      </c>
      <c r="AE34" s="2705">
        <v>0</v>
      </c>
      <c r="AF34" s="2706">
        <v>0</v>
      </c>
      <c r="AG34" s="2707">
        <v>0</v>
      </c>
      <c r="AH34" s="2707">
        <v>0</v>
      </c>
      <c r="AI34" s="2707">
        <v>0</v>
      </c>
      <c r="AJ34" s="2707">
        <v>0</v>
      </c>
      <c r="AK34" s="2707">
        <v>0</v>
      </c>
      <c r="AL34" s="2707">
        <v>0</v>
      </c>
      <c r="AM34" s="2707">
        <v>5.0376721663258861</v>
      </c>
      <c r="AN34" s="2707">
        <v>0</v>
      </c>
      <c r="AO34" s="2707">
        <v>4.4322210036771326</v>
      </c>
      <c r="AP34" s="2707">
        <v>0</v>
      </c>
      <c r="AQ34" s="2707">
        <v>0.87740823880219554</v>
      </c>
      <c r="AR34" s="2707">
        <v>0</v>
      </c>
      <c r="AS34" s="2707">
        <v>0</v>
      </c>
      <c r="AT34" s="2707">
        <v>0</v>
      </c>
      <c r="AU34" s="2682">
        <v>0.30172239096774128</v>
      </c>
      <c r="AV34" s="2682">
        <v>0</v>
      </c>
      <c r="AW34" s="2682">
        <v>0.60978423010795058</v>
      </c>
      <c r="AX34" s="2682">
        <v>0</v>
      </c>
      <c r="AY34" s="2682">
        <v>0.82663481345793488</v>
      </c>
      <c r="AZ34" s="2682">
        <v>0</v>
      </c>
      <c r="BA34" s="2682">
        <v>0.87747545925468529</v>
      </c>
      <c r="BB34" s="2682">
        <v>0</v>
      </c>
      <c r="BC34" s="2682">
        <v>0</v>
      </c>
      <c r="BD34" s="2682">
        <v>0</v>
      </c>
      <c r="BE34" s="2682">
        <v>0</v>
      </c>
      <c r="BF34" s="2682">
        <v>0</v>
      </c>
      <c r="BG34" s="2682">
        <v>0</v>
      </c>
      <c r="BH34" s="2682">
        <v>0</v>
      </c>
      <c r="BI34" s="2682">
        <v>0</v>
      </c>
      <c r="BJ34" s="2682">
        <v>0</v>
      </c>
      <c r="BK34" s="2682">
        <v>0</v>
      </c>
      <c r="BL34" s="2682">
        <v>0</v>
      </c>
      <c r="BM34" s="2682">
        <v>0.11711022405395669</v>
      </c>
      <c r="BN34" s="2682">
        <v>0</v>
      </c>
      <c r="BO34" s="2682">
        <v>0</v>
      </c>
      <c r="BP34" s="2682">
        <v>0</v>
      </c>
      <c r="BQ34" s="2682">
        <v>0</v>
      </c>
      <c r="BR34" s="2682">
        <v>0</v>
      </c>
      <c r="BS34" s="2682">
        <v>0</v>
      </c>
      <c r="BT34" s="2682">
        <v>0</v>
      </c>
      <c r="BU34" s="2682">
        <v>0</v>
      </c>
      <c r="BV34" s="2682">
        <v>0</v>
      </c>
      <c r="BW34" s="2682">
        <v>0</v>
      </c>
      <c r="BX34" s="2682">
        <v>0</v>
      </c>
      <c r="BY34" s="2682">
        <v>0</v>
      </c>
      <c r="BZ34" s="2682">
        <v>0</v>
      </c>
      <c r="CA34" s="2682">
        <v>0</v>
      </c>
      <c r="CB34" s="2682">
        <v>0</v>
      </c>
      <c r="CC34" s="2682">
        <v>0.23674273309715949</v>
      </c>
      <c r="CD34" s="2682">
        <v>0</v>
      </c>
      <c r="CE34" s="2682">
        <v>0.12140819702536719</v>
      </c>
      <c r="CF34" s="2682">
        <v>0</v>
      </c>
      <c r="CG34" s="2682">
        <v>3.6755319547837959</v>
      </c>
      <c r="CH34" s="2682">
        <v>0</v>
      </c>
      <c r="CI34" s="2682">
        <v>2.365815764905876</v>
      </c>
      <c r="CJ34" s="2682">
        <v>0</v>
      </c>
      <c r="CK34" s="2676"/>
      <c r="CL34" s="847"/>
    </row>
    <row r="35" spans="1:90" ht="16.5" x14ac:dyDescent="0.3">
      <c r="A35" s="2666" t="s">
        <v>4830</v>
      </c>
      <c r="B35" s="2677" t="s">
        <v>3537</v>
      </c>
      <c r="C35" s="2701">
        <v>0.18084757983596564</v>
      </c>
      <c r="D35" s="2701">
        <v>0</v>
      </c>
      <c r="E35" s="2701">
        <v>0</v>
      </c>
      <c r="F35" s="2701">
        <v>0</v>
      </c>
      <c r="G35" s="2701">
        <v>0</v>
      </c>
      <c r="H35" s="2701">
        <v>0</v>
      </c>
      <c r="I35" s="2701">
        <v>0</v>
      </c>
      <c r="J35" s="2701">
        <v>0</v>
      </c>
      <c r="K35" s="2701">
        <v>0</v>
      </c>
      <c r="L35" s="2701">
        <v>0</v>
      </c>
      <c r="M35" s="2701">
        <v>0</v>
      </c>
      <c r="N35" s="2701">
        <v>0</v>
      </c>
      <c r="O35" s="2701">
        <v>0</v>
      </c>
      <c r="P35" s="2701">
        <v>0</v>
      </c>
      <c r="Q35" s="2701">
        <v>0</v>
      </c>
      <c r="R35" s="2653">
        <v>0</v>
      </c>
      <c r="S35" s="2705">
        <v>0</v>
      </c>
      <c r="T35" s="2705">
        <v>0</v>
      </c>
      <c r="U35" s="2705">
        <v>0</v>
      </c>
      <c r="V35" s="2705">
        <v>0</v>
      </c>
      <c r="W35" s="2705">
        <v>0</v>
      </c>
      <c r="X35" s="2705">
        <v>0</v>
      </c>
      <c r="Y35" s="2705">
        <v>0</v>
      </c>
      <c r="Z35" s="2705">
        <v>0</v>
      </c>
      <c r="AA35" s="2705">
        <v>0</v>
      </c>
      <c r="AB35" s="2705">
        <v>0</v>
      </c>
      <c r="AC35" s="2705">
        <v>0</v>
      </c>
      <c r="AD35" s="2705">
        <v>0</v>
      </c>
      <c r="AE35" s="2705">
        <v>0</v>
      </c>
      <c r="AF35" s="2706">
        <v>0</v>
      </c>
      <c r="AG35" s="2707">
        <v>0</v>
      </c>
      <c r="AH35" s="2707">
        <v>0</v>
      </c>
      <c r="AI35" s="2707">
        <v>0</v>
      </c>
      <c r="AJ35" s="2707">
        <v>0</v>
      </c>
      <c r="AK35" s="2707">
        <v>0</v>
      </c>
      <c r="AL35" s="2707">
        <v>0</v>
      </c>
      <c r="AM35" s="2707">
        <v>0</v>
      </c>
      <c r="AN35" s="2707">
        <v>0</v>
      </c>
      <c r="AO35" s="2707">
        <v>0</v>
      </c>
      <c r="AP35" s="2707">
        <v>0</v>
      </c>
      <c r="AQ35" s="2707">
        <v>0</v>
      </c>
      <c r="AR35" s="2707">
        <v>0</v>
      </c>
      <c r="AS35" s="2707">
        <v>0</v>
      </c>
      <c r="AT35" s="2707">
        <v>0</v>
      </c>
      <c r="AU35" s="2682">
        <v>0</v>
      </c>
      <c r="AV35" s="2682">
        <v>0</v>
      </c>
      <c r="AW35" s="2682">
        <v>0</v>
      </c>
      <c r="AX35" s="2682">
        <v>0</v>
      </c>
      <c r="AY35" s="2682">
        <v>0</v>
      </c>
      <c r="AZ35" s="2682">
        <v>0</v>
      </c>
      <c r="BA35" s="2682">
        <v>0</v>
      </c>
      <c r="BB35" s="2682">
        <v>0</v>
      </c>
      <c r="BC35" s="2682">
        <v>0</v>
      </c>
      <c r="BD35" s="2682">
        <v>0</v>
      </c>
      <c r="BE35" s="2682">
        <v>0</v>
      </c>
      <c r="BF35" s="2682">
        <v>0</v>
      </c>
      <c r="BG35" s="2682">
        <v>0</v>
      </c>
      <c r="BH35" s="2682">
        <v>0</v>
      </c>
      <c r="BI35" s="2682">
        <v>0</v>
      </c>
      <c r="BJ35" s="2682">
        <v>0</v>
      </c>
      <c r="BK35" s="2682">
        <v>0</v>
      </c>
      <c r="BL35" s="2682">
        <v>0</v>
      </c>
      <c r="BM35" s="2682">
        <v>0</v>
      </c>
      <c r="BN35" s="2682">
        <v>0</v>
      </c>
      <c r="BO35" s="2682">
        <v>0.1628127837816388</v>
      </c>
      <c r="BP35" s="2682">
        <v>0</v>
      </c>
      <c r="BQ35" s="2682">
        <v>0</v>
      </c>
      <c r="BR35" s="2682">
        <v>0</v>
      </c>
      <c r="BS35" s="2682">
        <v>0.12995889812847708</v>
      </c>
      <c r="BT35" s="2682">
        <v>0</v>
      </c>
      <c r="BU35" s="2682">
        <v>0.18292203580018818</v>
      </c>
      <c r="BV35" s="2682">
        <v>0</v>
      </c>
      <c r="BW35" s="2682">
        <v>0</v>
      </c>
      <c r="BX35" s="2682">
        <v>0</v>
      </c>
      <c r="BY35" s="2682">
        <v>0.13426107323750916</v>
      </c>
      <c r="BZ35" s="2682">
        <v>0</v>
      </c>
      <c r="CA35" s="2682">
        <v>0.17575647950717391</v>
      </c>
      <c r="CB35" s="2682">
        <v>0</v>
      </c>
      <c r="CC35" s="2682">
        <v>0</v>
      </c>
      <c r="CD35" s="2682">
        <v>0</v>
      </c>
      <c r="CE35" s="2682">
        <v>0.13387211918772948</v>
      </c>
      <c r="CF35" s="2682">
        <v>0</v>
      </c>
      <c r="CG35" s="2682">
        <v>0.18290132736073089</v>
      </c>
      <c r="CH35" s="2682">
        <v>0</v>
      </c>
      <c r="CI35" s="2682">
        <v>0</v>
      </c>
      <c r="CJ35" s="2682">
        <v>0</v>
      </c>
      <c r="CK35" s="2676"/>
      <c r="CL35" s="847"/>
    </row>
    <row r="36" spans="1:90" ht="16.5" x14ac:dyDescent="0.3">
      <c r="A36" s="2666" t="s">
        <v>4836</v>
      </c>
      <c r="B36" s="2677" t="s">
        <v>3541</v>
      </c>
      <c r="C36" s="2701">
        <v>0</v>
      </c>
      <c r="D36" s="2701">
        <v>0</v>
      </c>
      <c r="E36" s="2701">
        <v>0</v>
      </c>
      <c r="F36" s="2701">
        <v>0</v>
      </c>
      <c r="G36" s="2701">
        <v>0</v>
      </c>
      <c r="H36" s="2701">
        <v>0</v>
      </c>
      <c r="I36" s="2701">
        <v>0</v>
      </c>
      <c r="J36" s="2701">
        <v>0</v>
      </c>
      <c r="K36" s="2701">
        <v>1.3707889508815885</v>
      </c>
      <c r="L36" s="2701">
        <v>0</v>
      </c>
      <c r="M36" s="2701">
        <v>0</v>
      </c>
      <c r="N36" s="2701">
        <v>0</v>
      </c>
      <c r="O36" s="2701">
        <v>0</v>
      </c>
      <c r="P36" s="2701">
        <v>0</v>
      </c>
      <c r="Q36" s="2701">
        <v>0</v>
      </c>
      <c r="R36" s="2653">
        <v>0</v>
      </c>
      <c r="S36" s="2705">
        <v>0</v>
      </c>
      <c r="T36" s="2705">
        <v>0</v>
      </c>
      <c r="U36" s="2705">
        <v>0</v>
      </c>
      <c r="V36" s="2705">
        <v>0</v>
      </c>
      <c r="W36" s="2705">
        <v>0</v>
      </c>
      <c r="X36" s="2705">
        <v>0</v>
      </c>
      <c r="Y36" s="2705">
        <v>0</v>
      </c>
      <c r="Z36" s="2705">
        <v>0</v>
      </c>
      <c r="AA36" s="2705">
        <v>0</v>
      </c>
      <c r="AB36" s="2705">
        <v>0</v>
      </c>
      <c r="AC36" s="2705">
        <v>0</v>
      </c>
      <c r="AD36" s="2705">
        <v>0</v>
      </c>
      <c r="AE36" s="2705">
        <v>0</v>
      </c>
      <c r="AF36" s="2706">
        <v>0</v>
      </c>
      <c r="AG36" s="2707">
        <v>0</v>
      </c>
      <c r="AH36" s="2707">
        <v>0</v>
      </c>
      <c r="AI36" s="2707">
        <v>0</v>
      </c>
      <c r="AJ36" s="2707">
        <v>0</v>
      </c>
      <c r="AK36" s="2707">
        <v>0</v>
      </c>
      <c r="AL36" s="2707">
        <v>0</v>
      </c>
      <c r="AM36" s="2707">
        <v>0</v>
      </c>
      <c r="AN36" s="2707">
        <v>0</v>
      </c>
      <c r="AO36" s="2707">
        <v>0.15429783293287083</v>
      </c>
      <c r="AP36" s="2707">
        <v>0</v>
      </c>
      <c r="AQ36" s="2707">
        <v>0</v>
      </c>
      <c r="AR36" s="2707">
        <v>5.4748756349471281E-2</v>
      </c>
      <c r="AS36" s="2707">
        <v>0</v>
      </c>
      <c r="AT36" s="2707">
        <v>0</v>
      </c>
      <c r="AU36" s="2682">
        <v>0</v>
      </c>
      <c r="AV36" s="2682">
        <v>0</v>
      </c>
      <c r="AW36" s="2682">
        <v>0</v>
      </c>
      <c r="AX36" s="2682">
        <v>0</v>
      </c>
      <c r="AY36" s="2682">
        <v>0.16602513721269063</v>
      </c>
      <c r="AZ36" s="2682">
        <v>0</v>
      </c>
      <c r="BA36" s="2682">
        <v>0.32390731291816205</v>
      </c>
      <c r="BB36" s="2682">
        <v>0</v>
      </c>
      <c r="BC36" s="2682">
        <v>0</v>
      </c>
      <c r="BD36" s="2682">
        <v>0</v>
      </c>
      <c r="BE36" s="2682">
        <v>0</v>
      </c>
      <c r="BF36" s="2682">
        <v>0.30215010459680247</v>
      </c>
      <c r="BG36" s="2682">
        <v>0</v>
      </c>
      <c r="BH36" s="2682">
        <v>0.13207962137624377</v>
      </c>
      <c r="BI36" s="2682">
        <v>0</v>
      </c>
      <c r="BJ36" s="2682">
        <v>0</v>
      </c>
      <c r="BK36" s="2682">
        <v>0</v>
      </c>
      <c r="BL36" s="2682">
        <v>0</v>
      </c>
      <c r="BM36" s="2682">
        <v>0</v>
      </c>
      <c r="BN36" s="2682">
        <v>0</v>
      </c>
      <c r="BO36" s="2682">
        <v>0</v>
      </c>
      <c r="BP36" s="2682">
        <v>0</v>
      </c>
      <c r="BQ36" s="2682">
        <v>0.5554358936403071</v>
      </c>
      <c r="BR36" s="2682">
        <v>0</v>
      </c>
      <c r="BS36" s="2682">
        <v>0</v>
      </c>
      <c r="BT36" s="2682">
        <v>0.37352699426211178</v>
      </c>
      <c r="BU36" s="2682">
        <v>0</v>
      </c>
      <c r="BV36" s="2682">
        <v>0.31641550552740194</v>
      </c>
      <c r="BW36" s="2682">
        <v>0</v>
      </c>
      <c r="BX36" s="2682">
        <v>0.26246532310684584</v>
      </c>
      <c r="BY36" s="2682">
        <v>0</v>
      </c>
      <c r="BZ36" s="2682">
        <v>0</v>
      </c>
      <c r="CA36" s="2682">
        <v>0</v>
      </c>
      <c r="CB36" s="2682">
        <v>0</v>
      </c>
      <c r="CC36" s="2682">
        <v>0</v>
      </c>
      <c r="CD36" s="2682">
        <v>0</v>
      </c>
      <c r="CE36" s="2682">
        <v>0</v>
      </c>
      <c r="CF36" s="2682">
        <v>0</v>
      </c>
      <c r="CG36" s="2682">
        <v>0</v>
      </c>
      <c r="CH36" s="2682">
        <v>0</v>
      </c>
      <c r="CI36" s="2682">
        <v>0</v>
      </c>
      <c r="CJ36" s="2682">
        <v>0</v>
      </c>
      <c r="CK36" s="2676"/>
      <c r="CL36" s="847"/>
    </row>
    <row r="37" spans="1:90" ht="17.25" thickBot="1" x14ac:dyDescent="0.35">
      <c r="A37" s="2710"/>
      <c r="B37" s="2684" t="s">
        <v>4841</v>
      </c>
      <c r="C37" s="2701">
        <v>0</v>
      </c>
      <c r="D37" s="2701">
        <v>0</v>
      </c>
      <c r="E37" s="2701">
        <v>0</v>
      </c>
      <c r="F37" s="2701">
        <v>0</v>
      </c>
      <c r="G37" s="2701">
        <v>0</v>
      </c>
      <c r="H37" s="2701">
        <v>0</v>
      </c>
      <c r="I37" s="2701">
        <v>0</v>
      </c>
      <c r="J37" s="2701">
        <v>0</v>
      </c>
      <c r="K37" s="2701">
        <v>0</v>
      </c>
      <c r="L37" s="2701">
        <v>0</v>
      </c>
      <c r="M37" s="2701">
        <v>0</v>
      </c>
      <c r="N37" s="2701">
        <v>0</v>
      </c>
      <c r="O37" s="2701">
        <v>0</v>
      </c>
      <c r="P37" s="2701">
        <v>0</v>
      </c>
      <c r="Q37" s="2701">
        <v>0</v>
      </c>
      <c r="R37" s="2653">
        <v>0</v>
      </c>
      <c r="S37" s="2705">
        <v>0</v>
      </c>
      <c r="T37" s="2705">
        <v>0</v>
      </c>
      <c r="U37" s="2705">
        <v>0</v>
      </c>
      <c r="V37" s="2705">
        <v>0</v>
      </c>
      <c r="W37" s="2711">
        <v>0</v>
      </c>
      <c r="X37" s="2711">
        <v>0</v>
      </c>
      <c r="Y37" s="2711">
        <v>0</v>
      </c>
      <c r="Z37" s="2711">
        <v>0</v>
      </c>
      <c r="AA37" s="2711">
        <v>0</v>
      </c>
      <c r="AB37" s="2711">
        <v>0</v>
      </c>
      <c r="AC37" s="2711">
        <v>0</v>
      </c>
      <c r="AD37" s="2711">
        <v>0</v>
      </c>
      <c r="AE37" s="2711">
        <v>0</v>
      </c>
      <c r="AF37" s="2712">
        <v>0</v>
      </c>
      <c r="AG37" s="2713">
        <v>0</v>
      </c>
      <c r="AH37" s="2713">
        <v>0</v>
      </c>
      <c r="AI37" s="2713">
        <v>0</v>
      </c>
      <c r="AJ37" s="2713">
        <v>0</v>
      </c>
      <c r="AK37" s="2713">
        <v>0</v>
      </c>
      <c r="AL37" s="2713">
        <v>0</v>
      </c>
      <c r="AM37" s="2713">
        <v>0</v>
      </c>
      <c r="AN37" s="2713">
        <v>0</v>
      </c>
      <c r="AO37" s="2713">
        <v>0</v>
      </c>
      <c r="AP37" s="2713">
        <v>0</v>
      </c>
      <c r="AQ37" s="2713">
        <v>0</v>
      </c>
      <c r="AR37" s="2713">
        <v>0</v>
      </c>
      <c r="AS37" s="2713">
        <v>0</v>
      </c>
      <c r="AT37" s="2713">
        <v>0</v>
      </c>
      <c r="AU37" s="2689">
        <v>0</v>
      </c>
      <c r="AV37" s="2689">
        <v>0</v>
      </c>
      <c r="AW37" s="2689">
        <v>0</v>
      </c>
      <c r="AX37" s="2689">
        <v>0</v>
      </c>
      <c r="AY37" s="2689">
        <v>0</v>
      </c>
      <c r="AZ37" s="2689">
        <v>0</v>
      </c>
      <c r="BA37" s="2689">
        <v>0</v>
      </c>
      <c r="BB37" s="2689">
        <v>0</v>
      </c>
      <c r="BC37" s="2689">
        <v>0</v>
      </c>
      <c r="BD37" s="2689">
        <v>0</v>
      </c>
      <c r="BE37" s="2689">
        <v>0</v>
      </c>
      <c r="BF37" s="2689">
        <v>0</v>
      </c>
      <c r="BG37" s="2689">
        <v>0</v>
      </c>
      <c r="BH37" s="2689">
        <v>0.213672450974492</v>
      </c>
      <c r="BI37" s="2689">
        <v>0</v>
      </c>
      <c r="BJ37" s="2689">
        <v>0</v>
      </c>
      <c r="BK37" s="2689">
        <v>0</v>
      </c>
      <c r="BL37" s="2689">
        <v>0</v>
      </c>
      <c r="BM37" s="2689">
        <v>0</v>
      </c>
      <c r="BN37" s="2689">
        <v>0</v>
      </c>
      <c r="BO37" s="2689">
        <v>0</v>
      </c>
      <c r="BP37" s="2689">
        <v>0</v>
      </c>
      <c r="BQ37" s="2689">
        <v>0</v>
      </c>
      <c r="BR37" s="2689">
        <v>0</v>
      </c>
      <c r="BS37" s="2689">
        <v>0</v>
      </c>
      <c r="BT37" s="2689">
        <v>0</v>
      </c>
      <c r="BU37" s="2689">
        <v>0</v>
      </c>
      <c r="BV37" s="2689">
        <v>0</v>
      </c>
      <c r="BW37" s="2689">
        <v>0</v>
      </c>
      <c r="BX37" s="2689">
        <v>0</v>
      </c>
      <c r="BY37" s="2689">
        <v>0</v>
      </c>
      <c r="BZ37" s="2689">
        <v>0</v>
      </c>
      <c r="CA37" s="2689">
        <v>0</v>
      </c>
      <c r="CB37" s="2689">
        <v>0</v>
      </c>
      <c r="CC37" s="2689">
        <v>0</v>
      </c>
      <c r="CD37" s="2689">
        <v>0</v>
      </c>
      <c r="CE37" s="2689">
        <v>0</v>
      </c>
      <c r="CF37" s="2689">
        <v>0</v>
      </c>
      <c r="CG37" s="2689">
        <v>0</v>
      </c>
      <c r="CH37" s="2689">
        <v>0</v>
      </c>
      <c r="CI37" s="2689">
        <v>0.47177857975578374</v>
      </c>
      <c r="CJ37" s="2689">
        <v>0</v>
      </c>
      <c r="CK37" s="2676"/>
      <c r="CL37" s="847"/>
    </row>
    <row r="38" spans="1:90" ht="17.25" thickBot="1" x14ac:dyDescent="0.35">
      <c r="A38" s="2690"/>
      <c r="B38" s="2691" t="s">
        <v>4856</v>
      </c>
      <c r="C38" s="2692">
        <v>334.88648081526691</v>
      </c>
      <c r="D38" s="2692">
        <v>8.7601427590511722</v>
      </c>
      <c r="E38" s="2692">
        <v>394.28974506791479</v>
      </c>
      <c r="F38" s="2692">
        <v>17.203871293365157</v>
      </c>
      <c r="G38" s="2692">
        <v>367.75350521502997</v>
      </c>
      <c r="H38" s="2692">
        <v>4.7924009355785442</v>
      </c>
      <c r="I38" s="2692">
        <v>268.36206003582259</v>
      </c>
      <c r="J38" s="2692">
        <v>9.4201172598437974</v>
      </c>
      <c r="K38" s="2692">
        <v>249.81750968225415</v>
      </c>
      <c r="L38" s="2692">
        <v>21.712707676584692</v>
      </c>
      <c r="M38" s="2692">
        <v>206.60226386111552</v>
      </c>
      <c r="N38" s="2692">
        <v>3.895074234976855</v>
      </c>
      <c r="O38" s="2692">
        <v>248.44264440024978</v>
      </c>
      <c r="P38" s="2692">
        <v>7.2731451684254997</v>
      </c>
      <c r="Q38" s="2692">
        <v>228.03754210954537</v>
      </c>
      <c r="R38" s="2694">
        <v>1.1842642450179004</v>
      </c>
      <c r="S38" s="2714">
        <v>213.92077468175177</v>
      </c>
      <c r="T38" s="2714">
        <v>2.3635099337771375</v>
      </c>
      <c r="U38" s="2714">
        <v>203.41426809553406</v>
      </c>
      <c r="V38" s="2714">
        <v>2.7642111083056236</v>
      </c>
      <c r="W38" s="2695">
        <v>137.04874653432145</v>
      </c>
      <c r="X38" s="2695">
        <v>3.2698691866421261</v>
      </c>
      <c r="Y38" s="2695">
        <v>137.11669372114548</v>
      </c>
      <c r="Z38" s="2695">
        <v>2.4344126216390656</v>
      </c>
      <c r="AA38" s="2695">
        <v>148.55518026588976</v>
      </c>
      <c r="AB38" s="2695">
        <v>8.8744636281830047</v>
      </c>
      <c r="AC38" s="2695">
        <v>198.92992247584738</v>
      </c>
      <c r="AD38" s="2695">
        <v>0.48088174148417956</v>
      </c>
      <c r="AE38" s="2695">
        <v>288.73605071471519</v>
      </c>
      <c r="AF38" s="2715">
        <v>6.5519299145359646</v>
      </c>
      <c r="AG38" s="2697">
        <v>316.14429484567046</v>
      </c>
      <c r="AH38" s="2697">
        <v>1.124289144004367</v>
      </c>
      <c r="AI38" s="2697">
        <v>307.77188080391198</v>
      </c>
      <c r="AJ38" s="2697">
        <v>1.4199076106800868</v>
      </c>
      <c r="AK38" s="2697">
        <v>51.772794009139659</v>
      </c>
      <c r="AL38" s="2697">
        <v>23.357327037097029</v>
      </c>
      <c r="AM38" s="2697">
        <v>362.45457413650905</v>
      </c>
      <c r="AN38" s="2697">
        <v>1.9202752335907354</v>
      </c>
      <c r="AO38" s="2697">
        <v>274.22280724642565</v>
      </c>
      <c r="AP38" s="2697">
        <v>3.2779402194687051</v>
      </c>
      <c r="AQ38" s="2697">
        <v>132.48979871850869</v>
      </c>
      <c r="AR38" s="2697">
        <v>1.334762396808012</v>
      </c>
      <c r="AS38" s="2697">
        <v>86.380064452428229</v>
      </c>
      <c r="AT38" s="2697">
        <v>3.9457911189792387</v>
      </c>
      <c r="AU38" s="2698">
        <v>59.757577914346513</v>
      </c>
      <c r="AV38" s="2698">
        <v>5.2811631378890436</v>
      </c>
      <c r="AW38" s="2698">
        <v>91.390372779993015</v>
      </c>
      <c r="AX38" s="2698">
        <v>2.3243661204935382</v>
      </c>
      <c r="AY38" s="2698">
        <v>113.67199070420646</v>
      </c>
      <c r="AZ38" s="2698">
        <v>4.7991150363313837</v>
      </c>
      <c r="BA38" s="2698">
        <v>97.366774414032804</v>
      </c>
      <c r="BB38" s="2698">
        <v>0.83246823999092168</v>
      </c>
      <c r="BC38" s="2698">
        <v>84.638386629550439</v>
      </c>
      <c r="BD38" s="2698">
        <v>3.801464561512907</v>
      </c>
      <c r="BE38" s="2698">
        <v>61.359288023094415</v>
      </c>
      <c r="BF38" s="2698">
        <v>2.4244072288652569</v>
      </c>
      <c r="BG38" s="2698">
        <v>61.059005934032463</v>
      </c>
      <c r="BH38" s="2698">
        <v>9.2964392627992929</v>
      </c>
      <c r="BI38" s="2698">
        <v>88.807657315535067</v>
      </c>
      <c r="BJ38" s="2698">
        <v>24.066499390404136</v>
      </c>
      <c r="BK38" s="2698">
        <v>59.110937862218314</v>
      </c>
      <c r="BL38" s="2698">
        <v>35.737452536441118</v>
      </c>
      <c r="BM38" s="2698">
        <v>25.779287578604688</v>
      </c>
      <c r="BN38" s="2698">
        <v>19.772721278551021</v>
      </c>
      <c r="BO38" s="2698">
        <v>21.006911466514442</v>
      </c>
      <c r="BP38" s="2698">
        <v>28.600226645452146</v>
      </c>
      <c r="BQ38" s="2698">
        <v>30.273089072004794</v>
      </c>
      <c r="BR38" s="2698">
        <v>35.074219825695856</v>
      </c>
      <c r="BS38" s="2698">
        <v>48.327478789687106</v>
      </c>
      <c r="BT38" s="2698">
        <v>68.863802324811473</v>
      </c>
      <c r="BU38" s="2698">
        <v>53.893422694383531</v>
      </c>
      <c r="BV38" s="2698">
        <v>46.514556207376998</v>
      </c>
      <c r="BW38" s="2698">
        <v>44.227931494530672</v>
      </c>
      <c r="BX38" s="2698">
        <v>15.560451131686682</v>
      </c>
      <c r="BY38" s="2698">
        <v>36.481144370673455</v>
      </c>
      <c r="BZ38" s="2698">
        <v>10.255465936341261</v>
      </c>
      <c r="CA38" s="2698">
        <v>47.580632126769331</v>
      </c>
      <c r="CB38" s="2698">
        <v>9.7526275182467099</v>
      </c>
      <c r="CC38" s="2698">
        <v>40.452974157434376</v>
      </c>
      <c r="CD38" s="2698">
        <v>2.1210111895251216</v>
      </c>
      <c r="CE38" s="2698">
        <v>57.619277776803763</v>
      </c>
      <c r="CF38" s="2698">
        <v>4.8670232651470062</v>
      </c>
      <c r="CG38" s="2698">
        <f>SUM(CG23:CG37)</f>
        <v>65.907465321512916</v>
      </c>
      <c r="CH38" s="2698">
        <f>SUM(CH23:CH37)</f>
        <v>4.7375255549087596</v>
      </c>
      <c r="CI38" s="2699">
        <f>SUM(CI23:CI37)</f>
        <v>53.77284505885482</v>
      </c>
      <c r="CJ38" s="2699">
        <f>SUM(CJ23:CJ37)</f>
        <v>15.938620466521289</v>
      </c>
      <c r="CK38" s="2676"/>
    </row>
    <row r="39" spans="1:90" s="847" customFormat="1" ht="17.25" thickBot="1" x14ac:dyDescent="0.35">
      <c r="A39" s="3918" t="s">
        <v>4848</v>
      </c>
      <c r="B39" s="3919"/>
      <c r="C39" s="3919"/>
      <c r="D39" s="3919"/>
      <c r="E39" s="3919"/>
      <c r="F39" s="3919"/>
      <c r="G39" s="3919"/>
      <c r="H39" s="3919"/>
      <c r="I39" s="3919"/>
      <c r="J39" s="3919"/>
      <c r="K39" s="3919"/>
      <c r="L39" s="3919"/>
      <c r="M39" s="3919"/>
      <c r="N39" s="3919"/>
      <c r="O39" s="3919"/>
      <c r="P39" s="3919"/>
      <c r="Q39" s="3919"/>
      <c r="R39" s="3919"/>
      <c r="S39" s="3919"/>
      <c r="T39" s="3919"/>
      <c r="U39" s="3919"/>
      <c r="V39" s="3919"/>
      <c r="W39" s="3919"/>
      <c r="X39" s="3919"/>
      <c r="Y39" s="3919"/>
      <c r="Z39" s="3919"/>
      <c r="AA39" s="3919"/>
      <c r="AB39" s="3919"/>
      <c r="AC39" s="3919"/>
      <c r="AD39" s="3919"/>
      <c r="AE39" s="3919"/>
      <c r="AF39" s="3919"/>
      <c r="AG39" s="3919"/>
      <c r="AH39" s="3919"/>
      <c r="AI39" s="3919"/>
      <c r="AJ39" s="3919"/>
      <c r="AK39" s="3919"/>
      <c r="AL39" s="3919"/>
      <c r="AM39" s="3919"/>
      <c r="AN39" s="3919"/>
      <c r="AO39" s="3919"/>
      <c r="AP39" s="3919"/>
      <c r="AQ39" s="3919"/>
      <c r="AR39" s="3919"/>
      <c r="AS39" s="3919"/>
      <c r="AT39" s="3919"/>
      <c r="AU39" s="3919"/>
      <c r="AV39" s="3919"/>
      <c r="AW39" s="3919"/>
      <c r="AX39" s="3919"/>
      <c r="AY39" s="3919"/>
      <c r="AZ39" s="3919"/>
      <c r="BA39" s="3919"/>
      <c r="BB39" s="3919"/>
      <c r="BC39" s="3919"/>
      <c r="BD39" s="3919"/>
      <c r="BE39" s="3919"/>
      <c r="BF39" s="3919"/>
      <c r="BG39" s="3919"/>
      <c r="BH39" s="3919"/>
      <c r="BI39" s="3919"/>
      <c r="BJ39" s="3919"/>
      <c r="BK39" s="3919"/>
      <c r="BL39" s="3919"/>
      <c r="BM39" s="3919"/>
      <c r="BN39" s="3919"/>
      <c r="BO39" s="3919"/>
      <c r="BP39" s="3919"/>
      <c r="BQ39" s="3919"/>
      <c r="BR39" s="3919"/>
      <c r="BS39" s="3919"/>
      <c r="BT39" s="3919"/>
      <c r="BU39" s="3919"/>
      <c r="BV39" s="3919"/>
      <c r="BW39" s="3919"/>
      <c r="BX39" s="3919"/>
      <c r="BY39" s="3919"/>
      <c r="BZ39" s="3919"/>
      <c r="CA39" s="3919"/>
      <c r="CB39" s="3919"/>
      <c r="CC39" s="3919"/>
      <c r="CD39" s="3919"/>
      <c r="CE39" s="3919"/>
      <c r="CF39" s="3919"/>
      <c r="CG39" s="3919"/>
      <c r="CH39" s="3919"/>
      <c r="CI39" s="3919"/>
      <c r="CJ39" s="3920"/>
      <c r="CK39" s="2362"/>
    </row>
    <row r="40" spans="1:90" ht="16.5" x14ac:dyDescent="0.3">
      <c r="A40" s="2700" t="s">
        <v>4816</v>
      </c>
      <c r="B40" s="2667" t="s">
        <v>3528</v>
      </c>
      <c r="C40" s="2707">
        <v>1.1006654367020208</v>
      </c>
      <c r="D40" s="2707">
        <v>0</v>
      </c>
      <c r="E40" s="2707">
        <v>0</v>
      </c>
      <c r="F40" s="2707">
        <v>4.3293231654718621E-2</v>
      </c>
      <c r="G40" s="2707">
        <v>4.2694163626687952E-2</v>
      </c>
      <c r="H40" s="2707">
        <v>0</v>
      </c>
      <c r="I40" s="2707">
        <v>0</v>
      </c>
      <c r="J40" s="2707">
        <v>0</v>
      </c>
      <c r="K40" s="2707">
        <v>10.561347474383373</v>
      </c>
      <c r="L40" s="2707">
        <v>0</v>
      </c>
      <c r="M40" s="2707">
        <v>7.1009611884094967</v>
      </c>
      <c r="N40" s="2707">
        <v>0</v>
      </c>
      <c r="O40" s="2707">
        <v>2.8328403837363796</v>
      </c>
      <c r="P40" s="2707">
        <v>3.3015502962995172E-2</v>
      </c>
      <c r="Q40" s="2707">
        <v>1.3628699516037615</v>
      </c>
      <c r="R40" s="2707">
        <v>0</v>
      </c>
      <c r="S40" s="2704">
        <v>0.63820627923430917</v>
      </c>
      <c r="T40" s="2704">
        <v>0</v>
      </c>
      <c r="U40" s="2704">
        <v>1.2561240054795779</v>
      </c>
      <c r="V40" s="2704">
        <v>0</v>
      </c>
      <c r="W40" s="2704">
        <v>0.61138072244487274</v>
      </c>
      <c r="X40" s="2704">
        <v>0</v>
      </c>
      <c r="Y40" s="2704">
        <v>0.56957106043941652</v>
      </c>
      <c r="Z40" s="2704">
        <v>5.2027518445214915E-2</v>
      </c>
      <c r="AA40" s="2704">
        <v>0.57368177398619336</v>
      </c>
      <c r="AB40" s="2704">
        <v>1.1814939486659102</v>
      </c>
      <c r="AC40" s="2704">
        <v>0.83674263502663915</v>
      </c>
      <c r="AD40" s="2704">
        <v>0</v>
      </c>
      <c r="AE40" s="2704">
        <v>0</v>
      </c>
      <c r="AF40" s="2704">
        <v>8.4780560486595533E-2</v>
      </c>
      <c r="AG40" s="2704">
        <v>0.94860431954004243</v>
      </c>
      <c r="AH40" s="2704">
        <v>0</v>
      </c>
      <c r="AI40" s="2704">
        <v>0.49667755397336144</v>
      </c>
      <c r="AJ40" s="2704">
        <v>0</v>
      </c>
      <c r="AK40" s="2704">
        <v>0.29270625304985126</v>
      </c>
      <c r="AL40" s="2704">
        <v>4.1332880410739632E-2</v>
      </c>
      <c r="AM40" s="2704">
        <v>0.27852083135008904</v>
      </c>
      <c r="AN40" s="2704">
        <v>0</v>
      </c>
      <c r="AO40" s="2704">
        <v>1.0524595875105625</v>
      </c>
      <c r="AP40" s="2704">
        <v>0</v>
      </c>
      <c r="AQ40" s="2704">
        <v>0.24313750361289391</v>
      </c>
      <c r="AR40" s="2704">
        <v>0.20681951087988631</v>
      </c>
      <c r="AS40" s="2704">
        <v>0.24985340779976359</v>
      </c>
      <c r="AT40" s="2704">
        <v>0</v>
      </c>
      <c r="AU40" s="2675">
        <v>0.24776135855977757</v>
      </c>
      <c r="AV40" s="2675">
        <v>0</v>
      </c>
      <c r="AW40" s="2675">
        <v>0</v>
      </c>
      <c r="AX40" s="2675">
        <v>0</v>
      </c>
      <c r="AY40" s="2675">
        <v>0.11980427438275967</v>
      </c>
      <c r="AZ40" s="2675">
        <v>0</v>
      </c>
      <c r="BA40" s="2675">
        <v>0</v>
      </c>
      <c r="BB40" s="2675">
        <v>0</v>
      </c>
      <c r="BC40" s="2675">
        <v>0.44882641441562293</v>
      </c>
      <c r="BD40" s="2675">
        <v>0</v>
      </c>
      <c r="BE40" s="2675">
        <v>0</v>
      </c>
      <c r="BF40" s="2675">
        <v>0</v>
      </c>
      <c r="BG40" s="2675">
        <v>0.73760819392713239</v>
      </c>
      <c r="BH40" s="2675">
        <v>0</v>
      </c>
      <c r="BI40" s="2675">
        <v>8.3708049064114706E-2</v>
      </c>
      <c r="BJ40" s="2675">
        <v>0</v>
      </c>
      <c r="BK40" s="2675">
        <v>0.17775061090278532</v>
      </c>
      <c r="BL40" s="2675">
        <v>3.0121396459666386E-2</v>
      </c>
      <c r="BM40" s="2675">
        <v>0</v>
      </c>
      <c r="BN40" s="2675">
        <v>0</v>
      </c>
      <c r="BO40" s="2675">
        <v>0</v>
      </c>
      <c r="BP40" s="2675">
        <v>0</v>
      </c>
      <c r="BQ40" s="2675">
        <v>0</v>
      </c>
      <c r="BR40" s="2675">
        <v>0</v>
      </c>
      <c r="BS40" s="2675">
        <v>0</v>
      </c>
      <c r="BT40" s="2675">
        <v>0</v>
      </c>
      <c r="BU40" s="2675">
        <v>0</v>
      </c>
      <c r="BV40" s="2675">
        <v>0</v>
      </c>
      <c r="BW40" s="2675">
        <v>0</v>
      </c>
      <c r="BX40" s="2675">
        <v>0</v>
      </c>
      <c r="BY40" s="2675">
        <v>1.5059911123235075</v>
      </c>
      <c r="BZ40" s="2675">
        <v>0</v>
      </c>
      <c r="CA40" s="2675">
        <v>0</v>
      </c>
      <c r="CB40" s="2675">
        <v>0</v>
      </c>
      <c r="CC40" s="2675">
        <v>0</v>
      </c>
      <c r="CD40" s="2675">
        <v>0</v>
      </c>
      <c r="CE40" s="2675">
        <v>4.1620981866531022</v>
      </c>
      <c r="CF40" s="2675">
        <v>0</v>
      </c>
      <c r="CG40" s="2675">
        <v>1.8729954169617526</v>
      </c>
      <c r="CH40" s="2675">
        <v>0</v>
      </c>
      <c r="CI40" s="2675">
        <v>0</v>
      </c>
      <c r="CJ40" s="2675">
        <v>0</v>
      </c>
      <c r="CK40" s="2676"/>
      <c r="CL40" s="847"/>
    </row>
    <row r="41" spans="1:90" ht="16.5" x14ac:dyDescent="0.3">
      <c r="A41" s="2666" t="s">
        <v>4818</v>
      </c>
      <c r="B41" s="2677" t="s">
        <v>1149</v>
      </c>
      <c r="C41" s="2707">
        <v>0</v>
      </c>
      <c r="D41" s="2707">
        <v>0.2730530978347695</v>
      </c>
      <c r="E41" s="2707">
        <v>0</v>
      </c>
      <c r="F41" s="2707">
        <v>5.5688014542201972E-2</v>
      </c>
      <c r="G41" s="2707">
        <v>0</v>
      </c>
      <c r="H41" s="2707">
        <v>1.3271580778176602</v>
      </c>
      <c r="I41" s="2707">
        <v>8.9401787065877536E-2</v>
      </c>
      <c r="J41" s="2707">
        <v>0.53954474997459467</v>
      </c>
      <c r="K41" s="2707">
        <v>3.7323551899837902E-2</v>
      </c>
      <c r="L41" s="2707">
        <v>0.51009160544827981</v>
      </c>
      <c r="M41" s="2707">
        <v>0.10010630441427598</v>
      </c>
      <c r="N41" s="2707">
        <v>0.26161998704886746</v>
      </c>
      <c r="O41" s="2707">
        <v>0</v>
      </c>
      <c r="P41" s="2707">
        <v>0</v>
      </c>
      <c r="Q41" s="2707">
        <v>0</v>
      </c>
      <c r="R41" s="2707">
        <v>0</v>
      </c>
      <c r="S41" s="2707">
        <v>0</v>
      </c>
      <c r="T41" s="2707">
        <v>0</v>
      </c>
      <c r="U41" s="2707">
        <v>0</v>
      </c>
      <c r="V41" s="2707">
        <v>0</v>
      </c>
      <c r="W41" s="2707">
        <v>0</v>
      </c>
      <c r="X41" s="2707">
        <v>0</v>
      </c>
      <c r="Y41" s="2707">
        <v>0</v>
      </c>
      <c r="Z41" s="2707">
        <v>0</v>
      </c>
      <c r="AA41" s="2707">
        <v>0</v>
      </c>
      <c r="AB41" s="2707">
        <v>0</v>
      </c>
      <c r="AC41" s="2707">
        <v>0</v>
      </c>
      <c r="AD41" s="2707">
        <v>0</v>
      </c>
      <c r="AE41" s="2707">
        <v>0</v>
      </c>
      <c r="AF41" s="2707">
        <v>0</v>
      </c>
      <c r="AG41" s="2707">
        <v>0</v>
      </c>
      <c r="AH41" s="2707">
        <v>0</v>
      </c>
      <c r="AI41" s="2707">
        <v>0.18917944445261467</v>
      </c>
      <c r="AJ41" s="2707">
        <v>0</v>
      </c>
      <c r="AK41" s="2707">
        <v>0</v>
      </c>
      <c r="AL41" s="2707">
        <v>0.21744354338065125</v>
      </c>
      <c r="AM41" s="2707">
        <v>0.18698145252440854</v>
      </c>
      <c r="AN41" s="2707">
        <v>2.3925663074212116</v>
      </c>
      <c r="AO41" s="2707">
        <v>0</v>
      </c>
      <c r="AP41" s="2707">
        <v>0.16493696204500452</v>
      </c>
      <c r="AQ41" s="2707">
        <v>0</v>
      </c>
      <c r="AR41" s="2707">
        <v>0</v>
      </c>
      <c r="AS41" s="2707">
        <v>0</v>
      </c>
      <c r="AT41" s="2707">
        <v>1.781073497547909</v>
      </c>
      <c r="AU41" s="2682">
        <v>0</v>
      </c>
      <c r="AV41" s="2682">
        <v>0</v>
      </c>
      <c r="AW41" s="2682">
        <v>0</v>
      </c>
      <c r="AX41" s="2682">
        <v>0</v>
      </c>
      <c r="AY41" s="2682">
        <v>0.15590833424430325</v>
      </c>
      <c r="AZ41" s="2682">
        <v>0</v>
      </c>
      <c r="BA41" s="2682">
        <v>0.160806889066647</v>
      </c>
      <c r="BB41" s="2682">
        <v>0</v>
      </c>
      <c r="BC41" s="2682">
        <v>0</v>
      </c>
      <c r="BD41" s="2682">
        <v>0</v>
      </c>
      <c r="BE41" s="2682">
        <v>0</v>
      </c>
      <c r="BF41" s="2682">
        <v>0</v>
      </c>
      <c r="BG41" s="2682">
        <v>0</v>
      </c>
      <c r="BH41" s="2682">
        <v>0</v>
      </c>
      <c r="BI41" s="2682">
        <v>0</v>
      </c>
      <c r="BJ41" s="2682">
        <v>0</v>
      </c>
      <c r="BK41" s="2682">
        <v>0</v>
      </c>
      <c r="BL41" s="2682">
        <v>0</v>
      </c>
      <c r="BM41" s="2682">
        <v>0</v>
      </c>
      <c r="BN41" s="2682">
        <v>0</v>
      </c>
      <c r="BO41" s="2682">
        <v>0</v>
      </c>
      <c r="BP41" s="2682">
        <v>0</v>
      </c>
      <c r="BQ41" s="2682">
        <v>0</v>
      </c>
      <c r="BR41" s="2682">
        <v>1.3008050226879755</v>
      </c>
      <c r="BS41" s="2682">
        <v>0</v>
      </c>
      <c r="BT41" s="2682">
        <v>0.65336824412662975</v>
      </c>
      <c r="BU41" s="2682">
        <v>3.4669918710446231E-2</v>
      </c>
      <c r="BV41" s="2682">
        <v>0</v>
      </c>
      <c r="BW41" s="2682">
        <v>0</v>
      </c>
      <c r="BX41" s="2682">
        <v>0</v>
      </c>
      <c r="BY41" s="2682">
        <v>0</v>
      </c>
      <c r="BZ41" s="2682">
        <v>0</v>
      </c>
      <c r="CA41" s="2682">
        <v>0</v>
      </c>
      <c r="CB41" s="2682">
        <v>0</v>
      </c>
      <c r="CC41" s="2682">
        <v>0</v>
      </c>
      <c r="CD41" s="2682">
        <v>1.3622114192339172</v>
      </c>
      <c r="CE41" s="2682">
        <v>0</v>
      </c>
      <c r="CF41" s="2682">
        <v>1.2276106618859139</v>
      </c>
      <c r="CG41" s="2682">
        <v>0</v>
      </c>
      <c r="CH41" s="2682">
        <v>2.6183516586672817</v>
      </c>
      <c r="CI41" s="2682">
        <v>0</v>
      </c>
      <c r="CJ41" s="2682">
        <v>4.1710245191615458</v>
      </c>
      <c r="CK41" s="2676"/>
      <c r="CL41" s="847"/>
    </row>
    <row r="42" spans="1:90" s="847" customFormat="1" ht="16.5" x14ac:dyDescent="0.3">
      <c r="A42" s="2666" t="s">
        <v>4819</v>
      </c>
      <c r="B42" s="2677" t="s">
        <v>3530</v>
      </c>
      <c r="C42" s="2707"/>
      <c r="D42" s="2707"/>
      <c r="E42" s="2707"/>
      <c r="F42" s="2707"/>
      <c r="G42" s="2707"/>
      <c r="H42" s="2707"/>
      <c r="I42" s="2707"/>
      <c r="J42" s="2707"/>
      <c r="K42" s="2707"/>
      <c r="L42" s="2707"/>
      <c r="M42" s="2707"/>
      <c r="N42" s="2707"/>
      <c r="O42" s="2707"/>
      <c r="P42" s="2707"/>
      <c r="Q42" s="2707"/>
      <c r="R42" s="2707"/>
      <c r="S42" s="2707"/>
      <c r="T42" s="2707"/>
      <c r="U42" s="2707"/>
      <c r="V42" s="2707"/>
      <c r="W42" s="2707"/>
      <c r="X42" s="2707"/>
      <c r="Y42" s="2707"/>
      <c r="Z42" s="2707"/>
      <c r="AA42" s="2707"/>
      <c r="AB42" s="2707"/>
      <c r="AC42" s="2707"/>
      <c r="AD42" s="2707"/>
      <c r="AE42" s="2707">
        <v>0</v>
      </c>
      <c r="AF42" s="2707">
        <v>0</v>
      </c>
      <c r="AG42" s="2707">
        <v>0</v>
      </c>
      <c r="AH42" s="2707">
        <v>0</v>
      </c>
      <c r="AI42" s="2707">
        <v>0</v>
      </c>
      <c r="AJ42" s="2707">
        <v>0</v>
      </c>
      <c r="AK42" s="2707">
        <v>0</v>
      </c>
      <c r="AL42" s="2707">
        <v>0</v>
      </c>
      <c r="AM42" s="2707">
        <v>0</v>
      </c>
      <c r="AN42" s="2707">
        <v>0</v>
      </c>
      <c r="AO42" s="2707">
        <v>0</v>
      </c>
      <c r="AP42" s="2707">
        <v>0</v>
      </c>
      <c r="AQ42" s="2707">
        <v>0</v>
      </c>
      <c r="AR42" s="2707">
        <v>0</v>
      </c>
      <c r="AS42" s="2707">
        <v>0</v>
      </c>
      <c r="AT42" s="2707">
        <v>0</v>
      </c>
      <c r="AU42" s="2682">
        <v>0</v>
      </c>
      <c r="AV42" s="2682">
        <v>0</v>
      </c>
      <c r="AW42" s="2682">
        <v>0</v>
      </c>
      <c r="AX42" s="2682">
        <v>0</v>
      </c>
      <c r="AY42" s="2682">
        <v>0</v>
      </c>
      <c r="AZ42" s="2682">
        <v>0</v>
      </c>
      <c r="BA42" s="2682">
        <v>0</v>
      </c>
      <c r="BB42" s="2682">
        <v>0</v>
      </c>
      <c r="BC42" s="2682">
        <v>0</v>
      </c>
      <c r="BD42" s="2682">
        <v>0</v>
      </c>
      <c r="BE42" s="2682">
        <v>0</v>
      </c>
      <c r="BF42" s="2682">
        <v>0</v>
      </c>
      <c r="BG42" s="2682">
        <v>0</v>
      </c>
      <c r="BH42" s="2682">
        <v>0</v>
      </c>
      <c r="BI42" s="2682">
        <v>0</v>
      </c>
      <c r="BJ42" s="2682">
        <v>0</v>
      </c>
      <c r="BK42" s="2682">
        <v>0</v>
      </c>
      <c r="BL42" s="2682">
        <v>0</v>
      </c>
      <c r="BM42" s="2682">
        <v>0</v>
      </c>
      <c r="BN42" s="2682">
        <v>0</v>
      </c>
      <c r="BO42" s="2682">
        <v>0</v>
      </c>
      <c r="BP42" s="2682">
        <v>0</v>
      </c>
      <c r="BQ42" s="2682">
        <v>0</v>
      </c>
      <c r="BR42" s="2682">
        <v>0</v>
      </c>
      <c r="BS42" s="2682">
        <v>0</v>
      </c>
      <c r="BT42" s="2682">
        <v>0</v>
      </c>
      <c r="BU42" s="2682">
        <v>0</v>
      </c>
      <c r="BV42" s="2682">
        <v>0</v>
      </c>
      <c r="BW42" s="2682">
        <v>0</v>
      </c>
      <c r="BX42" s="2682">
        <v>0</v>
      </c>
      <c r="BY42" s="2682">
        <v>0</v>
      </c>
      <c r="BZ42" s="2682">
        <v>0</v>
      </c>
      <c r="CA42" s="2682">
        <v>0</v>
      </c>
      <c r="CB42" s="2682">
        <v>0</v>
      </c>
      <c r="CC42" s="2682">
        <v>0</v>
      </c>
      <c r="CD42" s="2682">
        <v>0</v>
      </c>
      <c r="CE42" s="2682">
        <v>0</v>
      </c>
      <c r="CF42" s="2682">
        <v>0</v>
      </c>
      <c r="CG42" s="2682">
        <v>0</v>
      </c>
      <c r="CH42" s="2682">
        <v>0</v>
      </c>
      <c r="CI42" s="2682">
        <v>0</v>
      </c>
      <c r="CJ42" s="2682">
        <v>0</v>
      </c>
      <c r="CK42" s="2676"/>
    </row>
    <row r="43" spans="1:90" s="847" customFormat="1" ht="16.5" x14ac:dyDescent="0.3">
      <c r="A43" s="2666" t="s">
        <v>4820</v>
      </c>
      <c r="B43" s="2677" t="s">
        <v>3531</v>
      </c>
      <c r="C43" s="2701"/>
      <c r="D43" s="2701"/>
      <c r="E43" s="2701"/>
      <c r="F43" s="2701"/>
      <c r="G43" s="2701"/>
      <c r="H43" s="2701"/>
      <c r="I43" s="2701"/>
      <c r="J43" s="2701"/>
      <c r="K43" s="2708"/>
      <c r="L43" s="2701"/>
      <c r="M43" s="2701"/>
      <c r="N43" s="2701"/>
      <c r="O43" s="2708"/>
      <c r="P43" s="2701"/>
      <c r="Q43" s="2701"/>
      <c r="R43" s="2653"/>
      <c r="S43" s="2705"/>
      <c r="T43" s="2705"/>
      <c r="U43" s="2705"/>
      <c r="V43" s="2705"/>
      <c r="W43" s="2705"/>
      <c r="X43" s="2705"/>
      <c r="Y43" s="2705"/>
      <c r="Z43" s="2705"/>
      <c r="AA43" s="2705"/>
      <c r="AB43" s="2705"/>
      <c r="AC43" s="2705"/>
      <c r="AD43" s="2705"/>
      <c r="AE43" s="2705"/>
      <c r="AF43" s="2705"/>
      <c r="AG43" s="2709"/>
      <c r="AH43" s="2707"/>
      <c r="AI43" s="2707">
        <v>0</v>
      </c>
      <c r="AJ43" s="2707">
        <v>0</v>
      </c>
      <c r="AK43" s="2707">
        <v>0</v>
      </c>
      <c r="AL43" s="2707">
        <v>0</v>
      </c>
      <c r="AM43" s="2707">
        <v>0</v>
      </c>
      <c r="AN43" s="2707">
        <v>0</v>
      </c>
      <c r="AO43" s="2707">
        <v>0</v>
      </c>
      <c r="AP43" s="2707">
        <v>0</v>
      </c>
      <c r="AQ43" s="2707">
        <v>0</v>
      </c>
      <c r="AR43" s="2707">
        <v>0</v>
      </c>
      <c r="AS43" s="2707">
        <v>0</v>
      </c>
      <c r="AT43" s="2707">
        <v>0</v>
      </c>
      <c r="AU43" s="2682">
        <v>0</v>
      </c>
      <c r="AV43" s="2682">
        <v>0</v>
      </c>
      <c r="AW43" s="2682">
        <v>0</v>
      </c>
      <c r="AX43" s="2682">
        <v>0</v>
      </c>
      <c r="AY43" s="2682">
        <v>0</v>
      </c>
      <c r="AZ43" s="2682">
        <v>0</v>
      </c>
      <c r="BA43" s="2682">
        <v>0</v>
      </c>
      <c r="BB43" s="2682">
        <v>0</v>
      </c>
      <c r="BC43" s="2682">
        <v>0</v>
      </c>
      <c r="BD43" s="2682">
        <v>0</v>
      </c>
      <c r="BE43" s="2682">
        <v>0</v>
      </c>
      <c r="BF43" s="2682">
        <v>0</v>
      </c>
      <c r="BG43" s="2682">
        <v>0</v>
      </c>
      <c r="BH43" s="2682">
        <v>0</v>
      </c>
      <c r="BI43" s="2682">
        <v>0</v>
      </c>
      <c r="BJ43" s="2682">
        <v>0</v>
      </c>
      <c r="BK43" s="2682">
        <v>0</v>
      </c>
      <c r="BL43" s="2682">
        <v>0</v>
      </c>
      <c r="BM43" s="2682">
        <v>0</v>
      </c>
      <c r="BN43" s="2682">
        <v>0</v>
      </c>
      <c r="BO43" s="2682">
        <v>0</v>
      </c>
      <c r="BP43" s="2682">
        <v>0</v>
      </c>
      <c r="BQ43" s="2682">
        <v>0</v>
      </c>
      <c r="BR43" s="2682">
        <v>0</v>
      </c>
      <c r="BS43" s="2682">
        <v>0</v>
      </c>
      <c r="BT43" s="2682">
        <v>0</v>
      </c>
      <c r="BU43" s="2682">
        <v>0</v>
      </c>
      <c r="BV43" s="2682">
        <v>0</v>
      </c>
      <c r="BW43" s="2682">
        <v>0</v>
      </c>
      <c r="BX43" s="2682">
        <v>0</v>
      </c>
      <c r="BY43" s="2682">
        <v>0</v>
      </c>
      <c r="BZ43" s="2682">
        <v>0</v>
      </c>
      <c r="CA43" s="2682">
        <v>0</v>
      </c>
      <c r="CB43" s="2682">
        <v>0</v>
      </c>
      <c r="CC43" s="2682">
        <v>0</v>
      </c>
      <c r="CD43" s="2682">
        <v>0</v>
      </c>
      <c r="CE43" s="2682">
        <v>0</v>
      </c>
      <c r="CF43" s="2682">
        <v>0</v>
      </c>
      <c r="CG43" s="2682">
        <v>0</v>
      </c>
      <c r="CH43" s="2682">
        <v>0</v>
      </c>
      <c r="CI43" s="2682">
        <v>0</v>
      </c>
      <c r="CJ43" s="2682">
        <v>0</v>
      </c>
      <c r="CK43" s="2676"/>
    </row>
    <row r="44" spans="1:90" ht="16.5" x14ac:dyDescent="0.3">
      <c r="A44" s="2666" t="s">
        <v>4821</v>
      </c>
      <c r="B44" s="2677" t="s">
        <v>1150</v>
      </c>
      <c r="C44" s="2707">
        <v>0</v>
      </c>
      <c r="D44" s="2707">
        <v>1.8175369056237094</v>
      </c>
      <c r="E44" s="2707">
        <v>0</v>
      </c>
      <c r="F44" s="2707">
        <v>1.849416274131827</v>
      </c>
      <c r="G44" s="2707">
        <v>0.13853434842462997</v>
      </c>
      <c r="H44" s="2707">
        <v>0.97793921834311104</v>
      </c>
      <c r="I44" s="2707">
        <v>0</v>
      </c>
      <c r="J44" s="2707">
        <v>0.95803432431154678</v>
      </c>
      <c r="K44" s="2707">
        <v>0</v>
      </c>
      <c r="L44" s="2707">
        <v>0.91234075346972032</v>
      </c>
      <c r="M44" s="2707">
        <v>0.13232515501842973</v>
      </c>
      <c r="N44" s="2707">
        <v>1.8001953664088064</v>
      </c>
      <c r="O44" s="2707">
        <v>0</v>
      </c>
      <c r="P44" s="2707">
        <v>0.89715349684662593</v>
      </c>
      <c r="Q44" s="2707">
        <v>0</v>
      </c>
      <c r="R44" s="2707">
        <v>0</v>
      </c>
      <c r="S44" s="2707">
        <v>0.12842162979863794</v>
      </c>
      <c r="T44" s="2707">
        <v>0</v>
      </c>
      <c r="U44" s="2707">
        <v>0</v>
      </c>
      <c r="V44" s="2707">
        <v>0</v>
      </c>
      <c r="W44" s="2707">
        <v>0</v>
      </c>
      <c r="X44" s="2707">
        <v>0</v>
      </c>
      <c r="Y44" s="2707">
        <v>0.12668987094564879</v>
      </c>
      <c r="Z44" s="2707">
        <v>0</v>
      </c>
      <c r="AA44" s="2707">
        <v>0</v>
      </c>
      <c r="AB44" s="2707">
        <v>0</v>
      </c>
      <c r="AC44" s="2707">
        <v>0</v>
      </c>
      <c r="AD44" s="2707">
        <v>0</v>
      </c>
      <c r="AE44" s="2707">
        <v>0.13016005693107766</v>
      </c>
      <c r="AF44" s="2707">
        <v>0</v>
      </c>
      <c r="AG44" s="2707">
        <v>0</v>
      </c>
      <c r="AH44" s="2707">
        <v>0</v>
      </c>
      <c r="AI44" s="2707">
        <v>0</v>
      </c>
      <c r="AJ44" s="2707">
        <v>0</v>
      </c>
      <c r="AK44" s="2707">
        <v>0.12653803052950927</v>
      </c>
      <c r="AL44" s="2707">
        <v>0</v>
      </c>
      <c r="AM44" s="2707">
        <v>0</v>
      </c>
      <c r="AN44" s="2707">
        <v>0</v>
      </c>
      <c r="AO44" s="2707">
        <v>0</v>
      </c>
      <c r="AP44" s="2707">
        <v>0</v>
      </c>
      <c r="AQ44" s="2707">
        <v>0</v>
      </c>
      <c r="AR44" s="2707">
        <v>0</v>
      </c>
      <c r="AS44" s="2707">
        <v>0</v>
      </c>
      <c r="AT44" s="2707">
        <v>0</v>
      </c>
      <c r="AU44" s="2682">
        <v>0</v>
      </c>
      <c r="AV44" s="2682">
        <v>0</v>
      </c>
      <c r="AW44" s="2682">
        <v>0.13063843884150811</v>
      </c>
      <c r="AX44" s="2682">
        <v>0</v>
      </c>
      <c r="AY44" s="2682">
        <v>0</v>
      </c>
      <c r="AZ44" s="2682">
        <v>0</v>
      </c>
      <c r="BA44" s="2682">
        <v>0</v>
      </c>
      <c r="BB44" s="2682">
        <v>0</v>
      </c>
      <c r="BC44" s="2682">
        <v>0.12588810633423403</v>
      </c>
      <c r="BD44" s="2682">
        <v>0</v>
      </c>
      <c r="BE44" s="2682">
        <v>0</v>
      </c>
      <c r="BF44" s="2682">
        <v>0</v>
      </c>
      <c r="BG44" s="2682">
        <v>0</v>
      </c>
      <c r="BH44" s="2682">
        <v>0</v>
      </c>
      <c r="BI44" s="2682">
        <v>0</v>
      </c>
      <c r="BJ44" s="2682">
        <v>0</v>
      </c>
      <c r="BK44" s="2682">
        <v>0</v>
      </c>
      <c r="BL44" s="2682">
        <v>0</v>
      </c>
      <c r="BM44" s="2682">
        <v>0</v>
      </c>
      <c r="BN44" s="2682">
        <v>0</v>
      </c>
      <c r="BO44" s="2682">
        <v>0.12792614696777468</v>
      </c>
      <c r="BP44" s="2682">
        <v>0</v>
      </c>
      <c r="BQ44" s="2682">
        <v>0.1292025346127284</v>
      </c>
      <c r="BR44" s="2682">
        <v>0</v>
      </c>
      <c r="BS44" s="2682">
        <v>0</v>
      </c>
      <c r="BT44" s="2682">
        <v>0</v>
      </c>
      <c r="BU44" s="2682">
        <v>0</v>
      </c>
      <c r="BV44" s="2682">
        <v>0</v>
      </c>
      <c r="BW44" s="2682">
        <v>0.13533009115929864</v>
      </c>
      <c r="BX44" s="2682">
        <v>0</v>
      </c>
      <c r="BY44" s="2682">
        <v>0</v>
      </c>
      <c r="BZ44" s="2682">
        <v>0</v>
      </c>
      <c r="CA44" s="2682">
        <v>0</v>
      </c>
      <c r="CB44" s="2682">
        <v>0</v>
      </c>
      <c r="CC44" s="2682">
        <v>0.13863499280251679</v>
      </c>
      <c r="CD44" s="2682">
        <v>0</v>
      </c>
      <c r="CE44" s="2682">
        <v>0</v>
      </c>
      <c r="CF44" s="2682">
        <v>0</v>
      </c>
      <c r="CG44" s="2682">
        <v>0</v>
      </c>
      <c r="CH44" s="2682">
        <v>0</v>
      </c>
      <c r="CI44" s="2682">
        <v>0.13679928466500621</v>
      </c>
      <c r="CJ44" s="2682">
        <v>0</v>
      </c>
      <c r="CK44" s="2676"/>
      <c r="CL44" s="847"/>
    </row>
    <row r="45" spans="1:90" ht="16.5" x14ac:dyDescent="0.3">
      <c r="A45" s="2666" t="s">
        <v>4822</v>
      </c>
      <c r="B45" s="2677" t="s">
        <v>4823</v>
      </c>
      <c r="C45" s="2707">
        <v>0</v>
      </c>
      <c r="D45" s="2707">
        <v>0</v>
      </c>
      <c r="E45" s="2707">
        <v>0</v>
      </c>
      <c r="F45" s="2707">
        <v>0</v>
      </c>
      <c r="G45" s="2707">
        <v>0</v>
      </c>
      <c r="H45" s="2707">
        <v>0</v>
      </c>
      <c r="I45" s="2707">
        <v>0</v>
      </c>
      <c r="J45" s="2707">
        <v>0</v>
      </c>
      <c r="K45" s="2707">
        <v>0</v>
      </c>
      <c r="L45" s="2707">
        <v>0</v>
      </c>
      <c r="M45" s="2707">
        <v>0</v>
      </c>
      <c r="N45" s="2707">
        <v>0</v>
      </c>
      <c r="O45" s="2707">
        <v>0</v>
      </c>
      <c r="P45" s="2707">
        <v>0</v>
      </c>
      <c r="Q45" s="2707">
        <v>0</v>
      </c>
      <c r="R45" s="2707">
        <v>0</v>
      </c>
      <c r="S45" s="2707">
        <v>0</v>
      </c>
      <c r="T45" s="2707">
        <v>0</v>
      </c>
      <c r="U45" s="2707">
        <v>0</v>
      </c>
      <c r="V45" s="2707">
        <v>0</v>
      </c>
      <c r="W45" s="2707">
        <v>0</v>
      </c>
      <c r="X45" s="2707">
        <v>0</v>
      </c>
      <c r="Y45" s="2707">
        <v>0</v>
      </c>
      <c r="Z45" s="2707">
        <v>0</v>
      </c>
      <c r="AA45" s="2707">
        <v>0</v>
      </c>
      <c r="AB45" s="2707">
        <v>0</v>
      </c>
      <c r="AC45" s="2707">
        <v>0</v>
      </c>
      <c r="AD45" s="2707">
        <v>0</v>
      </c>
      <c r="AE45" s="2707">
        <v>0</v>
      </c>
      <c r="AF45" s="2707">
        <v>0</v>
      </c>
      <c r="AG45" s="2707">
        <v>0</v>
      </c>
      <c r="AH45" s="2707">
        <v>0</v>
      </c>
      <c r="AI45" s="2707">
        <v>0</v>
      </c>
      <c r="AJ45" s="2707">
        <v>0</v>
      </c>
      <c r="AK45" s="2707">
        <v>0</v>
      </c>
      <c r="AL45" s="2707">
        <v>0</v>
      </c>
      <c r="AM45" s="2707">
        <v>0</v>
      </c>
      <c r="AN45" s="2707">
        <v>0</v>
      </c>
      <c r="AO45" s="2707">
        <v>0</v>
      </c>
      <c r="AP45" s="2707">
        <v>0</v>
      </c>
      <c r="AQ45" s="2707">
        <v>0</v>
      </c>
      <c r="AR45" s="2707">
        <v>0</v>
      </c>
      <c r="AS45" s="2707">
        <v>0</v>
      </c>
      <c r="AT45" s="2707">
        <v>0</v>
      </c>
      <c r="AU45" s="2682">
        <v>0</v>
      </c>
      <c r="AV45" s="2682">
        <v>0</v>
      </c>
      <c r="AW45" s="2682">
        <v>0</v>
      </c>
      <c r="AX45" s="2682">
        <v>0</v>
      </c>
      <c r="AY45" s="2682">
        <v>0</v>
      </c>
      <c r="AZ45" s="2682">
        <v>0</v>
      </c>
      <c r="BA45" s="2682">
        <v>0</v>
      </c>
      <c r="BB45" s="2682">
        <v>0</v>
      </c>
      <c r="BC45" s="2682">
        <v>0</v>
      </c>
      <c r="BD45" s="2682">
        <v>0</v>
      </c>
      <c r="BE45" s="2682">
        <v>0</v>
      </c>
      <c r="BF45" s="2682">
        <v>0</v>
      </c>
      <c r="BG45" s="2682">
        <v>0</v>
      </c>
      <c r="BH45" s="2682">
        <v>0</v>
      </c>
      <c r="BI45" s="2682">
        <v>0</v>
      </c>
      <c r="BJ45" s="2682">
        <v>0</v>
      </c>
      <c r="BK45" s="2682">
        <v>0</v>
      </c>
      <c r="BL45" s="2682">
        <v>0</v>
      </c>
      <c r="BM45" s="2682">
        <v>0</v>
      </c>
      <c r="BN45" s="2682">
        <v>0</v>
      </c>
      <c r="BO45" s="2682">
        <v>0</v>
      </c>
      <c r="BP45" s="2682">
        <v>0</v>
      </c>
      <c r="BQ45" s="2682">
        <v>0</v>
      </c>
      <c r="BR45" s="2682">
        <v>0</v>
      </c>
      <c r="BS45" s="2682">
        <v>0</v>
      </c>
      <c r="BT45" s="2682">
        <v>0</v>
      </c>
      <c r="BU45" s="2682">
        <v>0</v>
      </c>
      <c r="BV45" s="2682">
        <v>0</v>
      </c>
      <c r="BW45" s="2682">
        <v>0</v>
      </c>
      <c r="BX45" s="2682">
        <v>0</v>
      </c>
      <c r="BY45" s="2682">
        <v>0</v>
      </c>
      <c r="BZ45" s="2682">
        <v>0</v>
      </c>
      <c r="CA45" s="2682">
        <v>0</v>
      </c>
      <c r="CB45" s="2682">
        <v>0</v>
      </c>
      <c r="CC45" s="2682">
        <v>0</v>
      </c>
      <c r="CD45" s="2682">
        <v>0</v>
      </c>
      <c r="CE45" s="2682">
        <v>0</v>
      </c>
      <c r="CF45" s="2682">
        <v>0</v>
      </c>
      <c r="CG45" s="2682">
        <v>0</v>
      </c>
      <c r="CH45" s="2682">
        <v>0</v>
      </c>
      <c r="CI45" s="2682">
        <v>0</v>
      </c>
      <c r="CJ45" s="2682">
        <v>0</v>
      </c>
      <c r="CK45" s="2676"/>
      <c r="CL45" s="847"/>
    </row>
    <row r="46" spans="1:90" ht="16.5" x14ac:dyDescent="0.3">
      <c r="A46" s="2666" t="s">
        <v>4824</v>
      </c>
      <c r="B46" s="2677" t="s">
        <v>3533</v>
      </c>
      <c r="C46" s="2707">
        <v>0</v>
      </c>
      <c r="D46" s="2707">
        <v>0</v>
      </c>
      <c r="E46" s="2707">
        <v>0</v>
      </c>
      <c r="F46" s="2707">
        <v>0</v>
      </c>
      <c r="G46" s="2707">
        <v>0</v>
      </c>
      <c r="H46" s="2707">
        <v>0</v>
      </c>
      <c r="I46" s="2707">
        <v>0</v>
      </c>
      <c r="J46" s="2707">
        <v>0</v>
      </c>
      <c r="K46" s="2707">
        <v>0</v>
      </c>
      <c r="L46" s="2707">
        <v>0</v>
      </c>
      <c r="M46" s="2707">
        <v>0</v>
      </c>
      <c r="N46" s="2707">
        <v>0</v>
      </c>
      <c r="O46" s="2707">
        <v>0</v>
      </c>
      <c r="P46" s="2707">
        <v>0</v>
      </c>
      <c r="Q46" s="2707">
        <v>0</v>
      </c>
      <c r="R46" s="2707">
        <v>0</v>
      </c>
      <c r="S46" s="2707">
        <v>0</v>
      </c>
      <c r="T46" s="2707">
        <v>0</v>
      </c>
      <c r="U46" s="2707">
        <v>0</v>
      </c>
      <c r="V46" s="2707">
        <v>0</v>
      </c>
      <c r="W46" s="2707">
        <v>0</v>
      </c>
      <c r="X46" s="2707">
        <v>0</v>
      </c>
      <c r="Y46" s="2707">
        <v>0</v>
      </c>
      <c r="Z46" s="2707">
        <v>0</v>
      </c>
      <c r="AA46" s="2707">
        <v>0</v>
      </c>
      <c r="AB46" s="2707">
        <v>0</v>
      </c>
      <c r="AC46" s="2707">
        <v>0</v>
      </c>
      <c r="AD46" s="2707">
        <v>0</v>
      </c>
      <c r="AE46" s="2707">
        <v>0</v>
      </c>
      <c r="AF46" s="2707">
        <v>0</v>
      </c>
      <c r="AG46" s="2707">
        <v>0</v>
      </c>
      <c r="AH46" s="2707">
        <v>0</v>
      </c>
      <c r="AI46" s="2707">
        <v>0</v>
      </c>
      <c r="AJ46" s="2707">
        <v>0</v>
      </c>
      <c r="AK46" s="2707">
        <v>0</v>
      </c>
      <c r="AL46" s="2707">
        <v>0</v>
      </c>
      <c r="AM46" s="2707">
        <v>0</v>
      </c>
      <c r="AN46" s="2707">
        <v>0</v>
      </c>
      <c r="AO46" s="2707">
        <v>0</v>
      </c>
      <c r="AP46" s="2707">
        <v>0</v>
      </c>
      <c r="AQ46" s="2707">
        <v>0</v>
      </c>
      <c r="AR46" s="2707">
        <v>0</v>
      </c>
      <c r="AS46" s="2707">
        <v>0</v>
      </c>
      <c r="AT46" s="2707">
        <v>0</v>
      </c>
      <c r="AU46" s="2682">
        <v>0</v>
      </c>
      <c r="AV46" s="2682">
        <v>0</v>
      </c>
      <c r="AW46" s="2682">
        <v>0</v>
      </c>
      <c r="AX46" s="2682">
        <v>0</v>
      </c>
      <c r="AY46" s="2682">
        <v>0</v>
      </c>
      <c r="AZ46" s="2682">
        <v>0</v>
      </c>
      <c r="BA46" s="2682">
        <v>0</v>
      </c>
      <c r="BB46" s="2682">
        <v>0</v>
      </c>
      <c r="BC46" s="2682">
        <v>0</v>
      </c>
      <c r="BD46" s="2682">
        <v>0</v>
      </c>
      <c r="BE46" s="2682">
        <v>0</v>
      </c>
      <c r="BF46" s="2682">
        <v>0</v>
      </c>
      <c r="BG46" s="2682">
        <v>0</v>
      </c>
      <c r="BH46" s="2682">
        <v>0</v>
      </c>
      <c r="BI46" s="2682">
        <v>0</v>
      </c>
      <c r="BJ46" s="2682">
        <v>0</v>
      </c>
      <c r="BK46" s="2682">
        <v>0</v>
      </c>
      <c r="BL46" s="2682">
        <v>0</v>
      </c>
      <c r="BM46" s="2682">
        <v>0</v>
      </c>
      <c r="BN46" s="2682">
        <v>0</v>
      </c>
      <c r="BO46" s="2682">
        <v>0</v>
      </c>
      <c r="BP46" s="2682">
        <v>0</v>
      </c>
      <c r="BQ46" s="2682">
        <v>0</v>
      </c>
      <c r="BR46" s="2682">
        <v>0</v>
      </c>
      <c r="BS46" s="2682">
        <v>0</v>
      </c>
      <c r="BT46" s="2682">
        <v>0</v>
      </c>
      <c r="BU46" s="2682">
        <v>0</v>
      </c>
      <c r="BV46" s="2682">
        <v>0</v>
      </c>
      <c r="BW46" s="2682">
        <v>0</v>
      </c>
      <c r="BX46" s="2682">
        <v>0</v>
      </c>
      <c r="BY46" s="2682">
        <v>0</v>
      </c>
      <c r="BZ46" s="2682">
        <v>0</v>
      </c>
      <c r="CA46" s="2682">
        <v>0</v>
      </c>
      <c r="CB46" s="2682">
        <v>0</v>
      </c>
      <c r="CC46" s="2682">
        <v>0</v>
      </c>
      <c r="CD46" s="2682">
        <v>0</v>
      </c>
      <c r="CE46" s="2682">
        <v>0</v>
      </c>
      <c r="CF46" s="2682">
        <v>0</v>
      </c>
      <c r="CG46" s="2682">
        <v>0</v>
      </c>
      <c r="CH46" s="2682">
        <v>0</v>
      </c>
      <c r="CI46" s="2682">
        <v>0</v>
      </c>
      <c r="CJ46" s="2682">
        <v>0</v>
      </c>
      <c r="CK46" s="2676"/>
      <c r="CL46" s="847"/>
    </row>
    <row r="47" spans="1:90" ht="16.5" x14ac:dyDescent="0.3">
      <c r="A47" s="2666" t="s">
        <v>4825</v>
      </c>
      <c r="B47" s="2677" t="s">
        <v>3534</v>
      </c>
      <c r="C47" s="2707">
        <v>21.027983750261761</v>
      </c>
      <c r="D47" s="2707">
        <v>1.0185091415061704</v>
      </c>
      <c r="E47" s="2707">
        <v>11.108133526100824</v>
      </c>
      <c r="F47" s="2707">
        <v>0.70283000399305029</v>
      </c>
      <c r="G47" s="2707">
        <v>9.8815839595277932</v>
      </c>
      <c r="H47" s="2707">
        <v>0</v>
      </c>
      <c r="I47" s="2707">
        <v>4.3455045421485003</v>
      </c>
      <c r="J47" s="2707">
        <v>0.27050212059223966</v>
      </c>
      <c r="K47" s="2707">
        <v>6.6253785901517936</v>
      </c>
      <c r="L47" s="2707">
        <v>0</v>
      </c>
      <c r="M47" s="2707">
        <v>8.4796924457484835</v>
      </c>
      <c r="N47" s="2707">
        <v>0</v>
      </c>
      <c r="O47" s="2707">
        <v>3.4971763909762559</v>
      </c>
      <c r="P47" s="2707">
        <v>0.66234962068189995</v>
      </c>
      <c r="Q47" s="2707">
        <v>4.8063365783203356</v>
      </c>
      <c r="R47" s="2707">
        <v>0.74191225978433684</v>
      </c>
      <c r="S47" s="2707">
        <v>8.6418250782207497</v>
      </c>
      <c r="T47" s="2707">
        <v>0.22207225903057767</v>
      </c>
      <c r="U47" s="2707">
        <v>12.059714389813317</v>
      </c>
      <c r="V47" s="2707">
        <v>0</v>
      </c>
      <c r="W47" s="2707">
        <v>13.256979855873658</v>
      </c>
      <c r="X47" s="2707">
        <v>0</v>
      </c>
      <c r="Y47" s="2707">
        <v>17.382378475148464</v>
      </c>
      <c r="Z47" s="2707">
        <v>0</v>
      </c>
      <c r="AA47" s="2707">
        <v>20.057340783011679</v>
      </c>
      <c r="AB47" s="2707">
        <v>0</v>
      </c>
      <c r="AC47" s="2707">
        <v>14.467755855512761</v>
      </c>
      <c r="AD47" s="2707">
        <v>0.17637813958679513</v>
      </c>
      <c r="AE47" s="2707">
        <v>22.739310989270667</v>
      </c>
      <c r="AF47" s="2707">
        <v>1.327473039011781</v>
      </c>
      <c r="AG47" s="2707">
        <v>13.777155157224295</v>
      </c>
      <c r="AH47" s="2707">
        <v>0.40860151613395507</v>
      </c>
      <c r="AI47" s="2707">
        <v>14.187557095653656</v>
      </c>
      <c r="AJ47" s="2707">
        <v>0</v>
      </c>
      <c r="AK47" s="2707">
        <v>3.6211568396673623</v>
      </c>
      <c r="AL47" s="2707">
        <v>1.7307361416494511</v>
      </c>
      <c r="AM47" s="2707">
        <v>7.911869997200963</v>
      </c>
      <c r="AN47" s="2707">
        <v>0</v>
      </c>
      <c r="AO47" s="2707">
        <v>9.4939474389648613</v>
      </c>
      <c r="AP47" s="2707">
        <v>0.12245190738366594</v>
      </c>
      <c r="AQ47" s="2707">
        <v>13.332886442823504</v>
      </c>
      <c r="AR47" s="2707">
        <v>0</v>
      </c>
      <c r="AS47" s="2707">
        <v>17.489005993780115</v>
      </c>
      <c r="AT47" s="2707">
        <v>0.18837410318479167</v>
      </c>
      <c r="AU47" s="2682">
        <v>7.7110311217445933</v>
      </c>
      <c r="AV47" s="2682">
        <v>0.92980134519451751</v>
      </c>
      <c r="AW47" s="2682">
        <v>9.0089451189753262</v>
      </c>
      <c r="AX47" s="2682">
        <v>1.9242300778615244</v>
      </c>
      <c r="AY47" s="2682">
        <v>6.2854017552437007</v>
      </c>
      <c r="AZ47" s="2682">
        <v>0.85284647635826905</v>
      </c>
      <c r="BA47" s="2682">
        <v>9.1963934095912467</v>
      </c>
      <c r="BB47" s="2682">
        <v>2.2244398037078499</v>
      </c>
      <c r="BC47" s="2682">
        <v>4.4617792201822759</v>
      </c>
      <c r="BD47" s="2682">
        <v>3.0571044242334141E-2</v>
      </c>
      <c r="BE47" s="2682">
        <v>3.3216065202767062</v>
      </c>
      <c r="BF47" s="2682">
        <v>2.5239721759101452</v>
      </c>
      <c r="BG47" s="2682">
        <v>3.6525039450208103</v>
      </c>
      <c r="BH47" s="2682">
        <v>2.4600818487929814</v>
      </c>
      <c r="BI47" s="2682">
        <v>3.4505965830965817</v>
      </c>
      <c r="BJ47" s="2682">
        <v>9.765793448113719</v>
      </c>
      <c r="BK47" s="2682">
        <v>1.0119864741592441</v>
      </c>
      <c r="BL47" s="2682">
        <v>1.9165683589941431</v>
      </c>
      <c r="BM47" s="2682">
        <v>0</v>
      </c>
      <c r="BN47" s="2682">
        <v>0.88487870964251836</v>
      </c>
      <c r="BO47" s="2682">
        <v>0</v>
      </c>
      <c r="BP47" s="2682">
        <v>2.0913897742890373</v>
      </c>
      <c r="BQ47" s="2682">
        <v>0</v>
      </c>
      <c r="BR47" s="2682">
        <v>4.4575102175068144</v>
      </c>
      <c r="BS47" s="2682">
        <v>0</v>
      </c>
      <c r="BT47" s="2682">
        <v>1.6185886221937171</v>
      </c>
      <c r="BU47" s="2682">
        <v>0</v>
      </c>
      <c r="BV47" s="2682">
        <v>7.1615462374549788</v>
      </c>
      <c r="BW47" s="2682">
        <v>0</v>
      </c>
      <c r="BX47" s="2682">
        <v>0</v>
      </c>
      <c r="BY47" s="2682">
        <v>0</v>
      </c>
      <c r="BZ47" s="2682">
        <v>1.0138858860183351</v>
      </c>
      <c r="CA47" s="2682">
        <v>0</v>
      </c>
      <c r="CB47" s="2682">
        <v>5.2755247171087083</v>
      </c>
      <c r="CC47" s="2682">
        <v>0</v>
      </c>
      <c r="CD47" s="2682">
        <v>2.0274501417016526</v>
      </c>
      <c r="CE47" s="2682">
        <v>0</v>
      </c>
      <c r="CF47" s="2682">
        <v>0.78351367409338568</v>
      </c>
      <c r="CG47" s="2682">
        <v>0.39712405430592912</v>
      </c>
      <c r="CH47" s="2682">
        <v>0.995595547926451</v>
      </c>
      <c r="CI47" s="2682">
        <v>0.39712405430592912</v>
      </c>
      <c r="CJ47" s="2682">
        <v>8.0595382278763221</v>
      </c>
      <c r="CK47" s="2676"/>
      <c r="CL47" s="847"/>
    </row>
    <row r="48" spans="1:90" ht="16.5" x14ac:dyDescent="0.3">
      <c r="A48" s="2666" t="s">
        <v>4826</v>
      </c>
      <c r="B48" s="2677" t="s">
        <v>3535</v>
      </c>
      <c r="C48" s="2707">
        <v>0</v>
      </c>
      <c r="D48" s="2707">
        <v>0</v>
      </c>
      <c r="E48" s="2707">
        <v>0</v>
      </c>
      <c r="F48" s="2707">
        <v>0</v>
      </c>
      <c r="G48" s="2707">
        <v>0</v>
      </c>
      <c r="H48" s="2707">
        <v>0</v>
      </c>
      <c r="I48" s="2707">
        <v>0</v>
      </c>
      <c r="J48" s="2707">
        <v>0</v>
      </c>
      <c r="K48" s="2707">
        <v>0</v>
      </c>
      <c r="L48" s="2707">
        <v>0</v>
      </c>
      <c r="M48" s="2707">
        <v>0</v>
      </c>
      <c r="N48" s="2707">
        <v>0</v>
      </c>
      <c r="O48" s="2707">
        <v>0</v>
      </c>
      <c r="P48" s="2707">
        <v>0</v>
      </c>
      <c r="Q48" s="2707">
        <v>0</v>
      </c>
      <c r="R48" s="2707">
        <v>0</v>
      </c>
      <c r="S48" s="2707">
        <v>0</v>
      </c>
      <c r="T48" s="2707">
        <v>0</v>
      </c>
      <c r="U48" s="2707">
        <v>0</v>
      </c>
      <c r="V48" s="2707">
        <v>0</v>
      </c>
      <c r="W48" s="2707">
        <v>0</v>
      </c>
      <c r="X48" s="2707">
        <v>0</v>
      </c>
      <c r="Y48" s="2707">
        <v>0</v>
      </c>
      <c r="Z48" s="2707">
        <v>0</v>
      </c>
      <c r="AA48" s="2707">
        <v>0</v>
      </c>
      <c r="AB48" s="2707">
        <v>0</v>
      </c>
      <c r="AC48" s="2707">
        <v>0</v>
      </c>
      <c r="AD48" s="2707">
        <v>0</v>
      </c>
      <c r="AE48" s="2707">
        <v>0</v>
      </c>
      <c r="AF48" s="2707">
        <v>0</v>
      </c>
      <c r="AG48" s="2707">
        <v>0</v>
      </c>
      <c r="AH48" s="2707">
        <v>0</v>
      </c>
      <c r="AI48" s="2707">
        <v>0</v>
      </c>
      <c r="AJ48" s="2707">
        <v>0</v>
      </c>
      <c r="AK48" s="2707">
        <v>0</v>
      </c>
      <c r="AL48" s="2707">
        <v>0</v>
      </c>
      <c r="AM48" s="2707">
        <v>0</v>
      </c>
      <c r="AN48" s="2707">
        <v>0</v>
      </c>
      <c r="AO48" s="2707">
        <v>0</v>
      </c>
      <c r="AP48" s="2707">
        <v>0</v>
      </c>
      <c r="AQ48" s="2707">
        <v>0</v>
      </c>
      <c r="AR48" s="2707">
        <v>0</v>
      </c>
      <c r="AS48" s="2707">
        <v>0</v>
      </c>
      <c r="AT48" s="2707">
        <v>0</v>
      </c>
      <c r="AU48" s="2682">
        <v>0</v>
      </c>
      <c r="AV48" s="2682">
        <v>0</v>
      </c>
      <c r="AW48" s="2682">
        <v>0</v>
      </c>
      <c r="AX48" s="2682">
        <v>0</v>
      </c>
      <c r="AY48" s="2682">
        <v>0</v>
      </c>
      <c r="AZ48" s="2682">
        <v>0</v>
      </c>
      <c r="BA48" s="2682">
        <v>0</v>
      </c>
      <c r="BB48" s="2682">
        <v>0</v>
      </c>
      <c r="BC48" s="2682">
        <v>0</v>
      </c>
      <c r="BD48" s="2682">
        <v>0</v>
      </c>
      <c r="BE48" s="2682">
        <v>0</v>
      </c>
      <c r="BF48" s="2682">
        <v>0</v>
      </c>
      <c r="BG48" s="2682">
        <v>0</v>
      </c>
      <c r="BH48" s="2682">
        <v>0</v>
      </c>
      <c r="BI48" s="2682">
        <v>0</v>
      </c>
      <c r="BJ48" s="2682">
        <v>0</v>
      </c>
      <c r="BK48" s="2682">
        <v>0</v>
      </c>
      <c r="BL48" s="2682">
        <v>0</v>
      </c>
      <c r="BM48" s="2682">
        <v>0</v>
      </c>
      <c r="BN48" s="2682">
        <v>0</v>
      </c>
      <c r="BO48" s="2682">
        <v>0</v>
      </c>
      <c r="BP48" s="2682">
        <v>0</v>
      </c>
      <c r="BQ48" s="2682">
        <v>0</v>
      </c>
      <c r="BR48" s="2682">
        <v>0</v>
      </c>
      <c r="BS48" s="2682">
        <v>0</v>
      </c>
      <c r="BT48" s="2682">
        <v>0</v>
      </c>
      <c r="BU48" s="2682">
        <v>0</v>
      </c>
      <c r="BV48" s="2682">
        <v>0</v>
      </c>
      <c r="BW48" s="2682">
        <v>0</v>
      </c>
      <c r="BX48" s="2682">
        <v>0</v>
      </c>
      <c r="BY48" s="2682">
        <v>0</v>
      </c>
      <c r="BZ48" s="2682">
        <v>0</v>
      </c>
      <c r="CA48" s="2682">
        <v>0</v>
      </c>
      <c r="CB48" s="2682">
        <v>0</v>
      </c>
      <c r="CC48" s="2682">
        <v>0</v>
      </c>
      <c r="CD48" s="2682">
        <v>0</v>
      </c>
      <c r="CE48" s="2682">
        <v>0</v>
      </c>
      <c r="CF48" s="2682">
        <v>0</v>
      </c>
      <c r="CG48" s="2682">
        <v>0</v>
      </c>
      <c r="CH48" s="2682">
        <v>0</v>
      </c>
      <c r="CI48" s="2682">
        <v>0</v>
      </c>
      <c r="CJ48" s="2682">
        <v>0</v>
      </c>
      <c r="CK48" s="2676"/>
      <c r="CL48" s="847"/>
    </row>
    <row r="49" spans="1:90" ht="16.5" x14ac:dyDescent="0.3">
      <c r="A49" s="2666" t="s">
        <v>4827</v>
      </c>
      <c r="B49" s="2677" t="s">
        <v>1155</v>
      </c>
      <c r="C49" s="2707">
        <v>0.28053888477260008</v>
      </c>
      <c r="D49" s="2707">
        <v>1.09786749988049</v>
      </c>
      <c r="E49" s="2707">
        <v>1.0148952268774658</v>
      </c>
      <c r="F49" s="2707">
        <v>0.1040394814044725</v>
      </c>
      <c r="G49" s="2707">
        <v>0.23358894522730164</v>
      </c>
      <c r="H49" s="2707">
        <v>0</v>
      </c>
      <c r="I49" s="2707">
        <v>0</v>
      </c>
      <c r="J49" s="2707">
        <v>0</v>
      </c>
      <c r="K49" s="2707">
        <v>0.21965798973335787</v>
      </c>
      <c r="L49" s="2707">
        <v>0</v>
      </c>
      <c r="M49" s="2707">
        <v>0.43265117945681258</v>
      </c>
      <c r="N49" s="2707">
        <v>0</v>
      </c>
      <c r="O49" s="2707">
        <v>1.5107633830752305</v>
      </c>
      <c r="P49" s="2707">
        <v>0</v>
      </c>
      <c r="Q49" s="2707">
        <v>0.41077249328785737</v>
      </c>
      <c r="R49" s="2707">
        <v>0.52367828707250652</v>
      </c>
      <c r="S49" s="2707">
        <v>1.5747492860777788</v>
      </c>
      <c r="T49" s="2707">
        <v>0.54442699955257856</v>
      </c>
      <c r="U49" s="2707">
        <v>0.24006349797912874</v>
      </c>
      <c r="V49" s="2707">
        <v>8.6570815861484505</v>
      </c>
      <c r="W49" s="2707">
        <v>1.2878974444222895</v>
      </c>
      <c r="X49" s="2707">
        <v>2.6808062259438059</v>
      </c>
      <c r="Y49" s="2707">
        <v>0.31491661803224075</v>
      </c>
      <c r="Z49" s="2707">
        <v>1.7777074939669515</v>
      </c>
      <c r="AA49" s="2707">
        <v>0.53249055392464251</v>
      </c>
      <c r="AB49" s="2707">
        <v>0.24372062756961246</v>
      </c>
      <c r="AC49" s="2707">
        <v>3.7630865014281242E-2</v>
      </c>
      <c r="AD49" s="2707">
        <v>0</v>
      </c>
      <c r="AE49" s="2707">
        <v>0.33150631732187957</v>
      </c>
      <c r="AF49" s="2707">
        <v>0.33150631732187957</v>
      </c>
      <c r="AG49" s="2707">
        <v>0.86797519184427419</v>
      </c>
      <c r="AH49" s="2707">
        <v>0.70743093986301253</v>
      </c>
      <c r="AI49" s="2707">
        <v>0.23452092322625034</v>
      </c>
      <c r="AJ49" s="2707">
        <v>0</v>
      </c>
      <c r="AK49" s="2707">
        <v>0.3174076791088038</v>
      </c>
      <c r="AL49" s="2707">
        <v>0.3174076791088038</v>
      </c>
      <c r="AM49" s="2707">
        <v>0.44908204202831192</v>
      </c>
      <c r="AN49" s="2707">
        <v>0.44908204202831192</v>
      </c>
      <c r="AO49" s="2707">
        <v>0</v>
      </c>
      <c r="AP49" s="2707">
        <v>0</v>
      </c>
      <c r="AQ49" s="2707">
        <v>0.32295069765040918</v>
      </c>
      <c r="AR49" s="2707">
        <v>0.32295069765040918</v>
      </c>
      <c r="AS49" s="2707">
        <v>1.2100043321842375</v>
      </c>
      <c r="AT49" s="2707">
        <v>1.2100043321842375</v>
      </c>
      <c r="AU49" s="2682">
        <v>0.24114553222467658</v>
      </c>
      <c r="AV49" s="2682">
        <v>0.26691581851760637</v>
      </c>
      <c r="AW49" s="2682">
        <v>0.32765078323577324</v>
      </c>
      <c r="AX49" s="2682">
        <v>0.32765078323577324</v>
      </c>
      <c r="AY49" s="2682">
        <v>0.14416034490678564</v>
      </c>
      <c r="AZ49" s="2682">
        <v>0.14416034490678564</v>
      </c>
      <c r="BA49" s="2682">
        <v>0</v>
      </c>
      <c r="BB49" s="2682">
        <v>0</v>
      </c>
      <c r="BC49" s="2682">
        <v>0</v>
      </c>
      <c r="BD49" s="2682">
        <v>0</v>
      </c>
      <c r="BE49" s="2682">
        <v>3.5656177775618789E-2</v>
      </c>
      <c r="BF49" s="2682">
        <v>3.5656177775618789E-2</v>
      </c>
      <c r="BG49" s="2682">
        <v>0</v>
      </c>
      <c r="BH49" s="2682">
        <v>0</v>
      </c>
      <c r="BI49" s="2682">
        <v>0</v>
      </c>
      <c r="BJ49" s="2682">
        <v>0</v>
      </c>
      <c r="BK49" s="2682">
        <v>0</v>
      </c>
      <c r="BL49" s="2682">
        <v>0</v>
      </c>
      <c r="BM49" s="2682">
        <v>0</v>
      </c>
      <c r="BN49" s="2682">
        <v>0</v>
      </c>
      <c r="BO49" s="2682">
        <v>0</v>
      </c>
      <c r="BP49" s="2682">
        <v>0</v>
      </c>
      <c r="BQ49" s="2682">
        <v>0</v>
      </c>
      <c r="BR49" s="2682">
        <v>0</v>
      </c>
      <c r="BS49" s="2682">
        <v>0</v>
      </c>
      <c r="BT49" s="2682">
        <v>0</v>
      </c>
      <c r="BU49" s="2682">
        <v>0</v>
      </c>
      <c r="BV49" s="2682">
        <v>0</v>
      </c>
      <c r="BW49" s="2682">
        <v>0</v>
      </c>
      <c r="BX49" s="2682">
        <v>0</v>
      </c>
      <c r="BY49" s="2682">
        <v>0</v>
      </c>
      <c r="BZ49" s="2682">
        <v>0</v>
      </c>
      <c r="CA49" s="2682">
        <v>0</v>
      </c>
      <c r="CB49" s="2682">
        <v>0</v>
      </c>
      <c r="CC49" s="2682">
        <v>0</v>
      </c>
      <c r="CD49" s="2682">
        <v>0</v>
      </c>
      <c r="CE49" s="2682">
        <v>0</v>
      </c>
      <c r="CF49" s="2682">
        <v>0</v>
      </c>
      <c r="CG49" s="2682">
        <v>0</v>
      </c>
      <c r="CH49" s="2682">
        <v>0</v>
      </c>
      <c r="CI49" s="2682">
        <v>0</v>
      </c>
      <c r="CJ49" s="2682">
        <v>0</v>
      </c>
      <c r="CK49" s="2676"/>
      <c r="CL49" s="847"/>
    </row>
    <row r="50" spans="1:90" s="847" customFormat="1" ht="16.5" x14ac:dyDescent="0.3">
      <c r="A50" s="2666" t="s">
        <v>4828</v>
      </c>
      <c r="B50" s="2677" t="s">
        <v>1156</v>
      </c>
      <c r="C50" s="2707"/>
      <c r="D50" s="2707"/>
      <c r="E50" s="2707"/>
      <c r="F50" s="2707"/>
      <c r="G50" s="2707"/>
      <c r="H50" s="2707"/>
      <c r="I50" s="2707"/>
      <c r="J50" s="2707"/>
      <c r="K50" s="2707">
        <v>0</v>
      </c>
      <c r="L50" s="2707">
        <v>0</v>
      </c>
      <c r="M50" s="2707">
        <v>0</v>
      </c>
      <c r="N50" s="2707">
        <v>0</v>
      </c>
      <c r="O50" s="2707">
        <v>0</v>
      </c>
      <c r="P50" s="2707">
        <v>0</v>
      </c>
      <c r="Q50" s="2707">
        <v>0</v>
      </c>
      <c r="R50" s="2707">
        <v>0</v>
      </c>
      <c r="S50" s="2707">
        <v>0</v>
      </c>
      <c r="T50" s="2707">
        <v>0</v>
      </c>
      <c r="U50" s="2707">
        <v>0</v>
      </c>
      <c r="V50" s="2707">
        <v>0</v>
      </c>
      <c r="W50" s="2707">
        <v>0</v>
      </c>
      <c r="X50" s="2707">
        <v>0</v>
      </c>
      <c r="Y50" s="2707">
        <v>0</v>
      </c>
      <c r="Z50" s="2707">
        <v>0</v>
      </c>
      <c r="AA50" s="2707">
        <v>0</v>
      </c>
      <c r="AB50" s="2707">
        <v>0</v>
      </c>
      <c r="AC50" s="2707">
        <v>0</v>
      </c>
      <c r="AD50" s="2707">
        <v>0</v>
      </c>
      <c r="AE50" s="2707">
        <v>0</v>
      </c>
      <c r="AF50" s="2707">
        <v>0</v>
      </c>
      <c r="AG50" s="2707">
        <v>0</v>
      </c>
      <c r="AH50" s="2707">
        <v>0</v>
      </c>
      <c r="AI50" s="2707">
        <v>0</v>
      </c>
      <c r="AJ50" s="2707">
        <v>0</v>
      </c>
      <c r="AK50" s="2707">
        <v>0</v>
      </c>
      <c r="AL50" s="2707">
        <v>0</v>
      </c>
      <c r="AM50" s="2707">
        <v>0</v>
      </c>
      <c r="AN50" s="2707">
        <v>0</v>
      </c>
      <c r="AO50" s="2707">
        <v>0</v>
      </c>
      <c r="AP50" s="2707">
        <v>0</v>
      </c>
      <c r="AQ50" s="2707">
        <v>0</v>
      </c>
      <c r="AR50" s="2707">
        <v>0</v>
      </c>
      <c r="AS50" s="2707">
        <v>0</v>
      </c>
      <c r="AT50" s="2707">
        <v>0</v>
      </c>
      <c r="AU50" s="2682">
        <v>0</v>
      </c>
      <c r="AV50" s="2682">
        <v>0</v>
      </c>
      <c r="AW50" s="2682">
        <v>0</v>
      </c>
      <c r="AX50" s="2682">
        <v>0</v>
      </c>
      <c r="AY50" s="2682">
        <v>0</v>
      </c>
      <c r="AZ50" s="2682">
        <v>0</v>
      </c>
      <c r="BA50" s="2682">
        <v>0</v>
      </c>
      <c r="BB50" s="2682">
        <v>0</v>
      </c>
      <c r="BC50" s="2682">
        <v>0</v>
      </c>
      <c r="BD50" s="2682">
        <v>0</v>
      </c>
      <c r="BE50" s="2682">
        <v>0</v>
      </c>
      <c r="BF50" s="2682">
        <v>0</v>
      </c>
      <c r="BG50" s="2682">
        <v>0</v>
      </c>
      <c r="BH50" s="2682">
        <v>0</v>
      </c>
      <c r="BI50" s="2682">
        <v>0</v>
      </c>
      <c r="BJ50" s="2682">
        <v>0</v>
      </c>
      <c r="BK50" s="2682">
        <v>0</v>
      </c>
      <c r="BL50" s="2682">
        <v>0</v>
      </c>
      <c r="BM50" s="2682">
        <v>0</v>
      </c>
      <c r="BN50" s="2682">
        <v>0</v>
      </c>
      <c r="BO50" s="2682">
        <v>0</v>
      </c>
      <c r="BP50" s="2682">
        <v>0</v>
      </c>
      <c r="BQ50" s="2682">
        <v>0</v>
      </c>
      <c r="BR50" s="2682">
        <v>0</v>
      </c>
      <c r="BS50" s="2682">
        <v>0</v>
      </c>
      <c r="BT50" s="2682">
        <v>0</v>
      </c>
      <c r="BU50" s="2682">
        <v>0</v>
      </c>
      <c r="BV50" s="2682">
        <v>0</v>
      </c>
      <c r="BW50" s="2682">
        <v>0</v>
      </c>
      <c r="BX50" s="2682">
        <v>0</v>
      </c>
      <c r="BY50" s="2682">
        <v>0</v>
      </c>
      <c r="BZ50" s="2682">
        <v>0</v>
      </c>
      <c r="CA50" s="2682">
        <v>0</v>
      </c>
      <c r="CB50" s="2682">
        <v>0</v>
      </c>
      <c r="CC50" s="2682">
        <v>0</v>
      </c>
      <c r="CD50" s="2682">
        <v>0</v>
      </c>
      <c r="CE50" s="2682">
        <v>0</v>
      </c>
      <c r="CF50" s="2682">
        <v>0</v>
      </c>
      <c r="CG50" s="2682">
        <v>0</v>
      </c>
      <c r="CH50" s="2682">
        <v>0</v>
      </c>
      <c r="CI50" s="2682">
        <v>0</v>
      </c>
      <c r="CJ50" s="2682">
        <v>0</v>
      </c>
      <c r="CK50" s="2676"/>
    </row>
    <row r="51" spans="1:90" ht="16.5" x14ac:dyDescent="0.3">
      <c r="A51" s="2666" t="s">
        <v>4829</v>
      </c>
      <c r="B51" s="2677" t="s">
        <v>3536</v>
      </c>
      <c r="C51" s="2707">
        <v>0</v>
      </c>
      <c r="D51" s="2707">
        <v>0</v>
      </c>
      <c r="E51" s="2707">
        <v>0</v>
      </c>
      <c r="F51" s="2707">
        <v>0</v>
      </c>
      <c r="G51" s="2707">
        <v>0</v>
      </c>
      <c r="H51" s="2707">
        <v>0</v>
      </c>
      <c r="I51" s="2707">
        <v>0</v>
      </c>
      <c r="J51" s="2707">
        <v>0</v>
      </c>
      <c r="K51" s="2707">
        <v>0</v>
      </c>
      <c r="L51" s="2707">
        <v>0</v>
      </c>
      <c r="M51" s="2707">
        <v>0</v>
      </c>
      <c r="N51" s="2707">
        <v>0</v>
      </c>
      <c r="O51" s="2707">
        <v>0</v>
      </c>
      <c r="P51" s="2707">
        <v>0</v>
      </c>
      <c r="Q51" s="2707">
        <v>0</v>
      </c>
      <c r="R51" s="2707">
        <v>0</v>
      </c>
      <c r="S51" s="2707">
        <v>0</v>
      </c>
      <c r="T51" s="2707">
        <v>0</v>
      </c>
      <c r="U51" s="2707">
        <v>0</v>
      </c>
      <c r="V51" s="2707">
        <v>0</v>
      </c>
      <c r="W51" s="2707">
        <v>0</v>
      </c>
      <c r="X51" s="2707">
        <v>0</v>
      </c>
      <c r="Y51" s="2707">
        <v>0</v>
      </c>
      <c r="Z51" s="2707">
        <v>0</v>
      </c>
      <c r="AA51" s="2707">
        <v>0</v>
      </c>
      <c r="AB51" s="2707">
        <v>0</v>
      </c>
      <c r="AC51" s="2707">
        <v>0</v>
      </c>
      <c r="AD51" s="2707">
        <v>0</v>
      </c>
      <c r="AE51" s="2707">
        <v>0</v>
      </c>
      <c r="AF51" s="2707">
        <v>0</v>
      </c>
      <c r="AG51" s="2707">
        <v>0</v>
      </c>
      <c r="AH51" s="2707">
        <v>0</v>
      </c>
      <c r="AI51" s="2707">
        <v>0</v>
      </c>
      <c r="AJ51" s="2707">
        <v>0</v>
      </c>
      <c r="AK51" s="2707">
        <v>0</v>
      </c>
      <c r="AL51" s="2707">
        <v>0</v>
      </c>
      <c r="AM51" s="2707">
        <v>0</v>
      </c>
      <c r="AN51" s="2707">
        <v>0</v>
      </c>
      <c r="AO51" s="2707">
        <v>0</v>
      </c>
      <c r="AP51" s="2707">
        <v>0</v>
      </c>
      <c r="AQ51" s="2707">
        <v>0</v>
      </c>
      <c r="AR51" s="2707">
        <v>0</v>
      </c>
      <c r="AS51" s="2707">
        <v>0</v>
      </c>
      <c r="AT51" s="2707">
        <v>0</v>
      </c>
      <c r="AU51" s="2682">
        <v>0</v>
      </c>
      <c r="AV51" s="2682">
        <v>0</v>
      </c>
      <c r="AW51" s="2682">
        <v>0</v>
      </c>
      <c r="AX51" s="2682">
        <v>0</v>
      </c>
      <c r="AY51" s="2682">
        <v>0</v>
      </c>
      <c r="AZ51" s="2682">
        <v>0</v>
      </c>
      <c r="BA51" s="2682">
        <v>0</v>
      </c>
      <c r="BB51" s="2682">
        <v>0</v>
      </c>
      <c r="BC51" s="2682">
        <v>0</v>
      </c>
      <c r="BD51" s="2682">
        <v>0</v>
      </c>
      <c r="BE51" s="2682">
        <v>0</v>
      </c>
      <c r="BF51" s="2682">
        <v>0</v>
      </c>
      <c r="BG51" s="2682">
        <v>0</v>
      </c>
      <c r="BH51" s="2682">
        <v>0</v>
      </c>
      <c r="BI51" s="2682">
        <v>0</v>
      </c>
      <c r="BJ51" s="2682">
        <v>0</v>
      </c>
      <c r="BK51" s="2682">
        <v>0</v>
      </c>
      <c r="BL51" s="2682">
        <v>0</v>
      </c>
      <c r="BM51" s="2682">
        <v>0</v>
      </c>
      <c r="BN51" s="2682">
        <v>0</v>
      </c>
      <c r="BO51" s="2682">
        <v>0</v>
      </c>
      <c r="BP51" s="2682">
        <v>0</v>
      </c>
      <c r="BQ51" s="2682">
        <v>0</v>
      </c>
      <c r="BR51" s="2682">
        <v>0</v>
      </c>
      <c r="BS51" s="2682">
        <v>0</v>
      </c>
      <c r="BT51" s="2682">
        <v>0</v>
      </c>
      <c r="BU51" s="2682">
        <v>0</v>
      </c>
      <c r="BV51" s="2682">
        <v>0</v>
      </c>
      <c r="BW51" s="2682">
        <v>0</v>
      </c>
      <c r="BX51" s="2682">
        <v>0</v>
      </c>
      <c r="BY51" s="2682">
        <v>0</v>
      </c>
      <c r="BZ51" s="2682">
        <v>0</v>
      </c>
      <c r="CA51" s="2682">
        <v>0</v>
      </c>
      <c r="CB51" s="2682">
        <v>0</v>
      </c>
      <c r="CC51" s="2682">
        <v>0.1103232300867832</v>
      </c>
      <c r="CD51" s="2682">
        <v>0</v>
      </c>
      <c r="CE51" s="2682">
        <v>0</v>
      </c>
      <c r="CF51" s="2682">
        <v>0</v>
      </c>
      <c r="CG51" s="2682">
        <v>0</v>
      </c>
      <c r="CH51" s="2682">
        <v>0</v>
      </c>
      <c r="CI51" s="2682">
        <v>0</v>
      </c>
      <c r="CJ51" s="2682">
        <v>0</v>
      </c>
      <c r="CK51" s="2676"/>
      <c r="CL51" s="847"/>
    </row>
    <row r="52" spans="1:90" ht="16.5" x14ac:dyDescent="0.3">
      <c r="A52" s="2666" t="s">
        <v>4830</v>
      </c>
      <c r="B52" s="2677" t="s">
        <v>3537</v>
      </c>
      <c r="C52" s="2707">
        <v>0</v>
      </c>
      <c r="D52" s="2707">
        <v>0</v>
      </c>
      <c r="E52" s="2707">
        <v>0</v>
      </c>
      <c r="F52" s="2707">
        <v>0</v>
      </c>
      <c r="G52" s="2707">
        <v>0</v>
      </c>
      <c r="H52" s="2707">
        <v>0</v>
      </c>
      <c r="I52" s="2707">
        <v>0</v>
      </c>
      <c r="J52" s="2707">
        <v>0</v>
      </c>
      <c r="K52" s="2707">
        <v>0</v>
      </c>
      <c r="L52" s="2707">
        <v>0</v>
      </c>
      <c r="M52" s="2707">
        <v>0</v>
      </c>
      <c r="N52" s="2707">
        <v>0</v>
      </c>
      <c r="O52" s="2707">
        <v>0</v>
      </c>
      <c r="P52" s="2707">
        <v>0</v>
      </c>
      <c r="Q52" s="2707">
        <v>0</v>
      </c>
      <c r="R52" s="2707">
        <v>0</v>
      </c>
      <c r="S52" s="2707">
        <v>0</v>
      </c>
      <c r="T52" s="2707">
        <v>0</v>
      </c>
      <c r="U52" s="2707">
        <v>0</v>
      </c>
      <c r="V52" s="2707">
        <v>0</v>
      </c>
      <c r="W52" s="2707">
        <v>0</v>
      </c>
      <c r="X52" s="2707">
        <v>0</v>
      </c>
      <c r="Y52" s="2707">
        <v>0</v>
      </c>
      <c r="Z52" s="2707">
        <v>0</v>
      </c>
      <c r="AA52" s="2707">
        <v>0</v>
      </c>
      <c r="AB52" s="2707">
        <v>0</v>
      </c>
      <c r="AC52" s="2707">
        <v>0</v>
      </c>
      <c r="AD52" s="2707">
        <v>0</v>
      </c>
      <c r="AE52" s="2707">
        <v>0</v>
      </c>
      <c r="AF52" s="2707">
        <v>0</v>
      </c>
      <c r="AG52" s="2707">
        <v>0</v>
      </c>
      <c r="AH52" s="2707">
        <v>0</v>
      </c>
      <c r="AI52" s="2707">
        <v>0</v>
      </c>
      <c r="AJ52" s="2707">
        <v>0</v>
      </c>
      <c r="AK52" s="2707">
        <v>0</v>
      </c>
      <c r="AL52" s="2707">
        <v>0</v>
      </c>
      <c r="AM52" s="2707">
        <v>0</v>
      </c>
      <c r="AN52" s="2707">
        <v>0</v>
      </c>
      <c r="AO52" s="2707">
        <v>0</v>
      </c>
      <c r="AP52" s="2707">
        <v>0</v>
      </c>
      <c r="AQ52" s="2707">
        <v>0</v>
      </c>
      <c r="AR52" s="2707">
        <v>0</v>
      </c>
      <c r="AS52" s="2707">
        <v>0</v>
      </c>
      <c r="AT52" s="2707">
        <v>0</v>
      </c>
      <c r="AU52" s="2682">
        <v>0</v>
      </c>
      <c r="AV52" s="2682">
        <v>0</v>
      </c>
      <c r="AW52" s="2682">
        <v>0</v>
      </c>
      <c r="AX52" s="2682">
        <v>0</v>
      </c>
      <c r="AY52" s="2682">
        <v>0</v>
      </c>
      <c r="AZ52" s="2682">
        <v>0</v>
      </c>
      <c r="BA52" s="2682">
        <v>0</v>
      </c>
      <c r="BB52" s="2682">
        <v>0</v>
      </c>
      <c r="BC52" s="2682">
        <v>0</v>
      </c>
      <c r="BD52" s="2682">
        <v>0</v>
      </c>
      <c r="BE52" s="2682">
        <v>0</v>
      </c>
      <c r="BF52" s="2682">
        <v>0</v>
      </c>
      <c r="BG52" s="2682">
        <v>0</v>
      </c>
      <c r="BH52" s="2682">
        <v>0</v>
      </c>
      <c r="BI52" s="2682">
        <v>0</v>
      </c>
      <c r="BJ52" s="2682">
        <v>0</v>
      </c>
      <c r="BK52" s="2682">
        <v>0</v>
      </c>
      <c r="BL52" s="2682">
        <v>0</v>
      </c>
      <c r="BM52" s="2682">
        <v>0</v>
      </c>
      <c r="BN52" s="2682">
        <v>0</v>
      </c>
      <c r="BO52" s="2682">
        <v>0</v>
      </c>
      <c r="BP52" s="2682">
        <v>0</v>
      </c>
      <c r="BQ52" s="2682">
        <v>0</v>
      </c>
      <c r="BR52" s="2682">
        <v>0</v>
      </c>
      <c r="BS52" s="2682">
        <v>0</v>
      </c>
      <c r="BT52" s="2682">
        <v>0</v>
      </c>
      <c r="BU52" s="2682">
        <v>0</v>
      </c>
      <c r="BV52" s="2682">
        <v>0</v>
      </c>
      <c r="BW52" s="2682">
        <v>0</v>
      </c>
      <c r="BX52" s="2682">
        <v>0</v>
      </c>
      <c r="BY52" s="2682">
        <v>0</v>
      </c>
      <c r="BZ52" s="2682">
        <v>0</v>
      </c>
      <c r="CA52" s="2682">
        <v>0</v>
      </c>
      <c r="CB52" s="2682">
        <v>0</v>
      </c>
      <c r="CC52" s="2682">
        <v>0</v>
      </c>
      <c r="CD52" s="2682">
        <v>0</v>
      </c>
      <c r="CE52" s="2682">
        <v>0</v>
      </c>
      <c r="CF52" s="2682">
        <v>0</v>
      </c>
      <c r="CG52" s="2682">
        <v>0</v>
      </c>
      <c r="CH52" s="2682">
        <v>0</v>
      </c>
      <c r="CI52" s="2682">
        <v>0</v>
      </c>
      <c r="CJ52" s="2682">
        <v>0</v>
      </c>
      <c r="CK52" s="2676"/>
      <c r="CL52" s="847"/>
    </row>
    <row r="53" spans="1:90" ht="16.5" x14ac:dyDescent="0.3">
      <c r="A53" s="2666" t="s">
        <v>4836</v>
      </c>
      <c r="B53" s="2677" t="s">
        <v>3541</v>
      </c>
      <c r="C53" s="2707">
        <v>0.58578193400537448</v>
      </c>
      <c r="D53" s="2707">
        <v>0</v>
      </c>
      <c r="E53" s="2707">
        <v>0.57630709057395302</v>
      </c>
      <c r="F53" s="2707">
        <v>0</v>
      </c>
      <c r="G53" s="2707">
        <v>0.57710643950769291</v>
      </c>
      <c r="H53" s="2707">
        <v>0</v>
      </c>
      <c r="I53" s="2707">
        <v>0.55635281805974746</v>
      </c>
      <c r="J53" s="2707">
        <v>0</v>
      </c>
      <c r="K53" s="2707">
        <v>0.55382732368132648</v>
      </c>
      <c r="L53" s="2707">
        <v>0</v>
      </c>
      <c r="M53" s="2707">
        <v>0.55159335255450248</v>
      </c>
      <c r="N53" s="2707">
        <v>0</v>
      </c>
      <c r="O53" s="2707">
        <v>0.55981617523243699</v>
      </c>
      <c r="P53" s="2707">
        <v>0</v>
      </c>
      <c r="Q53" s="2707">
        <v>0.56231049306204606</v>
      </c>
      <c r="R53" s="2707">
        <v>0</v>
      </c>
      <c r="S53" s="2707">
        <v>0.56200633394680033</v>
      </c>
      <c r="T53" s="2707">
        <v>0</v>
      </c>
      <c r="U53" s="2707">
        <v>0.55928618320354262</v>
      </c>
      <c r="V53" s="2707">
        <v>0</v>
      </c>
      <c r="W53" s="2707">
        <v>0.56120094008919963</v>
      </c>
      <c r="X53" s="2707">
        <v>0</v>
      </c>
      <c r="Y53" s="2707">
        <v>0</v>
      </c>
      <c r="Z53" s="2707">
        <v>0</v>
      </c>
      <c r="AA53" s="2707">
        <v>0.56806001471736922</v>
      </c>
      <c r="AB53" s="2707">
        <v>0</v>
      </c>
      <c r="AC53" s="2707">
        <v>0.57209052675014405</v>
      </c>
      <c r="AD53" s="2707">
        <v>0</v>
      </c>
      <c r="AE53" s="2707">
        <v>0.56168704157848925</v>
      </c>
      <c r="AF53" s="2707">
        <v>0</v>
      </c>
      <c r="AG53" s="2707">
        <v>0</v>
      </c>
      <c r="AH53" s="2707">
        <v>0</v>
      </c>
      <c r="AI53" s="2707">
        <v>0</v>
      </c>
      <c r="AJ53" s="2707">
        <v>0</v>
      </c>
      <c r="AK53" s="2707">
        <v>0</v>
      </c>
      <c r="AL53" s="2707">
        <v>0</v>
      </c>
      <c r="AM53" s="2707">
        <v>0</v>
      </c>
      <c r="AN53" s="2707">
        <v>0</v>
      </c>
      <c r="AO53" s="2707">
        <v>0</v>
      </c>
      <c r="AP53" s="2707">
        <v>0</v>
      </c>
      <c r="AQ53" s="2707">
        <v>0</v>
      </c>
      <c r="AR53" s="2707">
        <v>0</v>
      </c>
      <c r="AS53" s="2707">
        <v>0</v>
      </c>
      <c r="AT53" s="2707">
        <v>0</v>
      </c>
      <c r="AU53" s="2682">
        <v>0</v>
      </c>
      <c r="AV53" s="2682">
        <v>0</v>
      </c>
      <c r="AW53" s="2682">
        <v>0</v>
      </c>
      <c r="AX53" s="2682">
        <v>0</v>
      </c>
      <c r="AY53" s="2682">
        <v>0</v>
      </c>
      <c r="AZ53" s="2682">
        <v>0</v>
      </c>
      <c r="BA53" s="2682">
        <v>0</v>
      </c>
      <c r="BB53" s="2682">
        <v>0</v>
      </c>
      <c r="BC53" s="2682">
        <v>0</v>
      </c>
      <c r="BD53" s="2682">
        <v>0</v>
      </c>
      <c r="BE53" s="2682">
        <v>0</v>
      </c>
      <c r="BF53" s="2682">
        <v>0</v>
      </c>
      <c r="BG53" s="2682">
        <v>0</v>
      </c>
      <c r="BH53" s="2682">
        <v>0</v>
      </c>
      <c r="BI53" s="2682">
        <v>0</v>
      </c>
      <c r="BJ53" s="2682">
        <v>0</v>
      </c>
      <c r="BK53" s="2682">
        <v>0</v>
      </c>
      <c r="BL53" s="2682">
        <v>0</v>
      </c>
      <c r="BM53" s="2682">
        <v>0</v>
      </c>
      <c r="BN53" s="2682">
        <v>0</v>
      </c>
      <c r="BO53" s="2682">
        <v>0</v>
      </c>
      <c r="BP53" s="2682">
        <v>0</v>
      </c>
      <c r="BQ53" s="2682">
        <v>0</v>
      </c>
      <c r="BR53" s="2682">
        <v>0</v>
      </c>
      <c r="BS53" s="2682">
        <v>0</v>
      </c>
      <c r="BT53" s="2682">
        <v>0</v>
      </c>
      <c r="BU53" s="2682">
        <v>0</v>
      </c>
      <c r="BV53" s="2682">
        <v>0</v>
      </c>
      <c r="BW53" s="2682">
        <v>0</v>
      </c>
      <c r="BX53" s="2682">
        <v>0</v>
      </c>
      <c r="BY53" s="2682">
        <v>0</v>
      </c>
      <c r="BZ53" s="2682">
        <v>0</v>
      </c>
      <c r="CA53" s="2682">
        <v>0</v>
      </c>
      <c r="CB53" s="2682">
        <v>0</v>
      </c>
      <c r="CC53" s="2682">
        <v>0</v>
      </c>
      <c r="CD53" s="2682">
        <v>0</v>
      </c>
      <c r="CE53" s="2682">
        <v>0</v>
      </c>
      <c r="CF53" s="2682">
        <v>0</v>
      </c>
      <c r="CG53" s="2682">
        <v>0</v>
      </c>
      <c r="CH53" s="2682">
        <v>0</v>
      </c>
      <c r="CI53" s="2682">
        <v>0</v>
      </c>
      <c r="CJ53" s="2682">
        <v>0</v>
      </c>
      <c r="CK53" s="2676"/>
      <c r="CL53" s="847"/>
    </row>
    <row r="54" spans="1:90" ht="17.25" thickBot="1" x14ac:dyDescent="0.35">
      <c r="A54" s="2710"/>
      <c r="B54" s="2684" t="s">
        <v>4841</v>
      </c>
      <c r="C54" s="2707">
        <v>0</v>
      </c>
      <c r="D54" s="2707">
        <v>0</v>
      </c>
      <c r="E54" s="2707">
        <v>0</v>
      </c>
      <c r="F54" s="2707">
        <v>0</v>
      </c>
      <c r="G54" s="2707">
        <v>0</v>
      </c>
      <c r="H54" s="2707">
        <v>0</v>
      </c>
      <c r="I54" s="2707">
        <v>0</v>
      </c>
      <c r="J54" s="2707">
        <v>0</v>
      </c>
      <c r="K54" s="2707">
        <v>0</v>
      </c>
      <c r="L54" s="2707">
        <v>0</v>
      </c>
      <c r="M54" s="2707">
        <v>0</v>
      </c>
      <c r="N54" s="2707">
        <v>0</v>
      </c>
      <c r="O54" s="2707">
        <v>0</v>
      </c>
      <c r="P54" s="2707">
        <v>0</v>
      </c>
      <c r="Q54" s="2707">
        <v>0</v>
      </c>
      <c r="R54" s="2707">
        <v>0</v>
      </c>
      <c r="S54" s="2713">
        <v>0</v>
      </c>
      <c r="T54" s="2713">
        <v>0</v>
      </c>
      <c r="U54" s="2713">
        <v>0</v>
      </c>
      <c r="V54" s="2713">
        <v>0</v>
      </c>
      <c r="W54" s="2713">
        <v>0</v>
      </c>
      <c r="X54" s="2713">
        <v>0</v>
      </c>
      <c r="Y54" s="2713">
        <v>0.56676791767978629</v>
      </c>
      <c r="Z54" s="2713">
        <v>0</v>
      </c>
      <c r="AA54" s="2713">
        <v>0</v>
      </c>
      <c r="AB54" s="2713">
        <v>0</v>
      </c>
      <c r="AC54" s="2713">
        <v>0</v>
      </c>
      <c r="AD54" s="2713">
        <v>0</v>
      </c>
      <c r="AE54" s="2713">
        <v>0</v>
      </c>
      <c r="AF54" s="2713">
        <v>0</v>
      </c>
      <c r="AG54" s="2713">
        <v>0.55980632809692299</v>
      </c>
      <c r="AH54" s="2713">
        <v>0</v>
      </c>
      <c r="AI54" s="2713">
        <v>0.55525566154546502</v>
      </c>
      <c r="AJ54" s="2713">
        <v>0</v>
      </c>
      <c r="AK54" s="2713">
        <v>0.55667811282022084</v>
      </c>
      <c r="AL54" s="2713">
        <v>0</v>
      </c>
      <c r="AM54" s="2713">
        <v>0.54878497963610895</v>
      </c>
      <c r="AN54" s="2713">
        <v>0</v>
      </c>
      <c r="AO54" s="2713">
        <v>0.55039137475143562</v>
      </c>
      <c r="AP54" s="2713">
        <v>0</v>
      </c>
      <c r="AQ54" s="2713">
        <v>0</v>
      </c>
      <c r="AR54" s="2713">
        <v>0</v>
      </c>
      <c r="AS54" s="2713">
        <v>0</v>
      </c>
      <c r="AT54" s="2713">
        <v>0</v>
      </c>
      <c r="AU54" s="2689">
        <v>0</v>
      </c>
      <c r="AV54" s="2689">
        <v>0</v>
      </c>
      <c r="AW54" s="2689">
        <v>0</v>
      </c>
      <c r="AX54" s="2689">
        <v>0</v>
      </c>
      <c r="AY54" s="2689">
        <v>0</v>
      </c>
      <c r="AZ54" s="2689">
        <v>0</v>
      </c>
      <c r="BA54" s="2689">
        <v>0.50187070803332223</v>
      </c>
      <c r="BB54" s="2689">
        <v>0</v>
      </c>
      <c r="BC54" s="2689">
        <v>0.47790427822360027</v>
      </c>
      <c r="BD54" s="2689">
        <v>0</v>
      </c>
      <c r="BE54" s="2689">
        <v>0</v>
      </c>
      <c r="BF54" s="2689">
        <v>0</v>
      </c>
      <c r="BG54" s="2689">
        <v>0.472619777118227</v>
      </c>
      <c r="BH54" s="2689">
        <v>0</v>
      </c>
      <c r="BI54" s="2689">
        <v>0</v>
      </c>
      <c r="BJ54" s="2689">
        <v>0</v>
      </c>
      <c r="BK54" s="2689">
        <v>0.50816199544451024</v>
      </c>
      <c r="BL54" s="2689">
        <v>0</v>
      </c>
      <c r="BM54" s="2689">
        <v>0</v>
      </c>
      <c r="BN54" s="2689">
        <v>0</v>
      </c>
      <c r="BO54" s="2689">
        <v>0.50114316447820129</v>
      </c>
      <c r="BP54" s="2689">
        <v>0</v>
      </c>
      <c r="BQ54" s="2689">
        <v>0</v>
      </c>
      <c r="BR54" s="2689">
        <v>0</v>
      </c>
      <c r="BS54" s="2689">
        <v>0</v>
      </c>
      <c r="BT54" s="2689">
        <v>0</v>
      </c>
      <c r="BU54" s="2689">
        <v>0</v>
      </c>
      <c r="BV54" s="2689">
        <v>0</v>
      </c>
      <c r="BW54" s="2689">
        <v>0</v>
      </c>
      <c r="BX54" s="2689">
        <v>0</v>
      </c>
      <c r="BY54" s="2689">
        <v>0</v>
      </c>
      <c r="BZ54" s="2689">
        <v>0</v>
      </c>
      <c r="CA54" s="2689">
        <v>0</v>
      </c>
      <c r="CB54" s="2689">
        <v>0</v>
      </c>
      <c r="CC54" s="2689">
        <v>0</v>
      </c>
      <c r="CD54" s="2689">
        <v>0</v>
      </c>
      <c r="CE54" s="2689">
        <v>0</v>
      </c>
      <c r="CF54" s="2689">
        <v>0</v>
      </c>
      <c r="CG54" s="2689">
        <v>0</v>
      </c>
      <c r="CH54" s="2689">
        <v>0</v>
      </c>
      <c r="CI54" s="2689">
        <v>0</v>
      </c>
      <c r="CJ54" s="2689">
        <v>0</v>
      </c>
      <c r="CK54" s="2676"/>
      <c r="CL54" s="847"/>
    </row>
    <row r="55" spans="1:90" ht="17.25" thickBot="1" x14ac:dyDescent="0.35">
      <c r="A55" s="2716"/>
      <c r="B55" s="2691" t="s">
        <v>4857</v>
      </c>
      <c r="C55" s="2717">
        <v>22.994970005741756</v>
      </c>
      <c r="D55" s="2717">
        <v>4.2069666448451395</v>
      </c>
      <c r="E55" s="2717">
        <v>12.699335843552243</v>
      </c>
      <c r="F55" s="2717">
        <v>2.7552670057262705</v>
      </c>
      <c r="G55" s="2717">
        <v>10.873507856314106</v>
      </c>
      <c r="H55" s="2717">
        <v>2.3050972961607714</v>
      </c>
      <c r="I55" s="2717">
        <v>4.9912591472741257</v>
      </c>
      <c r="J55" s="2717">
        <v>1.768081194878381</v>
      </c>
      <c r="K55" s="2717">
        <v>17.997534929849685</v>
      </c>
      <c r="L55" s="2717">
        <v>1.4224323589180001</v>
      </c>
      <c r="M55" s="2717">
        <v>16.797329625602003</v>
      </c>
      <c r="N55" s="2717">
        <v>2.0618153534576735</v>
      </c>
      <c r="O55" s="2717">
        <v>8.4005963330203031</v>
      </c>
      <c r="P55" s="2717">
        <v>1.5925186204915209</v>
      </c>
      <c r="Q55" s="2717">
        <v>7.1422895162740003</v>
      </c>
      <c r="R55" s="2717">
        <v>1.2655905468568434</v>
      </c>
      <c r="S55" s="2697">
        <v>11.545208607278276</v>
      </c>
      <c r="T55" s="2697">
        <v>0.76649925858315626</v>
      </c>
      <c r="U55" s="2697">
        <v>14.115188076475567</v>
      </c>
      <c r="V55" s="2697">
        <v>8.6570815861484505</v>
      </c>
      <c r="W55" s="2697">
        <v>15.717458962830019</v>
      </c>
      <c r="X55" s="2697">
        <v>2.6808062259438059</v>
      </c>
      <c r="Y55" s="2697">
        <v>18.960323942245559</v>
      </c>
      <c r="Z55" s="2697">
        <v>1.8297350124121663</v>
      </c>
      <c r="AA55" s="2697">
        <v>21.731573125639883</v>
      </c>
      <c r="AB55" s="2697">
        <v>1.4252145762355226</v>
      </c>
      <c r="AC55" s="2697">
        <v>15.914219882303824</v>
      </c>
      <c r="AD55" s="2697">
        <v>0.17637813958679513</v>
      </c>
      <c r="AE55" s="2697">
        <v>23.762664405102115</v>
      </c>
      <c r="AF55" s="2697">
        <v>1.743759916820256</v>
      </c>
      <c r="AG55" s="2697">
        <v>16.153540996705534</v>
      </c>
      <c r="AH55" s="2697">
        <v>1.1160324559969677</v>
      </c>
      <c r="AI55" s="2697">
        <v>15.663190678851347</v>
      </c>
      <c r="AJ55" s="2697">
        <v>0</v>
      </c>
      <c r="AK55" s="2697">
        <v>4.9144869151757478</v>
      </c>
      <c r="AL55" s="2697">
        <v>2.3069202445496457</v>
      </c>
      <c r="AM55" s="2697">
        <v>9.3752393027398817</v>
      </c>
      <c r="AN55" s="2697">
        <v>2.8416483494495237</v>
      </c>
      <c r="AO55" s="2697">
        <v>11.096798401226859</v>
      </c>
      <c r="AP55" s="2697">
        <v>0.28738886942867048</v>
      </c>
      <c r="AQ55" s="2697">
        <v>13.898974644086808</v>
      </c>
      <c r="AR55" s="2697">
        <v>0.52977020853029555</v>
      </c>
      <c r="AS55" s="2697">
        <v>18.948863733764114</v>
      </c>
      <c r="AT55" s="2697">
        <v>3.1794519329169382</v>
      </c>
      <c r="AU55" s="2698">
        <v>8.1999380125290475</v>
      </c>
      <c r="AV55" s="2698">
        <v>1.1967171637121239</v>
      </c>
      <c r="AW55" s="2698">
        <v>9.4672343410526079</v>
      </c>
      <c r="AX55" s="2698">
        <v>2.2518808610972978</v>
      </c>
      <c r="AY55" s="2698">
        <v>6.7052747087775479</v>
      </c>
      <c r="AZ55" s="2698">
        <v>0.99700682126505469</v>
      </c>
      <c r="BA55" s="2698">
        <v>9.8590710066912166</v>
      </c>
      <c r="BB55" s="2698">
        <v>2.2244398037078503</v>
      </c>
      <c r="BC55" s="2698">
        <v>5.5143980191557329</v>
      </c>
      <c r="BD55" s="2698">
        <v>3.0571044242334141E-2</v>
      </c>
      <c r="BE55" s="2698">
        <v>3.3572626980523248</v>
      </c>
      <c r="BF55" s="2698">
        <v>2.5596283536857638</v>
      </c>
      <c r="BG55" s="2698">
        <v>4.8627319160661706</v>
      </c>
      <c r="BH55" s="2698">
        <v>2.4600818487929814</v>
      </c>
      <c r="BI55" s="2698">
        <v>3.5343046321606963</v>
      </c>
      <c r="BJ55" s="2698">
        <v>9.765793448113719</v>
      </c>
      <c r="BK55" s="2698">
        <v>1.6978990805065397</v>
      </c>
      <c r="BL55" s="2698">
        <v>1.9466897554538096</v>
      </c>
      <c r="BM55" s="2698">
        <v>0</v>
      </c>
      <c r="BN55" s="2698">
        <v>0.88487870964251836</v>
      </c>
      <c r="BO55" s="2698">
        <v>0.629069311445976</v>
      </c>
      <c r="BP55" s="2698">
        <v>2.0913897742890373</v>
      </c>
      <c r="BQ55" s="2698">
        <v>0.1292025346127284</v>
      </c>
      <c r="BR55" s="2698">
        <v>5.7583152401947899</v>
      </c>
      <c r="BS55" s="2698">
        <v>0</v>
      </c>
      <c r="BT55" s="2698">
        <v>2.2719568663203469</v>
      </c>
      <c r="BU55" s="2698">
        <v>3.4669918710446231E-2</v>
      </c>
      <c r="BV55" s="2698">
        <v>7.1615462374549788</v>
      </c>
      <c r="BW55" s="2698">
        <v>0.13533009115929864</v>
      </c>
      <c r="BX55" s="2698">
        <v>0</v>
      </c>
      <c r="BY55" s="2698">
        <v>1.5059911123235075</v>
      </c>
      <c r="BZ55" s="2698">
        <v>1.0138858860183351</v>
      </c>
      <c r="CA55" s="2698">
        <v>0</v>
      </c>
      <c r="CB55" s="2698">
        <v>5.2755247171087083</v>
      </c>
      <c r="CC55" s="2698">
        <v>0.24895822288929997</v>
      </c>
      <c r="CD55" s="2698">
        <v>3.3896615609355698</v>
      </c>
      <c r="CE55" s="2698">
        <v>4.1620981866531022</v>
      </c>
      <c r="CF55" s="2698">
        <v>2.0111243359792996</v>
      </c>
      <c r="CG55" s="2698">
        <f>SUM(CG40:CG54)</f>
        <v>2.270119471267682</v>
      </c>
      <c r="CH55" s="2698">
        <f>SUM(CH40:CH54)</f>
        <v>3.6139472065937328</v>
      </c>
      <c r="CI55" s="2699">
        <f>SUM(CI40:CI54)</f>
        <v>0.53392333897093536</v>
      </c>
      <c r="CJ55" s="2699">
        <f>SUM(CJ40:CJ54)</f>
        <v>12.230562747037869</v>
      </c>
      <c r="CK55" s="2676"/>
    </row>
    <row r="56" spans="1:90" s="847" customFormat="1" ht="17.25" thickBot="1" x14ac:dyDescent="0.35">
      <c r="A56" s="3918" t="s">
        <v>4858</v>
      </c>
      <c r="B56" s="3919"/>
      <c r="C56" s="3919"/>
      <c r="D56" s="3919"/>
      <c r="E56" s="3919"/>
      <c r="F56" s="3919"/>
      <c r="G56" s="3919"/>
      <c r="H56" s="3919"/>
      <c r="I56" s="3919"/>
      <c r="J56" s="3919"/>
      <c r="K56" s="3919"/>
      <c r="L56" s="3919"/>
      <c r="M56" s="3919"/>
      <c r="N56" s="3919"/>
      <c r="O56" s="3919"/>
      <c r="P56" s="3919"/>
      <c r="Q56" s="3919"/>
      <c r="R56" s="3919"/>
      <c r="S56" s="3919"/>
      <c r="T56" s="3919"/>
      <c r="U56" s="3919"/>
      <c r="V56" s="3919"/>
      <c r="W56" s="3919"/>
      <c r="X56" s="3919"/>
      <c r="Y56" s="3919"/>
      <c r="Z56" s="3919"/>
      <c r="AA56" s="3919"/>
      <c r="AB56" s="3919"/>
      <c r="AC56" s="3919"/>
      <c r="AD56" s="3919"/>
      <c r="AE56" s="3919"/>
      <c r="AF56" s="3919"/>
      <c r="AG56" s="3919"/>
      <c r="AH56" s="3919"/>
      <c r="AI56" s="3919"/>
      <c r="AJ56" s="3919"/>
      <c r="AK56" s="3919"/>
      <c r="AL56" s="3919"/>
      <c r="AM56" s="3919"/>
      <c r="AN56" s="3919"/>
      <c r="AO56" s="3919"/>
      <c r="AP56" s="3919"/>
      <c r="AQ56" s="3919"/>
      <c r="AR56" s="3919"/>
      <c r="AS56" s="3919"/>
      <c r="AT56" s="3919"/>
      <c r="AU56" s="3919"/>
      <c r="AV56" s="3919"/>
      <c r="AW56" s="3919"/>
      <c r="AX56" s="3919"/>
      <c r="AY56" s="3919"/>
      <c r="AZ56" s="3919"/>
      <c r="BA56" s="3919"/>
      <c r="BB56" s="3919"/>
      <c r="BC56" s="3919"/>
      <c r="BD56" s="3919"/>
      <c r="BE56" s="3919"/>
      <c r="BF56" s="3919"/>
      <c r="BG56" s="3919"/>
      <c r="BH56" s="3919"/>
      <c r="BI56" s="3919"/>
      <c r="BJ56" s="3919"/>
      <c r="BK56" s="3919"/>
      <c r="BL56" s="3919"/>
      <c r="BM56" s="3919"/>
      <c r="BN56" s="3919"/>
      <c r="BO56" s="3919"/>
      <c r="BP56" s="3919"/>
      <c r="BQ56" s="3919"/>
      <c r="BR56" s="3919"/>
      <c r="BS56" s="3919"/>
      <c r="BT56" s="3919"/>
      <c r="BU56" s="3919"/>
      <c r="BV56" s="3919"/>
      <c r="BW56" s="3919"/>
      <c r="BX56" s="3919"/>
      <c r="BY56" s="3919"/>
      <c r="BZ56" s="3919"/>
      <c r="CA56" s="3919"/>
      <c r="CB56" s="3919"/>
      <c r="CC56" s="3919"/>
      <c r="CD56" s="3919"/>
      <c r="CE56" s="3919"/>
      <c r="CF56" s="3919"/>
      <c r="CG56" s="3919"/>
      <c r="CH56" s="3919"/>
      <c r="CI56" s="3919"/>
      <c r="CJ56" s="3920"/>
      <c r="CK56" s="2676"/>
    </row>
    <row r="57" spans="1:90" ht="16.5" x14ac:dyDescent="0.3">
      <c r="A57" s="2700" t="s">
        <v>4816</v>
      </c>
      <c r="B57" s="2718" t="s">
        <v>3528</v>
      </c>
      <c r="C57" s="2704">
        <v>0</v>
      </c>
      <c r="D57" s="2704">
        <v>0</v>
      </c>
      <c r="E57" s="2704">
        <v>0</v>
      </c>
      <c r="F57" s="2704">
        <v>0</v>
      </c>
      <c r="G57" s="2704">
        <v>0</v>
      </c>
      <c r="H57" s="2704">
        <v>0</v>
      </c>
      <c r="I57" s="2704">
        <v>0</v>
      </c>
      <c r="J57" s="2704">
        <v>0</v>
      </c>
      <c r="K57" s="2704">
        <v>0</v>
      </c>
      <c r="L57" s="2704">
        <v>0</v>
      </c>
      <c r="M57" s="2704">
        <v>0</v>
      </c>
      <c r="N57" s="2704">
        <v>0</v>
      </c>
      <c r="O57" s="2704">
        <v>0</v>
      </c>
      <c r="P57" s="2704">
        <v>0</v>
      </c>
      <c r="Q57" s="2704">
        <v>0</v>
      </c>
      <c r="R57" s="2704">
        <v>0</v>
      </c>
      <c r="S57" s="2704">
        <v>0</v>
      </c>
      <c r="T57" s="2704">
        <v>0</v>
      </c>
      <c r="U57" s="2704">
        <v>0</v>
      </c>
      <c r="V57" s="2704">
        <v>0</v>
      </c>
      <c r="W57" s="2704">
        <v>0</v>
      </c>
      <c r="X57" s="2704">
        <v>0</v>
      </c>
      <c r="Y57" s="2704">
        <v>0</v>
      </c>
      <c r="Z57" s="2704">
        <v>0</v>
      </c>
      <c r="AA57" s="2704">
        <v>0</v>
      </c>
      <c r="AB57" s="2704">
        <v>0</v>
      </c>
      <c r="AC57" s="2704">
        <v>0</v>
      </c>
      <c r="AD57" s="2704">
        <v>0</v>
      </c>
      <c r="AE57" s="2704">
        <v>8.4780560486595533E-2</v>
      </c>
      <c r="AF57" s="2704">
        <v>0</v>
      </c>
      <c r="AG57" s="2704">
        <v>0</v>
      </c>
      <c r="AH57" s="2704">
        <v>0</v>
      </c>
      <c r="AI57" s="2704">
        <v>0</v>
      </c>
      <c r="AJ57" s="2704">
        <v>0</v>
      </c>
      <c r="AK57" s="2704">
        <v>0</v>
      </c>
      <c r="AL57" s="2704">
        <v>0</v>
      </c>
      <c r="AM57" s="2704">
        <v>0</v>
      </c>
      <c r="AN57" s="2704">
        <v>0</v>
      </c>
      <c r="AO57" s="2704">
        <v>0</v>
      </c>
      <c r="AP57" s="2704">
        <v>0</v>
      </c>
      <c r="AQ57" s="2704">
        <v>0</v>
      </c>
      <c r="AR57" s="2704">
        <v>0</v>
      </c>
      <c r="AS57" s="2704">
        <v>0</v>
      </c>
      <c r="AT57" s="2704">
        <v>0</v>
      </c>
      <c r="AU57" s="2675">
        <v>0</v>
      </c>
      <c r="AV57" s="2675">
        <v>0</v>
      </c>
      <c r="AW57" s="2675">
        <v>0</v>
      </c>
      <c r="AX57" s="2675">
        <v>0</v>
      </c>
      <c r="AY57" s="2675">
        <v>0</v>
      </c>
      <c r="AZ57" s="2675">
        <v>0</v>
      </c>
      <c r="BA57" s="2675">
        <v>0</v>
      </c>
      <c r="BB57" s="2675">
        <v>0</v>
      </c>
      <c r="BC57" s="2675">
        <v>0</v>
      </c>
      <c r="BD57" s="2675">
        <v>0</v>
      </c>
      <c r="BE57" s="2675">
        <v>0</v>
      </c>
      <c r="BF57" s="2675">
        <v>0</v>
      </c>
      <c r="BG57" s="2675">
        <v>0</v>
      </c>
      <c r="BH57" s="2675">
        <v>0</v>
      </c>
      <c r="BI57" s="2675">
        <v>0</v>
      </c>
      <c r="BJ57" s="2675">
        <v>0</v>
      </c>
      <c r="BK57" s="2675">
        <v>0</v>
      </c>
      <c r="BL57" s="2675">
        <v>0</v>
      </c>
      <c r="BM57" s="2675">
        <v>0</v>
      </c>
      <c r="BN57" s="2675">
        <v>0</v>
      </c>
      <c r="BO57" s="2675">
        <v>0</v>
      </c>
      <c r="BP57" s="2675">
        <v>0</v>
      </c>
      <c r="BQ57" s="2675">
        <v>0</v>
      </c>
      <c r="BR57" s="2675">
        <v>0</v>
      </c>
      <c r="BS57" s="2675">
        <v>0</v>
      </c>
      <c r="BT57" s="2675">
        <v>0</v>
      </c>
      <c r="BU57" s="2675">
        <v>0</v>
      </c>
      <c r="BV57" s="2675">
        <v>0</v>
      </c>
      <c r="BW57" s="2675">
        <v>0</v>
      </c>
      <c r="BX57" s="2675">
        <v>0</v>
      </c>
      <c r="BY57" s="2675">
        <v>0</v>
      </c>
      <c r="BZ57" s="2675">
        <v>0</v>
      </c>
      <c r="CA57" s="2675">
        <v>0</v>
      </c>
      <c r="CB57" s="2675">
        <v>0</v>
      </c>
      <c r="CC57" s="2675">
        <v>0</v>
      </c>
      <c r="CD57" s="2675">
        <v>0</v>
      </c>
      <c r="CE57" s="2675">
        <v>0</v>
      </c>
      <c r="CF57" s="2675">
        <v>0</v>
      </c>
      <c r="CG57" s="2675">
        <v>0</v>
      </c>
      <c r="CH57" s="2675">
        <v>0</v>
      </c>
      <c r="CI57" s="2675">
        <v>0</v>
      </c>
      <c r="CJ57" s="2675">
        <v>0</v>
      </c>
      <c r="CK57" s="2676"/>
    </row>
    <row r="58" spans="1:90" ht="16.5" x14ac:dyDescent="0.3">
      <c r="A58" s="2666" t="s">
        <v>4818</v>
      </c>
      <c r="B58" s="2719" t="s">
        <v>1149</v>
      </c>
      <c r="C58" s="2707">
        <v>1.1252778824919463</v>
      </c>
      <c r="D58" s="2707">
        <v>1.2087537681165013</v>
      </c>
      <c r="E58" s="2707">
        <v>3.0837522761784917</v>
      </c>
      <c r="F58" s="2707">
        <v>0.12236394050213768</v>
      </c>
      <c r="G58" s="2707">
        <v>0</v>
      </c>
      <c r="H58" s="2707">
        <v>0</v>
      </c>
      <c r="I58" s="2707">
        <v>0.84684240165630342</v>
      </c>
      <c r="J58" s="2707">
        <v>0.16575884497415241</v>
      </c>
      <c r="K58" s="2707">
        <v>1.7636992378233449</v>
      </c>
      <c r="L58" s="2707">
        <v>1.9965172194766651E-2</v>
      </c>
      <c r="M58" s="2707">
        <v>0.7744832253096362</v>
      </c>
      <c r="N58" s="2707">
        <v>0.73288531296845338</v>
      </c>
      <c r="O58" s="2707">
        <v>1.2027677481668602</v>
      </c>
      <c r="P58" s="2707">
        <v>0.74656720515566366</v>
      </c>
      <c r="Q58" s="2707">
        <v>1.406136292008354</v>
      </c>
      <c r="R58" s="2707">
        <v>1.6734230191139154</v>
      </c>
      <c r="S58" s="2707">
        <v>1.2322782791207714</v>
      </c>
      <c r="T58" s="2707">
        <v>0.77987626832617685</v>
      </c>
      <c r="U58" s="2707">
        <v>1.9078650818655567</v>
      </c>
      <c r="V58" s="2707">
        <v>1.9073242171779035</v>
      </c>
      <c r="W58" s="2707">
        <v>1.5439557660028229</v>
      </c>
      <c r="X58" s="2707">
        <v>1.247639171402378</v>
      </c>
      <c r="Y58" s="2707">
        <v>1.8096320974614397</v>
      </c>
      <c r="Z58" s="2707">
        <v>1.4499373183828825</v>
      </c>
      <c r="AA58" s="2707">
        <v>2.5852999285769505</v>
      </c>
      <c r="AB58" s="2707">
        <v>0.62751587407398524</v>
      </c>
      <c r="AC58" s="2707">
        <v>1.9077733461490611</v>
      </c>
      <c r="AD58" s="2707">
        <v>2.2741585198250802</v>
      </c>
      <c r="AE58" s="2707">
        <v>0</v>
      </c>
      <c r="AF58" s="2707">
        <v>1.575154429054975</v>
      </c>
      <c r="AG58" s="2707">
        <v>1.440103175860304</v>
      </c>
      <c r="AH58" s="2707">
        <v>4.6453179543218166</v>
      </c>
      <c r="AI58" s="2707">
        <v>3.1245675224670642</v>
      </c>
      <c r="AJ58" s="2707">
        <v>3.7128175932253211</v>
      </c>
      <c r="AK58" s="2707">
        <v>1.1216069151298271</v>
      </c>
      <c r="AL58" s="2707">
        <v>10.110768120796029</v>
      </c>
      <c r="AM58" s="2707">
        <v>1.2575611069938537</v>
      </c>
      <c r="AN58" s="2707">
        <v>13.273667322690278</v>
      </c>
      <c r="AO58" s="2707">
        <v>4.2234025899458407</v>
      </c>
      <c r="AP58" s="2707">
        <v>7.4832586713449878</v>
      </c>
      <c r="AQ58" s="2707">
        <v>0.30483253444726666</v>
      </c>
      <c r="AR58" s="2707">
        <v>7.4840310891965016</v>
      </c>
      <c r="AS58" s="2707">
        <v>0.23596918801201427</v>
      </c>
      <c r="AT58" s="2707">
        <v>4.5689896253129394</v>
      </c>
      <c r="AU58" s="2682">
        <v>0</v>
      </c>
      <c r="AV58" s="2682">
        <v>7.8820236503379082</v>
      </c>
      <c r="AW58" s="2682">
        <v>0.52396161599825497</v>
      </c>
      <c r="AX58" s="2682">
        <v>4.0014374279971703</v>
      </c>
      <c r="AY58" s="2682">
        <v>0</v>
      </c>
      <c r="AZ58" s="2682">
        <v>8.155822587674999</v>
      </c>
      <c r="BA58" s="2682">
        <v>1.1856268785985788</v>
      </c>
      <c r="BB58" s="2682">
        <v>1.348026269310588</v>
      </c>
      <c r="BC58" s="2682">
        <v>0.3058875067297267</v>
      </c>
      <c r="BD58" s="2682">
        <v>0.66766782773564448</v>
      </c>
      <c r="BE58" s="2682">
        <v>0</v>
      </c>
      <c r="BF58" s="2682">
        <v>1.731707096474536</v>
      </c>
      <c r="BG58" s="2682">
        <v>0</v>
      </c>
      <c r="BH58" s="2682">
        <v>6.4004211723184969</v>
      </c>
      <c r="BI58" s="2682">
        <v>0</v>
      </c>
      <c r="BJ58" s="2682">
        <v>7.2981171598544581</v>
      </c>
      <c r="BK58" s="2682">
        <v>0</v>
      </c>
      <c r="BL58" s="2682">
        <v>3.3391858288655039</v>
      </c>
      <c r="BM58" s="2682">
        <v>0</v>
      </c>
      <c r="BN58" s="2682">
        <v>5.8845636174564699</v>
      </c>
      <c r="BO58" s="2682">
        <v>0</v>
      </c>
      <c r="BP58" s="2682">
        <v>3.0201656167379873</v>
      </c>
      <c r="BQ58" s="2682">
        <v>0</v>
      </c>
      <c r="BR58" s="2682">
        <v>4.669614969837891</v>
      </c>
      <c r="BS58" s="2682">
        <v>0</v>
      </c>
      <c r="BT58" s="2682">
        <v>6.4297255087551797</v>
      </c>
      <c r="BU58" s="2682">
        <v>0</v>
      </c>
      <c r="BV58" s="2682">
        <v>1.3740744814890122</v>
      </c>
      <c r="BW58" s="2682">
        <v>9.750130091400383E-2</v>
      </c>
      <c r="BX58" s="2682">
        <v>6.417743266997415</v>
      </c>
      <c r="BY58" s="2682">
        <v>0.26642629302332166</v>
      </c>
      <c r="BZ58" s="2682">
        <v>5.419602006907251</v>
      </c>
      <c r="CA58" s="2682">
        <v>0.79231406693004969</v>
      </c>
      <c r="CB58" s="2682">
        <v>5.9038394878330864</v>
      </c>
      <c r="CC58" s="2682">
        <v>0.10121159308600172</v>
      </c>
      <c r="CD58" s="2682">
        <v>4.8270202967998372</v>
      </c>
      <c r="CE58" s="2682">
        <v>0</v>
      </c>
      <c r="CF58" s="2682">
        <v>4.1198011373668448</v>
      </c>
      <c r="CG58" s="2682">
        <v>7.1953261456762771E-2</v>
      </c>
      <c r="CH58" s="2682">
        <v>6.5201411270096639</v>
      </c>
      <c r="CI58" s="2682">
        <v>0</v>
      </c>
      <c r="CJ58" s="2682">
        <v>5.3922285980521911</v>
      </c>
      <c r="CK58" s="2676"/>
    </row>
    <row r="59" spans="1:90" s="847" customFormat="1" ht="16.5" x14ac:dyDescent="0.3">
      <c r="A59" s="2666" t="s">
        <v>4819</v>
      </c>
      <c r="B59" s="2719" t="s">
        <v>3530</v>
      </c>
      <c r="C59" s="2707"/>
      <c r="D59" s="2707"/>
      <c r="E59" s="2707"/>
      <c r="F59" s="2707"/>
      <c r="G59" s="2707"/>
      <c r="H59" s="2707"/>
      <c r="I59" s="2707"/>
      <c r="J59" s="2707"/>
      <c r="K59" s="2707"/>
      <c r="L59" s="2707"/>
      <c r="M59" s="2707"/>
      <c r="N59" s="2707"/>
      <c r="O59" s="2707"/>
      <c r="P59" s="2707"/>
      <c r="Q59" s="2707"/>
      <c r="R59" s="2707"/>
      <c r="S59" s="2707"/>
      <c r="T59" s="2707"/>
      <c r="U59" s="2707"/>
      <c r="V59" s="2707"/>
      <c r="W59" s="2707"/>
      <c r="X59" s="2707"/>
      <c r="Y59" s="2707"/>
      <c r="Z59" s="2707"/>
      <c r="AA59" s="2707"/>
      <c r="AB59" s="2707"/>
      <c r="AC59" s="2707"/>
      <c r="AD59" s="2707"/>
      <c r="AE59" s="2707">
        <v>0</v>
      </c>
      <c r="AF59" s="2707">
        <v>0</v>
      </c>
      <c r="AG59" s="2707">
        <v>0</v>
      </c>
      <c r="AH59" s="2707">
        <v>0</v>
      </c>
      <c r="AI59" s="2707">
        <v>0</v>
      </c>
      <c r="AJ59" s="2707">
        <v>0</v>
      </c>
      <c r="AK59" s="2707">
        <v>0</v>
      </c>
      <c r="AL59" s="2707">
        <v>0</v>
      </c>
      <c r="AM59" s="2707">
        <v>0</v>
      </c>
      <c r="AN59" s="2707">
        <v>0</v>
      </c>
      <c r="AO59" s="2707">
        <v>0</v>
      </c>
      <c r="AP59" s="2707">
        <v>0</v>
      </c>
      <c r="AQ59" s="2707">
        <v>0</v>
      </c>
      <c r="AR59" s="2707">
        <v>0</v>
      </c>
      <c r="AS59" s="2707">
        <v>0</v>
      </c>
      <c r="AT59" s="2707">
        <v>0</v>
      </c>
      <c r="AU59" s="2682">
        <v>0</v>
      </c>
      <c r="AV59" s="2682">
        <v>0</v>
      </c>
      <c r="AW59" s="2682">
        <v>0</v>
      </c>
      <c r="AX59" s="2682">
        <v>0</v>
      </c>
      <c r="AY59" s="2682">
        <v>0</v>
      </c>
      <c r="AZ59" s="2682">
        <v>0</v>
      </c>
      <c r="BA59" s="2682">
        <v>0</v>
      </c>
      <c r="BB59" s="2682">
        <v>0</v>
      </c>
      <c r="BC59" s="2682">
        <v>0</v>
      </c>
      <c r="BD59" s="2682">
        <v>0</v>
      </c>
      <c r="BE59" s="2682">
        <v>0</v>
      </c>
      <c r="BF59" s="2682">
        <v>0</v>
      </c>
      <c r="BG59" s="2682">
        <v>0</v>
      </c>
      <c r="BH59" s="2682">
        <v>0</v>
      </c>
      <c r="BI59" s="2682">
        <v>0</v>
      </c>
      <c r="BJ59" s="2682">
        <v>0</v>
      </c>
      <c r="BK59" s="2682">
        <v>0</v>
      </c>
      <c r="BL59" s="2682">
        <v>0</v>
      </c>
      <c r="BM59" s="2682">
        <v>0</v>
      </c>
      <c r="BN59" s="2682">
        <v>0</v>
      </c>
      <c r="BO59" s="2682">
        <v>0</v>
      </c>
      <c r="BP59" s="2682">
        <v>0</v>
      </c>
      <c r="BQ59" s="2682">
        <v>0</v>
      </c>
      <c r="BR59" s="2682">
        <v>0</v>
      </c>
      <c r="BS59" s="2682">
        <v>0</v>
      </c>
      <c r="BT59" s="2682">
        <v>0</v>
      </c>
      <c r="BU59" s="2682">
        <v>0</v>
      </c>
      <c r="BV59" s="2682">
        <v>0</v>
      </c>
      <c r="BW59" s="2682">
        <v>0</v>
      </c>
      <c r="BX59" s="2682">
        <v>0</v>
      </c>
      <c r="BY59" s="2682">
        <v>0</v>
      </c>
      <c r="BZ59" s="2682">
        <v>0</v>
      </c>
      <c r="CA59" s="2682">
        <v>0</v>
      </c>
      <c r="CB59" s="2682">
        <v>0</v>
      </c>
      <c r="CC59" s="2682">
        <v>0</v>
      </c>
      <c r="CD59" s="2682">
        <v>0</v>
      </c>
      <c r="CE59" s="2682">
        <v>0</v>
      </c>
      <c r="CF59" s="2682">
        <v>0</v>
      </c>
      <c r="CG59" s="2682">
        <v>0</v>
      </c>
      <c r="CH59" s="2682">
        <v>0</v>
      </c>
      <c r="CI59" s="2682">
        <v>0</v>
      </c>
      <c r="CJ59" s="2682">
        <v>0</v>
      </c>
      <c r="CK59" s="2676"/>
    </row>
    <row r="60" spans="1:90" s="847" customFormat="1" ht="16.5" x14ac:dyDescent="0.3">
      <c r="A60" s="2666" t="s">
        <v>4820</v>
      </c>
      <c r="B60" s="2677" t="s">
        <v>3531</v>
      </c>
      <c r="C60" s="2701"/>
      <c r="D60" s="2701"/>
      <c r="E60" s="2701"/>
      <c r="F60" s="2701"/>
      <c r="G60" s="2701"/>
      <c r="H60" s="2701"/>
      <c r="I60" s="2701"/>
      <c r="J60" s="2701"/>
      <c r="K60" s="2708"/>
      <c r="L60" s="2701"/>
      <c r="M60" s="2701"/>
      <c r="N60" s="2701"/>
      <c r="O60" s="2708"/>
      <c r="P60" s="2701"/>
      <c r="Q60" s="2701"/>
      <c r="R60" s="2653"/>
      <c r="S60" s="2705"/>
      <c r="T60" s="2705"/>
      <c r="U60" s="2705"/>
      <c r="V60" s="2705"/>
      <c r="W60" s="2705"/>
      <c r="X60" s="2705"/>
      <c r="Y60" s="2705"/>
      <c r="Z60" s="2705"/>
      <c r="AA60" s="2705"/>
      <c r="AB60" s="2705"/>
      <c r="AC60" s="2705"/>
      <c r="AD60" s="2705"/>
      <c r="AE60" s="2705"/>
      <c r="AF60" s="2705"/>
      <c r="AG60" s="2709"/>
      <c r="AH60" s="2707"/>
      <c r="AI60" s="2707">
        <v>0</v>
      </c>
      <c r="AJ60" s="2707">
        <v>0</v>
      </c>
      <c r="AK60" s="2707">
        <v>0</v>
      </c>
      <c r="AL60" s="2707">
        <v>0</v>
      </c>
      <c r="AM60" s="2707">
        <v>0</v>
      </c>
      <c r="AN60" s="2707">
        <v>0</v>
      </c>
      <c r="AO60" s="2707">
        <v>0</v>
      </c>
      <c r="AP60" s="2707">
        <v>0</v>
      </c>
      <c r="AQ60" s="2707">
        <v>0</v>
      </c>
      <c r="AR60" s="2707">
        <v>0</v>
      </c>
      <c r="AS60" s="2707">
        <v>0</v>
      </c>
      <c r="AT60" s="2707">
        <v>0</v>
      </c>
      <c r="AU60" s="2682">
        <v>0</v>
      </c>
      <c r="AV60" s="2682">
        <v>0</v>
      </c>
      <c r="AW60" s="2682">
        <v>0</v>
      </c>
      <c r="AX60" s="2682">
        <v>0</v>
      </c>
      <c r="AY60" s="2682">
        <v>0</v>
      </c>
      <c r="AZ60" s="2682">
        <v>0</v>
      </c>
      <c r="BA60" s="2682">
        <v>0</v>
      </c>
      <c r="BB60" s="2682">
        <v>0</v>
      </c>
      <c r="BC60" s="2682">
        <v>0</v>
      </c>
      <c r="BD60" s="2682">
        <v>0</v>
      </c>
      <c r="BE60" s="2682">
        <v>0</v>
      </c>
      <c r="BF60" s="2682">
        <v>0</v>
      </c>
      <c r="BG60" s="2682">
        <v>0</v>
      </c>
      <c r="BH60" s="2682">
        <v>0</v>
      </c>
      <c r="BI60" s="2682">
        <v>0</v>
      </c>
      <c r="BJ60" s="2682">
        <v>0</v>
      </c>
      <c r="BK60" s="2682">
        <v>0</v>
      </c>
      <c r="BL60" s="2682">
        <v>0</v>
      </c>
      <c r="BM60" s="2682">
        <v>0</v>
      </c>
      <c r="BN60" s="2682">
        <v>0</v>
      </c>
      <c r="BO60" s="2682">
        <v>0</v>
      </c>
      <c r="BP60" s="2682">
        <v>0</v>
      </c>
      <c r="BQ60" s="2682">
        <v>0</v>
      </c>
      <c r="BR60" s="2682">
        <v>0</v>
      </c>
      <c r="BS60" s="2682">
        <v>0</v>
      </c>
      <c r="BT60" s="2682">
        <v>0</v>
      </c>
      <c r="BU60" s="2682">
        <v>0</v>
      </c>
      <c r="BV60" s="2682">
        <v>0</v>
      </c>
      <c r="BW60" s="2682">
        <v>0</v>
      </c>
      <c r="BX60" s="2682">
        <v>0</v>
      </c>
      <c r="BY60" s="2682">
        <v>0</v>
      </c>
      <c r="BZ60" s="2682">
        <v>0</v>
      </c>
      <c r="CA60" s="2682">
        <v>0</v>
      </c>
      <c r="CB60" s="2682">
        <v>0</v>
      </c>
      <c r="CC60" s="2682">
        <v>0</v>
      </c>
      <c r="CD60" s="2682">
        <v>0</v>
      </c>
      <c r="CE60" s="2682">
        <v>0</v>
      </c>
      <c r="CF60" s="2682">
        <v>0</v>
      </c>
      <c r="CG60" s="2682">
        <v>0</v>
      </c>
      <c r="CH60" s="2682">
        <v>0</v>
      </c>
      <c r="CI60" s="2682">
        <v>0</v>
      </c>
      <c r="CJ60" s="2682">
        <v>0</v>
      </c>
      <c r="CK60" s="2676"/>
    </row>
    <row r="61" spans="1:90" ht="16.5" x14ac:dyDescent="0.3">
      <c r="A61" s="2666" t="s">
        <v>4821</v>
      </c>
      <c r="B61" s="2719" t="s">
        <v>1150</v>
      </c>
      <c r="C61" s="2707">
        <v>0</v>
      </c>
      <c r="D61" s="2707">
        <v>2.3283064365386962E-16</v>
      </c>
      <c r="E61" s="2707">
        <v>0</v>
      </c>
      <c r="F61" s="2707">
        <v>0</v>
      </c>
      <c r="G61" s="2707">
        <v>0</v>
      </c>
      <c r="H61" s="2707">
        <v>0</v>
      </c>
      <c r="I61" s="2707">
        <v>0</v>
      </c>
      <c r="J61" s="2707">
        <v>0</v>
      </c>
      <c r="K61" s="2707">
        <v>0</v>
      </c>
      <c r="L61" s="2707">
        <v>0</v>
      </c>
      <c r="M61" s="2707">
        <v>0</v>
      </c>
      <c r="N61" s="2707">
        <v>0</v>
      </c>
      <c r="O61" s="2707">
        <v>0</v>
      </c>
      <c r="P61" s="2707">
        <v>0</v>
      </c>
      <c r="Q61" s="2707">
        <v>0</v>
      </c>
      <c r="R61" s="2707">
        <v>0</v>
      </c>
      <c r="S61" s="2707">
        <v>0</v>
      </c>
      <c r="T61" s="2707">
        <v>0</v>
      </c>
      <c r="U61" s="2707">
        <v>0</v>
      </c>
      <c r="V61" s="2707">
        <v>0</v>
      </c>
      <c r="W61" s="2707">
        <v>0</v>
      </c>
      <c r="X61" s="2707">
        <v>0</v>
      </c>
      <c r="Y61" s="2707">
        <v>0</v>
      </c>
      <c r="Z61" s="2707">
        <v>0</v>
      </c>
      <c r="AA61" s="2707">
        <v>0</v>
      </c>
      <c r="AB61" s="2707">
        <v>0</v>
      </c>
      <c r="AC61" s="2707">
        <v>0</v>
      </c>
      <c r="AD61" s="2707">
        <v>0</v>
      </c>
      <c r="AE61" s="2707">
        <v>0</v>
      </c>
      <c r="AF61" s="2707">
        <v>0</v>
      </c>
      <c r="AG61" s="2707">
        <v>0</v>
      </c>
      <c r="AH61" s="2707">
        <v>0</v>
      </c>
      <c r="AI61" s="2707">
        <v>0</v>
      </c>
      <c r="AJ61" s="2707">
        <v>0</v>
      </c>
      <c r="AK61" s="2707">
        <v>0</v>
      </c>
      <c r="AL61" s="2707">
        <v>0</v>
      </c>
      <c r="AM61" s="2707">
        <v>0</v>
      </c>
      <c r="AN61" s="2707">
        <v>0</v>
      </c>
      <c r="AO61" s="2707">
        <v>0</v>
      </c>
      <c r="AP61" s="2707">
        <v>0</v>
      </c>
      <c r="AQ61" s="2707">
        <v>0</v>
      </c>
      <c r="AR61" s="2707">
        <v>0</v>
      </c>
      <c r="AS61" s="2707">
        <v>0</v>
      </c>
      <c r="AT61" s="2707">
        <v>0</v>
      </c>
      <c r="AU61" s="2682">
        <v>0</v>
      </c>
      <c r="AV61" s="2682">
        <v>0</v>
      </c>
      <c r="AW61" s="2682">
        <v>0</v>
      </c>
      <c r="AX61" s="2682">
        <v>0</v>
      </c>
      <c r="AY61" s="2682">
        <v>0</v>
      </c>
      <c r="AZ61" s="2682">
        <v>0</v>
      </c>
      <c r="BA61" s="2682">
        <v>0</v>
      </c>
      <c r="BB61" s="2682">
        <v>0</v>
      </c>
      <c r="BC61" s="2682">
        <v>0</v>
      </c>
      <c r="BD61" s="2682">
        <v>0</v>
      </c>
      <c r="BE61" s="2682">
        <v>0</v>
      </c>
      <c r="BF61" s="2682">
        <v>0</v>
      </c>
      <c r="BG61" s="2682">
        <v>0</v>
      </c>
      <c r="BH61" s="2682">
        <v>0</v>
      </c>
      <c r="BI61" s="2682">
        <v>0</v>
      </c>
      <c r="BJ61" s="2682">
        <v>0</v>
      </c>
      <c r="BK61" s="2682">
        <v>0</v>
      </c>
      <c r="BL61" s="2682">
        <v>0</v>
      </c>
      <c r="BM61" s="2682">
        <v>0</v>
      </c>
      <c r="BN61" s="2682">
        <v>0</v>
      </c>
      <c r="BO61" s="2682">
        <v>0</v>
      </c>
      <c r="BP61" s="2682">
        <v>0</v>
      </c>
      <c r="BQ61" s="2682">
        <v>0</v>
      </c>
      <c r="BR61" s="2682">
        <v>0</v>
      </c>
      <c r="BS61" s="2682">
        <v>0</v>
      </c>
      <c r="BT61" s="2682">
        <v>0</v>
      </c>
      <c r="BU61" s="2682">
        <v>0</v>
      </c>
      <c r="BV61" s="2682">
        <v>0</v>
      </c>
      <c r="BW61" s="2682">
        <v>0</v>
      </c>
      <c r="BX61" s="2682">
        <v>0</v>
      </c>
      <c r="BY61" s="2682">
        <v>0</v>
      </c>
      <c r="BZ61" s="2682">
        <v>0</v>
      </c>
      <c r="CA61" s="2682">
        <v>0</v>
      </c>
      <c r="CB61" s="2682">
        <v>0</v>
      </c>
      <c r="CC61" s="2682">
        <v>0</v>
      </c>
      <c r="CD61" s="2682">
        <v>0</v>
      </c>
      <c r="CE61" s="2682">
        <v>0</v>
      </c>
      <c r="CF61" s="2682">
        <v>0</v>
      </c>
      <c r="CG61" s="2682">
        <v>0</v>
      </c>
      <c r="CH61" s="2682">
        <v>0</v>
      </c>
      <c r="CI61" s="2682">
        <v>0</v>
      </c>
      <c r="CJ61" s="2682">
        <v>0</v>
      </c>
      <c r="CK61" s="2676"/>
    </row>
    <row r="62" spans="1:90" ht="16.5" x14ac:dyDescent="0.3">
      <c r="A62" s="2666" t="s">
        <v>4822</v>
      </c>
      <c r="B62" s="2719" t="s">
        <v>4823</v>
      </c>
      <c r="C62" s="2707">
        <v>0</v>
      </c>
      <c r="D62" s="2707">
        <v>0</v>
      </c>
      <c r="E62" s="2707">
        <v>0</v>
      </c>
      <c r="F62" s="2707">
        <v>0</v>
      </c>
      <c r="G62" s="2707">
        <v>0</v>
      </c>
      <c r="H62" s="2707">
        <v>0</v>
      </c>
      <c r="I62" s="2707">
        <v>6.9353833438234883E-2</v>
      </c>
      <c r="J62" s="2707">
        <v>0</v>
      </c>
      <c r="K62" s="2707">
        <v>0</v>
      </c>
      <c r="L62" s="2707">
        <v>0</v>
      </c>
      <c r="M62" s="2707">
        <v>7.5381100686365721E-2</v>
      </c>
      <c r="N62" s="2707">
        <v>0</v>
      </c>
      <c r="O62" s="2707">
        <v>0</v>
      </c>
      <c r="P62" s="2707">
        <v>0</v>
      </c>
      <c r="Q62" s="2707">
        <v>2.6097582064531166E-2</v>
      </c>
      <c r="R62" s="2707">
        <v>0</v>
      </c>
      <c r="S62" s="2707">
        <v>0</v>
      </c>
      <c r="T62" s="2707">
        <v>0</v>
      </c>
      <c r="U62" s="2707">
        <v>0</v>
      </c>
      <c r="V62" s="2707">
        <v>0</v>
      </c>
      <c r="W62" s="2707">
        <v>0</v>
      </c>
      <c r="X62" s="2707">
        <v>0</v>
      </c>
      <c r="Y62" s="2707">
        <v>0</v>
      </c>
      <c r="Z62" s="2707">
        <v>0</v>
      </c>
      <c r="AA62" s="2707">
        <v>0</v>
      </c>
      <c r="AB62" s="2707">
        <v>0</v>
      </c>
      <c r="AC62" s="2707">
        <v>0</v>
      </c>
      <c r="AD62" s="2707">
        <v>0</v>
      </c>
      <c r="AE62" s="2707">
        <v>0</v>
      </c>
      <c r="AF62" s="2707">
        <v>0</v>
      </c>
      <c r="AG62" s="2707">
        <v>0</v>
      </c>
      <c r="AH62" s="2707">
        <v>0</v>
      </c>
      <c r="AI62" s="2707">
        <v>0</v>
      </c>
      <c r="AJ62" s="2707">
        <v>0</v>
      </c>
      <c r="AK62" s="2707">
        <v>0</v>
      </c>
      <c r="AL62" s="2707">
        <v>0</v>
      </c>
      <c r="AM62" s="2707">
        <v>0</v>
      </c>
      <c r="AN62" s="2707">
        <v>0</v>
      </c>
      <c r="AO62" s="2707">
        <v>0.51502989341648253</v>
      </c>
      <c r="AP62" s="2707">
        <v>0</v>
      </c>
      <c r="AQ62" s="2707">
        <v>0</v>
      </c>
      <c r="AR62" s="2707">
        <v>0</v>
      </c>
      <c r="AS62" s="2707">
        <v>0</v>
      </c>
      <c r="AT62" s="2707">
        <v>0</v>
      </c>
      <c r="AU62" s="2682">
        <v>0</v>
      </c>
      <c r="AV62" s="2682">
        <v>0</v>
      </c>
      <c r="AW62" s="2682">
        <v>0</v>
      </c>
      <c r="AX62" s="2682">
        <v>0</v>
      </c>
      <c r="AY62" s="2682">
        <v>0</v>
      </c>
      <c r="AZ62" s="2682">
        <v>0</v>
      </c>
      <c r="BA62" s="2682">
        <v>0.83378859478420353</v>
      </c>
      <c r="BB62" s="2682">
        <v>0</v>
      </c>
      <c r="BC62" s="2682">
        <v>0</v>
      </c>
      <c r="BD62" s="2682">
        <v>0</v>
      </c>
      <c r="BE62" s="2682">
        <v>0</v>
      </c>
      <c r="BF62" s="2682">
        <v>0</v>
      </c>
      <c r="BG62" s="2682">
        <v>3.502035951531935E-3</v>
      </c>
      <c r="BH62" s="2682">
        <v>0</v>
      </c>
      <c r="BI62" s="2682">
        <v>0</v>
      </c>
      <c r="BJ62" s="2682">
        <v>4.4900631227853038E-2</v>
      </c>
      <c r="BK62" s="2682">
        <v>0</v>
      </c>
      <c r="BL62" s="2682">
        <v>0.37477031324922028</v>
      </c>
      <c r="BM62" s="2682">
        <v>0</v>
      </c>
      <c r="BN62" s="2682">
        <v>0</v>
      </c>
      <c r="BO62" s="2682">
        <v>0</v>
      </c>
      <c r="BP62" s="2682">
        <v>0</v>
      </c>
      <c r="BQ62" s="2682">
        <v>0</v>
      </c>
      <c r="BR62" s="2682">
        <v>0</v>
      </c>
      <c r="BS62" s="2682">
        <v>0</v>
      </c>
      <c r="BT62" s="2682">
        <v>0</v>
      </c>
      <c r="BU62" s="2682">
        <v>0</v>
      </c>
      <c r="BV62" s="2682">
        <v>0</v>
      </c>
      <c r="BW62" s="2682">
        <v>0</v>
      </c>
      <c r="BX62" s="2682">
        <v>0</v>
      </c>
      <c r="BY62" s="2682">
        <v>2.4272341801557549E-2</v>
      </c>
      <c r="BZ62" s="2682">
        <v>0</v>
      </c>
      <c r="CA62" s="2682">
        <v>0.13946386400123853</v>
      </c>
      <c r="CB62" s="2682">
        <v>0</v>
      </c>
      <c r="CC62" s="2682">
        <v>0</v>
      </c>
      <c r="CD62" s="2682">
        <v>0</v>
      </c>
      <c r="CE62" s="2682">
        <v>0</v>
      </c>
      <c r="CF62" s="2682">
        <v>0</v>
      </c>
      <c r="CG62" s="2682">
        <v>0</v>
      </c>
      <c r="CH62" s="2682">
        <v>0</v>
      </c>
      <c r="CI62" s="2682">
        <v>0</v>
      </c>
      <c r="CJ62" s="2682">
        <v>0</v>
      </c>
      <c r="CK62" s="2676"/>
    </row>
    <row r="63" spans="1:90" ht="16.5" x14ac:dyDescent="0.3">
      <c r="A63" s="2666" t="s">
        <v>4824</v>
      </c>
      <c r="B63" s="2719" t="s">
        <v>3533</v>
      </c>
      <c r="C63" s="2707">
        <v>0</v>
      </c>
      <c r="D63" s="2707">
        <v>0</v>
      </c>
      <c r="E63" s="2707">
        <v>0</v>
      </c>
      <c r="F63" s="2707">
        <v>0</v>
      </c>
      <c r="G63" s="2707">
        <v>0</v>
      </c>
      <c r="H63" s="2707">
        <v>0</v>
      </c>
      <c r="I63" s="2707">
        <v>0</v>
      </c>
      <c r="J63" s="2707">
        <v>0</v>
      </c>
      <c r="K63" s="2707">
        <v>0</v>
      </c>
      <c r="L63" s="2707">
        <v>0</v>
      </c>
      <c r="M63" s="2707">
        <v>0</v>
      </c>
      <c r="N63" s="2707">
        <v>0</v>
      </c>
      <c r="O63" s="2707">
        <v>0</v>
      </c>
      <c r="P63" s="2707">
        <v>0</v>
      </c>
      <c r="Q63" s="2707">
        <v>0</v>
      </c>
      <c r="R63" s="2707">
        <v>0</v>
      </c>
      <c r="S63" s="2707">
        <v>0</v>
      </c>
      <c r="T63" s="2707">
        <v>0</v>
      </c>
      <c r="U63" s="2707">
        <v>0</v>
      </c>
      <c r="V63" s="2707">
        <v>0</v>
      </c>
      <c r="W63" s="2707">
        <v>0</v>
      </c>
      <c r="X63" s="2707">
        <v>0</v>
      </c>
      <c r="Y63" s="2707">
        <v>0</v>
      </c>
      <c r="Z63" s="2707">
        <v>0</v>
      </c>
      <c r="AA63" s="2707">
        <v>0</v>
      </c>
      <c r="AB63" s="2707">
        <v>0</v>
      </c>
      <c r="AC63" s="2707">
        <v>0</v>
      </c>
      <c r="AD63" s="2707">
        <v>0</v>
      </c>
      <c r="AE63" s="2707">
        <v>0</v>
      </c>
      <c r="AF63" s="2707">
        <v>0</v>
      </c>
      <c r="AG63" s="2707">
        <v>0</v>
      </c>
      <c r="AH63" s="2707">
        <v>0</v>
      </c>
      <c r="AI63" s="2707">
        <v>0</v>
      </c>
      <c r="AJ63" s="2707">
        <v>0</v>
      </c>
      <c r="AK63" s="2707">
        <v>0</v>
      </c>
      <c r="AL63" s="2707">
        <v>0</v>
      </c>
      <c r="AM63" s="2707">
        <v>0</v>
      </c>
      <c r="AN63" s="2707">
        <v>0</v>
      </c>
      <c r="AO63" s="2707">
        <v>0</v>
      </c>
      <c r="AP63" s="2707">
        <v>0</v>
      </c>
      <c r="AQ63" s="2707">
        <v>0</v>
      </c>
      <c r="AR63" s="2707">
        <v>0</v>
      </c>
      <c r="AS63" s="2707">
        <v>0</v>
      </c>
      <c r="AT63" s="2707">
        <v>0</v>
      </c>
      <c r="AU63" s="2682">
        <v>0</v>
      </c>
      <c r="AV63" s="2682">
        <v>0</v>
      </c>
      <c r="AW63" s="2682">
        <v>0</v>
      </c>
      <c r="AX63" s="2682">
        <v>0</v>
      </c>
      <c r="AY63" s="2682">
        <v>0</v>
      </c>
      <c r="AZ63" s="2682">
        <v>0</v>
      </c>
      <c r="BA63" s="2682">
        <v>0</v>
      </c>
      <c r="BB63" s="2682">
        <v>0</v>
      </c>
      <c r="BC63" s="2682">
        <v>0</v>
      </c>
      <c r="BD63" s="2682">
        <v>0</v>
      </c>
      <c r="BE63" s="2682">
        <v>0</v>
      </c>
      <c r="BF63" s="2682">
        <v>0</v>
      </c>
      <c r="BG63" s="2682">
        <v>0</v>
      </c>
      <c r="BH63" s="2682">
        <v>0</v>
      </c>
      <c r="BI63" s="2682">
        <v>0</v>
      </c>
      <c r="BJ63" s="2682">
        <v>0</v>
      </c>
      <c r="BK63" s="2682">
        <v>0</v>
      </c>
      <c r="BL63" s="2682">
        <v>0</v>
      </c>
      <c r="BM63" s="2682">
        <v>0</v>
      </c>
      <c r="BN63" s="2682">
        <v>0</v>
      </c>
      <c r="BO63" s="2682">
        <v>0</v>
      </c>
      <c r="BP63" s="2682">
        <v>0</v>
      </c>
      <c r="BQ63" s="2682">
        <v>0</v>
      </c>
      <c r="BR63" s="2682">
        <v>0</v>
      </c>
      <c r="BS63" s="2682">
        <v>0</v>
      </c>
      <c r="BT63" s="2682">
        <v>0</v>
      </c>
      <c r="BU63" s="2682">
        <v>0</v>
      </c>
      <c r="BV63" s="2682">
        <v>0</v>
      </c>
      <c r="BW63" s="2682">
        <v>0</v>
      </c>
      <c r="BX63" s="2682">
        <v>0</v>
      </c>
      <c r="BY63" s="2682">
        <v>0</v>
      </c>
      <c r="BZ63" s="2682">
        <v>0</v>
      </c>
      <c r="CA63" s="2682">
        <v>0</v>
      </c>
      <c r="CB63" s="2682">
        <v>0</v>
      </c>
      <c r="CC63" s="2682">
        <v>0</v>
      </c>
      <c r="CD63" s="2682">
        <v>0</v>
      </c>
      <c r="CE63" s="2682">
        <v>0</v>
      </c>
      <c r="CF63" s="2682">
        <v>0</v>
      </c>
      <c r="CG63" s="2682">
        <v>0</v>
      </c>
      <c r="CH63" s="2682">
        <v>0</v>
      </c>
      <c r="CI63" s="2682">
        <v>0</v>
      </c>
      <c r="CJ63" s="2682">
        <v>0</v>
      </c>
      <c r="CK63" s="2676"/>
    </row>
    <row r="64" spans="1:90" ht="16.5" x14ac:dyDescent="0.3">
      <c r="A64" s="2666" t="s">
        <v>4825</v>
      </c>
      <c r="B64" s="2719" t="s">
        <v>3534</v>
      </c>
      <c r="C64" s="2707">
        <v>0.25132892010789365</v>
      </c>
      <c r="D64" s="2707">
        <v>0.3318170715557146</v>
      </c>
      <c r="E64" s="2707">
        <v>8.3715056108756333E-2</v>
      </c>
      <c r="F64" s="2707">
        <v>0</v>
      </c>
      <c r="G64" s="2707">
        <v>0</v>
      </c>
      <c r="H64" s="2707">
        <v>0</v>
      </c>
      <c r="I64" s="2707">
        <v>0.73389396138582164</v>
      </c>
      <c r="J64" s="2707">
        <v>0</v>
      </c>
      <c r="K64" s="2707">
        <v>0</v>
      </c>
      <c r="L64" s="2707">
        <v>0</v>
      </c>
      <c r="M64" s="2707">
        <v>0</v>
      </c>
      <c r="N64" s="2707">
        <v>0</v>
      </c>
      <c r="O64" s="2707">
        <v>0.54229450628886045</v>
      </c>
      <c r="P64" s="2707">
        <v>0</v>
      </c>
      <c r="Q64" s="2707">
        <v>5.783189507943752E-2</v>
      </c>
      <c r="R64" s="2707">
        <v>0</v>
      </c>
      <c r="S64" s="2707">
        <v>1.0744178550393617</v>
      </c>
      <c r="T64" s="2707">
        <v>0</v>
      </c>
      <c r="U64" s="2707">
        <v>0.41916540687236525</v>
      </c>
      <c r="V64" s="2707">
        <v>0</v>
      </c>
      <c r="W64" s="2707">
        <v>0</v>
      </c>
      <c r="X64" s="2707">
        <v>0</v>
      </c>
      <c r="Y64" s="2707">
        <v>1.3999513994455153</v>
      </c>
      <c r="Z64" s="2707">
        <v>0</v>
      </c>
      <c r="AA64" s="2707">
        <v>0</v>
      </c>
      <c r="AB64" s="2707">
        <v>0</v>
      </c>
      <c r="AC64" s="2707">
        <v>0.17545968931481642</v>
      </c>
      <c r="AD64" s="2707">
        <v>0.10796266958471533</v>
      </c>
      <c r="AE64" s="2707">
        <v>1.327473039011781</v>
      </c>
      <c r="AF64" s="2707">
        <v>0.39470009076652146</v>
      </c>
      <c r="AG64" s="2707">
        <v>0.66043010387089973</v>
      </c>
      <c r="AH64" s="2707">
        <v>0</v>
      </c>
      <c r="AI64" s="2707">
        <v>0.62784515663268159</v>
      </c>
      <c r="AJ64" s="2707">
        <v>0</v>
      </c>
      <c r="AK64" s="2707">
        <v>0</v>
      </c>
      <c r="AL64" s="2707">
        <v>0</v>
      </c>
      <c r="AM64" s="2707">
        <v>0.28377512442628444</v>
      </c>
      <c r="AN64" s="2707">
        <v>0</v>
      </c>
      <c r="AO64" s="2707">
        <v>1.5891572004293497</v>
      </c>
      <c r="AP64" s="2707">
        <v>0.18662419417014522</v>
      </c>
      <c r="AQ64" s="2707">
        <v>0.39168488064471846</v>
      </c>
      <c r="AR64" s="2707">
        <v>0</v>
      </c>
      <c r="AS64" s="2707">
        <v>0.2018687748030896</v>
      </c>
      <c r="AT64" s="2707">
        <v>0</v>
      </c>
      <c r="AU64" s="2682">
        <v>0</v>
      </c>
      <c r="AV64" s="2682">
        <v>0</v>
      </c>
      <c r="AW64" s="2682">
        <v>0</v>
      </c>
      <c r="AX64" s="2682">
        <v>0</v>
      </c>
      <c r="AY64" s="2682">
        <v>0</v>
      </c>
      <c r="AZ64" s="2682">
        <v>0</v>
      </c>
      <c r="BA64" s="2682">
        <v>0.39669633835110607</v>
      </c>
      <c r="BB64" s="2682">
        <v>0</v>
      </c>
      <c r="BC64" s="2682">
        <v>0</v>
      </c>
      <c r="BD64" s="2682">
        <v>0</v>
      </c>
      <c r="BE64" s="2682">
        <v>0</v>
      </c>
      <c r="BF64" s="2682">
        <v>0</v>
      </c>
      <c r="BG64" s="2682">
        <v>0</v>
      </c>
      <c r="BH64" s="2682">
        <v>0</v>
      </c>
      <c r="BI64" s="2682">
        <v>0</v>
      </c>
      <c r="BJ64" s="2682">
        <v>0</v>
      </c>
      <c r="BK64" s="2682">
        <v>0</v>
      </c>
      <c r="BL64" s="2682">
        <v>0</v>
      </c>
      <c r="BM64" s="2682">
        <v>0</v>
      </c>
      <c r="BN64" s="2682">
        <v>0</v>
      </c>
      <c r="BO64" s="2682">
        <v>0</v>
      </c>
      <c r="BP64" s="2682">
        <v>0</v>
      </c>
      <c r="BQ64" s="2682">
        <v>0</v>
      </c>
      <c r="BR64" s="2682">
        <v>0</v>
      </c>
      <c r="BS64" s="2682">
        <v>0</v>
      </c>
      <c r="BT64" s="2682">
        <v>0</v>
      </c>
      <c r="BU64" s="2682">
        <v>0</v>
      </c>
      <c r="BV64" s="2682">
        <v>0</v>
      </c>
      <c r="BW64" s="2682">
        <v>0</v>
      </c>
      <c r="BX64" s="2682">
        <v>0</v>
      </c>
      <c r="BY64" s="2682">
        <v>0</v>
      </c>
      <c r="BZ64" s="2682">
        <v>0</v>
      </c>
      <c r="CA64" s="2682">
        <v>0</v>
      </c>
      <c r="CB64" s="2682">
        <v>0</v>
      </c>
      <c r="CC64" s="2682">
        <v>0</v>
      </c>
      <c r="CD64" s="2682">
        <v>0</v>
      </c>
      <c r="CE64" s="2682">
        <v>0</v>
      </c>
      <c r="CF64" s="2682">
        <v>0</v>
      </c>
      <c r="CG64" s="2682">
        <v>0</v>
      </c>
      <c r="CH64" s="2682">
        <v>0</v>
      </c>
      <c r="CI64" s="2682">
        <v>0</v>
      </c>
      <c r="CJ64" s="2682">
        <v>0</v>
      </c>
      <c r="CK64" s="2676"/>
    </row>
    <row r="65" spans="1:89" ht="16.5" x14ac:dyDescent="0.3">
      <c r="A65" s="2666" t="s">
        <v>4826</v>
      </c>
      <c r="B65" s="2719" t="s">
        <v>3535</v>
      </c>
      <c r="C65" s="2707">
        <v>0</v>
      </c>
      <c r="D65" s="2707">
        <v>0</v>
      </c>
      <c r="E65" s="2707">
        <v>0</v>
      </c>
      <c r="F65" s="2707">
        <v>0</v>
      </c>
      <c r="G65" s="2707">
        <v>0</v>
      </c>
      <c r="H65" s="2707">
        <v>0</v>
      </c>
      <c r="I65" s="2707">
        <v>0</v>
      </c>
      <c r="J65" s="2707">
        <v>0</v>
      </c>
      <c r="K65" s="2707">
        <v>0</v>
      </c>
      <c r="L65" s="2707">
        <v>0</v>
      </c>
      <c r="M65" s="2707">
        <v>0</v>
      </c>
      <c r="N65" s="2707">
        <v>0</v>
      </c>
      <c r="O65" s="2707">
        <v>0</v>
      </c>
      <c r="P65" s="2707">
        <v>0</v>
      </c>
      <c r="Q65" s="2707">
        <v>0</v>
      </c>
      <c r="R65" s="2707">
        <v>0</v>
      </c>
      <c r="S65" s="2707">
        <v>0</v>
      </c>
      <c r="T65" s="2707">
        <v>0</v>
      </c>
      <c r="U65" s="2707">
        <v>0</v>
      </c>
      <c r="V65" s="2707">
        <v>0</v>
      </c>
      <c r="W65" s="2707">
        <v>0</v>
      </c>
      <c r="X65" s="2707">
        <v>0</v>
      </c>
      <c r="Y65" s="2707">
        <v>0</v>
      </c>
      <c r="Z65" s="2707">
        <v>0</v>
      </c>
      <c r="AA65" s="2707">
        <v>0</v>
      </c>
      <c r="AB65" s="2707">
        <v>0</v>
      </c>
      <c r="AC65" s="2707">
        <v>0</v>
      </c>
      <c r="AD65" s="2707">
        <v>0</v>
      </c>
      <c r="AE65" s="2707">
        <v>0</v>
      </c>
      <c r="AF65" s="2707">
        <v>0</v>
      </c>
      <c r="AG65" s="2707">
        <v>0</v>
      </c>
      <c r="AH65" s="2707">
        <v>0</v>
      </c>
      <c r="AI65" s="2707">
        <v>0</v>
      </c>
      <c r="AJ65" s="2707">
        <v>0</v>
      </c>
      <c r="AK65" s="2707">
        <v>0</v>
      </c>
      <c r="AL65" s="2707">
        <v>0</v>
      </c>
      <c r="AM65" s="2707">
        <v>0</v>
      </c>
      <c r="AN65" s="2707">
        <v>0</v>
      </c>
      <c r="AO65" s="2707">
        <v>0</v>
      </c>
      <c r="AP65" s="2707">
        <v>0</v>
      </c>
      <c r="AQ65" s="2707">
        <v>0</v>
      </c>
      <c r="AR65" s="2707">
        <v>0</v>
      </c>
      <c r="AS65" s="2707">
        <v>0</v>
      </c>
      <c r="AT65" s="2707">
        <v>0</v>
      </c>
      <c r="AU65" s="2682">
        <v>0</v>
      </c>
      <c r="AV65" s="2682">
        <v>0</v>
      </c>
      <c r="AW65" s="2682">
        <v>0</v>
      </c>
      <c r="AX65" s="2682">
        <v>0</v>
      </c>
      <c r="AY65" s="2682">
        <v>0</v>
      </c>
      <c r="AZ65" s="2682">
        <v>0</v>
      </c>
      <c r="BA65" s="2682">
        <v>0</v>
      </c>
      <c r="BB65" s="2682">
        <v>0</v>
      </c>
      <c r="BC65" s="2682">
        <v>0</v>
      </c>
      <c r="BD65" s="2682">
        <v>0</v>
      </c>
      <c r="BE65" s="2682">
        <v>0</v>
      </c>
      <c r="BF65" s="2682">
        <v>0</v>
      </c>
      <c r="BG65" s="2682">
        <v>0</v>
      </c>
      <c r="BH65" s="2682">
        <v>0</v>
      </c>
      <c r="BI65" s="2682">
        <v>0</v>
      </c>
      <c r="BJ65" s="2682">
        <v>0</v>
      </c>
      <c r="BK65" s="2682">
        <v>0</v>
      </c>
      <c r="BL65" s="2682">
        <v>0</v>
      </c>
      <c r="BM65" s="2682">
        <v>0</v>
      </c>
      <c r="BN65" s="2682">
        <v>0</v>
      </c>
      <c r="BO65" s="2682">
        <v>0</v>
      </c>
      <c r="BP65" s="2682">
        <v>0</v>
      </c>
      <c r="BQ65" s="2682">
        <v>0</v>
      </c>
      <c r="BR65" s="2682">
        <v>0</v>
      </c>
      <c r="BS65" s="2682">
        <v>0</v>
      </c>
      <c r="BT65" s="2682">
        <v>0</v>
      </c>
      <c r="BU65" s="2682">
        <v>0</v>
      </c>
      <c r="BV65" s="2682">
        <v>0</v>
      </c>
      <c r="BW65" s="2682">
        <v>0</v>
      </c>
      <c r="BX65" s="2682">
        <v>0</v>
      </c>
      <c r="BY65" s="2682">
        <v>0</v>
      </c>
      <c r="BZ65" s="2682">
        <v>0</v>
      </c>
      <c r="CA65" s="2682">
        <v>0</v>
      </c>
      <c r="CB65" s="2682">
        <v>0</v>
      </c>
      <c r="CC65" s="2682">
        <v>0</v>
      </c>
      <c r="CD65" s="2682">
        <v>0</v>
      </c>
      <c r="CE65" s="2682">
        <v>0</v>
      </c>
      <c r="CF65" s="2682">
        <v>0</v>
      </c>
      <c r="CG65" s="2682">
        <v>0</v>
      </c>
      <c r="CH65" s="2682">
        <v>0</v>
      </c>
      <c r="CI65" s="2682">
        <v>0</v>
      </c>
      <c r="CJ65" s="2682">
        <v>0</v>
      </c>
      <c r="CK65" s="2676"/>
    </row>
    <row r="66" spans="1:89" ht="16.5" x14ac:dyDescent="0.3">
      <c r="A66" s="2666" t="s">
        <v>4827</v>
      </c>
      <c r="B66" s="2719" t="s">
        <v>1155</v>
      </c>
      <c r="C66" s="2707">
        <v>0</v>
      </c>
      <c r="D66" s="2707">
        <v>1.2416939020485058</v>
      </c>
      <c r="E66" s="2707">
        <v>0</v>
      </c>
      <c r="F66" s="2707">
        <v>0.94589583130149013</v>
      </c>
      <c r="G66" s="2707">
        <v>0</v>
      </c>
      <c r="H66" s="2707">
        <v>0</v>
      </c>
      <c r="I66" s="2707">
        <v>0</v>
      </c>
      <c r="J66" s="2707">
        <v>1.5471568729083469</v>
      </c>
      <c r="K66" s="2707">
        <v>0.19808539415577883</v>
      </c>
      <c r="L66" s="2707">
        <v>3.9437555027405757</v>
      </c>
      <c r="M66" s="2707">
        <v>0.15837003500687868</v>
      </c>
      <c r="N66" s="2707">
        <v>3.1383519147690855</v>
      </c>
      <c r="O66" s="2707">
        <v>0</v>
      </c>
      <c r="P66" s="2707">
        <v>4.5023739286481996</v>
      </c>
      <c r="Q66" s="2707">
        <v>0</v>
      </c>
      <c r="R66" s="2707">
        <v>1.2872063858920986</v>
      </c>
      <c r="S66" s="2707">
        <v>0</v>
      </c>
      <c r="T66" s="2707">
        <v>3.0498269636957871</v>
      </c>
      <c r="U66" s="2707">
        <v>0</v>
      </c>
      <c r="V66" s="2707">
        <v>1.4144145280284914</v>
      </c>
      <c r="W66" s="2707">
        <v>0</v>
      </c>
      <c r="X66" s="2707">
        <v>1.0496675968510172</v>
      </c>
      <c r="Y66" s="2707">
        <v>7.0623204622805483E-2</v>
      </c>
      <c r="Z66" s="2707">
        <v>2.2739058271683277</v>
      </c>
      <c r="AA66" s="2707">
        <v>0</v>
      </c>
      <c r="AB66" s="2707">
        <v>2.7409808531159818</v>
      </c>
      <c r="AC66" s="2707">
        <v>0.18059225281647256</v>
      </c>
      <c r="AD66" s="2707">
        <v>7.1010314299027655E-2</v>
      </c>
      <c r="AE66" s="2707">
        <v>0.33150631732187957</v>
      </c>
      <c r="AF66" s="2707">
        <v>0</v>
      </c>
      <c r="AG66" s="2707">
        <v>0.25861589013083081</v>
      </c>
      <c r="AH66" s="2707">
        <v>2.0359510863671346</v>
      </c>
      <c r="AI66" s="2707">
        <v>0.28801151270889952</v>
      </c>
      <c r="AJ66" s="2707">
        <v>0.98250211248826702</v>
      </c>
      <c r="AK66" s="2707">
        <v>0.1348400704628254</v>
      </c>
      <c r="AL66" s="2707">
        <v>0</v>
      </c>
      <c r="AM66" s="2707">
        <v>0</v>
      </c>
      <c r="AN66" s="2707">
        <v>0</v>
      </c>
      <c r="AO66" s="2707">
        <v>0</v>
      </c>
      <c r="AP66" s="2707">
        <v>0</v>
      </c>
      <c r="AQ66" s="2707">
        <v>0</v>
      </c>
      <c r="AR66" s="2707">
        <v>0</v>
      </c>
      <c r="AS66" s="2707">
        <v>0</v>
      </c>
      <c r="AT66" s="2707">
        <v>0</v>
      </c>
      <c r="AU66" s="2682">
        <v>0</v>
      </c>
      <c r="AV66" s="2682">
        <v>0</v>
      </c>
      <c r="AW66" s="2682">
        <v>0</v>
      </c>
      <c r="AX66" s="2682">
        <v>0</v>
      </c>
      <c r="AY66" s="2682">
        <v>0</v>
      </c>
      <c r="AZ66" s="2682">
        <v>0</v>
      </c>
      <c r="BA66" s="2682">
        <v>0</v>
      </c>
      <c r="BB66" s="2682">
        <v>0</v>
      </c>
      <c r="BC66" s="2682">
        <v>0</v>
      </c>
      <c r="BD66" s="2682">
        <v>1.5057412742074447</v>
      </c>
      <c r="BE66" s="2682">
        <v>0</v>
      </c>
      <c r="BF66" s="2682">
        <v>0</v>
      </c>
      <c r="BG66" s="2682">
        <v>0</v>
      </c>
      <c r="BH66" s="2682">
        <v>0</v>
      </c>
      <c r="BI66" s="2682">
        <v>0</v>
      </c>
      <c r="BJ66" s="2682">
        <v>0</v>
      </c>
      <c r="BK66" s="2682">
        <v>0</v>
      </c>
      <c r="BL66" s="2682">
        <v>0</v>
      </c>
      <c r="BM66" s="2682">
        <v>0</v>
      </c>
      <c r="BN66" s="2682">
        <v>0</v>
      </c>
      <c r="BO66" s="2682">
        <v>0</v>
      </c>
      <c r="BP66" s="2682">
        <v>0</v>
      </c>
      <c r="BQ66" s="2682">
        <v>0</v>
      </c>
      <c r="BR66" s="2682">
        <v>0</v>
      </c>
      <c r="BS66" s="2682">
        <v>0</v>
      </c>
      <c r="BT66" s="2682">
        <v>0</v>
      </c>
      <c r="BU66" s="2682">
        <v>0</v>
      </c>
      <c r="BV66" s="2682">
        <v>0</v>
      </c>
      <c r="BW66" s="2682">
        <v>0</v>
      </c>
      <c r="BX66" s="2682">
        <v>0</v>
      </c>
      <c r="BY66" s="2682">
        <v>0</v>
      </c>
      <c r="BZ66" s="2682">
        <v>0</v>
      </c>
      <c r="CA66" s="2682">
        <v>0</v>
      </c>
      <c r="CB66" s="2682">
        <v>0</v>
      </c>
      <c r="CC66" s="2682">
        <v>0</v>
      </c>
      <c r="CD66" s="2682">
        <v>0</v>
      </c>
      <c r="CE66" s="2682">
        <v>4.9346557500633111E-2</v>
      </c>
      <c r="CF66" s="2682">
        <v>4.9346557500633111E-2</v>
      </c>
      <c r="CG66" s="2682">
        <v>3.7980698077680485E-3</v>
      </c>
      <c r="CH66" s="2682">
        <v>0</v>
      </c>
      <c r="CI66" s="2682">
        <v>3.7980698077680485E-3</v>
      </c>
      <c r="CJ66" s="2682">
        <v>0</v>
      </c>
      <c r="CK66" s="2676"/>
    </row>
    <row r="67" spans="1:89" s="847" customFormat="1" ht="16.5" x14ac:dyDescent="0.3">
      <c r="A67" s="2666" t="s">
        <v>4828</v>
      </c>
      <c r="B67" s="2719" t="s">
        <v>1156</v>
      </c>
      <c r="C67" s="2707"/>
      <c r="D67" s="2707"/>
      <c r="E67" s="2707"/>
      <c r="F67" s="2707"/>
      <c r="G67" s="2707"/>
      <c r="H67" s="2707"/>
      <c r="I67" s="2707"/>
      <c r="J67" s="2707"/>
      <c r="K67" s="2707">
        <v>0</v>
      </c>
      <c r="L67" s="2707">
        <v>0</v>
      </c>
      <c r="M67" s="2707">
        <v>0</v>
      </c>
      <c r="N67" s="2707">
        <v>0</v>
      </c>
      <c r="O67" s="2707">
        <v>0</v>
      </c>
      <c r="P67" s="2707">
        <v>0</v>
      </c>
      <c r="Q67" s="2707">
        <v>0</v>
      </c>
      <c r="R67" s="2707">
        <v>0</v>
      </c>
      <c r="S67" s="2707">
        <v>0</v>
      </c>
      <c r="T67" s="2707">
        <v>0</v>
      </c>
      <c r="U67" s="2707">
        <v>0</v>
      </c>
      <c r="V67" s="2707">
        <v>0</v>
      </c>
      <c r="W67" s="2707">
        <v>0</v>
      </c>
      <c r="X67" s="2707">
        <v>0</v>
      </c>
      <c r="Y67" s="2707">
        <v>0</v>
      </c>
      <c r="Z67" s="2707">
        <v>0</v>
      </c>
      <c r="AA67" s="2707">
        <v>0</v>
      </c>
      <c r="AB67" s="2707">
        <v>0</v>
      </c>
      <c r="AC67" s="2707">
        <v>0</v>
      </c>
      <c r="AD67" s="2707">
        <v>0</v>
      </c>
      <c r="AE67" s="2707">
        <v>0</v>
      </c>
      <c r="AF67" s="2707">
        <v>0</v>
      </c>
      <c r="AG67" s="2707">
        <v>0</v>
      </c>
      <c r="AH67" s="2707">
        <v>0</v>
      </c>
      <c r="AI67" s="2707">
        <v>0</v>
      </c>
      <c r="AJ67" s="2707">
        <v>0</v>
      </c>
      <c r="AK67" s="2707">
        <v>0</v>
      </c>
      <c r="AL67" s="2707">
        <v>0</v>
      </c>
      <c r="AM67" s="2707">
        <v>0</v>
      </c>
      <c r="AN67" s="2707">
        <v>0</v>
      </c>
      <c r="AO67" s="2707">
        <v>0</v>
      </c>
      <c r="AP67" s="2707">
        <v>0</v>
      </c>
      <c r="AQ67" s="2707">
        <v>0</v>
      </c>
      <c r="AR67" s="2707">
        <v>0</v>
      </c>
      <c r="AS67" s="2707">
        <v>0</v>
      </c>
      <c r="AT67" s="2707">
        <v>0</v>
      </c>
      <c r="AU67" s="2682">
        <v>0</v>
      </c>
      <c r="AV67" s="2682">
        <v>0</v>
      </c>
      <c r="AW67" s="2682">
        <v>0</v>
      </c>
      <c r="AX67" s="2682">
        <v>0</v>
      </c>
      <c r="AY67" s="2682">
        <v>0</v>
      </c>
      <c r="AZ67" s="2682">
        <v>0</v>
      </c>
      <c r="BA67" s="2682">
        <v>0</v>
      </c>
      <c r="BB67" s="2682">
        <v>0</v>
      </c>
      <c r="BC67" s="2682">
        <v>0</v>
      </c>
      <c r="BD67" s="2682">
        <v>0</v>
      </c>
      <c r="BE67" s="2682">
        <v>0</v>
      </c>
      <c r="BF67" s="2682">
        <v>0</v>
      </c>
      <c r="BG67" s="2682">
        <v>0</v>
      </c>
      <c r="BH67" s="2682">
        <v>0</v>
      </c>
      <c r="BI67" s="2682">
        <v>0</v>
      </c>
      <c r="BJ67" s="2682">
        <v>0</v>
      </c>
      <c r="BK67" s="2682">
        <v>0</v>
      </c>
      <c r="BL67" s="2682">
        <v>0</v>
      </c>
      <c r="BM67" s="2682">
        <v>0</v>
      </c>
      <c r="BN67" s="2682">
        <v>0</v>
      </c>
      <c r="BO67" s="2682">
        <v>0</v>
      </c>
      <c r="BP67" s="2682">
        <v>0</v>
      </c>
      <c r="BQ67" s="2682">
        <v>0</v>
      </c>
      <c r="BR67" s="2682">
        <v>0</v>
      </c>
      <c r="BS67" s="2682">
        <v>0</v>
      </c>
      <c r="BT67" s="2682">
        <v>0</v>
      </c>
      <c r="BU67" s="2682">
        <v>0</v>
      </c>
      <c r="BV67" s="2682">
        <v>0</v>
      </c>
      <c r="BW67" s="2682">
        <v>0</v>
      </c>
      <c r="BX67" s="2682">
        <v>0</v>
      </c>
      <c r="BY67" s="2682">
        <v>0</v>
      </c>
      <c r="BZ67" s="2682">
        <v>0</v>
      </c>
      <c r="CA67" s="2682">
        <v>0</v>
      </c>
      <c r="CB67" s="2682">
        <v>0</v>
      </c>
      <c r="CC67" s="2682">
        <v>0</v>
      </c>
      <c r="CD67" s="2682">
        <v>0</v>
      </c>
      <c r="CE67" s="2682">
        <v>0</v>
      </c>
      <c r="CF67" s="2682">
        <v>0</v>
      </c>
      <c r="CG67" s="2682">
        <v>0</v>
      </c>
      <c r="CH67" s="2682">
        <v>0</v>
      </c>
      <c r="CI67" s="2682">
        <v>0</v>
      </c>
      <c r="CJ67" s="2682">
        <v>0</v>
      </c>
      <c r="CK67" s="2676"/>
    </row>
    <row r="68" spans="1:89" ht="16.5" x14ac:dyDescent="0.3">
      <c r="A68" s="2666" t="s">
        <v>4829</v>
      </c>
      <c r="B68" s="2719" t="s">
        <v>3536</v>
      </c>
      <c r="C68" s="2707">
        <v>0</v>
      </c>
      <c r="D68" s="2707">
        <v>0.42076662043700075</v>
      </c>
      <c r="E68" s="2707">
        <v>0</v>
      </c>
      <c r="F68" s="2707">
        <v>0</v>
      </c>
      <c r="G68" s="2707">
        <v>0</v>
      </c>
      <c r="H68" s="2707">
        <v>0</v>
      </c>
      <c r="I68" s="2707">
        <v>0</v>
      </c>
      <c r="J68" s="2707">
        <v>0</v>
      </c>
      <c r="K68" s="2707">
        <v>0</v>
      </c>
      <c r="L68" s="2707">
        <v>0</v>
      </c>
      <c r="M68" s="2707">
        <v>0</v>
      </c>
      <c r="N68" s="2707">
        <v>0</v>
      </c>
      <c r="O68" s="2707">
        <v>0</v>
      </c>
      <c r="P68" s="2707">
        <v>0</v>
      </c>
      <c r="Q68" s="2707">
        <v>0</v>
      </c>
      <c r="R68" s="2707">
        <v>0</v>
      </c>
      <c r="S68" s="2707">
        <v>0</v>
      </c>
      <c r="T68" s="2707">
        <v>0</v>
      </c>
      <c r="U68" s="2707">
        <v>0</v>
      </c>
      <c r="V68" s="2707">
        <v>0.23601882598601465</v>
      </c>
      <c r="W68" s="2707">
        <v>0</v>
      </c>
      <c r="X68" s="2707">
        <v>0</v>
      </c>
      <c r="Y68" s="2707">
        <v>0</v>
      </c>
      <c r="Z68" s="2707">
        <v>0</v>
      </c>
      <c r="AA68" s="2707">
        <v>0</v>
      </c>
      <c r="AB68" s="2707">
        <v>0</v>
      </c>
      <c r="AC68" s="2707">
        <v>0</v>
      </c>
      <c r="AD68" s="2707">
        <v>0</v>
      </c>
      <c r="AE68" s="2707">
        <v>0</v>
      </c>
      <c r="AF68" s="2707">
        <v>0</v>
      </c>
      <c r="AG68" s="2707">
        <v>0</v>
      </c>
      <c r="AH68" s="2707">
        <v>0</v>
      </c>
      <c r="AI68" s="2707">
        <v>0</v>
      </c>
      <c r="AJ68" s="2707">
        <v>0</v>
      </c>
      <c r="AK68" s="2707">
        <v>0</v>
      </c>
      <c r="AL68" s="2707">
        <v>0</v>
      </c>
      <c r="AM68" s="2707">
        <v>0</v>
      </c>
      <c r="AN68" s="2707">
        <v>0</v>
      </c>
      <c r="AO68" s="2707">
        <v>0</v>
      </c>
      <c r="AP68" s="2707">
        <v>0</v>
      </c>
      <c r="AQ68" s="2707">
        <v>0</v>
      </c>
      <c r="AR68" s="2707">
        <v>0</v>
      </c>
      <c r="AS68" s="2707">
        <v>0</v>
      </c>
      <c r="AT68" s="2707">
        <v>0</v>
      </c>
      <c r="AU68" s="2682">
        <v>0</v>
      </c>
      <c r="AV68" s="2682">
        <v>0</v>
      </c>
      <c r="AW68" s="2682">
        <v>0</v>
      </c>
      <c r="AX68" s="2682">
        <v>0</v>
      </c>
      <c r="AY68" s="2682">
        <v>0</v>
      </c>
      <c r="AZ68" s="2682">
        <v>0</v>
      </c>
      <c r="BA68" s="2682">
        <v>0</v>
      </c>
      <c r="BB68" s="2682">
        <v>0</v>
      </c>
      <c r="BC68" s="2682">
        <v>0</v>
      </c>
      <c r="BD68" s="2682">
        <v>0</v>
      </c>
      <c r="BE68" s="2682">
        <v>0</v>
      </c>
      <c r="BF68" s="2682">
        <v>0</v>
      </c>
      <c r="BG68" s="2682">
        <v>0</v>
      </c>
      <c r="BH68" s="2682">
        <v>0</v>
      </c>
      <c r="BI68" s="2682">
        <v>0</v>
      </c>
      <c r="BJ68" s="2682">
        <v>0</v>
      </c>
      <c r="BK68" s="2682">
        <v>0</v>
      </c>
      <c r="BL68" s="2682">
        <v>0</v>
      </c>
      <c r="BM68" s="2682">
        <v>0</v>
      </c>
      <c r="BN68" s="2682">
        <v>0</v>
      </c>
      <c r="BO68" s="2682">
        <v>0</v>
      </c>
      <c r="BP68" s="2682">
        <v>0</v>
      </c>
      <c r="BQ68" s="2682">
        <v>0</v>
      </c>
      <c r="BR68" s="2682">
        <v>0</v>
      </c>
      <c r="BS68" s="2682">
        <v>0</v>
      </c>
      <c r="BT68" s="2682">
        <v>0</v>
      </c>
      <c r="BU68" s="2682">
        <v>0</v>
      </c>
      <c r="BV68" s="2682">
        <v>0</v>
      </c>
      <c r="BW68" s="2682">
        <v>0</v>
      </c>
      <c r="BX68" s="2682">
        <v>0</v>
      </c>
      <c r="BY68" s="2682">
        <v>0</v>
      </c>
      <c r="BZ68" s="2682">
        <v>0</v>
      </c>
      <c r="CA68" s="2682">
        <v>0</v>
      </c>
      <c r="CB68" s="2682">
        <v>0</v>
      </c>
      <c r="CC68" s="2682">
        <v>0</v>
      </c>
      <c r="CD68" s="2682">
        <v>0</v>
      </c>
      <c r="CE68" s="2682">
        <v>0</v>
      </c>
      <c r="CF68" s="2682">
        <v>0</v>
      </c>
      <c r="CG68" s="2682">
        <v>0</v>
      </c>
      <c r="CH68" s="2682">
        <v>0</v>
      </c>
      <c r="CI68" s="2682">
        <v>0</v>
      </c>
      <c r="CJ68" s="2682">
        <v>0</v>
      </c>
      <c r="CK68" s="2676"/>
    </row>
    <row r="69" spans="1:89" ht="16.5" x14ac:dyDescent="0.3">
      <c r="A69" s="2666" t="s">
        <v>4830</v>
      </c>
      <c r="B69" s="2719" t="s">
        <v>3537</v>
      </c>
      <c r="C69" s="2707">
        <v>0</v>
      </c>
      <c r="D69" s="2707">
        <v>0</v>
      </c>
      <c r="E69" s="2707">
        <v>0</v>
      </c>
      <c r="F69" s="2707">
        <v>0</v>
      </c>
      <c r="G69" s="2707">
        <v>0</v>
      </c>
      <c r="H69" s="2707">
        <v>0</v>
      </c>
      <c r="I69" s="2707">
        <v>0</v>
      </c>
      <c r="J69" s="2707">
        <v>0</v>
      </c>
      <c r="K69" s="2707">
        <v>0</v>
      </c>
      <c r="L69" s="2707">
        <v>0</v>
      </c>
      <c r="M69" s="2707">
        <v>0</v>
      </c>
      <c r="N69" s="2707">
        <v>0</v>
      </c>
      <c r="O69" s="2707">
        <v>0</v>
      </c>
      <c r="P69" s="2707">
        <v>0</v>
      </c>
      <c r="Q69" s="2707">
        <v>0</v>
      </c>
      <c r="R69" s="2707">
        <v>0</v>
      </c>
      <c r="S69" s="2707">
        <v>0</v>
      </c>
      <c r="T69" s="2707">
        <v>0</v>
      </c>
      <c r="U69" s="2707">
        <v>0</v>
      </c>
      <c r="V69" s="2707">
        <v>0</v>
      </c>
      <c r="W69" s="2707">
        <v>0</v>
      </c>
      <c r="X69" s="2707">
        <v>0</v>
      </c>
      <c r="Y69" s="2707">
        <v>0</v>
      </c>
      <c r="Z69" s="2707">
        <v>0</v>
      </c>
      <c r="AA69" s="2707">
        <v>0</v>
      </c>
      <c r="AB69" s="2707">
        <v>0</v>
      </c>
      <c r="AC69" s="2707">
        <v>0</v>
      </c>
      <c r="AD69" s="2707">
        <v>0</v>
      </c>
      <c r="AE69" s="2707">
        <v>0</v>
      </c>
      <c r="AF69" s="2707">
        <v>0</v>
      </c>
      <c r="AG69" s="2707">
        <v>0</v>
      </c>
      <c r="AH69" s="2707">
        <v>0</v>
      </c>
      <c r="AI69" s="2707">
        <v>0</v>
      </c>
      <c r="AJ69" s="2707">
        <v>0</v>
      </c>
      <c r="AK69" s="2707">
        <v>0</v>
      </c>
      <c r="AL69" s="2707">
        <v>0</v>
      </c>
      <c r="AM69" s="2707">
        <v>0</v>
      </c>
      <c r="AN69" s="2707">
        <v>0</v>
      </c>
      <c r="AO69" s="2707">
        <v>0</v>
      </c>
      <c r="AP69" s="2707">
        <v>0</v>
      </c>
      <c r="AQ69" s="2707">
        <v>0</v>
      </c>
      <c r="AR69" s="2707">
        <v>0</v>
      </c>
      <c r="AS69" s="2707">
        <v>0</v>
      </c>
      <c r="AT69" s="2707">
        <v>0</v>
      </c>
      <c r="AU69" s="2682">
        <v>0</v>
      </c>
      <c r="AV69" s="2682">
        <v>0</v>
      </c>
      <c r="AW69" s="2682">
        <v>0</v>
      </c>
      <c r="AX69" s="2682">
        <v>0</v>
      </c>
      <c r="AY69" s="2682">
        <v>0</v>
      </c>
      <c r="AZ69" s="2682">
        <v>0</v>
      </c>
      <c r="BA69" s="2682">
        <v>0</v>
      </c>
      <c r="BB69" s="2682">
        <v>0</v>
      </c>
      <c r="BC69" s="2682">
        <v>0</v>
      </c>
      <c r="BD69" s="2682">
        <v>0</v>
      </c>
      <c r="BE69" s="2682">
        <v>0</v>
      </c>
      <c r="BF69" s="2682">
        <v>0</v>
      </c>
      <c r="BG69" s="2682">
        <v>0</v>
      </c>
      <c r="BH69" s="2682">
        <v>0</v>
      </c>
      <c r="BI69" s="2682">
        <v>0</v>
      </c>
      <c r="BJ69" s="2682">
        <v>0</v>
      </c>
      <c r="BK69" s="2682">
        <v>0</v>
      </c>
      <c r="BL69" s="2682">
        <v>0</v>
      </c>
      <c r="BM69" s="2682">
        <v>0</v>
      </c>
      <c r="BN69" s="2682">
        <v>0</v>
      </c>
      <c r="BO69" s="2682">
        <v>0</v>
      </c>
      <c r="BP69" s="2682">
        <v>0</v>
      </c>
      <c r="BQ69" s="2682">
        <v>0</v>
      </c>
      <c r="BR69" s="2682">
        <v>0</v>
      </c>
      <c r="BS69" s="2682">
        <v>0</v>
      </c>
      <c r="BT69" s="2682">
        <v>0</v>
      </c>
      <c r="BU69" s="2682">
        <v>0</v>
      </c>
      <c r="BV69" s="2682">
        <v>0</v>
      </c>
      <c r="BW69" s="2682">
        <v>0</v>
      </c>
      <c r="BX69" s="2682">
        <v>0</v>
      </c>
      <c r="BY69" s="2682">
        <v>0</v>
      </c>
      <c r="BZ69" s="2682">
        <v>0</v>
      </c>
      <c r="CA69" s="2682">
        <v>0</v>
      </c>
      <c r="CB69" s="2682">
        <v>0</v>
      </c>
      <c r="CC69" s="2682">
        <v>0.13235609751000157</v>
      </c>
      <c r="CD69" s="2682">
        <v>0</v>
      </c>
      <c r="CE69" s="2682">
        <v>0</v>
      </c>
      <c r="CF69" s="2682">
        <v>0</v>
      </c>
      <c r="CG69" s="2682">
        <v>0</v>
      </c>
      <c r="CH69" s="2682">
        <v>0</v>
      </c>
      <c r="CI69" s="2682">
        <v>0</v>
      </c>
      <c r="CJ69" s="2682">
        <v>0</v>
      </c>
      <c r="CK69" s="2676"/>
    </row>
    <row r="70" spans="1:89" ht="16.5" x14ac:dyDescent="0.3">
      <c r="A70" s="2666" t="s">
        <v>4836</v>
      </c>
      <c r="B70" s="2719" t="s">
        <v>3541</v>
      </c>
      <c r="C70" s="2707">
        <v>1.9364175000674864</v>
      </c>
      <c r="D70" s="2707">
        <v>0</v>
      </c>
      <c r="E70" s="2707">
        <v>1.9724418005250695</v>
      </c>
      <c r="F70" s="2707">
        <v>1.9724418005250695</v>
      </c>
      <c r="G70" s="2707">
        <v>0.97209320145402389</v>
      </c>
      <c r="H70" s="2707">
        <v>0</v>
      </c>
      <c r="I70" s="2707">
        <v>0.94822393784650372</v>
      </c>
      <c r="J70" s="2707">
        <v>0</v>
      </c>
      <c r="K70" s="2707">
        <v>0.93578970642096426</v>
      </c>
      <c r="L70" s="2707">
        <v>0</v>
      </c>
      <c r="M70" s="2707">
        <v>0.92380462019899734</v>
      </c>
      <c r="N70" s="2707">
        <v>0</v>
      </c>
      <c r="O70" s="2707">
        <v>0.94002446261739692</v>
      </c>
      <c r="P70" s="2707">
        <v>0</v>
      </c>
      <c r="Q70" s="2707">
        <v>0.93844838720762447</v>
      </c>
      <c r="R70" s="2707">
        <v>0</v>
      </c>
      <c r="S70" s="2707">
        <v>0.94574744875931172</v>
      </c>
      <c r="T70" s="2707">
        <v>0</v>
      </c>
      <c r="U70" s="2707">
        <v>0.94493537668373329</v>
      </c>
      <c r="V70" s="2707">
        <v>0</v>
      </c>
      <c r="W70" s="2707">
        <v>0</v>
      </c>
      <c r="X70" s="2707">
        <v>0</v>
      </c>
      <c r="Y70" s="2707">
        <v>0</v>
      </c>
      <c r="Z70" s="2707">
        <v>0</v>
      </c>
      <c r="AA70" s="2707">
        <v>0.95623899265461698</v>
      </c>
      <c r="AB70" s="2707">
        <v>0</v>
      </c>
      <c r="AC70" s="2707">
        <v>0.95805594416299666</v>
      </c>
      <c r="AD70" s="2707">
        <v>0</v>
      </c>
      <c r="AE70" s="2707">
        <v>0</v>
      </c>
      <c r="AF70" s="2707">
        <v>0</v>
      </c>
      <c r="AG70" s="2707">
        <v>0</v>
      </c>
      <c r="AH70" s="2707">
        <v>0</v>
      </c>
      <c r="AI70" s="2707">
        <v>0</v>
      </c>
      <c r="AJ70" s="2707">
        <v>0</v>
      </c>
      <c r="AK70" s="2707">
        <v>0</v>
      </c>
      <c r="AL70" s="2707">
        <v>0</v>
      </c>
      <c r="AM70" s="2707">
        <v>0</v>
      </c>
      <c r="AN70" s="2707">
        <v>0</v>
      </c>
      <c r="AO70" s="2707">
        <v>0</v>
      </c>
      <c r="AP70" s="2707">
        <v>0</v>
      </c>
      <c r="AQ70" s="2707">
        <v>0</v>
      </c>
      <c r="AR70" s="2707">
        <v>0</v>
      </c>
      <c r="AS70" s="2707">
        <v>0</v>
      </c>
      <c r="AT70" s="2707">
        <v>0</v>
      </c>
      <c r="AU70" s="2682">
        <v>0</v>
      </c>
      <c r="AV70" s="2682">
        <v>0</v>
      </c>
      <c r="AW70" s="2682">
        <v>0</v>
      </c>
      <c r="AX70" s="2682">
        <v>0</v>
      </c>
      <c r="AY70" s="2682">
        <v>0</v>
      </c>
      <c r="AZ70" s="2682">
        <v>0</v>
      </c>
      <c r="BA70" s="2682">
        <v>0</v>
      </c>
      <c r="BB70" s="2682">
        <v>0</v>
      </c>
      <c r="BC70" s="2682">
        <v>0</v>
      </c>
      <c r="BD70" s="2682">
        <v>0</v>
      </c>
      <c r="BE70" s="2682">
        <v>0</v>
      </c>
      <c r="BF70" s="2682">
        <v>0</v>
      </c>
      <c r="BG70" s="2682">
        <v>0</v>
      </c>
      <c r="BH70" s="2682">
        <v>0</v>
      </c>
      <c r="BI70" s="2682">
        <v>0</v>
      </c>
      <c r="BJ70" s="2682">
        <v>0</v>
      </c>
      <c r="BK70" s="2682">
        <v>0</v>
      </c>
      <c r="BL70" s="2682">
        <v>0</v>
      </c>
      <c r="BM70" s="2682">
        <v>0</v>
      </c>
      <c r="BN70" s="2682">
        <v>0</v>
      </c>
      <c r="BO70" s="2682">
        <v>0</v>
      </c>
      <c r="BP70" s="2682">
        <v>0</v>
      </c>
      <c r="BQ70" s="2682">
        <v>0</v>
      </c>
      <c r="BR70" s="2682">
        <v>0</v>
      </c>
      <c r="BS70" s="2682">
        <v>0</v>
      </c>
      <c r="BT70" s="2682">
        <v>0</v>
      </c>
      <c r="BU70" s="2682">
        <v>0</v>
      </c>
      <c r="BV70" s="2682">
        <v>0</v>
      </c>
      <c r="BW70" s="2682">
        <v>0</v>
      </c>
      <c r="BX70" s="2682">
        <v>0</v>
      </c>
      <c r="BY70" s="2682">
        <v>0</v>
      </c>
      <c r="BZ70" s="2682">
        <v>0</v>
      </c>
      <c r="CA70" s="2682">
        <v>0</v>
      </c>
      <c r="CB70" s="2682">
        <v>0</v>
      </c>
      <c r="CC70" s="2682">
        <v>0</v>
      </c>
      <c r="CD70" s="2682">
        <v>0</v>
      </c>
      <c r="CE70" s="2682">
        <v>0</v>
      </c>
      <c r="CF70" s="2682">
        <v>0</v>
      </c>
      <c r="CG70" s="2682">
        <v>0</v>
      </c>
      <c r="CH70" s="2682">
        <v>0</v>
      </c>
      <c r="CI70" s="2682">
        <v>0</v>
      </c>
      <c r="CJ70" s="2682">
        <v>0</v>
      </c>
      <c r="CK70" s="2676"/>
    </row>
    <row r="71" spans="1:89" ht="17.25" thickBot="1" x14ac:dyDescent="0.35">
      <c r="A71" s="2710"/>
      <c r="B71" s="2720" t="s">
        <v>4841</v>
      </c>
      <c r="C71" s="2707">
        <v>0</v>
      </c>
      <c r="D71" s="2707">
        <v>0</v>
      </c>
      <c r="E71" s="2707">
        <v>0</v>
      </c>
      <c r="F71" s="2707">
        <v>0</v>
      </c>
      <c r="G71" s="2707">
        <v>0</v>
      </c>
      <c r="H71" s="2707">
        <v>0</v>
      </c>
      <c r="I71" s="2707">
        <v>0</v>
      </c>
      <c r="J71" s="2707">
        <v>0</v>
      </c>
      <c r="K71" s="2707">
        <v>0</v>
      </c>
      <c r="L71" s="2707">
        <v>0</v>
      </c>
      <c r="M71" s="2707">
        <v>0</v>
      </c>
      <c r="N71" s="2707">
        <v>0</v>
      </c>
      <c r="O71" s="2707">
        <v>0</v>
      </c>
      <c r="P71" s="2707">
        <v>0</v>
      </c>
      <c r="Q71" s="2707">
        <v>0</v>
      </c>
      <c r="R71" s="2707">
        <v>0</v>
      </c>
      <c r="S71" s="2713">
        <v>0</v>
      </c>
      <c r="T71" s="2713">
        <v>0</v>
      </c>
      <c r="U71" s="2713">
        <v>0</v>
      </c>
      <c r="V71" s="2713">
        <v>0</v>
      </c>
      <c r="W71" s="2713">
        <v>0.94824216092415103</v>
      </c>
      <c r="X71" s="2713">
        <v>0</v>
      </c>
      <c r="Y71" s="2713">
        <v>0.95464748869030414</v>
      </c>
      <c r="Z71" s="2713">
        <v>0</v>
      </c>
      <c r="AA71" s="2713">
        <v>0</v>
      </c>
      <c r="AB71" s="2713">
        <v>0</v>
      </c>
      <c r="AC71" s="2713">
        <v>0</v>
      </c>
      <c r="AD71" s="2713">
        <v>0</v>
      </c>
      <c r="AE71" s="2713">
        <v>0</v>
      </c>
      <c r="AF71" s="2713">
        <v>0.95029348683373172</v>
      </c>
      <c r="AG71" s="2713">
        <v>0.94496081756186645</v>
      </c>
      <c r="AH71" s="2713">
        <v>0</v>
      </c>
      <c r="AI71" s="2713">
        <v>0.93596988126702807</v>
      </c>
      <c r="AJ71" s="2713">
        <v>0</v>
      </c>
      <c r="AK71" s="2713">
        <v>0.92701700085506678</v>
      </c>
      <c r="AL71" s="2713">
        <v>0</v>
      </c>
      <c r="AM71" s="2713">
        <v>0.92589632472987116</v>
      </c>
      <c r="AN71" s="2713">
        <v>0</v>
      </c>
      <c r="AO71" s="2713">
        <v>0.92386980020881626</v>
      </c>
      <c r="AP71" s="2713">
        <v>0</v>
      </c>
      <c r="AQ71" s="2713">
        <v>0</v>
      </c>
      <c r="AR71" s="2713">
        <v>0</v>
      </c>
      <c r="AS71" s="2713">
        <v>0</v>
      </c>
      <c r="AT71" s="2713">
        <v>0</v>
      </c>
      <c r="AU71" s="2689">
        <v>0</v>
      </c>
      <c r="AV71" s="2689">
        <v>0</v>
      </c>
      <c r="AW71" s="2689">
        <v>0</v>
      </c>
      <c r="AX71" s="2689">
        <v>0</v>
      </c>
      <c r="AY71" s="2689">
        <v>0</v>
      </c>
      <c r="AZ71" s="2689">
        <v>0</v>
      </c>
      <c r="BA71" s="2689">
        <v>0.73938660602453554</v>
      </c>
      <c r="BB71" s="2689">
        <v>0</v>
      </c>
      <c r="BC71" s="2689">
        <v>0.70375562008933512</v>
      </c>
      <c r="BD71" s="2689">
        <v>0</v>
      </c>
      <c r="BE71" s="2689">
        <v>0</v>
      </c>
      <c r="BF71" s="2689">
        <v>0</v>
      </c>
      <c r="BG71" s="2689">
        <v>0.72680243946251821</v>
      </c>
      <c r="BH71" s="2689">
        <v>0</v>
      </c>
      <c r="BI71" s="2689">
        <v>0</v>
      </c>
      <c r="BJ71" s="2689">
        <v>0</v>
      </c>
      <c r="BK71" s="2689">
        <v>0.80852915649907664</v>
      </c>
      <c r="BL71" s="2689">
        <v>0</v>
      </c>
      <c r="BM71" s="2689">
        <v>0</v>
      </c>
      <c r="BN71" s="2689">
        <v>0</v>
      </c>
      <c r="BO71" s="2689">
        <v>0.7984127949186558</v>
      </c>
      <c r="BP71" s="2689">
        <v>0</v>
      </c>
      <c r="BQ71" s="2689">
        <v>0</v>
      </c>
      <c r="BR71" s="2689">
        <v>0</v>
      </c>
      <c r="BS71" s="2689">
        <v>0</v>
      </c>
      <c r="BT71" s="2689">
        <v>0</v>
      </c>
      <c r="BU71" s="2689">
        <v>0</v>
      </c>
      <c r="BV71" s="2689">
        <v>0</v>
      </c>
      <c r="BW71" s="2689">
        <v>0</v>
      </c>
      <c r="BX71" s="2689">
        <v>0</v>
      </c>
      <c r="BY71" s="2689">
        <v>0</v>
      </c>
      <c r="BZ71" s="2689">
        <v>0</v>
      </c>
      <c r="CA71" s="2689">
        <v>0</v>
      </c>
      <c r="CB71" s="2689">
        <v>0</v>
      </c>
      <c r="CC71" s="2689">
        <v>0</v>
      </c>
      <c r="CD71" s="2689">
        <v>0</v>
      </c>
      <c r="CE71" s="2689">
        <v>0</v>
      </c>
      <c r="CF71" s="2689">
        <v>0</v>
      </c>
      <c r="CG71" s="2689">
        <v>0</v>
      </c>
      <c r="CH71" s="2689">
        <v>0</v>
      </c>
      <c r="CI71" s="2689">
        <v>0</v>
      </c>
      <c r="CJ71" s="2689">
        <v>0</v>
      </c>
      <c r="CK71" s="2676"/>
    </row>
    <row r="72" spans="1:89" ht="17.25" thickBot="1" x14ac:dyDescent="0.35">
      <c r="A72" s="2716"/>
      <c r="B72" s="2721" t="s">
        <v>4859</v>
      </c>
      <c r="C72" s="2722">
        <v>3.3130243026673263</v>
      </c>
      <c r="D72" s="2722">
        <v>3.2030313621577227</v>
      </c>
      <c r="E72" s="2722">
        <v>5.1399091328123179</v>
      </c>
      <c r="F72" s="2722">
        <v>3.0407015723286972</v>
      </c>
      <c r="G72" s="2722">
        <v>0.97209320145402389</v>
      </c>
      <c r="H72" s="2722">
        <v>0</v>
      </c>
      <c r="I72" s="2722">
        <v>2.5983141343268636</v>
      </c>
      <c r="J72" s="2722">
        <v>1.7129157178824994</v>
      </c>
      <c r="K72" s="2722">
        <v>2.897574338400088</v>
      </c>
      <c r="L72" s="2722">
        <v>3.9637206749353422</v>
      </c>
      <c r="M72" s="2722">
        <v>1.9320389812018779</v>
      </c>
      <c r="N72" s="2722">
        <v>3.8712372277375389</v>
      </c>
      <c r="O72" s="2722">
        <v>2.6850867170731174</v>
      </c>
      <c r="P72" s="2722">
        <v>5.2489411338038634</v>
      </c>
      <c r="Q72" s="2722">
        <v>2.4285141563599471</v>
      </c>
      <c r="R72" s="2722">
        <v>2.960629405006014</v>
      </c>
      <c r="S72" s="2697">
        <v>3.2524435829194451</v>
      </c>
      <c r="T72" s="2697">
        <v>3.8297032320219637</v>
      </c>
      <c r="U72" s="2697">
        <v>3.271965865421655</v>
      </c>
      <c r="V72" s="2697">
        <v>3.5577575711924099</v>
      </c>
      <c r="W72" s="2697">
        <v>2.4921979269269738</v>
      </c>
      <c r="X72" s="2697">
        <v>2.297306768253395</v>
      </c>
      <c r="Y72" s="2697">
        <v>4.2348541902200649</v>
      </c>
      <c r="Z72" s="2697">
        <v>3.7238431455512102</v>
      </c>
      <c r="AA72" s="2697">
        <v>3.5415389212315675</v>
      </c>
      <c r="AB72" s="2697">
        <v>3.3684967271899673</v>
      </c>
      <c r="AC72" s="2697">
        <v>3.2218812324433466</v>
      </c>
      <c r="AD72" s="2697">
        <v>2.453131503708823</v>
      </c>
      <c r="AE72" s="2697">
        <v>1.743759916820256</v>
      </c>
      <c r="AF72" s="2697">
        <v>2.9201480066552281</v>
      </c>
      <c r="AG72" s="2697">
        <v>3.3041099874239013</v>
      </c>
      <c r="AH72" s="2697">
        <v>6.6812690406889512</v>
      </c>
      <c r="AI72" s="2697">
        <v>4.9763940730756735</v>
      </c>
      <c r="AJ72" s="2697">
        <v>4.6953197057135885</v>
      </c>
      <c r="AK72" s="2697">
        <v>2.1834639864477192</v>
      </c>
      <c r="AL72" s="2697">
        <v>10.110768120796029</v>
      </c>
      <c r="AM72" s="2697">
        <v>2.4672325561500092</v>
      </c>
      <c r="AN72" s="2697">
        <v>13.273667322690278</v>
      </c>
      <c r="AO72" s="2697">
        <v>7.2514594840004891</v>
      </c>
      <c r="AP72" s="2697">
        <v>7.6698828655151328</v>
      </c>
      <c r="AQ72" s="2697">
        <v>0.69651741509198506</v>
      </c>
      <c r="AR72" s="2697">
        <v>7.4840131680710211</v>
      </c>
      <c r="AS72" s="2697">
        <v>0.4378379628151039</v>
      </c>
      <c r="AT72" s="2697">
        <v>4.5689896253129394</v>
      </c>
      <c r="AU72" s="2698">
        <v>0</v>
      </c>
      <c r="AV72" s="2698">
        <v>7.8820236503379082</v>
      </c>
      <c r="AW72" s="2698">
        <v>0.52396161599825497</v>
      </c>
      <c r="AX72" s="2698">
        <v>4.0014374279971703</v>
      </c>
      <c r="AY72" s="2698">
        <v>0</v>
      </c>
      <c r="AZ72" s="2698">
        <v>8.155822587674999</v>
      </c>
      <c r="BA72" s="2698">
        <v>3.1554984177584235</v>
      </c>
      <c r="BB72" s="2698">
        <v>1.348026269310588</v>
      </c>
      <c r="BC72" s="2698">
        <v>1.0096431268190618</v>
      </c>
      <c r="BD72" s="2698">
        <v>2.173409101943089</v>
      </c>
      <c r="BE72" s="2698">
        <v>0</v>
      </c>
      <c r="BF72" s="2698">
        <v>1.731707096474536</v>
      </c>
      <c r="BG72" s="2698">
        <v>0.73030447541405019</v>
      </c>
      <c r="BH72" s="2698">
        <v>6.4004211723184969</v>
      </c>
      <c r="BI72" s="2698">
        <v>0</v>
      </c>
      <c r="BJ72" s="2698">
        <v>7.3430177910823113</v>
      </c>
      <c r="BK72" s="2698">
        <v>0.80852915649907664</v>
      </c>
      <c r="BL72" s="2698">
        <v>3.713956142114724</v>
      </c>
      <c r="BM72" s="2698">
        <v>0</v>
      </c>
      <c r="BN72" s="2698">
        <v>5.8845636174564699</v>
      </c>
      <c r="BO72" s="2698">
        <v>0.7984127949186558</v>
      </c>
      <c r="BP72" s="2698">
        <v>3.0201656167379873</v>
      </c>
      <c r="BQ72" s="2698">
        <v>0</v>
      </c>
      <c r="BR72" s="2698">
        <v>4.669614969837891</v>
      </c>
      <c r="BS72" s="2698">
        <v>0</v>
      </c>
      <c r="BT72" s="2698">
        <v>6.4297255087551797</v>
      </c>
      <c r="BU72" s="2698">
        <v>0</v>
      </c>
      <c r="BV72" s="2698">
        <v>1.3740744814890122</v>
      </c>
      <c r="BW72" s="2698">
        <v>9.750130091400383E-2</v>
      </c>
      <c r="BX72" s="2698">
        <v>6.417743266997415</v>
      </c>
      <c r="BY72" s="2698">
        <v>0.29069863482487923</v>
      </c>
      <c r="BZ72" s="2698">
        <v>5.419602006907251</v>
      </c>
      <c r="CA72" s="2698">
        <v>0.93177793093128825</v>
      </c>
      <c r="CB72" s="2698">
        <v>5.9038394878330864</v>
      </c>
      <c r="CC72" s="2698">
        <v>0.2335676905960033</v>
      </c>
      <c r="CD72" s="2698">
        <v>4.8270202967998372</v>
      </c>
      <c r="CE72" s="2698">
        <v>4.9346557500633111E-2</v>
      </c>
      <c r="CF72" s="2698">
        <v>4.1691476948674779</v>
      </c>
      <c r="CG72" s="2698">
        <f>SUM(CG57:CG71)</f>
        <v>7.5751331264530819E-2</v>
      </c>
      <c r="CH72" s="2698">
        <f>SUM(CH57:CH71)</f>
        <v>6.5201411270096639</v>
      </c>
      <c r="CI72" s="2699">
        <f>SUM(CI57:CI71)</f>
        <v>3.7980698077680485E-3</v>
      </c>
      <c r="CJ72" s="2699">
        <f>SUM(CJ57:CJ71)</f>
        <v>5.3922285980521911</v>
      </c>
      <c r="CK72" s="2676"/>
    </row>
    <row r="73" spans="1:89" s="847" customFormat="1" ht="17.25" thickBot="1" x14ac:dyDescent="0.35">
      <c r="A73" s="3918" t="s">
        <v>4860</v>
      </c>
      <c r="B73" s="3919"/>
      <c r="C73" s="3919"/>
      <c r="D73" s="3919"/>
      <c r="E73" s="3919"/>
      <c r="F73" s="3919"/>
      <c r="G73" s="3919"/>
      <c r="H73" s="3919"/>
      <c r="I73" s="3919"/>
      <c r="J73" s="3919"/>
      <c r="K73" s="3919"/>
      <c r="L73" s="3919"/>
      <c r="M73" s="3919"/>
      <c r="N73" s="3919"/>
      <c r="O73" s="3919"/>
      <c r="P73" s="3919"/>
      <c r="Q73" s="3919"/>
      <c r="R73" s="3919"/>
      <c r="S73" s="3919"/>
      <c r="T73" s="3919"/>
      <c r="U73" s="3919"/>
      <c r="V73" s="3919"/>
      <c r="W73" s="3919"/>
      <c r="X73" s="3919"/>
      <c r="Y73" s="3919"/>
      <c r="Z73" s="3919"/>
      <c r="AA73" s="3919"/>
      <c r="AB73" s="3919"/>
      <c r="AC73" s="3919"/>
      <c r="AD73" s="3919"/>
      <c r="AE73" s="3919"/>
      <c r="AF73" s="3919"/>
      <c r="AG73" s="3919"/>
      <c r="AH73" s="3919"/>
      <c r="AI73" s="3919"/>
      <c r="AJ73" s="3919"/>
      <c r="AK73" s="3919"/>
      <c r="AL73" s="3919"/>
      <c r="AM73" s="3919"/>
      <c r="AN73" s="3919"/>
      <c r="AO73" s="3919"/>
      <c r="AP73" s="3919"/>
      <c r="AQ73" s="3919"/>
      <c r="AR73" s="3919"/>
      <c r="AS73" s="3919"/>
      <c r="AT73" s="3919"/>
      <c r="AU73" s="3919"/>
      <c r="AV73" s="3919"/>
      <c r="AW73" s="3919"/>
      <c r="AX73" s="3919"/>
      <c r="AY73" s="3919"/>
      <c r="AZ73" s="3919"/>
      <c r="BA73" s="3919"/>
      <c r="BB73" s="3919"/>
      <c r="BC73" s="3919"/>
      <c r="BD73" s="3919"/>
      <c r="BE73" s="3919"/>
      <c r="BF73" s="3919"/>
      <c r="BG73" s="3919"/>
      <c r="BH73" s="3919"/>
      <c r="BI73" s="3919"/>
      <c r="BJ73" s="3919"/>
      <c r="BK73" s="3919"/>
      <c r="BL73" s="3919"/>
      <c r="BM73" s="3919"/>
      <c r="BN73" s="3919"/>
      <c r="BO73" s="3919"/>
      <c r="BP73" s="3919"/>
      <c r="BQ73" s="3919"/>
      <c r="BR73" s="3919"/>
      <c r="BS73" s="3919"/>
      <c r="BT73" s="3919"/>
      <c r="BU73" s="3919"/>
      <c r="BV73" s="3919"/>
      <c r="BW73" s="3919"/>
      <c r="BX73" s="3919"/>
      <c r="BY73" s="3919"/>
      <c r="BZ73" s="3919"/>
      <c r="CA73" s="3919"/>
      <c r="CB73" s="3919"/>
      <c r="CC73" s="3919"/>
      <c r="CD73" s="3919"/>
      <c r="CE73" s="3919"/>
      <c r="CF73" s="3919"/>
      <c r="CG73" s="3919"/>
      <c r="CH73" s="3919"/>
      <c r="CI73" s="3919"/>
      <c r="CJ73" s="3920"/>
      <c r="CK73" s="2676"/>
    </row>
    <row r="74" spans="1:89" ht="16.5" x14ac:dyDescent="0.3">
      <c r="A74" s="2700" t="s">
        <v>4816</v>
      </c>
      <c r="B74" s="2667" t="s">
        <v>3528</v>
      </c>
      <c r="C74" s="2707">
        <v>26.812130435694034</v>
      </c>
      <c r="D74" s="2707">
        <v>0</v>
      </c>
      <c r="E74" s="2707">
        <v>110.13855520657732</v>
      </c>
      <c r="F74" s="2707">
        <v>1.1740976197785775</v>
      </c>
      <c r="G74" s="2707">
        <v>95.262277025469984</v>
      </c>
      <c r="H74" s="2707">
        <v>0.9446048168175748</v>
      </c>
      <c r="I74" s="2707">
        <v>25.5</v>
      </c>
      <c r="J74" s="2707">
        <v>0.80295426400957282</v>
      </c>
      <c r="K74" s="2707">
        <v>59.152123050011966</v>
      </c>
      <c r="L74" s="2707">
        <v>0.40766431022960353</v>
      </c>
      <c r="M74" s="2707">
        <v>7.9009611884094966</v>
      </c>
      <c r="N74" s="2707">
        <v>6.9288391572327077</v>
      </c>
      <c r="O74" s="2707">
        <v>6.3441618824114476</v>
      </c>
      <c r="P74" s="2707">
        <v>1.2358745511387368</v>
      </c>
      <c r="Q74" s="2707">
        <v>10.9988825807837</v>
      </c>
      <c r="R74" s="2707">
        <v>0</v>
      </c>
      <c r="S74" s="2704">
        <v>5.9511269472005246</v>
      </c>
      <c r="T74" s="2704">
        <v>0</v>
      </c>
      <c r="U74" s="2704">
        <v>5.3387053899323647</v>
      </c>
      <c r="V74" s="2704">
        <v>2.4</v>
      </c>
      <c r="W74" s="2704">
        <v>1.4828842877514412</v>
      </c>
      <c r="X74" s="2704">
        <v>1.7350000000000001</v>
      </c>
      <c r="Y74" s="2704">
        <v>7.4735710604394159</v>
      </c>
      <c r="Z74" s="2704">
        <v>4.3770275184452148</v>
      </c>
      <c r="AA74" s="2704">
        <v>13.333681773986195</v>
      </c>
      <c r="AB74" s="2704">
        <v>1.1814939486659102</v>
      </c>
      <c r="AC74" s="2704">
        <v>10.050506919790262</v>
      </c>
      <c r="AD74" s="2704">
        <v>2.5936225699387756</v>
      </c>
      <c r="AE74" s="2704">
        <v>1.973704864631586</v>
      </c>
      <c r="AF74" s="2704">
        <v>1.0513119685717336</v>
      </c>
      <c r="AG74" s="2704">
        <v>11.569282780440172</v>
      </c>
      <c r="AH74" s="2704">
        <v>0</v>
      </c>
      <c r="AI74" s="2704">
        <v>7.457198629764342</v>
      </c>
      <c r="AJ74" s="2704">
        <v>1.7262970117991752</v>
      </c>
      <c r="AK74" s="2704">
        <v>13.971569199940618</v>
      </c>
      <c r="AL74" s="2704">
        <v>41.498907057243819</v>
      </c>
      <c r="AM74" s="2704">
        <v>15.495259771664896</v>
      </c>
      <c r="AN74" s="2704">
        <v>5.337691919422423</v>
      </c>
      <c r="AO74" s="2704">
        <v>5.4755339329965809</v>
      </c>
      <c r="AP74" s="2704">
        <v>8.8109999999999999</v>
      </c>
      <c r="AQ74" s="2704">
        <v>0.73351081516434158</v>
      </c>
      <c r="AR74" s="2704">
        <v>18.875819510879886</v>
      </c>
      <c r="AS74" s="2704">
        <v>4.4115310897319802</v>
      </c>
      <c r="AT74" s="2704">
        <v>9.2094748494932066</v>
      </c>
      <c r="AU74" s="2675">
        <v>2.6310453058672443</v>
      </c>
      <c r="AV74" s="2675">
        <v>6.9418045343586754E-2</v>
      </c>
      <c r="AW74" s="2675">
        <v>3.215717992127439</v>
      </c>
      <c r="AX74" s="2675">
        <v>2.897862089534638E-2</v>
      </c>
      <c r="AY74" s="2675">
        <v>5.233032481001989</v>
      </c>
      <c r="AZ74" s="2675">
        <v>3.1008058944319621</v>
      </c>
      <c r="BA74" s="2675">
        <v>3.1006444721401865</v>
      </c>
      <c r="BB74" s="2675">
        <v>0</v>
      </c>
      <c r="BC74" s="2675">
        <v>4.1936515596919044</v>
      </c>
      <c r="BD74" s="2675">
        <v>0</v>
      </c>
      <c r="BE74" s="2675">
        <v>11.294280390311755</v>
      </c>
      <c r="BF74" s="2675">
        <v>1.0023882759690894</v>
      </c>
      <c r="BG74" s="2675">
        <v>2.2076081939271326</v>
      </c>
      <c r="BH74" s="2675">
        <v>5.7642664647705635</v>
      </c>
      <c r="BI74" s="2675">
        <v>2.9837080490641146</v>
      </c>
      <c r="BJ74" s="2675">
        <v>8.1658461885902494</v>
      </c>
      <c r="BK74" s="2675">
        <v>2.5594064129517324</v>
      </c>
      <c r="BL74" s="2675">
        <v>2.0301213964596663</v>
      </c>
      <c r="BM74" s="2675">
        <v>13.425691655785725</v>
      </c>
      <c r="BN74" s="2675">
        <v>12.180105576726785</v>
      </c>
      <c r="BO74" s="2675">
        <v>9.5055963788726459</v>
      </c>
      <c r="BP74" s="2675">
        <v>12.52439304613589</v>
      </c>
      <c r="BQ74" s="2675">
        <v>6.2000325527056805</v>
      </c>
      <c r="BR74" s="2675">
        <v>13.501422456859189</v>
      </c>
      <c r="BS74" s="2675">
        <v>10.704502143860346</v>
      </c>
      <c r="BT74" s="2675">
        <v>14.163785113191903</v>
      </c>
      <c r="BU74" s="2675">
        <v>17.527194344342288</v>
      </c>
      <c r="BV74" s="2675">
        <v>5.7987749686443362</v>
      </c>
      <c r="BW74" s="2675">
        <v>5.0717221585835333</v>
      </c>
      <c r="BX74" s="2675">
        <v>6.3875276680306028</v>
      </c>
      <c r="BY74" s="2675">
        <v>3.9769642496900621</v>
      </c>
      <c r="BZ74" s="2675">
        <v>1.5380680992990381</v>
      </c>
      <c r="CA74" s="2675">
        <v>0.21697845023557005</v>
      </c>
      <c r="CB74" s="2675">
        <v>2.6664221785096318</v>
      </c>
      <c r="CC74" s="2675">
        <v>9.9816963830743948</v>
      </c>
      <c r="CD74" s="2675">
        <v>0.12946451458849584</v>
      </c>
      <c r="CE74" s="2675">
        <v>9.7298248074146958</v>
      </c>
      <c r="CF74" s="2675">
        <v>0.541912585885859</v>
      </c>
      <c r="CG74" s="2675">
        <v>8.3290127594414258</v>
      </c>
      <c r="CH74" s="2675">
        <v>0.1</v>
      </c>
      <c r="CI74" s="2675">
        <v>6.5950105526681231</v>
      </c>
      <c r="CJ74" s="2675">
        <v>0.5</v>
      </c>
      <c r="CK74" s="847"/>
    </row>
    <row r="75" spans="1:89" ht="16.5" x14ac:dyDescent="0.3">
      <c r="A75" s="2666" t="s">
        <v>4818</v>
      </c>
      <c r="B75" s="2677" t="s">
        <v>1149</v>
      </c>
      <c r="C75" s="2707">
        <v>63.760965408627989</v>
      </c>
      <c r="D75" s="2707">
        <v>7.1609188820823508</v>
      </c>
      <c r="E75" s="2707">
        <v>67.354194633686646</v>
      </c>
      <c r="F75" s="2707">
        <v>5.1792757510480749</v>
      </c>
      <c r="G75" s="2707">
        <v>43.230344396656797</v>
      </c>
      <c r="H75" s="2707">
        <v>7.4630580968422819</v>
      </c>
      <c r="I75" s="2707">
        <v>61.063358818892929</v>
      </c>
      <c r="J75" s="2707">
        <v>2.6170583474670344</v>
      </c>
      <c r="K75" s="2707">
        <v>74.285919090880711</v>
      </c>
      <c r="L75" s="2707">
        <v>1.3964077695532346</v>
      </c>
      <c r="M75" s="2707">
        <v>21.710090778151521</v>
      </c>
      <c r="N75" s="2707">
        <v>4.7785324255188248</v>
      </c>
      <c r="O75" s="2707">
        <v>61.695676099039488</v>
      </c>
      <c r="P75" s="2707">
        <v>10.219284570305939</v>
      </c>
      <c r="Q75" s="2707">
        <v>56.601154975393825</v>
      </c>
      <c r="R75" s="2707">
        <v>2.4020924426215582</v>
      </c>
      <c r="S75" s="2707">
        <v>15.153813579706195</v>
      </c>
      <c r="T75" s="2707">
        <v>2.659876268326177</v>
      </c>
      <c r="U75" s="2707">
        <v>28.807878804874864</v>
      </c>
      <c r="V75" s="2707">
        <v>3.0373242171779031</v>
      </c>
      <c r="W75" s="2707">
        <v>25.211508193109182</v>
      </c>
      <c r="X75" s="2707">
        <v>1.3604133760227353</v>
      </c>
      <c r="Y75" s="2707">
        <v>28.485934097778223</v>
      </c>
      <c r="Z75" s="2707">
        <v>1.7499373183828826</v>
      </c>
      <c r="AA75" s="2707">
        <v>28.240661609524459</v>
      </c>
      <c r="AB75" s="2707">
        <v>1.2583959775845612</v>
      </c>
      <c r="AC75" s="2707">
        <v>21.096484927180001</v>
      </c>
      <c r="AD75" s="2707">
        <v>3.2041585198250804</v>
      </c>
      <c r="AE75" s="2707">
        <v>17.281778560863394</v>
      </c>
      <c r="AF75" s="2707">
        <v>2.2865641960178671</v>
      </c>
      <c r="AG75" s="2707">
        <v>22.356897751240268</v>
      </c>
      <c r="AH75" s="2707">
        <v>7.0398687876820976</v>
      </c>
      <c r="AI75" s="2707">
        <v>21.530015454435578</v>
      </c>
      <c r="AJ75" s="2707">
        <v>10.11381759322532</v>
      </c>
      <c r="AK75" s="2707">
        <v>25.073060044741304</v>
      </c>
      <c r="AL75" s="2707">
        <v>27.960660197484501</v>
      </c>
      <c r="AM75" s="2707">
        <v>19.223795383207662</v>
      </c>
      <c r="AN75" s="2707">
        <v>32.441233630111483</v>
      </c>
      <c r="AO75" s="2707">
        <v>15.221052823378411</v>
      </c>
      <c r="AP75" s="2707">
        <v>19.876195633389994</v>
      </c>
      <c r="AQ75" s="2707">
        <v>12.925468243670853</v>
      </c>
      <c r="AR75" s="2707">
        <v>19.486889144254778</v>
      </c>
      <c r="AS75" s="2707">
        <v>17.708196275916773</v>
      </c>
      <c r="AT75" s="2707">
        <v>21.225980247817262</v>
      </c>
      <c r="AU75" s="2682">
        <v>13.206641001155139</v>
      </c>
      <c r="AV75" s="2682">
        <v>19.13269504336596</v>
      </c>
      <c r="AW75" s="2682">
        <v>17.309180866999355</v>
      </c>
      <c r="AX75" s="2682">
        <v>12.162270045586727</v>
      </c>
      <c r="AY75" s="2682">
        <v>15.940881907930091</v>
      </c>
      <c r="AZ75" s="2682">
        <v>18.682365116965926</v>
      </c>
      <c r="BA75" s="2682">
        <v>14.613483608477125</v>
      </c>
      <c r="BB75" s="2682">
        <v>5.9477164112027348</v>
      </c>
      <c r="BC75" s="2682">
        <v>26.545385010775661</v>
      </c>
      <c r="BD75" s="2682">
        <v>7.3066678277356445</v>
      </c>
      <c r="BE75" s="2682">
        <v>9.9327648436780542</v>
      </c>
      <c r="BF75" s="2682">
        <v>8.6517070964745351</v>
      </c>
      <c r="BG75" s="2682">
        <v>7.8703023041988125</v>
      </c>
      <c r="BH75" s="2682">
        <v>17.309421172318498</v>
      </c>
      <c r="BI75" s="2682">
        <v>14.705623887354404</v>
      </c>
      <c r="BJ75" s="2682">
        <v>20.962068474708374</v>
      </c>
      <c r="BK75" s="2682">
        <v>28.062490300795552</v>
      </c>
      <c r="BL75" s="2682">
        <v>29.590246684512397</v>
      </c>
      <c r="BM75" s="2682">
        <v>20.034541396206428</v>
      </c>
      <c r="BN75" s="2682">
        <v>33.121313029487169</v>
      </c>
      <c r="BO75" s="2682">
        <v>24.143757589005283</v>
      </c>
      <c r="BP75" s="2682">
        <v>27.005444905799596</v>
      </c>
      <c r="BQ75" s="2682">
        <v>24.862791121787886</v>
      </c>
      <c r="BR75" s="2682">
        <v>28.50810324644447</v>
      </c>
      <c r="BS75" s="2682">
        <v>50.531685476371571</v>
      </c>
      <c r="BT75" s="2682">
        <v>26.428381487035946</v>
      </c>
      <c r="BU75" s="2682">
        <v>24.386172799942539</v>
      </c>
      <c r="BV75" s="2682">
        <v>19.790503244468692</v>
      </c>
      <c r="BW75" s="2682">
        <v>27.555340086162104</v>
      </c>
      <c r="BX75" s="2682">
        <v>18.944743266997413</v>
      </c>
      <c r="BY75" s="2682">
        <v>19.399449940918974</v>
      </c>
      <c r="BZ75" s="2682">
        <v>13.326602006907251</v>
      </c>
      <c r="CA75" s="2682">
        <v>36.377213895158583</v>
      </c>
      <c r="CB75" s="2682">
        <v>10.190839487833086</v>
      </c>
      <c r="CC75" s="2682">
        <v>36.174900164742724</v>
      </c>
      <c r="CD75" s="2682">
        <v>10.644231716033755</v>
      </c>
      <c r="CE75" s="2682">
        <v>27.107175757304361</v>
      </c>
      <c r="CF75" s="2682">
        <v>12.277411799252757</v>
      </c>
      <c r="CG75" s="2682">
        <v>39.023694966047806</v>
      </c>
      <c r="CH75" s="2682">
        <v>20.926353186946553</v>
      </c>
      <c r="CI75" s="2682">
        <v>31.348419909800697</v>
      </c>
      <c r="CJ75" s="2682">
        <v>25.376762123724461</v>
      </c>
      <c r="CK75" s="847"/>
    </row>
    <row r="76" spans="1:89" s="847" customFormat="1" ht="16.5" x14ac:dyDescent="0.3">
      <c r="A76" s="2666" t="s">
        <v>4819</v>
      </c>
      <c r="B76" s="2677" t="s">
        <v>3530</v>
      </c>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v>0</v>
      </c>
      <c r="AF76" s="2707">
        <v>0</v>
      </c>
      <c r="AG76" s="2707">
        <v>0</v>
      </c>
      <c r="AH76" s="2707">
        <v>0</v>
      </c>
      <c r="AI76" s="2707">
        <v>0</v>
      </c>
      <c r="AJ76" s="2707">
        <v>0.16761059888091145</v>
      </c>
      <c r="AK76" s="2707">
        <v>0</v>
      </c>
      <c r="AL76" s="2707">
        <v>0</v>
      </c>
      <c r="AM76" s="2707">
        <v>0</v>
      </c>
      <c r="AN76" s="2707">
        <v>0.09</v>
      </c>
      <c r="AO76" s="2707">
        <v>0</v>
      </c>
      <c r="AP76" s="2707">
        <v>0</v>
      </c>
      <c r="AQ76" s="2707">
        <v>0</v>
      </c>
      <c r="AR76" s="2707">
        <v>0</v>
      </c>
      <c r="AS76" s="2707">
        <v>0</v>
      </c>
      <c r="AT76" s="2707">
        <v>2.5789999999999997</v>
      </c>
      <c r="AU76" s="2682">
        <v>0</v>
      </c>
      <c r="AV76" s="2682">
        <v>5.2084999999999999</v>
      </c>
      <c r="AW76" s="2682">
        <v>0</v>
      </c>
      <c r="AX76" s="2682">
        <v>8.3224682557558154</v>
      </c>
      <c r="AY76" s="2682">
        <v>0</v>
      </c>
      <c r="AZ76" s="2682">
        <v>0</v>
      </c>
      <c r="BA76" s="2682">
        <v>0</v>
      </c>
      <c r="BB76" s="2682">
        <v>8.68</v>
      </c>
      <c r="BC76" s="2682">
        <v>0</v>
      </c>
      <c r="BD76" s="2682">
        <v>13.858563831958481</v>
      </c>
      <c r="BE76" s="2682">
        <v>0</v>
      </c>
      <c r="BF76" s="2682">
        <v>6.1037340000000002</v>
      </c>
      <c r="BG76" s="2682">
        <v>0</v>
      </c>
      <c r="BH76" s="2682">
        <v>5.2847430000000006</v>
      </c>
      <c r="BI76" s="2682">
        <v>0.621</v>
      </c>
      <c r="BJ76" s="2682">
        <v>9.6509999999999998</v>
      </c>
      <c r="BK76" s="2682">
        <v>0.872</v>
      </c>
      <c r="BL76" s="2682">
        <v>8.3958437131783779</v>
      </c>
      <c r="BM76" s="2682">
        <v>0.12</v>
      </c>
      <c r="BN76" s="2682">
        <v>0.59</v>
      </c>
      <c r="BO76" s="2682">
        <v>0</v>
      </c>
      <c r="BP76" s="2682">
        <v>0.16986724743849077</v>
      </c>
      <c r="BQ76" s="2682">
        <v>0</v>
      </c>
      <c r="BR76" s="2682">
        <v>0.13113139530776741</v>
      </c>
      <c r="BS76" s="2682">
        <v>0</v>
      </c>
      <c r="BT76" s="2682">
        <v>0</v>
      </c>
      <c r="BU76" s="2682">
        <v>0</v>
      </c>
      <c r="BV76" s="2682">
        <v>0</v>
      </c>
      <c r="BW76" s="2682">
        <v>0</v>
      </c>
      <c r="BX76" s="2682">
        <v>0</v>
      </c>
      <c r="BY76" s="2682">
        <v>0</v>
      </c>
      <c r="BZ76" s="2682">
        <v>0</v>
      </c>
      <c r="CA76" s="2682">
        <v>0</v>
      </c>
      <c r="CB76" s="2682">
        <v>0</v>
      </c>
      <c r="CC76" s="2682">
        <v>0</v>
      </c>
      <c r="CD76" s="2682">
        <v>0</v>
      </c>
      <c r="CE76" s="2682">
        <v>0</v>
      </c>
      <c r="CF76" s="2682">
        <v>0</v>
      </c>
      <c r="CG76" s="2682">
        <v>0</v>
      </c>
      <c r="CH76" s="2682">
        <v>0.104</v>
      </c>
      <c r="CI76" s="2682">
        <v>0</v>
      </c>
      <c r="CJ76" s="2682">
        <v>11.216152549221787</v>
      </c>
    </row>
    <row r="77" spans="1:89" s="847" customFormat="1" ht="16.5" x14ac:dyDescent="0.3">
      <c r="A77" s="2666" t="s">
        <v>4820</v>
      </c>
      <c r="B77" s="2677" t="s">
        <v>3531</v>
      </c>
      <c r="C77" s="2701"/>
      <c r="D77" s="2701"/>
      <c r="E77" s="2701"/>
      <c r="F77" s="2701"/>
      <c r="G77" s="2701"/>
      <c r="H77" s="2701"/>
      <c r="I77" s="2701"/>
      <c r="J77" s="2701"/>
      <c r="K77" s="2708"/>
      <c r="L77" s="2701"/>
      <c r="M77" s="2701"/>
      <c r="N77" s="2701"/>
      <c r="O77" s="2708"/>
      <c r="P77" s="2701"/>
      <c r="Q77" s="2701"/>
      <c r="R77" s="2653"/>
      <c r="S77" s="2705"/>
      <c r="T77" s="2705"/>
      <c r="U77" s="2705"/>
      <c r="V77" s="2705"/>
      <c r="W77" s="2705"/>
      <c r="X77" s="2705"/>
      <c r="Y77" s="2705"/>
      <c r="Z77" s="2705"/>
      <c r="AA77" s="2705"/>
      <c r="AB77" s="2705"/>
      <c r="AC77" s="2705"/>
      <c r="AD77" s="2705"/>
      <c r="AE77" s="2705"/>
      <c r="AF77" s="2705"/>
      <c r="AG77" s="2709"/>
      <c r="AH77" s="2707"/>
      <c r="AI77" s="2707">
        <v>0</v>
      </c>
      <c r="AJ77" s="2707">
        <v>0</v>
      </c>
      <c r="AK77" s="2707">
        <v>0</v>
      </c>
      <c r="AL77" s="2707">
        <v>0</v>
      </c>
      <c r="AM77" s="2707">
        <v>0.105</v>
      </c>
      <c r="AN77" s="2707">
        <v>0</v>
      </c>
      <c r="AO77" s="2707">
        <v>4.2000000000000003E-2</v>
      </c>
      <c r="AP77" s="2707">
        <v>0</v>
      </c>
      <c r="AQ77" s="2707">
        <v>0</v>
      </c>
      <c r="AR77" s="2707">
        <v>0</v>
      </c>
      <c r="AS77" s="2707">
        <v>5.5E-2</v>
      </c>
      <c r="AT77" s="2707">
        <v>0</v>
      </c>
      <c r="AU77" s="2682">
        <v>0.03</v>
      </c>
      <c r="AV77" s="2682">
        <v>0</v>
      </c>
      <c r="AW77" s="2682">
        <v>8.3000000000000004E-2</v>
      </c>
      <c r="AX77" s="2682">
        <v>0</v>
      </c>
      <c r="AY77" s="2682">
        <v>0</v>
      </c>
      <c r="AZ77" s="2682">
        <v>0</v>
      </c>
      <c r="BA77" s="2682">
        <v>0.128</v>
      </c>
      <c r="BB77" s="2682">
        <v>0</v>
      </c>
      <c r="BC77" s="2682">
        <v>0.38</v>
      </c>
      <c r="BD77" s="2682">
        <v>0</v>
      </c>
      <c r="BE77" s="2682">
        <v>0.42000000000000004</v>
      </c>
      <c r="BF77" s="2682">
        <v>0</v>
      </c>
      <c r="BG77" s="2682">
        <v>0.32</v>
      </c>
      <c r="BH77" s="2682">
        <v>0</v>
      </c>
      <c r="BI77" s="2682">
        <v>0.36696907909616122</v>
      </c>
      <c r="BJ77" s="2682">
        <v>0</v>
      </c>
      <c r="BK77" s="2682">
        <v>0.3686669153556385</v>
      </c>
      <c r="BL77" s="2682">
        <v>0</v>
      </c>
      <c r="BM77" s="2682">
        <v>0.45764660050006212</v>
      </c>
      <c r="BN77" s="2682">
        <v>0</v>
      </c>
      <c r="BO77" s="2682">
        <v>0.95201349469983132</v>
      </c>
      <c r="BP77" s="2682">
        <v>0</v>
      </c>
      <c r="BQ77" s="2682">
        <v>1.0583866178330532</v>
      </c>
      <c r="BR77" s="2682">
        <v>0</v>
      </c>
      <c r="BS77" s="2682">
        <v>1.169738692565117</v>
      </c>
      <c r="BT77" s="2682">
        <v>0</v>
      </c>
      <c r="BU77" s="2682">
        <v>1.2981009539215813</v>
      </c>
      <c r="BV77" s="2682">
        <v>0</v>
      </c>
      <c r="BW77" s="2682">
        <v>1.3961765451749366</v>
      </c>
      <c r="BX77" s="2682">
        <v>0</v>
      </c>
      <c r="BY77" s="2682">
        <v>1.3967588005074667</v>
      </c>
      <c r="BZ77" s="2682">
        <v>0</v>
      </c>
      <c r="CA77" s="2682">
        <v>0.88296650124955445</v>
      </c>
      <c r="CB77" s="2682">
        <v>0</v>
      </c>
      <c r="CC77" s="2682">
        <v>1.5030167498792948</v>
      </c>
      <c r="CD77" s="2682">
        <v>0</v>
      </c>
      <c r="CE77" s="2682">
        <v>1.7476737820341715</v>
      </c>
      <c r="CF77" s="2682">
        <v>0</v>
      </c>
      <c r="CG77" s="2682">
        <v>2.1781847987969378</v>
      </c>
      <c r="CH77" s="2682">
        <v>0</v>
      </c>
      <c r="CI77" s="2682">
        <v>2.1475921663159947</v>
      </c>
      <c r="CJ77" s="2682">
        <v>0</v>
      </c>
    </row>
    <row r="78" spans="1:89" ht="16.5" x14ac:dyDescent="0.3">
      <c r="A78" s="2666" t="s">
        <v>4821</v>
      </c>
      <c r="B78" s="2677" t="s">
        <v>1150</v>
      </c>
      <c r="C78" s="2707">
        <v>7.0731160773080637</v>
      </c>
      <c r="D78" s="2707">
        <v>2.7022560815398005</v>
      </c>
      <c r="E78" s="2707">
        <v>7.0773739781390157</v>
      </c>
      <c r="F78" s="2707">
        <v>3.1743972697059801</v>
      </c>
      <c r="G78" s="2707">
        <v>7.6392927382777573</v>
      </c>
      <c r="H78" s="2707">
        <v>3.2675753611812053</v>
      </c>
      <c r="I78" s="2707">
        <v>6.9930700622147359</v>
      </c>
      <c r="J78" s="2707">
        <v>3.9231535626542247</v>
      </c>
      <c r="K78" s="2707">
        <v>0.35699999999999998</v>
      </c>
      <c r="L78" s="2707">
        <v>4.0024530750532383</v>
      </c>
      <c r="M78" s="2707">
        <v>1.0499740966177304</v>
      </c>
      <c r="N78" s="2707">
        <v>4.1145781457863464</v>
      </c>
      <c r="O78" s="2707">
        <v>12.935850210109617</v>
      </c>
      <c r="P78" s="2707">
        <v>0.93822382346834099</v>
      </c>
      <c r="Q78" s="2707">
        <v>4.5281940182162508</v>
      </c>
      <c r="R78" s="2707">
        <v>0</v>
      </c>
      <c r="S78" s="2707">
        <v>3.2296866753936246</v>
      </c>
      <c r="T78" s="2707">
        <v>0.27403554462084279</v>
      </c>
      <c r="U78" s="2707">
        <v>5.6969322096521875</v>
      </c>
      <c r="V78" s="2707">
        <v>0.26504080774744054</v>
      </c>
      <c r="W78" s="2707">
        <v>7.7124269787078283</v>
      </c>
      <c r="X78" s="2707">
        <v>0</v>
      </c>
      <c r="Y78" s="2707">
        <v>8.8708628795798354</v>
      </c>
      <c r="Z78" s="2707">
        <v>0</v>
      </c>
      <c r="AA78" s="2707">
        <v>8.7116559992740612</v>
      </c>
      <c r="AB78" s="2707">
        <v>1.27</v>
      </c>
      <c r="AC78" s="2707">
        <v>2.8852235587734971</v>
      </c>
      <c r="AD78" s="2707">
        <v>0</v>
      </c>
      <c r="AE78" s="2707">
        <v>3.3576032336325983</v>
      </c>
      <c r="AF78" s="2707">
        <v>0</v>
      </c>
      <c r="AG78" s="2707">
        <v>1.8884728814944565</v>
      </c>
      <c r="AH78" s="2707">
        <v>1.2</v>
      </c>
      <c r="AI78" s="2707">
        <v>3.1557623911020873</v>
      </c>
      <c r="AJ78" s="2707">
        <v>0</v>
      </c>
      <c r="AK78" s="2707">
        <v>0.62653803052950929</v>
      </c>
      <c r="AL78" s="2707">
        <v>0</v>
      </c>
      <c r="AM78" s="2707">
        <v>0.3</v>
      </c>
      <c r="AN78" s="2707">
        <v>1.56</v>
      </c>
      <c r="AO78" s="2707">
        <v>0.73</v>
      </c>
      <c r="AP78" s="2707">
        <v>0.45933650729821279</v>
      </c>
      <c r="AQ78" s="2707">
        <v>1.3068304330953384</v>
      </c>
      <c r="AR78" s="2707">
        <v>0.48552833387594885</v>
      </c>
      <c r="AS78" s="2707">
        <v>1.8345518804449645</v>
      </c>
      <c r="AT78" s="2707">
        <v>6.7078355820143681E-2</v>
      </c>
      <c r="AU78" s="2682">
        <v>1.6850365632153337</v>
      </c>
      <c r="AV78" s="2682">
        <v>0</v>
      </c>
      <c r="AW78" s="2682">
        <v>1.2510083376628902</v>
      </c>
      <c r="AX78" s="2682">
        <v>0</v>
      </c>
      <c r="AY78" s="2682">
        <v>3.0028395171693223</v>
      </c>
      <c r="AZ78" s="2682">
        <v>0</v>
      </c>
      <c r="BA78" s="2682">
        <v>2.1887055722818145</v>
      </c>
      <c r="BB78" s="2682">
        <v>0</v>
      </c>
      <c r="BC78" s="2682">
        <v>2.4668253096452659</v>
      </c>
      <c r="BD78" s="2682">
        <v>0</v>
      </c>
      <c r="BE78" s="2682">
        <v>2.460845901481397</v>
      </c>
      <c r="BF78" s="2682">
        <v>1.4</v>
      </c>
      <c r="BG78" s="2682">
        <v>3.1053697190381895</v>
      </c>
      <c r="BH78" s="2682">
        <v>1.6719999999999999</v>
      </c>
      <c r="BI78" s="2682">
        <v>1.8072885773606795</v>
      </c>
      <c r="BJ78" s="2682">
        <v>0.15842863168040983</v>
      </c>
      <c r="BK78" s="2682">
        <v>7.4394036754053996</v>
      </c>
      <c r="BL78" s="2682">
        <v>0</v>
      </c>
      <c r="BM78" s="2682">
        <v>0.36</v>
      </c>
      <c r="BN78" s="2682">
        <v>0</v>
      </c>
      <c r="BO78" s="2682">
        <v>2.7089261469677752</v>
      </c>
      <c r="BP78" s="2682">
        <v>0</v>
      </c>
      <c r="BQ78" s="2682">
        <v>0.86920253461272834</v>
      </c>
      <c r="BR78" s="2682">
        <v>2.0999999999999996</v>
      </c>
      <c r="BS78" s="2682">
        <v>3.5799655534618804</v>
      </c>
      <c r="BT78" s="2682">
        <v>0</v>
      </c>
      <c r="BU78" s="2682">
        <v>3.8591460669112738</v>
      </c>
      <c r="BV78" s="2682">
        <v>0</v>
      </c>
      <c r="BW78" s="2682">
        <v>7.0782479828309999</v>
      </c>
      <c r="BX78" s="2682">
        <v>0</v>
      </c>
      <c r="BY78" s="2682">
        <v>1.3602023388064755</v>
      </c>
      <c r="BZ78" s="2682">
        <v>1.033444720035634</v>
      </c>
      <c r="CA78" s="2682">
        <v>1.8213405552668949</v>
      </c>
      <c r="CB78" s="2682">
        <v>2.7675000000000001</v>
      </c>
      <c r="CC78" s="2682">
        <v>1.1119371584142002</v>
      </c>
      <c r="CD78" s="2682">
        <v>0</v>
      </c>
      <c r="CE78" s="2682">
        <v>0.69265558947156802</v>
      </c>
      <c r="CF78" s="2682">
        <v>0.12123685481182334</v>
      </c>
      <c r="CG78" s="2682">
        <v>0.92400814924038577</v>
      </c>
      <c r="CH78" s="2682">
        <v>0.51723790597833263</v>
      </c>
      <c r="CI78" s="2682">
        <v>1.2130972080947138</v>
      </c>
      <c r="CJ78" s="2682">
        <v>0.02</v>
      </c>
      <c r="CK78" s="847"/>
    </row>
    <row r="79" spans="1:89" ht="16.5" x14ac:dyDescent="0.3">
      <c r="A79" s="2666" t="s">
        <v>4822</v>
      </c>
      <c r="B79" s="2677" t="s">
        <v>4823</v>
      </c>
      <c r="C79" s="2707">
        <v>40.121766791927762</v>
      </c>
      <c r="D79" s="2707">
        <v>0.2</v>
      </c>
      <c r="E79" s="2707">
        <v>41.66468454378689</v>
      </c>
      <c r="F79" s="2707">
        <v>0</v>
      </c>
      <c r="G79" s="2707">
        <v>19.68461751754241</v>
      </c>
      <c r="H79" s="2707">
        <v>0</v>
      </c>
      <c r="I79" s="2707">
        <v>62.745934830807023</v>
      </c>
      <c r="J79" s="2707">
        <v>1.0149999999999999</v>
      </c>
      <c r="K79" s="2707">
        <v>28.925083421982372</v>
      </c>
      <c r="L79" s="2707">
        <v>0.34699999999999998</v>
      </c>
      <c r="M79" s="2707">
        <v>26.071735923555337</v>
      </c>
      <c r="N79" s="2707">
        <v>0.35499999999999998</v>
      </c>
      <c r="O79" s="2707">
        <v>15.795967694579268</v>
      </c>
      <c r="P79" s="2707">
        <v>0.05</v>
      </c>
      <c r="Q79" s="2707">
        <v>22.113108239944754</v>
      </c>
      <c r="R79" s="2707">
        <v>0</v>
      </c>
      <c r="S79" s="2707">
        <v>20.133237675443358</v>
      </c>
      <c r="T79" s="2707">
        <v>6.2804294664107543E-2</v>
      </c>
      <c r="U79" s="2707">
        <v>35.07352507445237</v>
      </c>
      <c r="V79" s="2707">
        <v>0</v>
      </c>
      <c r="W79" s="2707">
        <v>34.366563689239591</v>
      </c>
      <c r="X79" s="2707">
        <v>0</v>
      </c>
      <c r="Y79" s="2707">
        <v>39.405105733137695</v>
      </c>
      <c r="Z79" s="2707">
        <v>0</v>
      </c>
      <c r="AA79" s="2707">
        <v>40.663339165997833</v>
      </c>
      <c r="AB79" s="2707">
        <v>0</v>
      </c>
      <c r="AC79" s="2707">
        <v>47.493009360645608</v>
      </c>
      <c r="AD79" s="2707">
        <v>7.0000000000000007E-2</v>
      </c>
      <c r="AE79" s="2707">
        <v>41.947540519005905</v>
      </c>
      <c r="AF79" s="2707">
        <v>0.14000000000000001</v>
      </c>
      <c r="AG79" s="2707">
        <v>53.74139076328872</v>
      </c>
      <c r="AH79" s="2707">
        <v>1.87</v>
      </c>
      <c r="AI79" s="2707">
        <v>51.367963274323429</v>
      </c>
      <c r="AJ79" s="2707">
        <v>0.05</v>
      </c>
      <c r="AK79" s="2707">
        <v>35.890256787182658</v>
      </c>
      <c r="AL79" s="2707">
        <v>0</v>
      </c>
      <c r="AM79" s="2707">
        <v>58.091412105283347</v>
      </c>
      <c r="AN79" s="2707">
        <v>0</v>
      </c>
      <c r="AO79" s="2707">
        <v>39.817077174358282</v>
      </c>
      <c r="AP79" s="2707">
        <v>0.25</v>
      </c>
      <c r="AQ79" s="2707">
        <v>48.598213280139035</v>
      </c>
      <c r="AR79" s="2707">
        <v>0.93500000000000005</v>
      </c>
      <c r="AS79" s="2707">
        <v>39.171864515488181</v>
      </c>
      <c r="AT79" s="2707">
        <v>0</v>
      </c>
      <c r="AU79" s="2682">
        <v>44.086623049023558</v>
      </c>
      <c r="AV79" s="2682">
        <v>7.0000000000000007E-2</v>
      </c>
      <c r="AW79" s="2682">
        <v>58.613925758949719</v>
      </c>
      <c r="AX79" s="2682">
        <v>0</v>
      </c>
      <c r="AY79" s="2682">
        <v>47.69896371961913</v>
      </c>
      <c r="AZ79" s="2682">
        <v>0</v>
      </c>
      <c r="BA79" s="2682">
        <v>51.624270780179359</v>
      </c>
      <c r="BB79" s="2682">
        <v>0</v>
      </c>
      <c r="BC79" s="2682">
        <v>46.574734900309203</v>
      </c>
      <c r="BD79" s="2682">
        <v>0</v>
      </c>
      <c r="BE79" s="2682">
        <v>18.058226894653988</v>
      </c>
      <c r="BF79" s="2682">
        <v>3</v>
      </c>
      <c r="BG79" s="2682">
        <v>22.197790956186182</v>
      </c>
      <c r="BH79" s="2682">
        <v>1</v>
      </c>
      <c r="BI79" s="2682">
        <v>35.163030910665796</v>
      </c>
      <c r="BJ79" s="2682">
        <v>1.044900631227853</v>
      </c>
      <c r="BK79" s="2682">
        <v>80.265208541735689</v>
      </c>
      <c r="BL79" s="2682">
        <v>0.37477031324922028</v>
      </c>
      <c r="BM79" s="2682">
        <v>81.938083884861726</v>
      </c>
      <c r="BN79" s="2682">
        <v>0</v>
      </c>
      <c r="BO79" s="2682">
        <v>67.730022739516187</v>
      </c>
      <c r="BP79" s="2682">
        <v>0</v>
      </c>
      <c r="BQ79" s="2682">
        <v>78.584746241573924</v>
      </c>
      <c r="BR79" s="2682">
        <v>0</v>
      </c>
      <c r="BS79" s="2682">
        <v>83.244075050161584</v>
      </c>
      <c r="BT79" s="2682">
        <v>0</v>
      </c>
      <c r="BU79" s="2682">
        <v>77.409829642764677</v>
      </c>
      <c r="BV79" s="2682">
        <v>0</v>
      </c>
      <c r="BW79" s="2682">
        <v>65.917421777555376</v>
      </c>
      <c r="BX79" s="2682">
        <v>0.15</v>
      </c>
      <c r="BY79" s="2682">
        <v>54.930188131868746</v>
      </c>
      <c r="BZ79" s="2682">
        <v>0</v>
      </c>
      <c r="CA79" s="2682">
        <v>73.645737817090179</v>
      </c>
      <c r="CB79" s="2682">
        <v>7.5000000000000011E-2</v>
      </c>
      <c r="CC79" s="2682">
        <v>80.05355387884191</v>
      </c>
      <c r="CD79" s="2682">
        <v>0</v>
      </c>
      <c r="CE79" s="2682">
        <v>77.863688314550842</v>
      </c>
      <c r="CF79" s="2682">
        <v>0.269870629513981</v>
      </c>
      <c r="CG79" s="2682">
        <v>92.588727998046267</v>
      </c>
      <c r="CH79" s="2682">
        <v>2.6675000000000004</v>
      </c>
      <c r="CI79" s="2682">
        <v>66.658543736443406</v>
      </c>
      <c r="CJ79" s="2682">
        <v>1</v>
      </c>
      <c r="CK79" s="847"/>
    </row>
    <row r="80" spans="1:89" ht="16.5" x14ac:dyDescent="0.3">
      <c r="A80" s="2666" t="s">
        <v>4824</v>
      </c>
      <c r="B80" s="2677" t="s">
        <v>3533</v>
      </c>
      <c r="C80" s="2707">
        <v>7.7549999999999999</v>
      </c>
      <c r="D80" s="2707">
        <v>0</v>
      </c>
      <c r="E80" s="2707">
        <v>9.01</v>
      </c>
      <c r="F80" s="2707">
        <v>0</v>
      </c>
      <c r="G80" s="2707">
        <v>8.9312859299999996</v>
      </c>
      <c r="H80" s="2707">
        <v>0</v>
      </c>
      <c r="I80" s="2707">
        <v>7.6</v>
      </c>
      <c r="J80" s="2707">
        <v>0</v>
      </c>
      <c r="K80" s="2707">
        <v>11.96</v>
      </c>
      <c r="L80" s="2707">
        <v>0</v>
      </c>
      <c r="M80" s="2707">
        <v>9.36</v>
      </c>
      <c r="N80" s="2707">
        <v>0</v>
      </c>
      <c r="O80" s="2707">
        <v>4.9400000000000004</v>
      </c>
      <c r="P80" s="2707">
        <v>0</v>
      </c>
      <c r="Q80" s="2707">
        <v>3.9849999999999999</v>
      </c>
      <c r="R80" s="2707">
        <v>0</v>
      </c>
      <c r="S80" s="2707">
        <v>4.375</v>
      </c>
      <c r="T80" s="2707">
        <v>0</v>
      </c>
      <c r="U80" s="2707">
        <v>7.1550000000000002</v>
      </c>
      <c r="V80" s="2707">
        <v>0</v>
      </c>
      <c r="W80" s="2707">
        <v>7.13</v>
      </c>
      <c r="X80" s="2707">
        <v>0</v>
      </c>
      <c r="Y80" s="2707">
        <v>4.7549999999999999</v>
      </c>
      <c r="Z80" s="2707">
        <v>0</v>
      </c>
      <c r="AA80" s="2707">
        <v>4.5750000000000002</v>
      </c>
      <c r="AB80" s="2707">
        <v>0</v>
      </c>
      <c r="AC80" s="2707">
        <v>4.3460000000000001</v>
      </c>
      <c r="AD80" s="2707">
        <v>0</v>
      </c>
      <c r="AE80" s="2707">
        <v>6.9</v>
      </c>
      <c r="AF80" s="2707">
        <v>0</v>
      </c>
      <c r="AG80" s="2707">
        <v>6.65</v>
      </c>
      <c r="AH80" s="2707">
        <v>0.52500000000000002</v>
      </c>
      <c r="AI80" s="2707">
        <v>5.2939999999999996</v>
      </c>
      <c r="AJ80" s="2707">
        <v>0</v>
      </c>
      <c r="AK80" s="2707">
        <v>1.3</v>
      </c>
      <c r="AL80" s="2707">
        <v>0</v>
      </c>
      <c r="AM80" s="2707">
        <v>1.7</v>
      </c>
      <c r="AN80" s="2707">
        <v>0</v>
      </c>
      <c r="AO80" s="2707">
        <v>1.4</v>
      </c>
      <c r="AP80" s="2707">
        <v>0</v>
      </c>
      <c r="AQ80" s="2707">
        <v>1.75</v>
      </c>
      <c r="AR80" s="2707">
        <v>0</v>
      </c>
      <c r="AS80" s="2707">
        <v>2.7749999999999999</v>
      </c>
      <c r="AT80" s="2707">
        <v>0</v>
      </c>
      <c r="AU80" s="2682">
        <v>1.53</v>
      </c>
      <c r="AV80" s="2682">
        <v>0</v>
      </c>
      <c r="AW80" s="2682">
        <v>0.27</v>
      </c>
      <c r="AX80" s="2682">
        <v>0</v>
      </c>
      <c r="AY80" s="2682">
        <v>1.0900000000000001</v>
      </c>
      <c r="AZ80" s="2682">
        <v>0</v>
      </c>
      <c r="BA80" s="2682">
        <v>2.4899999999999998</v>
      </c>
      <c r="BB80" s="2682">
        <v>0</v>
      </c>
      <c r="BC80" s="2682">
        <v>1.895</v>
      </c>
      <c r="BD80" s="2682">
        <v>0</v>
      </c>
      <c r="BE80" s="2682">
        <v>3.2299999999999995</v>
      </c>
      <c r="BF80" s="2682">
        <v>0</v>
      </c>
      <c r="BG80" s="2682">
        <v>5.1000000000000005</v>
      </c>
      <c r="BH80" s="2682">
        <v>0</v>
      </c>
      <c r="BI80" s="2682">
        <v>0.30000000000000004</v>
      </c>
      <c r="BJ80" s="2682">
        <v>0</v>
      </c>
      <c r="BK80" s="2682">
        <v>0.2</v>
      </c>
      <c r="BL80" s="2682">
        <v>0</v>
      </c>
      <c r="BM80" s="2682">
        <v>1.2749999999999999</v>
      </c>
      <c r="BN80" s="2682">
        <v>0</v>
      </c>
      <c r="BO80" s="2682">
        <v>6</v>
      </c>
      <c r="BP80" s="2682">
        <v>0</v>
      </c>
      <c r="BQ80" s="2682">
        <v>1</v>
      </c>
      <c r="BR80" s="2682">
        <v>0</v>
      </c>
      <c r="BS80" s="2682">
        <v>2</v>
      </c>
      <c r="BT80" s="2682">
        <v>0</v>
      </c>
      <c r="BU80" s="2682">
        <v>1</v>
      </c>
      <c r="BV80" s="2682">
        <v>0</v>
      </c>
      <c r="BW80" s="2682">
        <v>3</v>
      </c>
      <c r="BX80" s="2682">
        <v>0</v>
      </c>
      <c r="BY80" s="2682">
        <v>4</v>
      </c>
      <c r="BZ80" s="2682">
        <v>0</v>
      </c>
      <c r="CA80" s="2682">
        <v>5</v>
      </c>
      <c r="CB80" s="2682">
        <v>0</v>
      </c>
      <c r="CC80" s="2682">
        <v>3.5</v>
      </c>
      <c r="CD80" s="2682">
        <v>0</v>
      </c>
      <c r="CE80" s="2682">
        <v>5</v>
      </c>
      <c r="CF80" s="2682">
        <v>0</v>
      </c>
      <c r="CG80" s="2682">
        <v>2</v>
      </c>
      <c r="CH80" s="2682">
        <v>0</v>
      </c>
      <c r="CI80" s="2682">
        <v>0</v>
      </c>
      <c r="CJ80" s="2682">
        <v>0</v>
      </c>
      <c r="CK80" s="847"/>
    </row>
    <row r="81" spans="1:89" ht="16.5" x14ac:dyDescent="0.3">
      <c r="A81" s="2666" t="s">
        <v>4825</v>
      </c>
      <c r="B81" s="2677" t="s">
        <v>3534</v>
      </c>
      <c r="C81" s="2707">
        <v>281.53012604570262</v>
      </c>
      <c r="D81" s="2707">
        <v>4.801716869642159</v>
      </c>
      <c r="E81" s="2707">
        <v>226.77722402746375</v>
      </c>
      <c r="F81" s="2707">
        <v>0.70283000399305029</v>
      </c>
      <c r="G81" s="2707">
        <v>259.78627489219446</v>
      </c>
      <c r="H81" s="2707">
        <v>0.5</v>
      </c>
      <c r="I81" s="2707">
        <v>205.58063962273019</v>
      </c>
      <c r="J81" s="2707">
        <v>4.9558212747346895</v>
      </c>
      <c r="K81" s="2707">
        <v>190.09347814290047</v>
      </c>
      <c r="L81" s="2707">
        <v>3.1065038248165973</v>
      </c>
      <c r="M81" s="2707">
        <v>210.29541403059773</v>
      </c>
      <c r="N81" s="2707">
        <v>6.8548</v>
      </c>
      <c r="O81" s="2707">
        <v>192.13042483116618</v>
      </c>
      <c r="P81" s="2707">
        <v>0.9623496206819</v>
      </c>
      <c r="Q81" s="2707">
        <v>188.37542321372146</v>
      </c>
      <c r="R81" s="2707">
        <v>2.3512850156692293</v>
      </c>
      <c r="S81" s="2707">
        <v>179.75433853854142</v>
      </c>
      <c r="T81" s="2707">
        <v>1.2720722590305777</v>
      </c>
      <c r="U81" s="2707">
        <v>214.15625141313021</v>
      </c>
      <c r="V81" s="2707">
        <v>0.71326593125145765</v>
      </c>
      <c r="W81" s="2707">
        <v>115.73880638179062</v>
      </c>
      <c r="X81" s="2707">
        <v>0.51420475495529216</v>
      </c>
      <c r="Y81" s="2707">
        <v>130.85525548814923</v>
      </c>
      <c r="Z81" s="2707">
        <v>1.56836594140744</v>
      </c>
      <c r="AA81" s="2707">
        <v>143.7727172624123</v>
      </c>
      <c r="AB81" s="2707">
        <v>1.1050147965259189</v>
      </c>
      <c r="AC81" s="2707">
        <v>170.34108111614898</v>
      </c>
      <c r="AD81" s="2707">
        <v>1.9343408091715104</v>
      </c>
      <c r="AE81" s="2707">
        <v>267.63477342555331</v>
      </c>
      <c r="AF81" s="2707">
        <v>5.9717497711878957</v>
      </c>
      <c r="AG81" s="2707">
        <v>284.71126655447569</v>
      </c>
      <c r="AH81" s="2707">
        <v>1.7189292865716335</v>
      </c>
      <c r="AI81" s="2707">
        <v>274.65085483445</v>
      </c>
      <c r="AJ81" s="2707">
        <v>0.215</v>
      </c>
      <c r="AK81" s="2707">
        <v>19.77341671152481</v>
      </c>
      <c r="AL81" s="2707">
        <v>12.061079620482358</v>
      </c>
      <c r="AM81" s="2707">
        <v>324.04914840496821</v>
      </c>
      <c r="AN81" s="2707">
        <v>3.1037490913641705</v>
      </c>
      <c r="AO81" s="2707">
        <v>251.16516311931247</v>
      </c>
      <c r="AP81" s="2707">
        <v>9.3897300237639172</v>
      </c>
      <c r="AQ81" s="2707">
        <v>127.16222470363826</v>
      </c>
      <c r="AR81" s="2707">
        <v>2.4954625191677957</v>
      </c>
      <c r="AS81" s="2707">
        <v>77.961095352578454</v>
      </c>
      <c r="AT81" s="2707">
        <v>7.5563929074372229</v>
      </c>
      <c r="AU81" s="2682">
        <v>40.721182110547993</v>
      </c>
      <c r="AV81" s="2682">
        <v>8.8406387933804815</v>
      </c>
      <c r="AW81" s="2682">
        <v>93.305268229567616</v>
      </c>
      <c r="AX81" s="2682">
        <v>2.9710283341143446</v>
      </c>
      <c r="AY81" s="2682">
        <v>75.013992465604687</v>
      </c>
      <c r="AZ81" s="2682">
        <v>11.55726300406171</v>
      </c>
      <c r="BA81" s="2682">
        <v>86.13219621836086</v>
      </c>
      <c r="BB81" s="2682">
        <v>3.3498990473500365</v>
      </c>
      <c r="BC81" s="2682">
        <v>65.991785925652479</v>
      </c>
      <c r="BD81" s="2682">
        <v>0.95954060531207241</v>
      </c>
      <c r="BE81" s="2682">
        <v>45.438517337334417</v>
      </c>
      <c r="BF81" s="2682">
        <v>4.0242440943163764</v>
      </c>
      <c r="BG81" s="2682">
        <v>50.804154262397198</v>
      </c>
      <c r="BH81" s="2682">
        <v>8.2892963823568699</v>
      </c>
      <c r="BI81" s="2682">
        <v>63.185233270560246</v>
      </c>
      <c r="BJ81" s="2682">
        <v>29.161383211282391</v>
      </c>
      <c r="BK81" s="2682">
        <v>23.2471978811657</v>
      </c>
      <c r="BL81" s="2682">
        <v>16.176167639937759</v>
      </c>
      <c r="BM81" s="2682">
        <v>7.3288648877126992</v>
      </c>
      <c r="BN81" s="2682">
        <v>12.117889844418444</v>
      </c>
      <c r="BO81" s="2682">
        <v>6.9038444468502114</v>
      </c>
      <c r="BP81" s="2682">
        <v>19.241757357106771</v>
      </c>
      <c r="BQ81" s="2682">
        <v>7.5039450142881368</v>
      </c>
      <c r="BR81" s="2682">
        <v>24.299117267329432</v>
      </c>
      <c r="BS81" s="2682">
        <v>18.65947026449502</v>
      </c>
      <c r="BT81" s="2682">
        <v>67.517795659306486</v>
      </c>
      <c r="BU81" s="2682">
        <v>23.476984271908993</v>
      </c>
      <c r="BV81" s="2682">
        <v>57.92694312681558</v>
      </c>
      <c r="BW81" s="2682">
        <v>9.0028872597799001</v>
      </c>
      <c r="BX81" s="2682">
        <v>18.853994037739803</v>
      </c>
      <c r="BY81" s="2682">
        <v>13.073655972810471</v>
      </c>
      <c r="BZ81" s="2682">
        <v>19.936621003024925</v>
      </c>
      <c r="CA81" s="2682">
        <v>5.1754086430647259</v>
      </c>
      <c r="CB81" s="2682">
        <v>9.1588990054771937</v>
      </c>
      <c r="CC81" s="2682">
        <v>6.836882436608013</v>
      </c>
      <c r="CD81" s="2682">
        <v>4.2690323573150319</v>
      </c>
      <c r="CE81" s="2682">
        <v>11.797694822187159</v>
      </c>
      <c r="CF81" s="2682">
        <v>3.1414096832772089</v>
      </c>
      <c r="CG81" s="2682">
        <v>19.47457599782458</v>
      </c>
      <c r="CH81" s="2682">
        <v>3.741102986094734</v>
      </c>
      <c r="CI81" s="2682">
        <v>16.278610428906507</v>
      </c>
      <c r="CJ81" s="2682">
        <v>17.57901061769337</v>
      </c>
      <c r="CK81" s="847"/>
    </row>
    <row r="82" spans="1:89" ht="16.5" x14ac:dyDescent="0.3">
      <c r="A82" s="2666" t="s">
        <v>4826</v>
      </c>
      <c r="B82" s="2677" t="s">
        <v>3535</v>
      </c>
      <c r="C82" s="2707">
        <v>1.905</v>
      </c>
      <c r="D82" s="2707">
        <v>0</v>
      </c>
      <c r="E82" s="2707">
        <v>0.745</v>
      </c>
      <c r="F82" s="2707">
        <v>0</v>
      </c>
      <c r="G82" s="2707">
        <v>1.875</v>
      </c>
      <c r="H82" s="2707">
        <v>0</v>
      </c>
      <c r="I82" s="2707">
        <v>1.23</v>
      </c>
      <c r="J82" s="2707">
        <v>0</v>
      </c>
      <c r="K82" s="2707">
        <v>2.62</v>
      </c>
      <c r="L82" s="2707">
        <v>0</v>
      </c>
      <c r="M82" s="2707">
        <v>3.03</v>
      </c>
      <c r="N82" s="2707">
        <v>0</v>
      </c>
      <c r="O82" s="2707">
        <v>2.65</v>
      </c>
      <c r="P82" s="2707">
        <v>0</v>
      </c>
      <c r="Q82" s="2707">
        <v>2.46</v>
      </c>
      <c r="R82" s="2707">
        <v>0</v>
      </c>
      <c r="S82" s="2707">
        <v>1.056</v>
      </c>
      <c r="T82" s="2707">
        <v>0</v>
      </c>
      <c r="U82" s="2707">
        <v>0</v>
      </c>
      <c r="V82" s="2707">
        <v>0</v>
      </c>
      <c r="W82" s="2707">
        <v>2.25</v>
      </c>
      <c r="X82" s="2707">
        <v>0.42908053753684017</v>
      </c>
      <c r="Y82" s="2707">
        <v>1.123574724279129</v>
      </c>
      <c r="Z82" s="2707">
        <v>0.21485506256634881</v>
      </c>
      <c r="AA82" s="2707">
        <v>0</v>
      </c>
      <c r="AB82" s="2707">
        <v>0.37640873659446245</v>
      </c>
      <c r="AC82" s="2707">
        <v>2.4444196774732778</v>
      </c>
      <c r="AD82" s="2707">
        <v>0.3872591715454039</v>
      </c>
      <c r="AE82" s="2707">
        <v>2.4550000000000001</v>
      </c>
      <c r="AF82" s="2707">
        <v>0.37696324505833162</v>
      </c>
      <c r="AG82" s="2707">
        <v>3.5594193545414816</v>
      </c>
      <c r="AH82" s="2707">
        <v>0.46226854415395358</v>
      </c>
      <c r="AI82" s="2707">
        <v>0.255</v>
      </c>
      <c r="AJ82" s="2707">
        <v>0</v>
      </c>
      <c r="AK82" s="2707">
        <v>5.4240000000000004</v>
      </c>
      <c r="AL82" s="2707">
        <v>0.36744663443198256</v>
      </c>
      <c r="AM82" s="2707">
        <v>2.2000000000000002</v>
      </c>
      <c r="AN82" s="2707">
        <v>8.3834222804141628E-2</v>
      </c>
      <c r="AO82" s="2707">
        <v>5.5</v>
      </c>
      <c r="AP82" s="2707">
        <v>0.36310495633743983</v>
      </c>
      <c r="AQ82" s="2707">
        <v>5.0200000000000005</v>
      </c>
      <c r="AR82" s="2707">
        <v>0</v>
      </c>
      <c r="AS82" s="2707">
        <v>3.52</v>
      </c>
      <c r="AT82" s="2707">
        <v>0.44890198445704399</v>
      </c>
      <c r="AU82" s="2682">
        <v>4.98001</v>
      </c>
      <c r="AV82" s="2682">
        <v>0.15823710543315048</v>
      </c>
      <c r="AW82" s="2682">
        <v>2.7250000000000001</v>
      </c>
      <c r="AX82" s="2682">
        <v>0</v>
      </c>
      <c r="AY82" s="2682">
        <v>4.3850000000000007</v>
      </c>
      <c r="AZ82" s="2682">
        <v>0</v>
      </c>
      <c r="BA82" s="2682">
        <v>2.3748017091120959</v>
      </c>
      <c r="BB82" s="2682">
        <v>0</v>
      </c>
      <c r="BC82" s="2682">
        <v>4.8100000000000005</v>
      </c>
      <c r="BD82" s="2682">
        <v>0</v>
      </c>
      <c r="BE82" s="2682">
        <v>3.44824083</v>
      </c>
      <c r="BF82" s="2682">
        <v>0</v>
      </c>
      <c r="BG82" s="2682">
        <v>3.6503758300000002</v>
      </c>
      <c r="BH82" s="2682">
        <v>0</v>
      </c>
      <c r="BI82" s="2682">
        <v>6.0088961700000008</v>
      </c>
      <c r="BJ82" s="2682">
        <v>0.48599999999999999</v>
      </c>
      <c r="BK82" s="2682">
        <v>5.5942408300000004</v>
      </c>
      <c r="BL82" s="2682">
        <v>0</v>
      </c>
      <c r="BM82" s="2682">
        <v>5.9854344140871181</v>
      </c>
      <c r="BN82" s="2682">
        <v>1</v>
      </c>
      <c r="BO82" s="2682">
        <v>0.32</v>
      </c>
      <c r="BP82" s="2682">
        <v>0</v>
      </c>
      <c r="BQ82" s="2682">
        <v>0</v>
      </c>
      <c r="BR82" s="2682">
        <v>0</v>
      </c>
      <c r="BS82" s="2682">
        <v>1.8699999999999999</v>
      </c>
      <c r="BT82" s="2682">
        <v>0</v>
      </c>
      <c r="BU82" s="2682">
        <v>0</v>
      </c>
      <c r="BV82" s="2682">
        <v>1.4</v>
      </c>
      <c r="BW82" s="2682">
        <v>0.21531260019605783</v>
      </c>
      <c r="BX82" s="2682">
        <v>0</v>
      </c>
      <c r="BY82" s="2682">
        <v>0.4</v>
      </c>
      <c r="BZ82" s="2682">
        <v>0</v>
      </c>
      <c r="CA82" s="2682">
        <v>0.1265970120398964</v>
      </c>
      <c r="CB82" s="2682">
        <v>0.25</v>
      </c>
      <c r="CC82" s="2682">
        <v>0</v>
      </c>
      <c r="CD82" s="2682">
        <v>0</v>
      </c>
      <c r="CE82" s="2682">
        <v>0</v>
      </c>
      <c r="CF82" s="2682">
        <v>0.2</v>
      </c>
      <c r="CG82" s="2682">
        <v>0.2</v>
      </c>
      <c r="CH82" s="2682">
        <v>0</v>
      </c>
      <c r="CI82" s="2682">
        <v>0</v>
      </c>
      <c r="CJ82" s="2682">
        <v>0.3</v>
      </c>
      <c r="CK82" s="847"/>
    </row>
    <row r="83" spans="1:89" ht="16.5" x14ac:dyDescent="0.3">
      <c r="A83" s="2666" t="s">
        <v>4827</v>
      </c>
      <c r="B83" s="2677" t="s">
        <v>1155</v>
      </c>
      <c r="C83" s="2707">
        <v>365.74857977401854</v>
      </c>
      <c r="D83" s="2707">
        <v>68.821591462352728</v>
      </c>
      <c r="E83" s="2707">
        <v>377.33296952802931</v>
      </c>
      <c r="F83" s="2707">
        <v>224.07827610636937</v>
      </c>
      <c r="G83" s="2707">
        <v>377.68693622487439</v>
      </c>
      <c r="H83" s="2707">
        <v>263.33037604689827</v>
      </c>
      <c r="I83" s="2707">
        <v>353.68750065687237</v>
      </c>
      <c r="J83" s="2707">
        <v>93.98531301373913</v>
      </c>
      <c r="K83" s="2707">
        <v>456.28807740753058</v>
      </c>
      <c r="L83" s="2707">
        <v>104.82743583078535</v>
      </c>
      <c r="M83" s="2707">
        <v>424.04450019465969</v>
      </c>
      <c r="N83" s="2707">
        <v>74.564206845406744</v>
      </c>
      <c r="O83" s="2707">
        <v>320.05561032551742</v>
      </c>
      <c r="P83" s="2707">
        <v>146.43459287712594</v>
      </c>
      <c r="Q83" s="2707">
        <v>256.99264209550466</v>
      </c>
      <c r="R83" s="2707">
        <v>82.494220078589976</v>
      </c>
      <c r="S83" s="2707">
        <v>362.45744320915753</v>
      </c>
      <c r="T83" s="2707">
        <v>53.80280626774055</v>
      </c>
      <c r="U83" s="2707">
        <v>215.07819220343671</v>
      </c>
      <c r="V83" s="2707">
        <v>92.286991883483665</v>
      </c>
      <c r="W83" s="2707">
        <v>271.80704860085365</v>
      </c>
      <c r="X83" s="2707">
        <v>65.760307302324463</v>
      </c>
      <c r="Y83" s="2707">
        <v>353.57964506388737</v>
      </c>
      <c r="Z83" s="2707">
        <v>54.396287788800556</v>
      </c>
      <c r="AA83" s="2707">
        <v>361.03979651418621</v>
      </c>
      <c r="AB83" s="2707">
        <v>31.533842734605777</v>
      </c>
      <c r="AC83" s="2707">
        <v>428.39208027620674</v>
      </c>
      <c r="AD83" s="2707">
        <v>55.480549634299024</v>
      </c>
      <c r="AE83" s="2707">
        <v>653.32403537799223</v>
      </c>
      <c r="AF83" s="2707">
        <v>40.806187980341896</v>
      </c>
      <c r="AG83" s="2707">
        <v>629.77532351352443</v>
      </c>
      <c r="AH83" s="2707">
        <v>28.212006022282601</v>
      </c>
      <c r="AI83" s="2707">
        <v>578.56072765713827</v>
      </c>
      <c r="AJ83" s="2707">
        <v>38.334775112488266</v>
      </c>
      <c r="AK83" s="2707">
        <v>761.75266044316913</v>
      </c>
      <c r="AL83" s="2707">
        <v>128.50342466280003</v>
      </c>
      <c r="AM83" s="2707">
        <v>429.30746423958288</v>
      </c>
      <c r="AN83" s="2707">
        <v>27.332924842028312</v>
      </c>
      <c r="AO83" s="2707">
        <v>638.66902161003713</v>
      </c>
      <c r="AP83" s="2707">
        <v>53.843150153622943</v>
      </c>
      <c r="AQ83" s="2707">
        <v>479.27523847657011</v>
      </c>
      <c r="AR83" s="2707">
        <v>86.844764580006924</v>
      </c>
      <c r="AS83" s="2707">
        <v>779.78400790484693</v>
      </c>
      <c r="AT83" s="2707">
        <v>187.40908305218426</v>
      </c>
      <c r="AU83" s="2682">
        <v>476.21411429527541</v>
      </c>
      <c r="AV83" s="2682">
        <v>175.6512458585176</v>
      </c>
      <c r="AW83" s="2682">
        <v>593.71230070162881</v>
      </c>
      <c r="AX83" s="2682">
        <v>98.326137063235748</v>
      </c>
      <c r="AY83" s="2682">
        <v>573.50746938098814</v>
      </c>
      <c r="AZ83" s="2682">
        <v>94.883838979811841</v>
      </c>
      <c r="BA83" s="2682">
        <v>360.28222142170029</v>
      </c>
      <c r="BB83" s="2682">
        <v>94.878434180000028</v>
      </c>
      <c r="BC83" s="2682">
        <v>124.6900807311378</v>
      </c>
      <c r="BD83" s="2682">
        <v>66.555364872692138</v>
      </c>
      <c r="BE83" s="2682">
        <v>72.914123363687139</v>
      </c>
      <c r="BF83" s="2682">
        <v>26.021776827668752</v>
      </c>
      <c r="BG83" s="2682">
        <v>151.4112473431845</v>
      </c>
      <c r="BH83" s="2682">
        <v>8.2172561921141067</v>
      </c>
      <c r="BI83" s="2682">
        <v>187.57952111359444</v>
      </c>
      <c r="BJ83" s="2682">
        <v>60.856498142110887</v>
      </c>
      <c r="BK83" s="2682">
        <v>152.7929118298706</v>
      </c>
      <c r="BL83" s="2682">
        <v>105.57003172667225</v>
      </c>
      <c r="BM83" s="2682">
        <v>127.21769612539698</v>
      </c>
      <c r="BN83" s="2682">
        <v>66.276597395017617</v>
      </c>
      <c r="BO83" s="2682">
        <v>145.23498964378868</v>
      </c>
      <c r="BP83" s="2682">
        <v>78.381990832115889</v>
      </c>
      <c r="BQ83" s="2682">
        <v>207.74496392017576</v>
      </c>
      <c r="BR83" s="2682">
        <v>7.9118603297876806</v>
      </c>
      <c r="BS83" s="2682">
        <v>180.61629505064309</v>
      </c>
      <c r="BT83" s="2682">
        <v>8.0435193760905612</v>
      </c>
      <c r="BU83" s="2682">
        <v>126.88289651750245</v>
      </c>
      <c r="BV83" s="2682">
        <v>33.562620610864982</v>
      </c>
      <c r="BW83" s="2682">
        <v>75.601664046321076</v>
      </c>
      <c r="BX83" s="2682">
        <v>56.937787192809431</v>
      </c>
      <c r="BY83" s="2682">
        <v>142.49826439998216</v>
      </c>
      <c r="BZ83" s="2682">
        <v>12.47077064</v>
      </c>
      <c r="CA83" s="2682">
        <v>257.31167249408793</v>
      </c>
      <c r="CB83" s="2682">
        <v>19.103857511585645</v>
      </c>
      <c r="CC83" s="2682">
        <v>400.35300479866532</v>
      </c>
      <c r="CD83" s="2682">
        <v>18.573791619323249</v>
      </c>
      <c r="CE83" s="2682">
        <v>463.5150156517816</v>
      </c>
      <c r="CF83" s="2682">
        <v>40.354482123252154</v>
      </c>
      <c r="CG83" s="2682">
        <v>336.22699325250312</v>
      </c>
      <c r="CH83" s="2682">
        <v>73.288149239492554</v>
      </c>
      <c r="CI83" s="2682">
        <v>412.02335167185083</v>
      </c>
      <c r="CJ83" s="2682">
        <v>199.91579111376961</v>
      </c>
      <c r="CK83" s="847"/>
    </row>
    <row r="84" spans="1:89" s="847" customFormat="1" ht="16.5" x14ac:dyDescent="0.3">
      <c r="A84" s="2666" t="s">
        <v>4828</v>
      </c>
      <c r="B84" s="2677" t="s">
        <v>1156</v>
      </c>
      <c r="C84" s="2707"/>
      <c r="D84" s="2707"/>
      <c r="E84" s="2707"/>
      <c r="F84" s="2707"/>
      <c r="G84" s="2707"/>
      <c r="H84" s="2707"/>
      <c r="I84" s="2707"/>
      <c r="J84" s="2707"/>
      <c r="K84" s="2707">
        <v>0</v>
      </c>
      <c r="L84" s="2707">
        <v>0</v>
      </c>
      <c r="M84" s="2707">
        <v>0</v>
      </c>
      <c r="N84" s="2707">
        <v>0</v>
      </c>
      <c r="O84" s="2707">
        <v>0.72709426967004509</v>
      </c>
      <c r="P84" s="2707">
        <v>0</v>
      </c>
      <c r="Q84" s="2707">
        <v>0.40929959241272296</v>
      </c>
      <c r="R84" s="2707">
        <v>0</v>
      </c>
      <c r="S84" s="2707">
        <v>1.7130392838007538</v>
      </c>
      <c r="T84" s="2707">
        <v>0</v>
      </c>
      <c r="U84" s="2707">
        <v>0.56741526206523463</v>
      </c>
      <c r="V84" s="2707">
        <v>0</v>
      </c>
      <c r="W84" s="2707">
        <v>1.4940023513631042</v>
      </c>
      <c r="X84" s="2707">
        <v>0</v>
      </c>
      <c r="Y84" s="2707">
        <v>1.7013210999898702</v>
      </c>
      <c r="Z84" s="2707">
        <v>0</v>
      </c>
      <c r="AA84" s="2707">
        <v>1.9679250700080972</v>
      </c>
      <c r="AB84" s="2707">
        <v>0</v>
      </c>
      <c r="AC84" s="2707">
        <v>3.300148523462779</v>
      </c>
      <c r="AD84" s="2707">
        <v>0</v>
      </c>
      <c r="AE84" s="2707">
        <v>0.67022254337977905</v>
      </c>
      <c r="AF84" s="2707">
        <v>0</v>
      </c>
      <c r="AG84" s="2707">
        <v>2.9268076551360944</v>
      </c>
      <c r="AH84" s="2707">
        <v>0</v>
      </c>
      <c r="AI84" s="2707">
        <v>1.5556866918125962</v>
      </c>
      <c r="AJ84" s="2707">
        <v>0</v>
      </c>
      <c r="AK84" s="2707">
        <v>0</v>
      </c>
      <c r="AL84" s="2707">
        <v>0</v>
      </c>
      <c r="AM84" s="2707">
        <v>0</v>
      </c>
      <c r="AN84" s="2707">
        <v>0</v>
      </c>
      <c r="AO84" s="2707">
        <v>0</v>
      </c>
      <c r="AP84" s="2707">
        <v>0</v>
      </c>
      <c r="AQ84" s="2707">
        <v>0</v>
      </c>
      <c r="AR84" s="2707">
        <v>0</v>
      </c>
      <c r="AS84" s="2707">
        <v>0</v>
      </c>
      <c r="AT84" s="2707">
        <v>0</v>
      </c>
      <c r="AU84" s="2682">
        <v>0</v>
      </c>
      <c r="AV84" s="2682">
        <v>0</v>
      </c>
      <c r="AW84" s="2682">
        <v>0</v>
      </c>
      <c r="AX84" s="2682">
        <v>0</v>
      </c>
      <c r="AY84" s="2682">
        <v>0</v>
      </c>
      <c r="AZ84" s="2682">
        <v>0</v>
      </c>
      <c r="BA84" s="2682">
        <v>0</v>
      </c>
      <c r="BB84" s="2682">
        <v>0</v>
      </c>
      <c r="BC84" s="2682">
        <v>0</v>
      </c>
      <c r="BD84" s="2682">
        <v>0</v>
      </c>
      <c r="BE84" s="2682">
        <v>0</v>
      </c>
      <c r="BF84" s="2682">
        <v>0</v>
      </c>
      <c r="BG84" s="2682">
        <v>0</v>
      </c>
      <c r="BH84" s="2682">
        <v>0</v>
      </c>
      <c r="BI84" s="2682">
        <v>0</v>
      </c>
      <c r="BJ84" s="2682">
        <v>0</v>
      </c>
      <c r="BK84" s="2682">
        <v>0</v>
      </c>
      <c r="BL84" s="2682">
        <v>0</v>
      </c>
      <c r="BM84" s="2682">
        <v>0</v>
      </c>
      <c r="BN84" s="2682">
        <v>0</v>
      </c>
      <c r="BO84" s="2682">
        <v>0</v>
      </c>
      <c r="BP84" s="2682">
        <v>2.9331967878825091</v>
      </c>
      <c r="BQ84" s="2682">
        <v>0</v>
      </c>
      <c r="BR84" s="2682">
        <v>0</v>
      </c>
      <c r="BS84" s="2682">
        <v>0</v>
      </c>
      <c r="BT84" s="2682">
        <v>0</v>
      </c>
      <c r="BU84" s="2682">
        <v>0</v>
      </c>
      <c r="BV84" s="2682">
        <v>0</v>
      </c>
      <c r="BW84" s="2682">
        <v>0</v>
      </c>
      <c r="BX84" s="2682">
        <v>0</v>
      </c>
      <c r="BY84" s="2682">
        <v>0</v>
      </c>
      <c r="BZ84" s="2682">
        <v>0</v>
      </c>
      <c r="CA84" s="2682">
        <v>0</v>
      </c>
      <c r="CB84" s="2682">
        <v>2.9670958197829496</v>
      </c>
      <c r="CC84" s="2682">
        <v>0</v>
      </c>
      <c r="CD84" s="2682">
        <v>0</v>
      </c>
      <c r="CE84" s="2682">
        <v>0</v>
      </c>
      <c r="CF84" s="2682">
        <v>0</v>
      </c>
      <c r="CG84" s="2682">
        <v>0</v>
      </c>
      <c r="CH84" s="2682">
        <v>0</v>
      </c>
      <c r="CI84" s="2682">
        <v>0</v>
      </c>
      <c r="CJ84" s="2682">
        <v>0</v>
      </c>
    </row>
    <row r="85" spans="1:89" ht="16.5" x14ac:dyDescent="0.3">
      <c r="A85" s="2666" t="s">
        <v>4829</v>
      </c>
      <c r="B85" s="2677" t="s">
        <v>3536</v>
      </c>
      <c r="C85" s="2707">
        <v>6.5140206464881487</v>
      </c>
      <c r="D85" s="2707">
        <v>0.42076662043700075</v>
      </c>
      <c r="E85" s="2707">
        <v>20.10223516549728</v>
      </c>
      <c r="F85" s="2707">
        <v>0</v>
      </c>
      <c r="G85" s="2707">
        <v>5.1016787868205524</v>
      </c>
      <c r="H85" s="2707">
        <v>0</v>
      </c>
      <c r="I85" s="2707">
        <v>0</v>
      </c>
      <c r="J85" s="2707">
        <v>0.5</v>
      </c>
      <c r="K85" s="2707">
        <v>4.7421232562140005</v>
      </c>
      <c r="L85" s="2707">
        <v>1.49</v>
      </c>
      <c r="M85" s="2707">
        <v>8.6622203431744964</v>
      </c>
      <c r="N85" s="2707">
        <v>2.2821905622274565</v>
      </c>
      <c r="O85" s="2707">
        <v>0</v>
      </c>
      <c r="P85" s="2707">
        <v>0.15</v>
      </c>
      <c r="Q85" s="2707">
        <v>11.04628252593236</v>
      </c>
      <c r="R85" s="2707">
        <v>0</v>
      </c>
      <c r="S85" s="2707">
        <v>0.5</v>
      </c>
      <c r="T85" s="2707">
        <v>0</v>
      </c>
      <c r="U85" s="2707">
        <v>0</v>
      </c>
      <c r="V85" s="2707">
        <v>0.23601882598601465</v>
      </c>
      <c r="W85" s="2707">
        <v>4.5253896802497549</v>
      </c>
      <c r="X85" s="2707">
        <v>0</v>
      </c>
      <c r="Y85" s="2707">
        <v>0</v>
      </c>
      <c r="Z85" s="2707">
        <v>0</v>
      </c>
      <c r="AA85" s="2707">
        <v>0</v>
      </c>
      <c r="AB85" s="2707">
        <v>4.5813989976318625</v>
      </c>
      <c r="AC85" s="2707">
        <v>0</v>
      </c>
      <c r="AD85" s="2707">
        <v>0</v>
      </c>
      <c r="AE85" s="2707">
        <v>0.5</v>
      </c>
      <c r="AF85" s="2707">
        <v>0</v>
      </c>
      <c r="AG85" s="2707">
        <v>0</v>
      </c>
      <c r="AH85" s="2707">
        <v>0</v>
      </c>
      <c r="AI85" s="2707">
        <v>0.47499999999999998</v>
      </c>
      <c r="AJ85" s="2707">
        <v>0</v>
      </c>
      <c r="AK85" s="2707">
        <v>0</v>
      </c>
      <c r="AL85" s="2707">
        <v>0</v>
      </c>
      <c r="AM85" s="2707">
        <v>6.2176721663258858</v>
      </c>
      <c r="AN85" s="2707">
        <v>0</v>
      </c>
      <c r="AO85" s="2707">
        <v>5.1572210036771322</v>
      </c>
      <c r="AP85" s="2707">
        <v>0</v>
      </c>
      <c r="AQ85" s="2707">
        <v>3.4824082388021953</v>
      </c>
      <c r="AR85" s="2707">
        <v>0</v>
      </c>
      <c r="AS85" s="2707">
        <v>0</v>
      </c>
      <c r="AT85" s="2707">
        <v>0</v>
      </c>
      <c r="AU85" s="2682">
        <v>0.30172239096774134</v>
      </c>
      <c r="AV85" s="2682">
        <v>0</v>
      </c>
      <c r="AW85" s="2682">
        <v>0.90978423010795062</v>
      </c>
      <c r="AX85" s="2682">
        <v>0</v>
      </c>
      <c r="AY85" s="2682">
        <v>0.90163481345793484</v>
      </c>
      <c r="AZ85" s="2682">
        <v>0</v>
      </c>
      <c r="BA85" s="2682">
        <v>1.0074754592546853</v>
      </c>
      <c r="BB85" s="2682">
        <v>0</v>
      </c>
      <c r="BC85" s="2682">
        <v>0</v>
      </c>
      <c r="BD85" s="2682">
        <v>0</v>
      </c>
      <c r="BE85" s="2682">
        <v>0</v>
      </c>
      <c r="BF85" s="2682">
        <v>0</v>
      </c>
      <c r="BG85" s="2682">
        <v>0.48</v>
      </c>
      <c r="BH85" s="2682">
        <v>0</v>
      </c>
      <c r="BI85" s="2682">
        <v>0</v>
      </c>
      <c r="BJ85" s="2682">
        <v>0</v>
      </c>
      <c r="BK85" s="2682">
        <v>0</v>
      </c>
      <c r="BL85" s="2682">
        <v>0</v>
      </c>
      <c r="BM85" s="2682">
        <v>0.11711022405395669</v>
      </c>
      <c r="BN85" s="2682">
        <v>0</v>
      </c>
      <c r="BO85" s="2682">
        <v>0.48</v>
      </c>
      <c r="BP85" s="2682">
        <v>0</v>
      </c>
      <c r="BQ85" s="2682">
        <v>2.8600000000000003</v>
      </c>
      <c r="BR85" s="2682">
        <v>0</v>
      </c>
      <c r="BS85" s="2682">
        <v>2.84</v>
      </c>
      <c r="BT85" s="2682">
        <v>0</v>
      </c>
      <c r="BU85" s="2682">
        <v>1.4550000000000001</v>
      </c>
      <c r="BV85" s="2682">
        <v>0</v>
      </c>
      <c r="BW85" s="2682">
        <v>1.4550000000000001</v>
      </c>
      <c r="BX85" s="2682">
        <v>0</v>
      </c>
      <c r="BY85" s="2682">
        <v>0.76</v>
      </c>
      <c r="BZ85" s="2682">
        <v>0</v>
      </c>
      <c r="CA85" s="2682">
        <v>1.4550000000000001</v>
      </c>
      <c r="CB85" s="2682">
        <v>0</v>
      </c>
      <c r="CC85" s="2682">
        <v>1.4870659631839427</v>
      </c>
      <c r="CD85" s="2682">
        <v>0</v>
      </c>
      <c r="CE85" s="2682">
        <v>2.8414081970253671</v>
      </c>
      <c r="CF85" s="2682">
        <v>0</v>
      </c>
      <c r="CG85" s="2682">
        <v>6.2955319547837956</v>
      </c>
      <c r="CH85" s="2682">
        <v>0</v>
      </c>
      <c r="CI85" s="2682">
        <v>2.9408157649058762</v>
      </c>
      <c r="CJ85" s="2682">
        <v>0</v>
      </c>
      <c r="CK85" s="847"/>
    </row>
    <row r="86" spans="1:89" ht="16.5" x14ac:dyDescent="0.3">
      <c r="A86" s="2666" t="s">
        <v>4830</v>
      </c>
      <c r="B86" s="2677" t="s">
        <v>3537</v>
      </c>
      <c r="C86" s="2707">
        <v>0.69584757983596568</v>
      </c>
      <c r="D86" s="2707">
        <v>0</v>
      </c>
      <c r="E86" s="2707">
        <v>0</v>
      </c>
      <c r="F86" s="2707">
        <v>0</v>
      </c>
      <c r="G86" s="2707">
        <v>0</v>
      </c>
      <c r="H86" s="2707">
        <v>0</v>
      </c>
      <c r="I86" s="2707">
        <v>0</v>
      </c>
      <c r="J86" s="2707">
        <v>0</v>
      </c>
      <c r="K86" s="2707">
        <v>0.64500000000000002</v>
      </c>
      <c r="L86" s="2707">
        <v>0</v>
      </c>
      <c r="M86" s="2707">
        <v>0</v>
      </c>
      <c r="N86" s="2707">
        <v>0</v>
      </c>
      <c r="O86" s="2707">
        <v>0</v>
      </c>
      <c r="P86" s="2707">
        <v>0</v>
      </c>
      <c r="Q86" s="2707">
        <v>0</v>
      </c>
      <c r="R86" s="2707">
        <v>0</v>
      </c>
      <c r="S86" s="2707">
        <v>0</v>
      </c>
      <c r="T86" s="2707">
        <v>0</v>
      </c>
      <c r="U86" s="2707">
        <v>0</v>
      </c>
      <c r="V86" s="2707">
        <v>0</v>
      </c>
      <c r="W86" s="2707">
        <v>0</v>
      </c>
      <c r="X86" s="2707">
        <v>0</v>
      </c>
      <c r="Y86" s="2707">
        <v>0</v>
      </c>
      <c r="Z86" s="2707">
        <v>0</v>
      </c>
      <c r="AA86" s="2707">
        <v>0</v>
      </c>
      <c r="AB86" s="2707">
        <v>0</v>
      </c>
      <c r="AC86" s="2707">
        <v>0</v>
      </c>
      <c r="AD86" s="2707">
        <v>0</v>
      </c>
      <c r="AE86" s="2707">
        <v>0</v>
      </c>
      <c r="AF86" s="2707">
        <v>0</v>
      </c>
      <c r="AG86" s="2707">
        <v>0</v>
      </c>
      <c r="AH86" s="2707">
        <v>0</v>
      </c>
      <c r="AI86" s="2707">
        <v>0</v>
      </c>
      <c r="AJ86" s="2707">
        <v>0</v>
      </c>
      <c r="AK86" s="2707">
        <v>0</v>
      </c>
      <c r="AL86" s="2707">
        <v>0</v>
      </c>
      <c r="AM86" s="2707">
        <v>0</v>
      </c>
      <c r="AN86" s="2707">
        <v>0</v>
      </c>
      <c r="AO86" s="2707">
        <v>0</v>
      </c>
      <c r="AP86" s="2707">
        <v>0</v>
      </c>
      <c r="AQ86" s="2707">
        <v>0</v>
      </c>
      <c r="AR86" s="2707">
        <v>0</v>
      </c>
      <c r="AS86" s="2707">
        <v>0</v>
      </c>
      <c r="AT86" s="2707">
        <v>0</v>
      </c>
      <c r="AU86" s="2682">
        <v>0</v>
      </c>
      <c r="AV86" s="2682">
        <v>0</v>
      </c>
      <c r="AW86" s="2682">
        <v>0</v>
      </c>
      <c r="AX86" s="2682">
        <v>0</v>
      </c>
      <c r="AY86" s="2682">
        <v>0</v>
      </c>
      <c r="AZ86" s="2682">
        <v>0</v>
      </c>
      <c r="BA86" s="2682">
        <v>0</v>
      </c>
      <c r="BB86" s="2682">
        <v>0</v>
      </c>
      <c r="BC86" s="2682">
        <v>0</v>
      </c>
      <c r="BD86" s="2682">
        <v>0</v>
      </c>
      <c r="BE86" s="2682">
        <v>0</v>
      </c>
      <c r="BF86" s="2682">
        <v>0</v>
      </c>
      <c r="BG86" s="2682">
        <v>0</v>
      </c>
      <c r="BH86" s="2682">
        <v>0</v>
      </c>
      <c r="BI86" s="2682">
        <v>0</v>
      </c>
      <c r="BJ86" s="2682">
        <v>0</v>
      </c>
      <c r="BK86" s="2682">
        <v>0</v>
      </c>
      <c r="BL86" s="2682">
        <v>0</v>
      </c>
      <c r="BM86" s="2682">
        <v>0</v>
      </c>
      <c r="BN86" s="2682">
        <v>0</v>
      </c>
      <c r="BO86" s="2682">
        <v>0.36281278378163884</v>
      </c>
      <c r="BP86" s="2682">
        <v>0</v>
      </c>
      <c r="BQ86" s="2682">
        <v>0</v>
      </c>
      <c r="BR86" s="2682">
        <v>0</v>
      </c>
      <c r="BS86" s="2682">
        <v>0.12995889812847708</v>
      </c>
      <c r="BT86" s="2682">
        <v>0</v>
      </c>
      <c r="BU86" s="2682">
        <v>0.18292203580018818</v>
      </c>
      <c r="BV86" s="2682">
        <v>0</v>
      </c>
      <c r="BW86" s="2682">
        <v>0</v>
      </c>
      <c r="BX86" s="2682">
        <v>0</v>
      </c>
      <c r="BY86" s="2682">
        <v>0.13426107323750916</v>
      </c>
      <c r="BZ86" s="2682">
        <v>0</v>
      </c>
      <c r="CA86" s="2682">
        <v>0.17575647950717391</v>
      </c>
      <c r="CB86" s="2682">
        <v>0</v>
      </c>
      <c r="CC86" s="2682">
        <v>0.13235609751000157</v>
      </c>
      <c r="CD86" s="2682">
        <v>0</v>
      </c>
      <c r="CE86" s="2682">
        <v>0.33387211918772952</v>
      </c>
      <c r="CF86" s="2682">
        <v>0</v>
      </c>
      <c r="CG86" s="2682">
        <v>0.18290132736073089</v>
      </c>
      <c r="CH86" s="2682">
        <v>0</v>
      </c>
      <c r="CI86" s="2682">
        <v>0.2</v>
      </c>
      <c r="CJ86" s="2682">
        <v>0</v>
      </c>
      <c r="CK86" s="847"/>
    </row>
    <row r="87" spans="1:89" ht="16.5" x14ac:dyDescent="0.3">
      <c r="A87" s="2666" t="s">
        <v>4836</v>
      </c>
      <c r="B87" s="2677" t="s">
        <v>3541</v>
      </c>
      <c r="C87" s="2707">
        <v>3.6005669340728605</v>
      </c>
      <c r="D87" s="2707">
        <v>0</v>
      </c>
      <c r="E87" s="2707">
        <v>30.63061921109902</v>
      </c>
      <c r="F87" s="2707">
        <v>1.9724418005250695</v>
      </c>
      <c r="G87" s="2707">
        <v>16.540567140961716</v>
      </c>
      <c r="H87" s="2707">
        <v>0</v>
      </c>
      <c r="I87" s="2707">
        <v>4.3959442559062509</v>
      </c>
      <c r="J87" s="2707">
        <v>1</v>
      </c>
      <c r="K87" s="2707">
        <v>15.083773480983879</v>
      </c>
      <c r="L87" s="2707">
        <v>0</v>
      </c>
      <c r="M87" s="2707">
        <v>13.6987654727535</v>
      </c>
      <c r="N87" s="2707">
        <v>0</v>
      </c>
      <c r="O87" s="2707">
        <v>1.6748406378498337</v>
      </c>
      <c r="P87" s="2707">
        <v>0</v>
      </c>
      <c r="Q87" s="2707">
        <v>1.7241263802696705</v>
      </c>
      <c r="R87" s="2707">
        <v>0</v>
      </c>
      <c r="S87" s="2707">
        <v>13.906121282706113</v>
      </c>
      <c r="T87" s="2707">
        <v>0</v>
      </c>
      <c r="U87" s="2707">
        <v>1.5042215598872761</v>
      </c>
      <c r="V87" s="2707">
        <v>0</v>
      </c>
      <c r="W87" s="2707">
        <v>7.4845684400892001</v>
      </c>
      <c r="X87" s="2707">
        <v>0</v>
      </c>
      <c r="Y87" s="2707">
        <v>3.3233674999999998</v>
      </c>
      <c r="Z87" s="2707">
        <v>0</v>
      </c>
      <c r="AA87" s="2707">
        <v>1.5242990073719862</v>
      </c>
      <c r="AB87" s="2707">
        <v>0</v>
      </c>
      <c r="AC87" s="2707">
        <v>2.2535139709131409</v>
      </c>
      <c r="AD87" s="2707">
        <v>0</v>
      </c>
      <c r="AE87" s="2707">
        <v>1.1816870415784893</v>
      </c>
      <c r="AF87" s="2707">
        <v>0.12</v>
      </c>
      <c r="AG87" s="2707">
        <v>0.5</v>
      </c>
      <c r="AH87" s="2707">
        <v>0</v>
      </c>
      <c r="AI87" s="2707">
        <v>0.5</v>
      </c>
      <c r="AJ87" s="2707">
        <v>0</v>
      </c>
      <c r="AK87" s="2707">
        <v>0</v>
      </c>
      <c r="AL87" s="2707">
        <v>0</v>
      </c>
      <c r="AM87" s="2707">
        <v>0</v>
      </c>
      <c r="AN87" s="2707">
        <v>0</v>
      </c>
      <c r="AO87" s="2707">
        <v>0.15429783293287083</v>
      </c>
      <c r="AP87" s="2707">
        <v>0</v>
      </c>
      <c r="AQ87" s="2707">
        <v>0</v>
      </c>
      <c r="AR87" s="2707">
        <v>5.4748756349471281E-2</v>
      </c>
      <c r="AS87" s="2707">
        <v>0</v>
      </c>
      <c r="AT87" s="2707">
        <v>0</v>
      </c>
      <c r="AU87" s="2682">
        <v>0.67</v>
      </c>
      <c r="AV87" s="2682">
        <v>0</v>
      </c>
      <c r="AW87" s="2682">
        <v>1.34</v>
      </c>
      <c r="AX87" s="2682">
        <v>5.0000000000000001E-3</v>
      </c>
      <c r="AY87" s="2682">
        <v>1.5060251372126907</v>
      </c>
      <c r="AZ87" s="2682">
        <v>0</v>
      </c>
      <c r="BA87" s="2682">
        <v>1.692907312918162</v>
      </c>
      <c r="BB87" s="2682">
        <v>0</v>
      </c>
      <c r="BC87" s="2682">
        <v>1.94</v>
      </c>
      <c r="BD87" s="2682">
        <v>0</v>
      </c>
      <c r="BE87" s="2682">
        <v>0.5</v>
      </c>
      <c r="BF87" s="2682">
        <v>0.30215010459680247</v>
      </c>
      <c r="BG87" s="2682">
        <v>3.2420000000000004</v>
      </c>
      <c r="BH87" s="2682">
        <v>0.13207962137624377</v>
      </c>
      <c r="BI87" s="2682">
        <v>0.63400000000000001</v>
      </c>
      <c r="BJ87" s="2682">
        <v>0</v>
      </c>
      <c r="BK87" s="2682">
        <v>1.0009999999999999</v>
      </c>
      <c r="BL87" s="2682">
        <v>0</v>
      </c>
      <c r="BM87" s="2682">
        <v>1.268</v>
      </c>
      <c r="BN87" s="2682">
        <v>0</v>
      </c>
      <c r="BO87" s="2682">
        <v>0.63400000000000001</v>
      </c>
      <c r="BP87" s="2682">
        <v>0</v>
      </c>
      <c r="BQ87" s="2682">
        <v>1.4439738736403072</v>
      </c>
      <c r="BR87" s="2682">
        <v>0</v>
      </c>
      <c r="BS87" s="2682">
        <v>0.36834544000000002</v>
      </c>
      <c r="BT87" s="2682">
        <v>0.37352699426211178</v>
      </c>
      <c r="BU87" s="2682">
        <v>0.3</v>
      </c>
      <c r="BV87" s="2682">
        <v>0.31641550552740194</v>
      </c>
      <c r="BW87" s="2682">
        <v>0.89999999999999991</v>
      </c>
      <c r="BX87" s="2682">
        <v>0.26246532310684584</v>
      </c>
      <c r="BY87" s="2682">
        <v>1.2</v>
      </c>
      <c r="BZ87" s="2682">
        <v>0</v>
      </c>
      <c r="CA87" s="2682">
        <v>2.2000000000000002</v>
      </c>
      <c r="CB87" s="2682">
        <v>0</v>
      </c>
      <c r="CC87" s="2682">
        <v>2</v>
      </c>
      <c r="CD87" s="2682">
        <v>0</v>
      </c>
      <c r="CE87" s="2682">
        <v>2.02</v>
      </c>
      <c r="CF87" s="2682">
        <v>0</v>
      </c>
      <c r="CG87" s="2682">
        <v>0.68</v>
      </c>
      <c r="CH87" s="2682">
        <v>0</v>
      </c>
      <c r="CI87" s="2682">
        <v>0</v>
      </c>
      <c r="CJ87" s="2682">
        <v>0</v>
      </c>
      <c r="CK87" s="847"/>
    </row>
    <row r="88" spans="1:89" ht="17.25" thickBot="1" x14ac:dyDescent="0.35">
      <c r="A88" s="2710"/>
      <c r="B88" s="2684" t="s">
        <v>4841</v>
      </c>
      <c r="C88" s="2707">
        <v>0</v>
      </c>
      <c r="D88" s="2707">
        <v>0</v>
      </c>
      <c r="E88" s="2707">
        <v>0</v>
      </c>
      <c r="F88" s="2707">
        <v>0</v>
      </c>
      <c r="G88" s="2707">
        <v>0</v>
      </c>
      <c r="H88" s="2707">
        <v>0</v>
      </c>
      <c r="I88" s="2707">
        <v>0</v>
      </c>
      <c r="J88" s="2707">
        <v>0</v>
      </c>
      <c r="K88" s="2707">
        <v>0</v>
      </c>
      <c r="L88" s="2707">
        <v>0</v>
      </c>
      <c r="M88" s="2707">
        <v>0.2233675</v>
      </c>
      <c r="N88" s="2707">
        <v>0</v>
      </c>
      <c r="O88" s="2707">
        <v>0.72336750000000005</v>
      </c>
      <c r="P88" s="2707">
        <v>0</v>
      </c>
      <c r="Q88" s="2707">
        <v>0.2233675</v>
      </c>
      <c r="R88" s="2707">
        <v>0</v>
      </c>
      <c r="S88" s="2713">
        <v>0.89836749999999999</v>
      </c>
      <c r="T88" s="2713">
        <v>0</v>
      </c>
      <c r="U88" s="2713">
        <v>0.2233675</v>
      </c>
      <c r="V88" s="2713">
        <v>0</v>
      </c>
      <c r="W88" s="2713">
        <v>1.6716096609241511</v>
      </c>
      <c r="X88" s="2713">
        <v>0</v>
      </c>
      <c r="Y88" s="2713">
        <v>2.2447829063700904</v>
      </c>
      <c r="Z88" s="2713">
        <v>0</v>
      </c>
      <c r="AA88" s="2713">
        <v>0.72336750000000005</v>
      </c>
      <c r="AB88" s="2713">
        <v>0</v>
      </c>
      <c r="AC88" s="2713">
        <v>0.72336750000000005</v>
      </c>
      <c r="AD88" s="2713">
        <v>0</v>
      </c>
      <c r="AE88" s="2713">
        <v>0.62</v>
      </c>
      <c r="AF88" s="2713">
        <v>0.95029348683373172</v>
      </c>
      <c r="AG88" s="2713">
        <v>2.0047671456587892</v>
      </c>
      <c r="AH88" s="2713">
        <v>0</v>
      </c>
      <c r="AI88" s="2713">
        <v>1.991225542812493</v>
      </c>
      <c r="AJ88" s="2713">
        <v>0</v>
      </c>
      <c r="AK88" s="2713">
        <v>1.9836951136752876</v>
      </c>
      <c r="AL88" s="2713">
        <v>0</v>
      </c>
      <c r="AM88" s="2713">
        <v>1.9746813043659803</v>
      </c>
      <c r="AN88" s="2713">
        <v>0</v>
      </c>
      <c r="AO88" s="2713">
        <v>1.9742611749602519</v>
      </c>
      <c r="AP88" s="2713">
        <v>0</v>
      </c>
      <c r="AQ88" s="2713">
        <v>0.5</v>
      </c>
      <c r="AR88" s="2713">
        <v>0</v>
      </c>
      <c r="AS88" s="2713">
        <v>0.5</v>
      </c>
      <c r="AT88" s="2713">
        <v>0</v>
      </c>
      <c r="AU88" s="2689">
        <v>0.5</v>
      </c>
      <c r="AV88" s="2689">
        <v>0</v>
      </c>
      <c r="AW88" s="2689">
        <v>0</v>
      </c>
      <c r="AX88" s="2689">
        <v>0</v>
      </c>
      <c r="AY88" s="2689">
        <v>0.5</v>
      </c>
      <c r="AZ88" s="2689">
        <v>0</v>
      </c>
      <c r="BA88" s="2689">
        <v>1.8412573140578576</v>
      </c>
      <c r="BB88" s="2689">
        <v>0</v>
      </c>
      <c r="BC88" s="2689">
        <v>1.1816598983129354</v>
      </c>
      <c r="BD88" s="2689">
        <v>0</v>
      </c>
      <c r="BE88" s="2689">
        <v>0.5</v>
      </c>
      <c r="BF88" s="2689">
        <v>0</v>
      </c>
      <c r="BG88" s="2689">
        <v>1.7994222165807452</v>
      </c>
      <c r="BH88" s="2689">
        <v>0.213672450974492</v>
      </c>
      <c r="BI88" s="2689">
        <v>0.5</v>
      </c>
      <c r="BJ88" s="2689">
        <v>0</v>
      </c>
      <c r="BK88" s="2689">
        <v>1.916691151943587</v>
      </c>
      <c r="BL88" s="2689">
        <v>0</v>
      </c>
      <c r="BM88" s="2689">
        <v>0.7</v>
      </c>
      <c r="BN88" s="2689">
        <v>0</v>
      </c>
      <c r="BO88" s="2689">
        <v>2.2995559593968569</v>
      </c>
      <c r="BP88" s="2689">
        <v>0</v>
      </c>
      <c r="BQ88" s="2689">
        <v>0.5</v>
      </c>
      <c r="BR88" s="2689">
        <v>0</v>
      </c>
      <c r="BS88" s="2689">
        <v>0.5</v>
      </c>
      <c r="BT88" s="2689">
        <v>0</v>
      </c>
      <c r="BU88" s="2689">
        <v>0.54699748999999998</v>
      </c>
      <c r="BV88" s="2689">
        <v>0</v>
      </c>
      <c r="BW88" s="2689">
        <v>0</v>
      </c>
      <c r="BX88" s="2689">
        <v>0.5</v>
      </c>
      <c r="BY88" s="2689">
        <v>0.25</v>
      </c>
      <c r="BZ88" s="2689">
        <v>0</v>
      </c>
      <c r="CA88" s="2689">
        <v>0.25</v>
      </c>
      <c r="CB88" s="2689">
        <v>0</v>
      </c>
      <c r="CC88" s="2689">
        <v>0.125</v>
      </c>
      <c r="CD88" s="2689">
        <v>0</v>
      </c>
      <c r="CE88" s="2689">
        <v>0.125</v>
      </c>
      <c r="CF88" s="2689">
        <v>0</v>
      </c>
      <c r="CG88" s="2689">
        <v>0.125</v>
      </c>
      <c r="CH88" s="2689">
        <v>0</v>
      </c>
      <c r="CI88" s="2689">
        <v>0.59677857975578374</v>
      </c>
      <c r="CJ88" s="2689">
        <v>0</v>
      </c>
      <c r="CK88" s="847"/>
    </row>
    <row r="89" spans="1:89" ht="17.25" thickBot="1" x14ac:dyDescent="0.35">
      <c r="A89" s="2611"/>
      <c r="B89" s="2723" t="s">
        <v>4861</v>
      </c>
      <c r="C89" s="2724">
        <v>805.51711969367591</v>
      </c>
      <c r="D89" s="2724">
        <v>84.10724991605403</v>
      </c>
      <c r="E89" s="2724">
        <v>890.83285629427928</v>
      </c>
      <c r="F89" s="2724">
        <v>236.2813185514201</v>
      </c>
      <c r="G89" s="2724">
        <v>835.73827465279805</v>
      </c>
      <c r="H89" s="2724">
        <v>275.5056143217393</v>
      </c>
      <c r="I89" s="2724">
        <v>728.79644824742354</v>
      </c>
      <c r="J89" s="2724">
        <v>108.79930046260465</v>
      </c>
      <c r="K89" s="2724">
        <v>844.1525778505038</v>
      </c>
      <c r="L89" s="2724">
        <v>115.57746481043802</v>
      </c>
      <c r="M89" s="2724">
        <v>726.04702952791945</v>
      </c>
      <c r="N89" s="2724">
        <v>99.878147136172075</v>
      </c>
      <c r="O89" s="2724">
        <v>619.67299345034314</v>
      </c>
      <c r="P89" s="2724">
        <v>159.99032544272086</v>
      </c>
      <c r="Q89" s="2724">
        <v>559.45748112217939</v>
      </c>
      <c r="R89" s="2724">
        <v>87.247597536880761</v>
      </c>
      <c r="S89" s="2725">
        <v>609.12817469194943</v>
      </c>
      <c r="T89" s="2725">
        <v>58.071594634382258</v>
      </c>
      <c r="U89" s="2725">
        <v>513.60148941743125</v>
      </c>
      <c r="V89" s="2725">
        <v>98.938641665646472</v>
      </c>
      <c r="W89" s="2725">
        <v>480.87480826407858</v>
      </c>
      <c r="X89" s="2725">
        <v>69.799005970839332</v>
      </c>
      <c r="Y89" s="2725">
        <v>593.75706701905938</v>
      </c>
      <c r="Z89" s="2725">
        <v>63.715336599602438</v>
      </c>
      <c r="AA89" s="2725">
        <v>604.55244390276107</v>
      </c>
      <c r="AB89" s="2725">
        <v>41.306555191608496</v>
      </c>
      <c r="AC89" s="2725">
        <v>693.32583583059431</v>
      </c>
      <c r="AD89" s="2725">
        <v>63.669930704779794</v>
      </c>
      <c r="AE89" s="2725">
        <v>997.84634556663718</v>
      </c>
      <c r="AF89" s="2725">
        <v>51.703070648011455</v>
      </c>
      <c r="AG89" s="2725">
        <v>1019.6836283998001</v>
      </c>
      <c r="AH89" s="2725">
        <v>41.028072640690283</v>
      </c>
      <c r="AI89" s="2725">
        <v>946.79343447583881</v>
      </c>
      <c r="AJ89" s="2725">
        <v>50.607500316393676</v>
      </c>
      <c r="AK89" s="2725">
        <v>865.79519633076325</v>
      </c>
      <c r="AL89" s="2725">
        <v>210.39151817244269</v>
      </c>
      <c r="AM89" s="2725">
        <v>858.66443337539886</v>
      </c>
      <c r="AN89" s="2725">
        <v>69.949433705730542</v>
      </c>
      <c r="AO89" s="2725">
        <v>965.30562867165315</v>
      </c>
      <c r="AP89" s="2725">
        <v>92.992517274412506</v>
      </c>
      <c r="AQ89" s="2725">
        <v>680.75374552768744</v>
      </c>
      <c r="AR89" s="2725">
        <v>129.17819492340934</v>
      </c>
      <c r="AS89" s="2725">
        <v>927.72124701900725</v>
      </c>
      <c r="AT89" s="2725">
        <v>228.49591139720914</v>
      </c>
      <c r="AU89" s="2726">
        <v>586.55637471605235</v>
      </c>
      <c r="AV89" s="2726">
        <v>209.13073484604078</v>
      </c>
      <c r="AW89" s="2726">
        <v>772.73518611704378</v>
      </c>
      <c r="AX89" s="2726">
        <v>121.81588231958798</v>
      </c>
      <c r="AY89" s="2726">
        <v>728.77983942298431</v>
      </c>
      <c r="AZ89" s="2726">
        <v>128.22427299527143</v>
      </c>
      <c r="BA89" s="2726">
        <v>527.47596386848261</v>
      </c>
      <c r="BB89" s="2726">
        <v>112.89936849300935</v>
      </c>
      <c r="BC89" s="2726">
        <v>280.66912333552528</v>
      </c>
      <c r="BD89" s="2727">
        <v>88.680137137698338</v>
      </c>
      <c r="BE89" s="2727">
        <v>168.19699956114675</v>
      </c>
      <c r="BF89" s="2727">
        <v>50.506000399025552</v>
      </c>
      <c r="BG89" s="2727">
        <v>252.188270825513</v>
      </c>
      <c r="BH89" s="2727">
        <v>47.882735283910769</v>
      </c>
      <c r="BI89" s="2727">
        <v>313.85527105769586</v>
      </c>
      <c r="BJ89" s="2727">
        <v>130.48612527960017</v>
      </c>
      <c r="BK89" s="2727">
        <v>304.31921753922393</v>
      </c>
      <c r="BL89" s="2727">
        <v>162.13718147400968</v>
      </c>
      <c r="BM89" s="2727">
        <v>260.22806918860465</v>
      </c>
      <c r="BN89" s="2727">
        <v>125.28590584565002</v>
      </c>
      <c r="BO89" s="2727">
        <v>267.27551918287912</v>
      </c>
      <c r="BP89" s="2727">
        <v>140.25665017647916</v>
      </c>
      <c r="BQ89" s="2727">
        <v>332.62804187661749</v>
      </c>
      <c r="BR89" s="2727">
        <v>76.451634695728544</v>
      </c>
      <c r="BS89" s="2727">
        <v>356.21403656968698</v>
      </c>
      <c r="BT89" s="2727">
        <v>116.52700862988701</v>
      </c>
      <c r="BU89" s="2727">
        <v>278.32524412309402</v>
      </c>
      <c r="BV89" s="2727">
        <v>118.79525745632101</v>
      </c>
      <c r="BW89" s="2698">
        <f>SUM(BW74:BW88)</f>
        <v>197.19377245660399</v>
      </c>
      <c r="BX89" s="2698">
        <f>SUM(BX74:BX88)</f>
        <v>102.0365174886841</v>
      </c>
      <c r="BY89" s="2698">
        <v>243.37974490782182</v>
      </c>
      <c r="BZ89" s="2698">
        <v>48.305506469266845</v>
      </c>
      <c r="CA89" s="2698">
        <v>384.63867184770049</v>
      </c>
      <c r="CB89" s="2698">
        <v>47.179614003188505</v>
      </c>
      <c r="CC89" s="2698">
        <v>543.25941363091977</v>
      </c>
      <c r="CD89" s="2698">
        <v>33.616520207260528</v>
      </c>
      <c r="CE89" s="2698">
        <v>602.77400904095748</v>
      </c>
      <c r="CF89" s="2698">
        <v>56.906323675993782</v>
      </c>
      <c r="CG89" s="2698">
        <f>SUM(CG74:CG88)</f>
        <v>508.22863120404509</v>
      </c>
      <c r="CH89" s="2698">
        <f>SUM(CH74:CH88)</f>
        <v>101.34434331851217</v>
      </c>
      <c r="CI89" s="2699">
        <f>SUM(CI74:CI88)</f>
        <v>540.00222001874204</v>
      </c>
      <c r="CJ89" s="2699">
        <f>SUM(CJ74:CJ88)</f>
        <v>255.90771640440923</v>
      </c>
      <c r="CK89" s="2676"/>
    </row>
    <row r="90" spans="1:89" s="2730" customFormat="1" ht="15.75" thickTop="1" x14ac:dyDescent="0.25">
      <c r="A90" s="2728" t="s">
        <v>4842</v>
      </c>
      <c r="B90" s="2729"/>
      <c r="C90" s="2729"/>
      <c r="D90" s="2729"/>
      <c r="E90" s="2729"/>
      <c r="F90" s="2729"/>
      <c r="G90" s="2729"/>
      <c r="H90" s="2729"/>
      <c r="I90" s="2729"/>
      <c r="J90" s="2729"/>
      <c r="K90" s="2729"/>
      <c r="L90" s="2729"/>
      <c r="M90" s="2729"/>
      <c r="N90" s="2729"/>
      <c r="O90" s="2729"/>
      <c r="P90" s="2729"/>
      <c r="Q90" s="2729"/>
      <c r="R90" s="2729"/>
      <c r="S90" s="2729"/>
      <c r="T90" s="2729"/>
      <c r="U90" s="2729"/>
      <c r="V90" s="2729"/>
      <c r="W90" s="2729"/>
      <c r="X90" s="2729"/>
      <c r="Y90" s="2729"/>
      <c r="Z90" s="2729"/>
      <c r="AA90" s="2729"/>
      <c r="AB90" s="2729"/>
      <c r="AC90" s="2729"/>
      <c r="AD90" s="2729"/>
      <c r="AE90" s="2729"/>
      <c r="AF90" s="2362"/>
      <c r="AG90" s="2362"/>
      <c r="AH90" s="2362"/>
      <c r="AI90" s="2362"/>
      <c r="AJ90" s="2362"/>
      <c r="AK90" s="2362"/>
      <c r="AL90" s="2362"/>
      <c r="AM90" s="2362"/>
      <c r="AN90" s="2362"/>
      <c r="AO90" s="2362"/>
      <c r="AP90" s="2362"/>
      <c r="AQ90" s="2362"/>
      <c r="AR90" s="2362"/>
      <c r="AS90" s="2362"/>
      <c r="AT90" s="2362"/>
      <c r="AU90" s="2362"/>
      <c r="AV90" s="2362"/>
      <c r="AW90" s="2362"/>
      <c r="AX90" s="2362"/>
      <c r="AY90" s="2362"/>
      <c r="AZ90" s="2362"/>
      <c r="BA90" s="2362"/>
      <c r="BB90" s="2362"/>
      <c r="BC90" s="2362"/>
      <c r="BD90" s="2362"/>
      <c r="BE90" s="2362"/>
      <c r="BF90" s="2362"/>
      <c r="BG90" s="2362"/>
      <c r="BH90" s="2362"/>
      <c r="BI90" s="2362"/>
      <c r="BJ90" s="2362"/>
      <c r="BK90" s="2362"/>
      <c r="BL90" s="2362"/>
      <c r="BM90" s="2362"/>
      <c r="BN90" s="2362"/>
      <c r="BO90" s="2362"/>
      <c r="BP90" s="2362"/>
      <c r="BQ90" s="2362"/>
      <c r="BR90" s="2362"/>
      <c r="BS90" s="2362"/>
      <c r="BT90" s="2362"/>
      <c r="BU90" s="2362"/>
      <c r="BV90" s="2362"/>
      <c r="BW90" s="2362"/>
      <c r="BX90" s="2362"/>
      <c r="BY90" s="2362"/>
      <c r="BZ90" s="2362"/>
      <c r="CA90" s="2362"/>
      <c r="CB90" s="2362"/>
      <c r="CC90" s="2362"/>
      <c r="CD90" s="2362"/>
      <c r="CE90" s="2362"/>
      <c r="CF90" s="2362"/>
      <c r="CG90" s="2362"/>
      <c r="CH90" s="2362"/>
      <c r="CI90" s="2362"/>
      <c r="CJ90" s="2362"/>
      <c r="CK90" s="2676"/>
    </row>
    <row r="91" spans="1:89" s="2733" customFormat="1" x14ac:dyDescent="0.25">
      <c r="A91" s="2728" t="s">
        <v>4843</v>
      </c>
      <c r="B91" s="2731"/>
      <c r="C91" s="2731"/>
      <c r="D91" s="2731"/>
      <c r="E91" s="2731"/>
      <c r="F91" s="2731"/>
      <c r="G91" s="2731"/>
      <c r="H91" s="2731"/>
      <c r="I91" s="2731"/>
      <c r="J91" s="2731"/>
      <c r="K91" s="2731"/>
      <c r="L91" s="2731"/>
      <c r="M91" s="2731"/>
      <c r="N91" s="2731"/>
      <c r="O91" s="2732"/>
      <c r="P91" s="2731"/>
      <c r="Q91" s="2731"/>
      <c r="R91" s="2731"/>
      <c r="S91" s="2731"/>
      <c r="T91" s="2731"/>
      <c r="U91" s="2732"/>
      <c r="V91" s="2731"/>
      <c r="W91" s="2731"/>
      <c r="X91" s="2731"/>
      <c r="Y91" s="2731"/>
      <c r="Z91" s="2731"/>
      <c r="AA91" s="2731"/>
      <c r="AB91" s="2731"/>
      <c r="AC91" s="2731"/>
      <c r="AD91" s="2731"/>
      <c r="AE91" s="2731"/>
      <c r="AF91" s="2362"/>
      <c r="AG91" s="2362"/>
      <c r="AH91" s="2362"/>
      <c r="AI91" s="2362"/>
      <c r="AJ91" s="2362"/>
      <c r="AK91" s="2362"/>
      <c r="AL91" s="2362"/>
      <c r="AM91" s="2362"/>
      <c r="AN91" s="2362"/>
      <c r="AO91" s="2362"/>
      <c r="AP91" s="2362"/>
      <c r="AQ91" s="2362"/>
      <c r="AR91" s="2362"/>
      <c r="AS91" s="2362"/>
      <c r="AT91" s="2362"/>
      <c r="AU91" s="2362"/>
      <c r="AV91" s="2362"/>
      <c r="AW91" s="2362"/>
      <c r="AX91" s="2362"/>
      <c r="AY91" s="2362"/>
      <c r="AZ91" s="2362"/>
      <c r="BA91" s="2362"/>
      <c r="BB91" s="2362"/>
      <c r="BC91" s="2362"/>
      <c r="BD91" s="2362"/>
      <c r="BE91" s="2362"/>
      <c r="BF91" s="2362"/>
      <c r="BG91" s="2362"/>
      <c r="BH91" s="2362"/>
      <c r="BI91" s="2362"/>
      <c r="BJ91" s="2362"/>
      <c r="BK91" s="2362"/>
      <c r="BL91" s="2362"/>
      <c r="BM91" s="2362"/>
      <c r="BN91" s="2362"/>
      <c r="BO91" s="2362"/>
      <c r="BP91" s="2362"/>
      <c r="BQ91" s="2362"/>
      <c r="BR91" s="2362"/>
      <c r="BS91" s="2362"/>
      <c r="BT91" s="2362"/>
      <c r="BU91" s="2362"/>
      <c r="BV91" s="2362"/>
      <c r="BW91" s="2362"/>
      <c r="BX91" s="2362"/>
      <c r="BY91" s="2362"/>
      <c r="BZ91" s="2362"/>
      <c r="CA91" s="2362"/>
      <c r="CB91" s="2362"/>
      <c r="CC91" s="2362"/>
      <c r="CD91" s="2362"/>
      <c r="CE91" s="2362"/>
      <c r="CF91" s="2362"/>
      <c r="CG91" s="2362"/>
      <c r="CH91" s="2362"/>
      <c r="CI91" s="2362"/>
      <c r="CJ91" s="2362"/>
      <c r="CK91" s="2676"/>
    </row>
    <row r="92" spans="1:89" ht="15.75" x14ac:dyDescent="0.25">
      <c r="A92" s="52" t="s">
        <v>4862</v>
      </c>
      <c r="C92" s="2734"/>
      <c r="D92" s="2734"/>
      <c r="E92" s="2734"/>
      <c r="F92" s="2734"/>
      <c r="G92" s="2734"/>
      <c r="H92" s="2734"/>
      <c r="I92" s="2734"/>
      <c r="J92" s="2734"/>
      <c r="K92" s="2734"/>
      <c r="L92" s="2734"/>
      <c r="M92" s="2734"/>
      <c r="N92" s="2734"/>
      <c r="O92" s="2734"/>
      <c r="P92" s="2734"/>
      <c r="Q92" s="2734"/>
      <c r="R92" s="2734"/>
      <c r="S92" s="2734"/>
      <c r="T92" s="2734"/>
      <c r="U92" s="2734"/>
      <c r="V92" s="2734"/>
      <c r="W92" s="2734"/>
      <c r="X92" s="2734"/>
      <c r="Y92" s="2734"/>
      <c r="Z92" s="2734"/>
      <c r="AA92" s="2734"/>
      <c r="AB92" s="2734"/>
      <c r="AC92" s="2734"/>
      <c r="AD92" s="2734"/>
      <c r="AE92" s="2734"/>
      <c r="AF92" s="2362"/>
      <c r="AG92" s="2362"/>
      <c r="AH92" s="2362"/>
      <c r="AI92" s="2362"/>
      <c r="AJ92" s="2362"/>
      <c r="AK92" s="2362"/>
      <c r="AL92" s="2362"/>
      <c r="AM92" s="2362"/>
      <c r="AN92" s="2362"/>
      <c r="AO92" s="2362"/>
      <c r="AP92" s="2362"/>
      <c r="AQ92" s="2362"/>
      <c r="AR92" s="2362"/>
      <c r="AS92" s="2362"/>
      <c r="AT92" s="2362"/>
      <c r="AU92" s="2362"/>
      <c r="AV92" s="2362"/>
      <c r="AW92" s="2362"/>
      <c r="AX92" s="2362"/>
      <c r="AY92" s="2362"/>
      <c r="AZ92" s="2362"/>
      <c r="BA92" s="2362"/>
      <c r="BB92" s="2362"/>
      <c r="BC92" s="2362"/>
      <c r="BD92" s="2362"/>
      <c r="BE92" s="2362"/>
      <c r="BF92" s="2362"/>
      <c r="BG92" s="2362"/>
      <c r="BH92" s="2362"/>
      <c r="BI92" s="2362"/>
      <c r="BJ92" s="2362"/>
      <c r="BK92" s="2362"/>
      <c r="BL92" s="2362"/>
      <c r="BM92" s="2362"/>
      <c r="BN92" s="2362"/>
      <c r="BO92" s="2362"/>
      <c r="BP92" s="2362"/>
      <c r="BQ92" s="2362"/>
      <c r="BR92" s="2362"/>
      <c r="BS92" s="2362"/>
      <c r="BT92" s="2362"/>
      <c r="BU92" s="2362"/>
      <c r="BV92" s="2362"/>
      <c r="BW92" s="2362"/>
      <c r="BX92" s="2362"/>
      <c r="BY92" s="2362"/>
      <c r="BZ92" s="2362"/>
      <c r="CA92" s="2362"/>
      <c r="CB92" s="2362"/>
      <c r="CC92" s="2362"/>
      <c r="CD92" s="2362"/>
      <c r="CE92" s="2362"/>
      <c r="CF92" s="2362"/>
      <c r="CG92" s="2362"/>
      <c r="CH92" s="2362"/>
      <c r="CI92" s="2362"/>
      <c r="CJ92" s="2362"/>
      <c r="CK92" s="2676"/>
    </row>
    <row r="93" spans="1:89" x14ac:dyDescent="0.25">
      <c r="A93" s="52" t="s">
        <v>172</v>
      </c>
      <c r="C93" s="2734"/>
      <c r="D93" s="2734"/>
      <c r="E93" s="2734"/>
      <c r="F93" s="2734"/>
      <c r="G93" s="2734"/>
      <c r="H93" s="2734"/>
      <c r="I93" s="2734"/>
      <c r="J93" s="2734"/>
      <c r="K93" s="2734"/>
      <c r="L93" s="2734"/>
      <c r="M93" s="2734"/>
      <c r="N93" s="2734"/>
      <c r="O93" s="2734"/>
      <c r="P93" s="2734"/>
      <c r="Q93" s="2734"/>
      <c r="R93" s="2734"/>
      <c r="S93" s="2734"/>
      <c r="T93" s="2734"/>
      <c r="U93" s="2734"/>
      <c r="V93" s="2734"/>
      <c r="W93" s="2734"/>
      <c r="X93" s="2734"/>
      <c r="Y93" s="2734"/>
      <c r="Z93" s="2734"/>
      <c r="AA93" s="2734"/>
      <c r="AB93" s="2734"/>
      <c r="AC93" s="2734"/>
      <c r="AD93" s="2734"/>
      <c r="AE93" s="2734"/>
      <c r="AF93" s="2362"/>
      <c r="AG93" s="2362"/>
      <c r="AH93" s="2362"/>
      <c r="AI93" s="2362"/>
      <c r="AJ93" s="2362"/>
      <c r="AK93" s="2362"/>
      <c r="AL93" s="2362"/>
      <c r="AM93" s="2362"/>
      <c r="AN93" s="2362"/>
      <c r="AO93" s="2362"/>
      <c r="AP93" s="2362"/>
      <c r="AQ93" s="2362"/>
      <c r="AR93" s="2362"/>
      <c r="AS93" s="2362"/>
      <c r="AT93" s="2362"/>
      <c r="AU93" s="2362"/>
      <c r="AV93" s="2362"/>
      <c r="AW93" s="2362"/>
      <c r="AX93" s="2362"/>
      <c r="AY93" s="2362"/>
      <c r="AZ93" s="2362"/>
      <c r="BA93" s="2362"/>
      <c r="BB93" s="2362"/>
      <c r="BC93" s="2362"/>
      <c r="BD93" s="2362"/>
      <c r="BE93" s="2362"/>
      <c r="BF93" s="2362"/>
      <c r="BG93" s="2362"/>
      <c r="BH93" s="2362"/>
      <c r="BI93" s="2362"/>
      <c r="BJ93" s="2362"/>
      <c r="BK93" s="2735"/>
      <c r="BL93" s="2735"/>
      <c r="BM93" s="2735"/>
      <c r="BN93" s="2735"/>
      <c r="BO93" s="2735"/>
      <c r="BP93" s="2735"/>
      <c r="BQ93" s="2735"/>
      <c r="BR93" s="2735"/>
      <c r="BS93" s="2735"/>
      <c r="BT93" s="2735"/>
      <c r="BU93" s="2735"/>
      <c r="BV93" s="2735"/>
      <c r="BW93" s="2735"/>
      <c r="BX93" s="2735"/>
      <c r="BY93" s="2735"/>
      <c r="BZ93" s="2735"/>
      <c r="CA93" s="2735"/>
      <c r="CB93" s="2735"/>
      <c r="CC93" s="2735"/>
      <c r="CD93" s="2735"/>
      <c r="CE93" s="2735"/>
      <c r="CF93" s="2735"/>
      <c r="CG93" s="2735"/>
      <c r="CH93" s="2735"/>
      <c r="CI93" s="2735"/>
      <c r="CJ93" s="2735"/>
      <c r="CK93" s="2676"/>
    </row>
    <row r="94" spans="1:89" ht="18.75" customHeight="1" x14ac:dyDescent="0.25">
      <c r="A94" s="52" t="s">
        <v>3553</v>
      </c>
      <c r="C94" s="2734"/>
      <c r="D94" s="2734"/>
      <c r="E94" s="2734"/>
      <c r="F94" s="2734"/>
      <c r="G94" s="2734"/>
      <c r="H94" s="2734"/>
      <c r="I94" s="2734"/>
      <c r="J94" s="2734"/>
      <c r="K94" s="2734"/>
      <c r="L94" s="2734"/>
      <c r="M94" s="2734"/>
      <c r="N94" s="2734"/>
      <c r="O94" s="2734"/>
      <c r="P94" s="2734"/>
      <c r="Q94" s="2734"/>
      <c r="R94" s="2734"/>
      <c r="S94" s="2734"/>
      <c r="T94" s="2734"/>
      <c r="U94" s="2734"/>
      <c r="V94" s="2734"/>
      <c r="W94" s="2734"/>
      <c r="X94" s="2734"/>
      <c r="Y94" s="2734"/>
      <c r="Z94" s="2734"/>
      <c r="AA94" s="2734"/>
      <c r="AB94" s="2734"/>
      <c r="AC94" s="2734"/>
      <c r="AD94" s="2734"/>
      <c r="AE94" s="2734"/>
      <c r="AF94" s="2362"/>
      <c r="AG94" s="2362"/>
      <c r="AH94" s="2362"/>
      <c r="AI94" s="2362"/>
      <c r="AJ94" s="2362"/>
      <c r="AK94" s="2362"/>
      <c r="AL94" s="2362"/>
      <c r="AM94" s="2362"/>
      <c r="AN94" s="2362"/>
      <c r="AO94" s="2362"/>
      <c r="AP94" s="2362"/>
      <c r="AQ94" s="2362"/>
      <c r="AR94" s="2362"/>
      <c r="AS94" s="2362"/>
      <c r="AT94" s="2362"/>
      <c r="AU94" s="2362"/>
      <c r="AV94" s="2362"/>
      <c r="AW94" s="2362"/>
      <c r="AX94" s="2362"/>
      <c r="AY94" s="2362"/>
      <c r="AZ94" s="2362"/>
      <c r="BA94" s="2362"/>
      <c r="BB94" s="2362"/>
      <c r="BC94" s="2362"/>
      <c r="BD94" s="2362"/>
      <c r="BE94" s="2362"/>
      <c r="BF94" s="2362"/>
      <c r="BG94" s="2362"/>
      <c r="BH94" s="2362"/>
      <c r="BI94" s="2362"/>
      <c r="BJ94" s="2362"/>
      <c r="BK94" s="2735"/>
      <c r="BL94" s="2735"/>
      <c r="BM94" s="2735"/>
      <c r="BN94" s="2735"/>
      <c r="BO94" s="2735"/>
      <c r="BP94" s="2735"/>
      <c r="BQ94" s="2735"/>
      <c r="BR94" s="2735"/>
      <c r="BS94" s="2735"/>
      <c r="BT94" s="2735"/>
      <c r="BU94" s="2735"/>
      <c r="BV94" s="2735"/>
      <c r="BW94" s="2735"/>
      <c r="BX94" s="2735"/>
      <c r="BY94" s="2735"/>
      <c r="BZ94" s="2735"/>
      <c r="CA94" s="2735"/>
      <c r="CB94" s="2735"/>
      <c r="CC94" s="2735"/>
      <c r="CD94" s="2735"/>
      <c r="CE94" s="2735"/>
      <c r="CF94" s="2735"/>
      <c r="CG94" s="2735"/>
      <c r="CH94" s="2735"/>
      <c r="CI94" s="2735"/>
      <c r="CJ94" s="2735"/>
      <c r="CK94" s="2676"/>
    </row>
    <row r="95" spans="1:89" s="2556" customFormat="1" ht="16.5" x14ac:dyDescent="0.3">
      <c r="BK95" s="2736"/>
      <c r="BL95" s="2736"/>
      <c r="BM95" s="2736"/>
      <c r="BN95" s="2736"/>
      <c r="BO95" s="2736"/>
      <c r="BP95" s="2736"/>
      <c r="BQ95" s="2736"/>
      <c r="BR95" s="2736"/>
      <c r="BS95" s="2736"/>
      <c r="BT95" s="2736"/>
      <c r="BU95" s="2736"/>
      <c r="BV95" s="2736"/>
      <c r="BW95" s="2736"/>
      <c r="BX95" s="2736"/>
      <c r="BY95" s="2736"/>
      <c r="BZ95" s="2736"/>
      <c r="CA95" s="2736"/>
      <c r="CB95" s="2736"/>
      <c r="CC95" s="2736"/>
      <c r="CD95" s="2736"/>
      <c r="CE95" s="2736"/>
      <c r="CF95" s="2736"/>
      <c r="CG95" s="2736"/>
      <c r="CH95" s="2736"/>
      <c r="CI95" s="2736"/>
      <c r="CJ95" s="2736"/>
      <c r="CK95" s="2736"/>
    </row>
    <row r="96" spans="1:89" s="2556" customFormat="1" ht="16.5" x14ac:dyDescent="0.3">
      <c r="BK96" s="2736"/>
      <c r="BL96" s="2736"/>
      <c r="BM96" s="2736"/>
      <c r="BN96" s="2736"/>
      <c r="BO96" s="2736"/>
      <c r="BP96" s="2736"/>
      <c r="BQ96" s="2736"/>
      <c r="BR96" s="2736"/>
      <c r="BS96" s="2736"/>
      <c r="BT96" s="2736"/>
      <c r="BU96" s="2736"/>
      <c r="BV96" s="2736"/>
      <c r="BW96" s="2736"/>
      <c r="BX96" s="2736"/>
      <c r="BY96" s="2736"/>
      <c r="BZ96" s="2736"/>
      <c r="CA96" s="2736"/>
      <c r="CB96" s="2736"/>
      <c r="CC96" s="2736"/>
      <c r="CD96" s="2736"/>
      <c r="CE96" s="2736"/>
      <c r="CF96" s="2736"/>
      <c r="CG96" s="2736"/>
      <c r="CH96" s="2736"/>
      <c r="CI96" s="2736"/>
      <c r="CJ96" s="2736"/>
      <c r="CK96" s="2736"/>
    </row>
    <row r="97" spans="1:89" x14ac:dyDescent="0.25">
      <c r="A97" s="1806"/>
      <c r="C97" s="1806"/>
      <c r="D97" s="1806"/>
      <c r="E97" s="1806"/>
      <c r="F97" s="1806"/>
      <c r="G97" s="1806"/>
      <c r="H97" s="1806"/>
      <c r="I97" s="1806"/>
      <c r="J97" s="1806"/>
      <c r="K97" s="1806"/>
      <c r="L97" s="1806"/>
      <c r="M97" s="1806"/>
      <c r="N97" s="1806"/>
      <c r="O97" s="1806"/>
      <c r="P97" s="1806"/>
      <c r="Q97" s="1806"/>
      <c r="R97" s="1806"/>
      <c r="S97" s="1806"/>
      <c r="T97" s="1806"/>
      <c r="U97" s="1806"/>
      <c r="V97" s="1806"/>
      <c r="W97" s="1806"/>
      <c r="X97" s="1806"/>
      <c r="Y97" s="1806"/>
      <c r="Z97" s="1806"/>
      <c r="AA97" s="1806"/>
      <c r="AB97" s="1806"/>
      <c r="AC97" s="1806"/>
      <c r="AD97" s="1806"/>
      <c r="AE97" s="1806"/>
      <c r="AF97" s="1806"/>
      <c r="AG97" s="1806"/>
      <c r="AH97" s="1806"/>
      <c r="AI97" s="1806"/>
      <c r="AJ97" s="1806"/>
      <c r="AK97" s="1806"/>
      <c r="AL97" s="1806"/>
      <c r="AM97" s="1806"/>
      <c r="AN97" s="1806"/>
      <c r="AO97" s="1806"/>
      <c r="AP97" s="1806"/>
      <c r="AQ97" s="1806"/>
      <c r="AR97" s="1806"/>
      <c r="AS97" s="1806"/>
      <c r="AT97" s="1806"/>
      <c r="AU97" s="1806"/>
      <c r="AV97" s="1806"/>
      <c r="AW97" s="1806"/>
      <c r="AX97" s="1806"/>
      <c r="AY97" s="1806"/>
      <c r="AZ97" s="1806"/>
      <c r="BA97" s="1806"/>
      <c r="BB97" s="1806"/>
      <c r="BC97" s="1806"/>
      <c r="BD97" s="1806"/>
      <c r="BE97" s="1806"/>
      <c r="BF97" s="1806"/>
      <c r="BG97" s="1806"/>
      <c r="BH97" s="1806"/>
      <c r="BI97" s="1806"/>
      <c r="BJ97" s="1806"/>
      <c r="BK97" s="2737"/>
      <c r="BL97" s="2737"/>
      <c r="BM97" s="2737"/>
      <c r="BN97" s="2737"/>
      <c r="BO97" s="2737"/>
      <c r="BP97" s="2737"/>
      <c r="BQ97" s="2737"/>
      <c r="BR97" s="2737"/>
      <c r="BS97" s="2737"/>
      <c r="BT97" s="2737"/>
      <c r="BU97" s="2737"/>
      <c r="BV97" s="2737"/>
      <c r="BW97" s="2737"/>
      <c r="BX97" s="2737"/>
      <c r="BY97" s="2737"/>
      <c r="BZ97" s="2737"/>
      <c r="CA97" s="2737"/>
      <c r="CB97" s="2737"/>
      <c r="CC97" s="2737"/>
      <c r="CD97" s="2737"/>
      <c r="CE97" s="2737"/>
      <c r="CF97" s="2737"/>
      <c r="CG97" s="2737"/>
      <c r="CH97" s="2737"/>
      <c r="CI97" s="2737"/>
      <c r="CJ97" s="2737"/>
      <c r="CK97" s="2735"/>
    </row>
    <row r="98" spans="1:89" x14ac:dyDescent="0.25">
      <c r="A98" s="1806"/>
      <c r="C98" s="1806"/>
      <c r="D98" s="1806"/>
      <c r="E98" s="1806"/>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c r="AL98" s="1806"/>
      <c r="AM98" s="1806"/>
      <c r="AN98" s="1806"/>
      <c r="AO98" s="1806"/>
      <c r="AP98" s="1806"/>
      <c r="AQ98" s="1806"/>
      <c r="AR98" s="1806"/>
      <c r="AS98" s="1806"/>
      <c r="AT98" s="1806"/>
      <c r="AU98" s="1806"/>
      <c r="AV98" s="1806"/>
      <c r="AW98" s="1806"/>
      <c r="AX98" s="1806"/>
      <c r="AY98" s="1806"/>
      <c r="AZ98" s="1806"/>
      <c r="BA98" s="1806"/>
      <c r="BB98" s="1806"/>
      <c r="BC98" s="1806"/>
      <c r="BD98" s="1806"/>
      <c r="BE98" s="1806"/>
      <c r="BF98" s="1806"/>
      <c r="BG98" s="1806"/>
      <c r="BH98" s="1806"/>
      <c r="BI98" s="1806"/>
      <c r="BJ98" s="1806"/>
      <c r="BK98" s="2737"/>
      <c r="BL98" s="2737"/>
      <c r="BM98" s="2737"/>
      <c r="BN98" s="2737"/>
      <c r="BO98" s="2737"/>
      <c r="BP98" s="2737"/>
      <c r="BQ98" s="2737"/>
      <c r="BR98" s="2737"/>
      <c r="BS98" s="2737"/>
      <c r="BT98" s="2737"/>
      <c r="BU98" s="2737"/>
      <c r="BV98" s="2737"/>
      <c r="BW98" s="2737"/>
      <c r="BX98" s="2737"/>
      <c r="BY98" s="2737"/>
      <c r="BZ98" s="2737"/>
      <c r="CA98" s="2737"/>
      <c r="CB98" s="2737"/>
      <c r="CC98" s="2737"/>
      <c r="CD98" s="2737"/>
      <c r="CE98" s="2737"/>
      <c r="CF98" s="2737"/>
      <c r="CG98" s="2737"/>
      <c r="CH98" s="2737"/>
      <c r="CI98" s="2737"/>
      <c r="CJ98" s="2737"/>
      <c r="CK98" s="2735"/>
    </row>
    <row r="99" spans="1:89" x14ac:dyDescent="0.25">
      <c r="A99" s="1806"/>
      <c r="C99" s="1806"/>
      <c r="D99" s="1806"/>
      <c r="E99" s="1806"/>
      <c r="F99" s="1806"/>
      <c r="G99" s="1806"/>
      <c r="H99" s="1806"/>
      <c r="I99" s="1806"/>
      <c r="J99" s="1806"/>
      <c r="K99" s="1806"/>
      <c r="L99" s="1806"/>
      <c r="M99" s="1806"/>
      <c r="N99" s="1806"/>
      <c r="O99" s="1806"/>
      <c r="P99" s="1806"/>
      <c r="Q99" s="1806"/>
      <c r="R99" s="1806"/>
      <c r="S99" s="1806"/>
      <c r="T99" s="1806"/>
      <c r="U99" s="1806"/>
      <c r="V99" s="1806"/>
      <c r="W99" s="1806"/>
      <c r="X99" s="1806"/>
      <c r="Y99" s="1806"/>
      <c r="Z99" s="1806"/>
      <c r="AA99" s="1806"/>
      <c r="AB99" s="1806"/>
      <c r="AC99" s="1806"/>
      <c r="AD99" s="1806"/>
      <c r="AE99" s="1806"/>
      <c r="AF99" s="1806"/>
      <c r="AG99" s="1806"/>
      <c r="AH99" s="1806"/>
      <c r="AI99" s="1806"/>
      <c r="AJ99" s="1806"/>
      <c r="AK99" s="1806"/>
      <c r="AL99" s="1806"/>
      <c r="AM99" s="1806"/>
      <c r="AN99" s="1806"/>
      <c r="AO99" s="1806"/>
      <c r="AP99" s="1806"/>
      <c r="AQ99" s="1806"/>
      <c r="AR99" s="1806"/>
      <c r="AS99" s="1806"/>
      <c r="AT99" s="1806"/>
      <c r="AU99" s="1806"/>
      <c r="AV99" s="1806"/>
      <c r="AW99" s="1806"/>
      <c r="AX99" s="1806"/>
      <c r="AY99" s="1806"/>
      <c r="AZ99" s="1806"/>
      <c r="BA99" s="1806"/>
      <c r="BB99" s="1806"/>
      <c r="BC99" s="1806"/>
      <c r="BD99" s="1806"/>
      <c r="BE99" s="1806"/>
      <c r="BF99" s="1806"/>
      <c r="BG99" s="1806"/>
      <c r="BH99" s="1806"/>
      <c r="BI99" s="1806"/>
      <c r="BJ99" s="1806"/>
      <c r="BK99" s="2737"/>
      <c r="BL99" s="2737"/>
      <c r="BM99" s="2737"/>
      <c r="BN99" s="2737"/>
      <c r="BO99" s="2737"/>
      <c r="BP99" s="2737"/>
      <c r="BQ99" s="2737"/>
      <c r="BR99" s="2737"/>
      <c r="BS99" s="2737"/>
      <c r="BT99" s="2737"/>
      <c r="BU99" s="2737"/>
      <c r="BV99" s="2737"/>
      <c r="BW99" s="2737"/>
      <c r="BX99" s="2737"/>
      <c r="BY99" s="2737"/>
      <c r="BZ99" s="2737"/>
      <c r="CA99" s="2737"/>
      <c r="CB99" s="2737"/>
      <c r="CC99" s="2737"/>
      <c r="CD99" s="2737"/>
      <c r="CE99" s="2737"/>
      <c r="CF99" s="2737"/>
      <c r="CG99" s="2737"/>
      <c r="CH99" s="2737"/>
      <c r="CI99" s="2737"/>
      <c r="CJ99" s="2737"/>
      <c r="CK99" s="2735"/>
    </row>
  </sheetData>
  <mergeCells count="54">
    <mergeCell ref="A56:CJ56"/>
    <mergeCell ref="A73:CJ73"/>
    <mergeCell ref="CE3:CF3"/>
    <mergeCell ref="CG3:CH3"/>
    <mergeCell ref="CI3:CJ3"/>
    <mergeCell ref="A5:CJ5"/>
    <mergeCell ref="A22:CJ22"/>
    <mergeCell ref="A39:CJ39"/>
    <mergeCell ref="BS3:BT3"/>
    <mergeCell ref="BU3:BV3"/>
    <mergeCell ref="BW3:BX3"/>
    <mergeCell ref="BY3:BZ3"/>
    <mergeCell ref="CA3:CB3"/>
    <mergeCell ref="CC3:CD3"/>
    <mergeCell ref="BG3:BH3"/>
    <mergeCell ref="BI3:BJ3"/>
    <mergeCell ref="AQ3:AR3"/>
    <mergeCell ref="BK3:BL3"/>
    <mergeCell ref="BM3:BN3"/>
    <mergeCell ref="BO3:BP3"/>
    <mergeCell ref="BQ3:BR3"/>
    <mergeCell ref="AU3:AV3"/>
    <mergeCell ref="AW3:AX3"/>
    <mergeCell ref="AY3:AZ3"/>
    <mergeCell ref="BA3:BB3"/>
    <mergeCell ref="BC3:BD3"/>
    <mergeCell ref="BE3:BF3"/>
    <mergeCell ref="K3:L3"/>
    <mergeCell ref="M3:N3"/>
    <mergeCell ref="O3:P3"/>
    <mergeCell ref="Q3:R3"/>
    <mergeCell ref="S3:T3"/>
    <mergeCell ref="U3:V3"/>
    <mergeCell ref="O2:P2"/>
    <mergeCell ref="U2:V2"/>
    <mergeCell ref="CG2:CH2"/>
    <mergeCell ref="CI2:CJ2"/>
    <mergeCell ref="AS3:AT3"/>
    <mergeCell ref="W3:X3"/>
    <mergeCell ref="Y3:Z3"/>
    <mergeCell ref="AA3:AB3"/>
    <mergeCell ref="AC3:AD3"/>
    <mergeCell ref="AE3:AF3"/>
    <mergeCell ref="AG3:AH3"/>
    <mergeCell ref="AI3:AJ3"/>
    <mergeCell ref="AK3:AL3"/>
    <mergeCell ref="AM3:AN3"/>
    <mergeCell ref="AO3:AP3"/>
    <mergeCell ref="I3:J3"/>
    <mergeCell ref="A3:A4"/>
    <mergeCell ref="B3:B4"/>
    <mergeCell ref="C3:D3"/>
    <mergeCell ref="E3:F3"/>
    <mergeCell ref="G3:H3"/>
  </mergeCells>
  <pageMargins left="0.7" right="0.7" top="0.75" bottom="0.75" header="0.3" footer="0.3"/>
  <pageSetup paperSize="9" scale="4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O75"/>
  <sheetViews>
    <sheetView showGridLines="0" zoomScale="80" zoomScaleNormal="80" workbookViewId="0">
      <pane xSplit="1" ySplit="5" topLeftCell="B6" activePane="bottomRight" state="frozen"/>
      <selection activeCell="K39" sqref="K39"/>
      <selection pane="topRight" activeCell="K39" sqref="K39"/>
      <selection pane="bottomLeft" activeCell="K39" sqref="K39"/>
      <selection pane="bottomRight" activeCell="B75" sqref="B75"/>
    </sheetView>
  </sheetViews>
  <sheetFormatPr defaultColWidth="9.140625" defaultRowHeight="15.75" x14ac:dyDescent="0.3"/>
  <cols>
    <col min="1" max="1" width="12.28515625" style="516" customWidth="1"/>
    <col min="2" max="2" width="12.85546875" style="516" bestFit="1" customWidth="1"/>
    <col min="3" max="3" width="14.140625" style="516" customWidth="1"/>
    <col min="4" max="4" width="17.42578125" style="516" customWidth="1"/>
    <col min="5" max="5" width="15.85546875" style="516" customWidth="1"/>
    <col min="6" max="6" width="18.85546875" style="516" customWidth="1"/>
    <col min="7" max="7" width="17.7109375" style="516" customWidth="1"/>
    <col min="8" max="8" width="19.42578125" style="516" customWidth="1"/>
    <col min="9" max="9" width="19.140625" style="516" customWidth="1"/>
    <col min="10" max="10" width="13.28515625" style="516" customWidth="1"/>
    <col min="11" max="11" width="11.42578125" style="516" customWidth="1"/>
    <col min="12" max="12" width="15.42578125" style="516" customWidth="1"/>
    <col min="13" max="13" width="18.42578125" style="516" customWidth="1"/>
    <col min="14" max="14" width="14.28515625" style="516" customWidth="1"/>
    <col min="15" max="16384" width="9.140625" style="610"/>
  </cols>
  <sheetData>
    <row r="1" spans="1:15" s="562" customFormat="1" ht="22.5" customHeight="1" x14ac:dyDescent="0.3">
      <c r="A1" s="611" t="s">
        <v>1146</v>
      </c>
      <c r="B1" s="612"/>
      <c r="C1" s="612"/>
      <c r="D1" s="612"/>
      <c r="E1" s="612"/>
      <c r="F1" s="612"/>
      <c r="G1" s="612"/>
      <c r="H1" s="612"/>
      <c r="I1" s="612"/>
      <c r="J1" s="612"/>
      <c r="K1" s="612"/>
      <c r="L1" s="612"/>
      <c r="M1" s="558"/>
      <c r="N1" s="558"/>
    </row>
    <row r="2" spans="1:15" s="562" customFormat="1" ht="10.5" customHeight="1" thickBot="1" x14ac:dyDescent="0.35">
      <c r="A2" s="611"/>
      <c r="B2" s="612"/>
      <c r="C2" s="612"/>
      <c r="D2" s="612"/>
      <c r="E2" s="612"/>
      <c r="F2" s="612"/>
      <c r="G2" s="612"/>
      <c r="H2" s="612"/>
      <c r="I2" s="612"/>
      <c r="J2" s="612"/>
      <c r="K2" s="612"/>
      <c r="L2" s="612"/>
      <c r="M2" s="558"/>
      <c r="N2" s="558"/>
    </row>
    <row r="3" spans="1:15" s="517" customFormat="1" ht="24" customHeight="1" thickTop="1" thickBot="1" x14ac:dyDescent="0.35">
      <c r="A3" s="3597" t="s">
        <v>1</v>
      </c>
      <c r="B3" s="3611" t="s">
        <v>1147</v>
      </c>
      <c r="C3" s="3611"/>
      <c r="D3" s="3611"/>
      <c r="E3" s="3611"/>
      <c r="F3" s="3611"/>
      <c r="G3" s="3611"/>
      <c r="H3" s="3611"/>
      <c r="I3" s="3611"/>
      <c r="J3" s="3611"/>
      <c r="K3" s="3611"/>
      <c r="L3" s="3611"/>
      <c r="M3" s="3628"/>
      <c r="N3" s="613"/>
    </row>
    <row r="4" spans="1:15" s="517" customFormat="1" ht="89.25" customHeight="1" thickBot="1" x14ac:dyDescent="0.35">
      <c r="A4" s="3627"/>
      <c r="B4" s="614" t="s">
        <v>114</v>
      </c>
      <c r="C4" s="566" t="s">
        <v>1148</v>
      </c>
      <c r="D4" s="565" t="s">
        <v>1149</v>
      </c>
      <c r="E4" s="565" t="s">
        <v>1150</v>
      </c>
      <c r="F4" s="566" t="s">
        <v>1151</v>
      </c>
      <c r="G4" s="566" t="s">
        <v>1152</v>
      </c>
      <c r="H4" s="566" t="s">
        <v>1153</v>
      </c>
      <c r="I4" s="566" t="s">
        <v>1154</v>
      </c>
      <c r="J4" s="566" t="s">
        <v>1155</v>
      </c>
      <c r="K4" s="566" t="s">
        <v>1156</v>
      </c>
      <c r="L4" s="566" t="s">
        <v>1157</v>
      </c>
      <c r="M4" s="566" t="s">
        <v>1158</v>
      </c>
      <c r="N4" s="615" t="s">
        <v>1159</v>
      </c>
    </row>
    <row r="5" spans="1:15" ht="16.5" hidden="1" x14ac:dyDescent="0.3">
      <c r="A5" s="616">
        <v>2012</v>
      </c>
      <c r="B5" s="617">
        <v>302617</v>
      </c>
      <c r="C5" s="618">
        <v>10494</v>
      </c>
      <c r="D5" s="618">
        <v>50537</v>
      </c>
      <c r="E5" s="618">
        <v>19034</v>
      </c>
      <c r="F5" s="618">
        <v>36807</v>
      </c>
      <c r="G5" s="618">
        <v>17797</v>
      </c>
      <c r="H5" s="618">
        <v>21249</v>
      </c>
      <c r="I5" s="618">
        <v>13478</v>
      </c>
      <c r="J5" s="618">
        <v>31262</v>
      </c>
      <c r="K5" s="618">
        <v>16665</v>
      </c>
      <c r="L5" s="618">
        <v>13882</v>
      </c>
      <c r="M5" s="618">
        <v>17984</v>
      </c>
      <c r="N5" s="619">
        <v>41325</v>
      </c>
    </row>
    <row r="6" spans="1:15" ht="16.5" hidden="1" x14ac:dyDescent="0.3">
      <c r="A6" s="620">
        <v>2013</v>
      </c>
      <c r="B6" s="621">
        <v>329009</v>
      </c>
      <c r="C6" s="577">
        <v>12570</v>
      </c>
      <c r="D6" s="577">
        <v>51787</v>
      </c>
      <c r="E6" s="577">
        <v>17923</v>
      </c>
      <c r="F6" s="577">
        <v>38965</v>
      </c>
      <c r="G6" s="577">
        <v>19779</v>
      </c>
      <c r="H6" s="577">
        <v>19827</v>
      </c>
      <c r="I6" s="577">
        <v>14398</v>
      </c>
      <c r="J6" s="577">
        <v>38336</v>
      </c>
      <c r="K6" s="577">
        <v>20042</v>
      </c>
      <c r="L6" s="577">
        <v>14624</v>
      </c>
      <c r="M6" s="577">
        <v>20196</v>
      </c>
      <c r="N6" s="578">
        <v>43388</v>
      </c>
    </row>
    <row r="7" spans="1:15" ht="16.5" hidden="1" x14ac:dyDescent="0.3">
      <c r="A7" s="620">
        <v>2014</v>
      </c>
      <c r="B7" s="621">
        <v>348011</v>
      </c>
      <c r="C7" s="577">
        <v>12778</v>
      </c>
      <c r="D7" s="577">
        <v>53274</v>
      </c>
      <c r="E7" s="577">
        <v>16631</v>
      </c>
      <c r="F7" s="577">
        <v>41579</v>
      </c>
      <c r="G7" s="577">
        <v>21160</v>
      </c>
      <c r="H7" s="577">
        <v>21702</v>
      </c>
      <c r="I7" s="577">
        <v>14948</v>
      </c>
      <c r="J7" s="577">
        <v>41322</v>
      </c>
      <c r="K7" s="577">
        <v>21165</v>
      </c>
      <c r="L7" s="577">
        <v>15923</v>
      </c>
      <c r="M7" s="577">
        <v>21543</v>
      </c>
      <c r="N7" s="578">
        <v>44051</v>
      </c>
    </row>
    <row r="8" spans="1:15" ht="16.5" hidden="1" x14ac:dyDescent="0.3">
      <c r="A8" s="620">
        <v>2015</v>
      </c>
      <c r="B8" s="621">
        <v>363547</v>
      </c>
      <c r="C8" s="577">
        <v>12928</v>
      </c>
      <c r="D8" s="577">
        <v>53436</v>
      </c>
      <c r="E8" s="577">
        <v>16018</v>
      </c>
      <c r="F8" s="577">
        <v>43738</v>
      </c>
      <c r="G8" s="577">
        <v>22613</v>
      </c>
      <c r="H8" s="577">
        <v>23520</v>
      </c>
      <c r="I8" s="577">
        <v>15841</v>
      </c>
      <c r="J8" s="577">
        <v>43599</v>
      </c>
      <c r="K8" s="577">
        <v>21923</v>
      </c>
      <c r="L8" s="577">
        <v>16776</v>
      </c>
      <c r="M8" s="577">
        <v>22419</v>
      </c>
      <c r="N8" s="578">
        <v>46346</v>
      </c>
    </row>
    <row r="9" spans="1:15" ht="16.5" hidden="1" x14ac:dyDescent="0.3">
      <c r="A9" s="620">
        <v>2016</v>
      </c>
      <c r="B9" s="621">
        <v>385902</v>
      </c>
      <c r="C9" s="577">
        <v>13860</v>
      </c>
      <c r="D9" s="577">
        <v>53906</v>
      </c>
      <c r="E9" s="577">
        <v>16027</v>
      </c>
      <c r="F9" s="577">
        <v>45914</v>
      </c>
      <c r="G9" s="577">
        <v>24332</v>
      </c>
      <c r="H9" s="577">
        <v>26727</v>
      </c>
      <c r="I9" s="577">
        <v>16387</v>
      </c>
      <c r="J9" s="577">
        <v>46614</v>
      </c>
      <c r="K9" s="577">
        <v>22813</v>
      </c>
      <c r="L9" s="577">
        <v>17917</v>
      </c>
      <c r="M9" s="577">
        <v>24878</v>
      </c>
      <c r="N9" s="578">
        <v>48864</v>
      </c>
    </row>
    <row r="10" spans="1:15" ht="16.5" x14ac:dyDescent="0.3">
      <c r="A10" s="620">
        <v>2017</v>
      </c>
      <c r="B10" s="621">
        <v>402998</v>
      </c>
      <c r="C10" s="577">
        <v>14154</v>
      </c>
      <c r="D10" s="577">
        <v>53965</v>
      </c>
      <c r="E10" s="577">
        <v>17377</v>
      </c>
      <c r="F10" s="577">
        <v>48990</v>
      </c>
      <c r="G10" s="577">
        <v>25879</v>
      </c>
      <c r="H10" s="577">
        <v>28864</v>
      </c>
      <c r="I10" s="577">
        <v>16989</v>
      </c>
      <c r="J10" s="577">
        <v>48260</v>
      </c>
      <c r="K10" s="577">
        <v>23907</v>
      </c>
      <c r="L10" s="577">
        <v>19574</v>
      </c>
      <c r="M10" s="577">
        <v>25361</v>
      </c>
      <c r="N10" s="578">
        <v>54203</v>
      </c>
    </row>
    <row r="11" spans="1:15" ht="16.5" x14ac:dyDescent="0.3">
      <c r="A11" s="579" t="s">
        <v>1160</v>
      </c>
      <c r="B11" s="621">
        <v>422319</v>
      </c>
      <c r="C11" s="577">
        <v>13401</v>
      </c>
      <c r="D11" s="577">
        <v>54550</v>
      </c>
      <c r="E11" s="577">
        <v>19656</v>
      </c>
      <c r="F11" s="577">
        <v>52284</v>
      </c>
      <c r="G11" s="577">
        <v>27116</v>
      </c>
      <c r="H11" s="577">
        <v>30650</v>
      </c>
      <c r="I11" s="577">
        <v>17844</v>
      </c>
      <c r="J11" s="577">
        <v>49514</v>
      </c>
      <c r="K11" s="577">
        <v>24902</v>
      </c>
      <c r="L11" s="577">
        <v>21244</v>
      </c>
      <c r="M11" s="577">
        <v>26295</v>
      </c>
      <c r="N11" s="578">
        <v>58936</v>
      </c>
    </row>
    <row r="12" spans="1:15" ht="17.25" x14ac:dyDescent="0.3">
      <c r="A12" s="579" t="s">
        <v>1161</v>
      </c>
      <c r="B12" s="621">
        <v>437528</v>
      </c>
      <c r="C12" s="577">
        <v>14439</v>
      </c>
      <c r="D12" s="577">
        <v>54576</v>
      </c>
      <c r="E12" s="577">
        <v>21681</v>
      </c>
      <c r="F12" s="577">
        <v>54694</v>
      </c>
      <c r="G12" s="577">
        <v>28391</v>
      </c>
      <c r="H12" s="577">
        <v>30214</v>
      </c>
      <c r="I12" s="577">
        <v>18731</v>
      </c>
      <c r="J12" s="577">
        <v>51837</v>
      </c>
      <c r="K12" s="577">
        <v>25733</v>
      </c>
      <c r="L12" s="577">
        <v>22431</v>
      </c>
      <c r="M12" s="577">
        <v>27136</v>
      </c>
      <c r="N12" s="578">
        <v>60727</v>
      </c>
    </row>
    <row r="13" spans="1:15" ht="17.25" x14ac:dyDescent="0.3">
      <c r="A13" s="579" t="s">
        <v>1120</v>
      </c>
      <c r="B13" s="621">
        <v>379309</v>
      </c>
      <c r="C13" s="577">
        <v>14645</v>
      </c>
      <c r="D13" s="577">
        <v>46026</v>
      </c>
      <c r="E13" s="577">
        <v>16656</v>
      </c>
      <c r="F13" s="577">
        <v>49191</v>
      </c>
      <c r="G13" s="577">
        <v>21248</v>
      </c>
      <c r="H13" s="577">
        <v>10953</v>
      </c>
      <c r="I13" s="577">
        <v>19549</v>
      </c>
      <c r="J13" s="577">
        <v>49263</v>
      </c>
      <c r="K13" s="577">
        <v>25288</v>
      </c>
      <c r="L13" s="577">
        <v>19654</v>
      </c>
      <c r="M13" s="577">
        <v>28475</v>
      </c>
      <c r="N13" s="578">
        <v>50383</v>
      </c>
    </row>
    <row r="14" spans="1:15" ht="19.5" customHeight="1" thickBot="1" x14ac:dyDescent="0.35">
      <c r="A14" s="581" t="s">
        <v>1121</v>
      </c>
      <c r="B14" s="622">
        <v>407172</v>
      </c>
      <c r="C14" s="583">
        <v>15978</v>
      </c>
      <c r="D14" s="583">
        <v>52965</v>
      </c>
      <c r="E14" s="583">
        <v>21677</v>
      </c>
      <c r="F14" s="583">
        <v>52757</v>
      </c>
      <c r="G14" s="583">
        <v>21885</v>
      </c>
      <c r="H14" s="583">
        <v>11459</v>
      </c>
      <c r="I14" s="583">
        <v>20712</v>
      </c>
      <c r="J14" s="583">
        <v>50206</v>
      </c>
      <c r="K14" s="583">
        <v>25897</v>
      </c>
      <c r="L14" s="583">
        <v>21299</v>
      </c>
      <c r="M14" s="583">
        <v>30069</v>
      </c>
      <c r="N14" s="585">
        <v>56520</v>
      </c>
    </row>
    <row r="15" spans="1:15" ht="16.5" hidden="1" x14ac:dyDescent="0.3">
      <c r="A15" s="590" t="s">
        <v>1122</v>
      </c>
      <c r="B15" s="621">
        <v>80681</v>
      </c>
      <c r="C15" s="577">
        <v>2906</v>
      </c>
      <c r="D15" s="577">
        <v>9942</v>
      </c>
      <c r="E15" s="577">
        <v>4184</v>
      </c>
      <c r="F15" s="577">
        <v>8869</v>
      </c>
      <c r="G15" s="577">
        <v>5281</v>
      </c>
      <c r="H15" s="577">
        <v>6238</v>
      </c>
      <c r="I15" s="577">
        <v>3643</v>
      </c>
      <c r="J15" s="577">
        <v>9791</v>
      </c>
      <c r="K15" s="577">
        <v>5236</v>
      </c>
      <c r="L15" s="577">
        <v>3872</v>
      </c>
      <c r="M15" s="577">
        <v>4718</v>
      </c>
      <c r="N15" s="578">
        <v>9834</v>
      </c>
      <c r="O15" s="610">
        <v>2.5</v>
      </c>
    </row>
    <row r="16" spans="1:15" ht="16.5" hidden="1" x14ac:dyDescent="0.3">
      <c r="A16" s="594" t="s">
        <v>1123</v>
      </c>
      <c r="B16" s="621">
        <v>85465</v>
      </c>
      <c r="C16" s="577">
        <v>2748</v>
      </c>
      <c r="D16" s="577">
        <v>12770</v>
      </c>
      <c r="E16" s="577">
        <v>4158</v>
      </c>
      <c r="F16" s="577">
        <v>10194</v>
      </c>
      <c r="G16" s="577">
        <v>4983</v>
      </c>
      <c r="H16" s="577">
        <v>5202</v>
      </c>
      <c r="I16" s="577">
        <v>3633</v>
      </c>
      <c r="J16" s="577">
        <v>10232</v>
      </c>
      <c r="K16" s="577">
        <v>5149</v>
      </c>
      <c r="L16" s="577">
        <v>4005</v>
      </c>
      <c r="M16" s="577">
        <v>5611</v>
      </c>
      <c r="N16" s="578">
        <v>11338</v>
      </c>
    </row>
    <row r="17" spans="1:14" ht="16.5" hidden="1" x14ac:dyDescent="0.3">
      <c r="A17" s="594" t="s">
        <v>1124</v>
      </c>
      <c r="B17" s="621">
        <v>86547</v>
      </c>
      <c r="C17" s="577">
        <v>3256</v>
      </c>
      <c r="D17" s="577">
        <v>13598</v>
      </c>
      <c r="E17" s="577">
        <v>4178</v>
      </c>
      <c r="F17" s="577">
        <v>10159</v>
      </c>
      <c r="G17" s="577">
        <v>5387</v>
      </c>
      <c r="H17" s="577">
        <v>4163</v>
      </c>
      <c r="I17" s="577">
        <v>3791</v>
      </c>
      <c r="J17" s="577">
        <v>10285</v>
      </c>
      <c r="K17" s="577">
        <v>5582</v>
      </c>
      <c r="L17" s="577">
        <v>3982</v>
      </c>
      <c r="M17" s="577">
        <v>5478</v>
      </c>
      <c r="N17" s="578">
        <v>10608</v>
      </c>
    </row>
    <row r="18" spans="1:14" ht="16.5" hidden="1" x14ac:dyDescent="0.3">
      <c r="A18" s="594" t="s">
        <v>1125</v>
      </c>
      <c r="B18" s="621">
        <v>95319</v>
      </c>
      <c r="C18" s="577">
        <v>3868</v>
      </c>
      <c r="D18" s="577">
        <v>16963</v>
      </c>
      <c r="E18" s="577">
        <v>4111</v>
      </c>
      <c r="F18" s="577">
        <v>12357</v>
      </c>
      <c r="G18" s="577">
        <v>5509</v>
      </c>
      <c r="H18" s="577">
        <v>6099</v>
      </c>
      <c r="I18" s="577">
        <v>3882</v>
      </c>
      <c r="J18" s="577">
        <v>11014</v>
      </c>
      <c r="K18" s="577">
        <v>5198</v>
      </c>
      <c r="L18" s="577">
        <v>4065</v>
      </c>
      <c r="M18" s="577">
        <v>5737</v>
      </c>
      <c r="N18" s="578">
        <v>12271</v>
      </c>
    </row>
    <row r="19" spans="1:14" ht="16.5" hidden="1" x14ac:dyDescent="0.3">
      <c r="A19" s="594" t="s">
        <v>1126</v>
      </c>
      <c r="B19" s="621">
        <v>84323</v>
      </c>
      <c r="C19" s="577">
        <v>2788</v>
      </c>
      <c r="D19" s="577">
        <v>9972</v>
      </c>
      <c r="E19" s="577">
        <v>3948</v>
      </c>
      <c r="F19" s="577">
        <v>9421</v>
      </c>
      <c r="G19" s="577">
        <v>5605</v>
      </c>
      <c r="H19" s="577">
        <v>6511</v>
      </c>
      <c r="I19" s="577">
        <v>3934</v>
      </c>
      <c r="J19" s="577">
        <v>10527</v>
      </c>
      <c r="K19" s="577">
        <v>5324</v>
      </c>
      <c r="L19" s="577">
        <v>4089</v>
      </c>
      <c r="M19" s="577">
        <v>4924</v>
      </c>
      <c r="N19" s="578">
        <v>11300</v>
      </c>
    </row>
    <row r="20" spans="1:14" ht="16.5" hidden="1" x14ac:dyDescent="0.3">
      <c r="A20" s="594" t="s">
        <v>1127</v>
      </c>
      <c r="B20" s="621">
        <v>88880</v>
      </c>
      <c r="C20" s="577">
        <v>2669</v>
      </c>
      <c r="D20" s="577">
        <v>12835</v>
      </c>
      <c r="E20" s="577">
        <v>3921</v>
      </c>
      <c r="F20" s="577">
        <v>10849</v>
      </c>
      <c r="G20" s="577">
        <v>5401</v>
      </c>
      <c r="H20" s="577">
        <v>4986</v>
      </c>
      <c r="I20" s="577">
        <v>3965</v>
      </c>
      <c r="J20" s="577">
        <v>10781</v>
      </c>
      <c r="K20" s="577">
        <v>5249</v>
      </c>
      <c r="L20" s="577">
        <v>4212</v>
      </c>
      <c r="M20" s="577">
        <v>6002</v>
      </c>
      <c r="N20" s="578">
        <v>11317</v>
      </c>
    </row>
    <row r="21" spans="1:14" ht="16.5" hidden="1" x14ac:dyDescent="0.3">
      <c r="A21" s="594" t="s">
        <v>1128</v>
      </c>
      <c r="B21" s="621">
        <v>91166</v>
      </c>
      <c r="C21" s="577">
        <v>3350</v>
      </c>
      <c r="D21" s="577">
        <v>14110</v>
      </c>
      <c r="E21" s="577">
        <v>4077</v>
      </c>
      <c r="F21" s="577">
        <v>10820</v>
      </c>
      <c r="G21" s="577">
        <v>5758</v>
      </c>
      <c r="H21" s="577">
        <v>4862</v>
      </c>
      <c r="I21" s="577">
        <v>3894</v>
      </c>
      <c r="J21" s="577">
        <v>10800</v>
      </c>
      <c r="K21" s="577">
        <v>5660</v>
      </c>
      <c r="L21" s="577">
        <v>4190</v>
      </c>
      <c r="M21" s="577">
        <v>5800</v>
      </c>
      <c r="N21" s="578">
        <v>10982</v>
      </c>
    </row>
    <row r="22" spans="1:14" ht="16.5" hidden="1" x14ac:dyDescent="0.3">
      <c r="A22" s="594" t="s">
        <v>1129</v>
      </c>
      <c r="B22" s="621">
        <v>99177</v>
      </c>
      <c r="C22" s="577">
        <v>4121</v>
      </c>
      <c r="D22" s="577">
        <v>16519</v>
      </c>
      <c r="E22" s="577">
        <v>4072</v>
      </c>
      <c r="F22" s="577">
        <v>12648</v>
      </c>
      <c r="G22" s="577">
        <v>5848</v>
      </c>
      <c r="H22" s="577">
        <v>7161</v>
      </c>
      <c r="I22" s="577">
        <v>4048</v>
      </c>
      <c r="J22" s="577">
        <v>11490</v>
      </c>
      <c r="K22" s="577">
        <v>5690</v>
      </c>
      <c r="L22" s="577">
        <v>4285</v>
      </c>
      <c r="M22" s="577">
        <v>5693</v>
      </c>
      <c r="N22" s="578">
        <v>12747</v>
      </c>
    </row>
    <row r="23" spans="1:14" ht="16.5" hidden="1" x14ac:dyDescent="0.3">
      <c r="A23" s="594" t="s">
        <v>1130</v>
      </c>
      <c r="B23" s="621">
        <v>90025</v>
      </c>
      <c r="C23" s="577">
        <v>2950</v>
      </c>
      <c r="D23" s="577">
        <v>10353</v>
      </c>
      <c r="E23" s="577">
        <v>3675</v>
      </c>
      <c r="F23" s="577">
        <v>9894</v>
      </c>
      <c r="G23" s="577">
        <v>6040</v>
      </c>
      <c r="H23" s="577">
        <v>7454</v>
      </c>
      <c r="I23" s="577">
        <v>4066</v>
      </c>
      <c r="J23" s="577">
        <v>11280</v>
      </c>
      <c r="K23" s="577">
        <v>5667</v>
      </c>
      <c r="L23" s="577">
        <v>4368</v>
      </c>
      <c r="M23" s="577">
        <v>5512</v>
      </c>
      <c r="N23" s="578">
        <v>11615</v>
      </c>
    </row>
    <row r="24" spans="1:14" ht="16.5" hidden="1" x14ac:dyDescent="0.3">
      <c r="A24" s="594" t="s">
        <v>1127</v>
      </c>
      <c r="B24" s="621">
        <v>93709</v>
      </c>
      <c r="C24" s="577">
        <v>2935</v>
      </c>
      <c r="D24" s="577">
        <v>12760</v>
      </c>
      <c r="E24" s="577">
        <v>3630</v>
      </c>
      <c r="F24" s="577">
        <v>11414</v>
      </c>
      <c r="G24" s="577">
        <v>5827</v>
      </c>
      <c r="H24" s="577">
        <v>5746</v>
      </c>
      <c r="I24" s="577">
        <v>4116</v>
      </c>
      <c r="J24" s="577">
        <v>11565</v>
      </c>
      <c r="K24" s="577">
        <v>5454</v>
      </c>
      <c r="L24" s="577">
        <v>4510</v>
      </c>
      <c r="M24" s="577">
        <v>6486</v>
      </c>
      <c r="N24" s="578">
        <v>12663</v>
      </c>
    </row>
    <row r="25" spans="1:14" ht="16.5" hidden="1" x14ac:dyDescent="0.3">
      <c r="A25" s="594" t="s">
        <v>1128</v>
      </c>
      <c r="B25" s="621">
        <v>97000</v>
      </c>
      <c r="C25" s="577">
        <v>3638</v>
      </c>
      <c r="D25" s="577">
        <v>14362</v>
      </c>
      <c r="E25" s="577">
        <v>4396</v>
      </c>
      <c r="F25" s="577">
        <v>11319</v>
      </c>
      <c r="G25" s="577">
        <v>6207</v>
      </c>
      <c r="H25" s="577">
        <v>5483</v>
      </c>
      <c r="I25" s="577">
        <v>3949</v>
      </c>
      <c r="J25" s="577">
        <v>11544</v>
      </c>
      <c r="K25" s="577">
        <v>5858</v>
      </c>
      <c r="L25" s="577">
        <v>4479</v>
      </c>
      <c r="M25" s="577">
        <v>6495</v>
      </c>
      <c r="N25" s="578">
        <v>11007</v>
      </c>
    </row>
    <row r="26" spans="1:14" ht="16.5" hidden="1" x14ac:dyDescent="0.3">
      <c r="A26" s="594" t="s">
        <v>1129</v>
      </c>
      <c r="B26" s="621">
        <v>105167</v>
      </c>
      <c r="C26" s="577">
        <v>4337</v>
      </c>
      <c r="D26" s="577">
        <v>16432</v>
      </c>
      <c r="E26" s="577">
        <v>4327</v>
      </c>
      <c r="F26" s="577">
        <v>13288</v>
      </c>
      <c r="G26" s="577">
        <v>6257</v>
      </c>
      <c r="H26" s="577">
        <v>8043</v>
      </c>
      <c r="I26" s="577">
        <v>4256</v>
      </c>
      <c r="J26" s="577">
        <v>12225</v>
      </c>
      <c r="K26" s="577">
        <v>5835</v>
      </c>
      <c r="L26" s="577">
        <v>4560</v>
      </c>
      <c r="M26" s="577">
        <v>6385</v>
      </c>
      <c r="N26" s="578">
        <v>13580</v>
      </c>
    </row>
    <row r="27" spans="1:14" ht="16.5" x14ac:dyDescent="0.3">
      <c r="A27" s="594" t="s">
        <v>1131</v>
      </c>
      <c r="B27" s="621">
        <v>93955</v>
      </c>
      <c r="C27" s="577">
        <v>2990</v>
      </c>
      <c r="D27" s="577">
        <v>10092</v>
      </c>
      <c r="E27" s="577">
        <v>3905</v>
      </c>
      <c r="F27" s="577">
        <v>10548</v>
      </c>
      <c r="G27" s="577">
        <v>6464</v>
      </c>
      <c r="H27" s="577">
        <v>8032</v>
      </c>
      <c r="I27" s="577">
        <v>4218</v>
      </c>
      <c r="J27" s="577">
        <v>11973</v>
      </c>
      <c r="K27" s="577">
        <v>5910</v>
      </c>
      <c r="L27" s="577">
        <v>4707</v>
      </c>
      <c r="M27" s="577">
        <v>5696</v>
      </c>
      <c r="N27" s="578">
        <v>12796</v>
      </c>
    </row>
    <row r="28" spans="1:14" ht="16.5" x14ac:dyDescent="0.3">
      <c r="A28" s="594" t="s">
        <v>1127</v>
      </c>
      <c r="B28" s="621">
        <v>98924</v>
      </c>
      <c r="C28" s="577">
        <v>3260</v>
      </c>
      <c r="D28" s="577">
        <v>12971</v>
      </c>
      <c r="E28" s="577">
        <v>3975</v>
      </c>
      <c r="F28" s="577">
        <v>12261</v>
      </c>
      <c r="G28" s="577">
        <v>6193</v>
      </c>
      <c r="H28" s="577">
        <v>6223</v>
      </c>
      <c r="I28" s="577">
        <v>4273</v>
      </c>
      <c r="J28" s="577">
        <v>12284</v>
      </c>
      <c r="K28" s="577">
        <v>5698</v>
      </c>
      <c r="L28" s="577">
        <v>4972</v>
      </c>
      <c r="M28" s="577">
        <v>6685</v>
      </c>
      <c r="N28" s="578">
        <v>13973</v>
      </c>
    </row>
    <row r="29" spans="1:14" ht="16.5" x14ac:dyDescent="0.3">
      <c r="A29" s="594" t="s">
        <v>1128</v>
      </c>
      <c r="B29" s="621">
        <v>101056</v>
      </c>
      <c r="C29" s="577">
        <v>3671</v>
      </c>
      <c r="D29" s="577">
        <v>14505</v>
      </c>
      <c r="E29" s="577">
        <v>4812</v>
      </c>
      <c r="F29" s="577">
        <v>12169</v>
      </c>
      <c r="G29" s="577">
        <v>6547</v>
      </c>
      <c r="H29" s="577">
        <v>5860</v>
      </c>
      <c r="I29" s="577">
        <v>4075</v>
      </c>
      <c r="J29" s="577">
        <v>11730</v>
      </c>
      <c r="K29" s="577">
        <v>6143</v>
      </c>
      <c r="L29" s="577">
        <v>4907</v>
      </c>
      <c r="M29" s="577">
        <v>6483</v>
      </c>
      <c r="N29" s="578">
        <v>11689</v>
      </c>
    </row>
    <row r="30" spans="1:14" ht="16.5" x14ac:dyDescent="0.3">
      <c r="A30" s="594" t="s">
        <v>1129</v>
      </c>
      <c r="B30" s="621">
        <v>109063</v>
      </c>
      <c r="C30" s="577">
        <v>4234</v>
      </c>
      <c r="D30" s="577">
        <v>16397</v>
      </c>
      <c r="E30" s="577">
        <v>4685</v>
      </c>
      <c r="F30" s="577">
        <v>14012</v>
      </c>
      <c r="G30" s="577">
        <v>6674</v>
      </c>
      <c r="H30" s="577">
        <v>8750</v>
      </c>
      <c r="I30" s="577">
        <v>4423</v>
      </c>
      <c r="J30" s="577">
        <v>12274</v>
      </c>
      <c r="K30" s="577">
        <v>6157</v>
      </c>
      <c r="L30" s="577">
        <v>4989</v>
      </c>
      <c r="M30" s="577">
        <v>6497</v>
      </c>
      <c r="N30" s="578">
        <v>15745</v>
      </c>
    </row>
    <row r="31" spans="1:14" ht="17.25" x14ac:dyDescent="0.3">
      <c r="A31" s="594" t="s">
        <v>1134</v>
      </c>
      <c r="B31" s="621">
        <v>98807</v>
      </c>
      <c r="C31" s="577">
        <v>2807</v>
      </c>
      <c r="D31" s="577">
        <v>10227</v>
      </c>
      <c r="E31" s="577">
        <v>4573</v>
      </c>
      <c r="F31" s="577">
        <v>11255</v>
      </c>
      <c r="G31" s="577">
        <v>6795</v>
      </c>
      <c r="H31" s="577">
        <v>8907</v>
      </c>
      <c r="I31" s="577">
        <v>4433</v>
      </c>
      <c r="J31" s="577">
        <v>12030</v>
      </c>
      <c r="K31" s="577">
        <v>6194</v>
      </c>
      <c r="L31" s="577">
        <v>5166</v>
      </c>
      <c r="M31" s="577">
        <v>5677</v>
      </c>
      <c r="N31" s="578">
        <v>13457</v>
      </c>
    </row>
    <row r="32" spans="1:14" ht="17.25" x14ac:dyDescent="0.3">
      <c r="A32" s="594" t="s">
        <v>1135</v>
      </c>
      <c r="B32" s="621">
        <v>103855</v>
      </c>
      <c r="C32" s="577">
        <v>2818</v>
      </c>
      <c r="D32" s="577">
        <v>13195</v>
      </c>
      <c r="E32" s="577">
        <v>4558</v>
      </c>
      <c r="F32" s="577">
        <v>13086</v>
      </c>
      <c r="G32" s="577">
        <v>6484</v>
      </c>
      <c r="H32" s="577">
        <v>6828</v>
      </c>
      <c r="I32" s="577">
        <v>4512</v>
      </c>
      <c r="J32" s="577">
        <v>12524</v>
      </c>
      <c r="K32" s="577">
        <v>5965</v>
      </c>
      <c r="L32" s="577">
        <v>5408</v>
      </c>
      <c r="M32" s="577">
        <v>7053</v>
      </c>
      <c r="N32" s="578">
        <v>16071</v>
      </c>
    </row>
    <row r="33" spans="1:14" ht="17.25" x14ac:dyDescent="0.3">
      <c r="A33" s="594" t="s">
        <v>1132</v>
      </c>
      <c r="B33" s="621">
        <v>105527</v>
      </c>
      <c r="C33" s="577">
        <v>3671</v>
      </c>
      <c r="D33" s="577">
        <v>14479</v>
      </c>
      <c r="E33" s="577">
        <v>5195</v>
      </c>
      <c r="F33" s="577">
        <v>12986</v>
      </c>
      <c r="G33" s="577">
        <v>6850</v>
      </c>
      <c r="H33" s="577">
        <v>6077</v>
      </c>
      <c r="I33" s="577">
        <v>4287</v>
      </c>
      <c r="J33" s="577">
        <v>12238</v>
      </c>
      <c r="K33" s="577">
        <v>6369</v>
      </c>
      <c r="L33" s="577">
        <v>5282</v>
      </c>
      <c r="M33" s="577">
        <v>6749</v>
      </c>
      <c r="N33" s="578">
        <v>12441</v>
      </c>
    </row>
    <row r="34" spans="1:14" ht="17.25" x14ac:dyDescent="0.3">
      <c r="A34" s="594" t="s">
        <v>1133</v>
      </c>
      <c r="B34" s="621">
        <v>114130</v>
      </c>
      <c r="C34" s="577">
        <v>4105</v>
      </c>
      <c r="D34" s="577">
        <v>16649</v>
      </c>
      <c r="E34" s="577">
        <v>5330</v>
      </c>
      <c r="F34" s="577">
        <v>14957</v>
      </c>
      <c r="G34" s="577">
        <v>6986</v>
      </c>
      <c r="H34" s="577">
        <v>8839</v>
      </c>
      <c r="I34" s="577">
        <v>4612</v>
      </c>
      <c r="J34" s="577">
        <v>12722</v>
      </c>
      <c r="K34" s="577">
        <v>6374</v>
      </c>
      <c r="L34" s="577">
        <v>5387</v>
      </c>
      <c r="M34" s="577">
        <v>6816</v>
      </c>
      <c r="N34" s="578">
        <v>16967</v>
      </c>
    </row>
    <row r="35" spans="1:14" ht="17.25" x14ac:dyDescent="0.3">
      <c r="A35" s="586" t="s">
        <v>1136</v>
      </c>
      <c r="B35" s="621">
        <v>102419</v>
      </c>
      <c r="C35" s="577">
        <v>3024</v>
      </c>
      <c r="D35" s="577">
        <v>10307</v>
      </c>
      <c r="E35" s="577">
        <v>4994</v>
      </c>
      <c r="F35" s="577">
        <v>11774</v>
      </c>
      <c r="G35" s="577">
        <v>7125</v>
      </c>
      <c r="H35" s="577">
        <v>8794</v>
      </c>
      <c r="I35" s="577">
        <v>4653</v>
      </c>
      <c r="J35" s="577">
        <v>12591</v>
      </c>
      <c r="K35" s="577">
        <v>6339</v>
      </c>
      <c r="L35" s="577">
        <v>5470</v>
      </c>
      <c r="M35" s="577">
        <v>5909</v>
      </c>
      <c r="N35" s="578">
        <v>14760</v>
      </c>
    </row>
    <row r="36" spans="1:14" ht="17.25" x14ac:dyDescent="0.3">
      <c r="A36" s="586" t="s">
        <v>1137</v>
      </c>
      <c r="B36" s="621">
        <v>108180</v>
      </c>
      <c r="C36" s="577">
        <v>3151</v>
      </c>
      <c r="D36" s="577">
        <v>13410</v>
      </c>
      <c r="E36" s="577">
        <v>5054</v>
      </c>
      <c r="F36" s="577">
        <v>13689</v>
      </c>
      <c r="G36" s="577">
        <v>6788</v>
      </c>
      <c r="H36" s="577">
        <v>6902</v>
      </c>
      <c r="I36" s="577">
        <v>4758</v>
      </c>
      <c r="J36" s="577">
        <v>13127</v>
      </c>
      <c r="K36" s="577">
        <v>6141</v>
      </c>
      <c r="L36" s="577">
        <v>5728</v>
      </c>
      <c r="M36" s="577">
        <v>7188</v>
      </c>
      <c r="N36" s="578">
        <v>15984</v>
      </c>
    </row>
    <row r="37" spans="1:14" ht="17.25" x14ac:dyDescent="0.3">
      <c r="A37" s="586" t="s">
        <v>1138</v>
      </c>
      <c r="B37" s="621">
        <v>109360</v>
      </c>
      <c r="C37" s="577">
        <v>3899</v>
      </c>
      <c r="D37" s="577">
        <v>14549</v>
      </c>
      <c r="E37" s="577">
        <v>5753</v>
      </c>
      <c r="F37" s="577">
        <v>13585</v>
      </c>
      <c r="G37" s="577">
        <v>7161</v>
      </c>
      <c r="H37" s="577">
        <v>5886</v>
      </c>
      <c r="I37" s="577">
        <v>4502</v>
      </c>
      <c r="J37" s="577">
        <v>12846</v>
      </c>
      <c r="K37" s="577">
        <v>6627</v>
      </c>
      <c r="L37" s="577">
        <v>5572</v>
      </c>
      <c r="M37" s="577">
        <v>6936</v>
      </c>
      <c r="N37" s="578">
        <v>13850</v>
      </c>
    </row>
    <row r="38" spans="1:14" ht="17.25" x14ac:dyDescent="0.3">
      <c r="A38" s="586" t="s">
        <v>1139</v>
      </c>
      <c r="B38" s="621">
        <v>117568</v>
      </c>
      <c r="C38" s="577">
        <v>4364</v>
      </c>
      <c r="D38" s="577">
        <v>16310</v>
      </c>
      <c r="E38" s="577">
        <v>5881</v>
      </c>
      <c r="F38" s="577">
        <v>15646</v>
      </c>
      <c r="G38" s="577">
        <v>7316</v>
      </c>
      <c r="H38" s="577">
        <v>8632</v>
      </c>
      <c r="I38" s="577">
        <v>4818</v>
      </c>
      <c r="J38" s="577">
        <v>13274</v>
      </c>
      <c r="K38" s="577">
        <v>6627</v>
      </c>
      <c r="L38" s="577">
        <v>5660</v>
      </c>
      <c r="M38" s="577">
        <v>7103</v>
      </c>
      <c r="N38" s="578">
        <v>16133</v>
      </c>
    </row>
    <row r="39" spans="1:14" ht="17.25" x14ac:dyDescent="0.3">
      <c r="A39" s="586" t="s">
        <v>1140</v>
      </c>
      <c r="B39" s="621">
        <v>102444</v>
      </c>
      <c r="C39" s="577">
        <v>3061</v>
      </c>
      <c r="D39" s="577">
        <v>10583</v>
      </c>
      <c r="E39" s="577">
        <v>4748</v>
      </c>
      <c r="F39" s="577">
        <v>11649</v>
      </c>
      <c r="G39" s="577">
        <v>6605</v>
      </c>
      <c r="H39" s="577">
        <v>7821</v>
      </c>
      <c r="I39" s="577">
        <v>4870</v>
      </c>
      <c r="J39" s="577">
        <v>13207</v>
      </c>
      <c r="K39" s="577">
        <v>6377</v>
      </c>
      <c r="L39" s="577">
        <v>5593</v>
      </c>
      <c r="M39" s="577">
        <v>6565</v>
      </c>
      <c r="N39" s="578">
        <v>14486</v>
      </c>
    </row>
    <row r="40" spans="1:14" ht="17.25" x14ac:dyDescent="0.3">
      <c r="A40" s="586" t="s">
        <v>1137</v>
      </c>
      <c r="B40" s="621">
        <v>73046</v>
      </c>
      <c r="C40" s="577">
        <v>3142</v>
      </c>
      <c r="D40" s="577">
        <v>7226</v>
      </c>
      <c r="E40" s="577">
        <v>506</v>
      </c>
      <c r="F40" s="577">
        <v>10811</v>
      </c>
      <c r="G40" s="577">
        <v>2887</v>
      </c>
      <c r="H40" s="577">
        <v>124</v>
      </c>
      <c r="I40" s="577">
        <v>5029</v>
      </c>
      <c r="J40" s="577">
        <v>12081</v>
      </c>
      <c r="K40" s="577">
        <v>5458</v>
      </c>
      <c r="L40" s="577">
        <v>3468</v>
      </c>
      <c r="M40" s="577">
        <v>7443</v>
      </c>
      <c r="N40" s="578">
        <v>10636</v>
      </c>
    </row>
    <row r="41" spans="1:14" ht="17.25" x14ac:dyDescent="0.3">
      <c r="A41" s="586" t="s">
        <v>1138</v>
      </c>
      <c r="B41" s="621">
        <v>96533</v>
      </c>
      <c r="C41" s="577">
        <v>3859</v>
      </c>
      <c r="D41" s="577">
        <v>12843</v>
      </c>
      <c r="E41" s="577">
        <v>5387</v>
      </c>
      <c r="F41" s="577">
        <v>12131</v>
      </c>
      <c r="G41" s="577">
        <v>5691</v>
      </c>
      <c r="H41" s="577">
        <v>768</v>
      </c>
      <c r="I41" s="577">
        <v>4648</v>
      </c>
      <c r="J41" s="577">
        <v>11618</v>
      </c>
      <c r="K41" s="577">
        <v>6688</v>
      </c>
      <c r="L41" s="577">
        <v>5001</v>
      </c>
      <c r="M41" s="577">
        <v>7179</v>
      </c>
      <c r="N41" s="578">
        <v>11404</v>
      </c>
    </row>
    <row r="42" spans="1:14" ht="17.25" x14ac:dyDescent="0.3">
      <c r="A42" s="586" t="s">
        <v>1139</v>
      </c>
      <c r="B42" s="621">
        <v>107287</v>
      </c>
      <c r="C42" s="577">
        <v>4583</v>
      </c>
      <c r="D42" s="577">
        <v>15375</v>
      </c>
      <c r="E42" s="577">
        <v>6014</v>
      </c>
      <c r="F42" s="577">
        <v>14600</v>
      </c>
      <c r="G42" s="577">
        <v>6065</v>
      </c>
      <c r="H42" s="577">
        <v>2241</v>
      </c>
      <c r="I42" s="577">
        <v>5002</v>
      </c>
      <c r="J42" s="577">
        <v>12356</v>
      </c>
      <c r="K42" s="577">
        <v>6763</v>
      </c>
      <c r="L42" s="577">
        <v>5592</v>
      </c>
      <c r="M42" s="577">
        <v>7287</v>
      </c>
      <c r="N42" s="578">
        <v>13857</v>
      </c>
    </row>
    <row r="43" spans="1:14" ht="18" thickBot="1" x14ac:dyDescent="0.35">
      <c r="A43" s="602" t="s">
        <v>1141</v>
      </c>
      <c r="B43" s="622">
        <v>94888</v>
      </c>
      <c r="C43" s="583">
        <v>3654</v>
      </c>
      <c r="D43" s="583">
        <v>9780</v>
      </c>
      <c r="E43" s="583">
        <v>4879</v>
      </c>
      <c r="F43" s="583">
        <v>12097</v>
      </c>
      <c r="G43" s="583">
        <v>5649</v>
      </c>
      <c r="H43" s="583">
        <v>1403</v>
      </c>
      <c r="I43" s="583">
        <v>5014</v>
      </c>
      <c r="J43" s="583">
        <v>13249</v>
      </c>
      <c r="K43" s="583">
        <v>6534</v>
      </c>
      <c r="L43" s="583">
        <v>5709</v>
      </c>
      <c r="M43" s="583">
        <v>7080</v>
      </c>
      <c r="N43" s="585">
        <v>11702</v>
      </c>
    </row>
    <row r="44" spans="1:14" ht="21.75" customHeight="1" thickBot="1" x14ac:dyDescent="0.35">
      <c r="A44" s="623"/>
      <c r="B44" s="624"/>
      <c r="C44" s="3629" t="s">
        <v>1162</v>
      </c>
      <c r="D44" s="3630"/>
      <c r="E44" s="3630"/>
      <c r="F44" s="3630"/>
      <c r="G44" s="3630"/>
      <c r="H44" s="3630"/>
      <c r="I44" s="3630"/>
      <c r="J44" s="3630"/>
      <c r="K44" s="3630"/>
      <c r="L44" s="3630"/>
      <c r="M44" s="3631"/>
      <c r="N44" s="625"/>
    </row>
    <row r="45" spans="1:14" ht="16.5" hidden="1" x14ac:dyDescent="0.3">
      <c r="A45" s="626" t="s">
        <v>1122</v>
      </c>
      <c r="B45" s="627">
        <v>2.9</v>
      </c>
      <c r="C45" s="592">
        <v>5</v>
      </c>
      <c r="D45" s="592">
        <v>0.30729749152258456</v>
      </c>
      <c r="E45" s="592">
        <v>-5.9791080753904264</v>
      </c>
      <c r="F45" s="592">
        <v>2.8</v>
      </c>
      <c r="G45" s="592">
        <v>2.8468449055462752</v>
      </c>
      <c r="H45" s="592">
        <v>0.99781902624735963</v>
      </c>
      <c r="I45" s="592">
        <v>6.9009513080459106</v>
      </c>
      <c r="J45" s="592">
        <v>6.1227553257696687</v>
      </c>
      <c r="K45" s="592">
        <v>3.3</v>
      </c>
      <c r="L45" s="592">
        <v>5.4716229481853729</v>
      </c>
      <c r="M45" s="592">
        <v>1.1346904145424386</v>
      </c>
      <c r="N45" s="593">
        <v>4.123874912871428</v>
      </c>
    </row>
    <row r="46" spans="1:14" ht="16.5" hidden="1" x14ac:dyDescent="0.3">
      <c r="A46" s="594" t="s">
        <v>1123</v>
      </c>
      <c r="B46" s="628">
        <v>4.7</v>
      </c>
      <c r="C46" s="596">
        <v>4.3829460571184642</v>
      </c>
      <c r="D46" s="596">
        <v>5.4226173841463776</v>
      </c>
      <c r="E46" s="596">
        <v>-9.70099452092491</v>
      </c>
      <c r="F46" s="596">
        <v>2.7508753161486821</v>
      </c>
      <c r="G46" s="596">
        <v>3.5770718120141209</v>
      </c>
      <c r="H46" s="596">
        <v>11.683558775220471</v>
      </c>
      <c r="I46" s="596">
        <v>6.0429652168034087</v>
      </c>
      <c r="J46" s="596">
        <v>5.6992943848676259</v>
      </c>
      <c r="K46" s="596">
        <v>4.5999999999999996</v>
      </c>
      <c r="L46" s="596">
        <v>5.5542575066565902</v>
      </c>
      <c r="M46" s="596">
        <v>9.8065496265699039</v>
      </c>
      <c r="N46" s="597">
        <v>6.4732740101308917</v>
      </c>
    </row>
    <row r="47" spans="1:14" ht="16.5" hidden="1" x14ac:dyDescent="0.3">
      <c r="A47" s="594" t="s">
        <v>1124</v>
      </c>
      <c r="B47" s="628">
        <v>4.7</v>
      </c>
      <c r="C47" s="596">
        <v>3.4026107597079358</v>
      </c>
      <c r="D47" s="596">
        <v>3.9077800492298254</v>
      </c>
      <c r="E47" s="596">
        <v>-9.3248841434625973</v>
      </c>
      <c r="F47" s="596">
        <v>3</v>
      </c>
      <c r="G47" s="596">
        <v>3.2595406021838969</v>
      </c>
      <c r="H47" s="596">
        <v>7.4858775162168101</v>
      </c>
      <c r="I47" s="596">
        <v>7.0196776438773645</v>
      </c>
      <c r="J47" s="596">
        <v>4.7918780829346863</v>
      </c>
      <c r="K47" s="596">
        <v>16.899999999999999</v>
      </c>
      <c r="L47" s="596">
        <v>5.5710161624231258</v>
      </c>
      <c r="M47" s="596">
        <v>3.8995758614407183</v>
      </c>
      <c r="N47" s="597">
        <v>4.223707818305833</v>
      </c>
    </row>
    <row r="48" spans="1:14" ht="16.5" hidden="1" x14ac:dyDescent="0.3">
      <c r="A48" s="594" t="s">
        <v>1125</v>
      </c>
      <c r="B48" s="628">
        <v>2.2999999999999998</v>
      </c>
      <c r="C48" s="596">
        <v>2.791583056271385</v>
      </c>
      <c r="D48" s="596">
        <v>-1.9781499400029379</v>
      </c>
      <c r="E48" s="596">
        <v>-9.0776672893807522</v>
      </c>
      <c r="F48" s="596">
        <v>3.2</v>
      </c>
      <c r="G48" s="596">
        <v>1.8516048762129422</v>
      </c>
      <c r="H48" s="596">
        <v>6.0305086721102574</v>
      </c>
      <c r="I48" s="596">
        <v>5.8272307338228746</v>
      </c>
      <c r="J48" s="596">
        <v>5.4269995751638378</v>
      </c>
      <c r="K48" s="596">
        <v>-3.1</v>
      </c>
      <c r="L48" s="596">
        <v>5.4059385483073097</v>
      </c>
      <c r="M48" s="596">
        <v>6.1659795323896871</v>
      </c>
      <c r="N48" s="597">
        <v>4.2551655355724582</v>
      </c>
    </row>
    <row r="49" spans="1:14" ht="16.5" hidden="1" x14ac:dyDescent="0.3">
      <c r="A49" s="629" t="s">
        <v>1126</v>
      </c>
      <c r="B49" s="627">
        <v>3.2</v>
      </c>
      <c r="C49" s="592">
        <v>-7</v>
      </c>
      <c r="D49" s="592">
        <v>2.6</v>
      </c>
      <c r="E49" s="592">
        <v>-7.5</v>
      </c>
      <c r="F49" s="592">
        <v>2.8</v>
      </c>
      <c r="G49" s="592">
        <v>2.8</v>
      </c>
      <c r="H49" s="592">
        <v>9.6999999999999993</v>
      </c>
      <c r="I49" s="592">
        <v>8.1999999999999993</v>
      </c>
      <c r="J49" s="592">
        <v>4.5999999999999996</v>
      </c>
      <c r="K49" s="592">
        <v>2.2999999999999998</v>
      </c>
      <c r="L49" s="592">
        <v>4.8</v>
      </c>
      <c r="M49" s="592">
        <v>1.6</v>
      </c>
      <c r="N49" s="593">
        <v>12.1</v>
      </c>
    </row>
    <row r="50" spans="1:14" ht="16.5" hidden="1" x14ac:dyDescent="0.3">
      <c r="A50" s="594" t="s">
        <v>1127</v>
      </c>
      <c r="B50" s="628">
        <v>2.2999999999999998</v>
      </c>
      <c r="C50" s="596">
        <v>1.6</v>
      </c>
      <c r="D50" s="596">
        <v>-2.6</v>
      </c>
      <c r="E50" s="596">
        <v>-7.5</v>
      </c>
      <c r="F50" s="596">
        <v>2.5</v>
      </c>
      <c r="G50" s="596">
        <v>3.8</v>
      </c>
      <c r="H50" s="596">
        <v>3.1</v>
      </c>
      <c r="I50" s="596">
        <v>8.6999999999999993</v>
      </c>
      <c r="J50" s="596">
        <v>5</v>
      </c>
      <c r="K50" s="596">
        <v>2.4</v>
      </c>
      <c r="L50" s="596">
        <v>5</v>
      </c>
      <c r="M50" s="596">
        <v>3</v>
      </c>
      <c r="N50" s="597">
        <v>1.8</v>
      </c>
    </row>
    <row r="51" spans="1:14" ht="16.5" hidden="1" x14ac:dyDescent="0.3">
      <c r="A51" s="594" t="s">
        <v>1128</v>
      </c>
      <c r="B51" s="628">
        <v>3</v>
      </c>
      <c r="C51" s="596">
        <v>3.2</v>
      </c>
      <c r="D51" s="596">
        <v>-0.7</v>
      </c>
      <c r="E51" s="596">
        <v>-2.7</v>
      </c>
      <c r="F51" s="596">
        <v>3.1</v>
      </c>
      <c r="G51" s="596">
        <v>2.9</v>
      </c>
      <c r="H51" s="596">
        <v>10.1</v>
      </c>
      <c r="I51" s="596">
        <v>5</v>
      </c>
      <c r="J51" s="596">
        <v>5.5</v>
      </c>
      <c r="K51" s="596">
        <v>1.7</v>
      </c>
      <c r="L51" s="596">
        <v>5.2</v>
      </c>
      <c r="M51" s="596">
        <v>3</v>
      </c>
      <c r="N51" s="597">
        <v>7</v>
      </c>
    </row>
    <row r="52" spans="1:14" ht="16.5" hidden="1" x14ac:dyDescent="0.3">
      <c r="A52" s="594" t="s">
        <v>1129</v>
      </c>
      <c r="B52" s="628">
        <v>3.9</v>
      </c>
      <c r="C52" s="596">
        <v>0.8</v>
      </c>
      <c r="D52" s="596">
        <v>1.5</v>
      </c>
      <c r="E52" s="596">
        <v>-1.8</v>
      </c>
      <c r="F52" s="596">
        <v>2.9</v>
      </c>
      <c r="G52" s="596">
        <v>4.0999999999999996</v>
      </c>
      <c r="H52" s="596">
        <v>10.8</v>
      </c>
      <c r="I52" s="596">
        <v>6.2</v>
      </c>
      <c r="J52" s="596">
        <v>5.7</v>
      </c>
      <c r="K52" s="596">
        <v>9.8000000000000007</v>
      </c>
      <c r="L52" s="596">
        <v>5.3</v>
      </c>
      <c r="M52" s="596">
        <v>-2.4</v>
      </c>
      <c r="N52" s="597">
        <v>7.1</v>
      </c>
    </row>
    <row r="53" spans="1:14" ht="16.5" hidden="1" x14ac:dyDescent="0.3">
      <c r="A53" s="594" t="s">
        <v>1130</v>
      </c>
      <c r="B53" s="628">
        <v>3.8</v>
      </c>
      <c r="C53" s="596">
        <v>5.8</v>
      </c>
      <c r="D53" s="596">
        <v>-1.4</v>
      </c>
      <c r="E53" s="596">
        <v>-7</v>
      </c>
      <c r="F53" s="596">
        <v>3.1</v>
      </c>
      <c r="G53" s="596">
        <v>3.7</v>
      </c>
      <c r="H53" s="596">
        <v>10.8</v>
      </c>
      <c r="I53" s="596">
        <v>6.4</v>
      </c>
      <c r="J53" s="596">
        <v>5.8</v>
      </c>
      <c r="K53" s="596">
        <v>6.2</v>
      </c>
      <c r="L53" s="596">
        <v>5.7</v>
      </c>
      <c r="M53" s="596">
        <v>3.8</v>
      </c>
      <c r="N53" s="597">
        <v>5.4</v>
      </c>
    </row>
    <row r="54" spans="1:14" ht="16.5" hidden="1" x14ac:dyDescent="0.3">
      <c r="A54" s="594" t="s">
        <v>1127</v>
      </c>
      <c r="B54" s="628">
        <v>2.7</v>
      </c>
      <c r="C54" s="596">
        <v>4.5</v>
      </c>
      <c r="D54" s="596">
        <v>-0.3</v>
      </c>
      <c r="E54" s="596">
        <v>-7.3</v>
      </c>
      <c r="F54" s="596">
        <v>3.1</v>
      </c>
      <c r="G54" s="596">
        <v>4.3</v>
      </c>
      <c r="H54" s="596">
        <v>4.5</v>
      </c>
      <c r="I54" s="596">
        <v>5.6</v>
      </c>
      <c r="J54" s="596">
        <v>5.7</v>
      </c>
      <c r="K54" s="596">
        <v>3.9</v>
      </c>
      <c r="L54" s="596">
        <v>5.6</v>
      </c>
      <c r="M54" s="596">
        <v>0.3</v>
      </c>
      <c r="N54" s="597">
        <v>12.9</v>
      </c>
    </row>
    <row r="55" spans="1:14" ht="16.5" hidden="1" x14ac:dyDescent="0.3">
      <c r="A55" s="594" t="s">
        <v>1128</v>
      </c>
      <c r="B55" s="628">
        <v>3.7</v>
      </c>
      <c r="C55" s="596">
        <v>3.6</v>
      </c>
      <c r="D55" s="596">
        <v>0.9</v>
      </c>
      <c r="E55" s="596">
        <v>7.8</v>
      </c>
      <c r="F55" s="596">
        <v>2.9</v>
      </c>
      <c r="G55" s="596">
        <v>4.0999999999999996</v>
      </c>
      <c r="H55" s="596">
        <v>7.4</v>
      </c>
      <c r="I55" s="596">
        <v>4.8</v>
      </c>
      <c r="J55" s="596">
        <v>5.6</v>
      </c>
      <c r="K55" s="596">
        <v>3.4</v>
      </c>
      <c r="L55" s="596">
        <v>5.8</v>
      </c>
      <c r="M55" s="596">
        <v>3.6</v>
      </c>
      <c r="N55" s="597">
        <v>1.6</v>
      </c>
    </row>
    <row r="56" spans="1:14" ht="16.5" hidden="1" x14ac:dyDescent="0.3">
      <c r="A56" s="594" t="s">
        <v>1129</v>
      </c>
      <c r="B56" s="628">
        <v>4.0999999999999996</v>
      </c>
      <c r="C56" s="596">
        <v>2.4</v>
      </c>
      <c r="D56" s="596">
        <v>1.4</v>
      </c>
      <c r="E56" s="596">
        <v>6.1</v>
      </c>
      <c r="F56" s="596">
        <v>3</v>
      </c>
      <c r="G56" s="596">
        <v>3.7</v>
      </c>
      <c r="H56" s="596">
        <v>12.3</v>
      </c>
      <c r="I56" s="596">
        <v>6.8</v>
      </c>
      <c r="J56" s="596">
        <v>5.6</v>
      </c>
      <c r="K56" s="596">
        <v>2.8</v>
      </c>
      <c r="L56" s="596">
        <v>5.7</v>
      </c>
      <c r="M56" s="596">
        <v>3.4</v>
      </c>
      <c r="N56" s="597">
        <v>3.4</v>
      </c>
    </row>
    <row r="57" spans="1:14" ht="16.5" x14ac:dyDescent="0.3">
      <c r="A57" s="594" t="s">
        <v>1131</v>
      </c>
      <c r="B57" s="628">
        <v>3.6</v>
      </c>
      <c r="C57" s="596">
        <v>3.4</v>
      </c>
      <c r="D57" s="596">
        <v>0.3</v>
      </c>
      <c r="E57" s="596">
        <v>5.7</v>
      </c>
      <c r="F57" s="596">
        <v>3.3</v>
      </c>
      <c r="G57" s="596">
        <v>4.0999999999999996</v>
      </c>
      <c r="H57" s="596">
        <v>3.4</v>
      </c>
      <c r="I57" s="596">
        <v>5.6</v>
      </c>
      <c r="J57" s="596">
        <v>5.3</v>
      </c>
      <c r="K57" s="596">
        <v>3.3</v>
      </c>
      <c r="L57" s="596">
        <v>5.7</v>
      </c>
      <c r="M57" s="596">
        <v>1.7</v>
      </c>
      <c r="N57" s="597">
        <v>4.0999999999999996</v>
      </c>
    </row>
    <row r="58" spans="1:14" ht="16.5" x14ac:dyDescent="0.3">
      <c r="A58" s="594" t="s">
        <v>1127</v>
      </c>
      <c r="B58" s="628">
        <v>4</v>
      </c>
      <c r="C58" s="596">
        <v>-0.6</v>
      </c>
      <c r="D58" s="596">
        <v>2.2000000000000002</v>
      </c>
      <c r="E58" s="596">
        <v>8.9</v>
      </c>
      <c r="F58" s="596">
        <v>2.9</v>
      </c>
      <c r="G58" s="596">
        <v>3.6</v>
      </c>
      <c r="H58" s="596">
        <v>9.1999999999999993</v>
      </c>
      <c r="I58" s="596">
        <v>5.6</v>
      </c>
      <c r="J58" s="596">
        <v>5.9</v>
      </c>
      <c r="K58" s="596">
        <v>2.8</v>
      </c>
      <c r="L58" s="596">
        <v>5.4</v>
      </c>
      <c r="M58" s="596">
        <v>1.8</v>
      </c>
      <c r="N58" s="597">
        <v>6.7</v>
      </c>
    </row>
    <row r="59" spans="1:14" ht="16.5" x14ac:dyDescent="0.3">
      <c r="A59" s="594" t="s">
        <v>1128</v>
      </c>
      <c r="B59" s="628">
        <v>3.3</v>
      </c>
      <c r="C59" s="596">
        <v>-0.4</v>
      </c>
      <c r="D59" s="596">
        <v>1.6</v>
      </c>
      <c r="E59" s="596">
        <v>8.6999999999999993</v>
      </c>
      <c r="F59" s="596">
        <v>2.6</v>
      </c>
      <c r="G59" s="596">
        <v>3.3</v>
      </c>
      <c r="H59" s="596">
        <v>4.3</v>
      </c>
      <c r="I59" s="596">
        <v>5.3</v>
      </c>
      <c r="J59" s="596">
        <v>5.3</v>
      </c>
      <c r="K59" s="596">
        <v>3.5</v>
      </c>
      <c r="L59" s="596">
        <v>5.2</v>
      </c>
      <c r="M59" s="596">
        <v>-1.4</v>
      </c>
      <c r="N59" s="597">
        <v>4.4000000000000004</v>
      </c>
    </row>
    <row r="60" spans="1:14" ht="16.5" x14ac:dyDescent="0.3">
      <c r="A60" s="594" t="s">
        <v>1129</v>
      </c>
      <c r="B60" s="628">
        <v>3.3</v>
      </c>
      <c r="C60" s="596">
        <v>-1.6</v>
      </c>
      <c r="D60" s="596">
        <v>1.5</v>
      </c>
      <c r="E60" s="596">
        <v>6.6</v>
      </c>
      <c r="F60" s="596">
        <v>3.3</v>
      </c>
      <c r="G60" s="596">
        <v>3.9</v>
      </c>
      <c r="H60" s="596">
        <v>3.1</v>
      </c>
      <c r="I60" s="596">
        <v>5.6</v>
      </c>
      <c r="J60" s="596">
        <v>5.6</v>
      </c>
      <c r="K60" s="596">
        <v>3.4</v>
      </c>
      <c r="L60" s="596">
        <v>5.0999999999999996</v>
      </c>
      <c r="M60" s="596">
        <v>0.4</v>
      </c>
      <c r="N60" s="597">
        <v>7.8</v>
      </c>
    </row>
    <row r="61" spans="1:14" ht="17.25" x14ac:dyDescent="0.3">
      <c r="A61" s="594" t="s">
        <v>1134</v>
      </c>
      <c r="B61" s="628">
        <v>3.8</v>
      </c>
      <c r="C61" s="596">
        <v>-7.3</v>
      </c>
      <c r="D61" s="596">
        <v>1.3</v>
      </c>
      <c r="E61" s="596">
        <v>14.1</v>
      </c>
      <c r="F61" s="596">
        <v>3.8</v>
      </c>
      <c r="G61" s="596">
        <v>3.9</v>
      </c>
      <c r="H61" s="596">
        <v>4.8</v>
      </c>
      <c r="I61" s="596">
        <v>5.8</v>
      </c>
      <c r="J61" s="596">
        <v>5.6</v>
      </c>
      <c r="K61" s="596">
        <v>3.6</v>
      </c>
      <c r="L61" s="596">
        <v>4.8</v>
      </c>
      <c r="M61" s="596">
        <v>-2.2000000000000002</v>
      </c>
      <c r="N61" s="597">
        <v>7.4</v>
      </c>
    </row>
    <row r="62" spans="1:14" ht="17.25" x14ac:dyDescent="0.3">
      <c r="A62" s="594" t="s">
        <v>1135</v>
      </c>
      <c r="B62" s="628">
        <v>3.3</v>
      </c>
      <c r="C62" s="596">
        <v>-5.3</v>
      </c>
      <c r="D62" s="596">
        <v>0.2</v>
      </c>
      <c r="E62" s="596">
        <v>11.1</v>
      </c>
      <c r="F62" s="596">
        <v>3.4</v>
      </c>
      <c r="G62" s="596">
        <v>3.5</v>
      </c>
      <c r="H62" s="596">
        <v>1.1000000000000001</v>
      </c>
      <c r="I62" s="596">
        <v>5.6</v>
      </c>
      <c r="J62" s="596">
        <v>5.5</v>
      </c>
      <c r="K62" s="596">
        <v>3.5</v>
      </c>
      <c r="L62" s="596">
        <v>5.2</v>
      </c>
      <c r="M62" s="596">
        <v>3.6</v>
      </c>
      <c r="N62" s="597">
        <v>5.3</v>
      </c>
    </row>
    <row r="63" spans="1:14" ht="17.25" x14ac:dyDescent="0.3">
      <c r="A63" s="594" t="s">
        <v>1132</v>
      </c>
      <c r="B63" s="628">
        <v>3.2</v>
      </c>
      <c r="C63" s="596">
        <v>1.7</v>
      </c>
      <c r="D63" s="596">
        <v>-1.2</v>
      </c>
      <c r="E63" s="596">
        <v>4.2</v>
      </c>
      <c r="F63" s="596">
        <v>3.7</v>
      </c>
      <c r="G63" s="596">
        <v>3.3</v>
      </c>
      <c r="H63" s="596">
        <v>5.7</v>
      </c>
      <c r="I63" s="596">
        <v>5.3</v>
      </c>
      <c r="J63" s="596">
        <v>5.0999999999999996</v>
      </c>
      <c r="K63" s="596">
        <v>2.6</v>
      </c>
      <c r="L63" s="596">
        <v>5.2</v>
      </c>
      <c r="M63" s="596">
        <v>2.2000000000000002</v>
      </c>
      <c r="N63" s="597">
        <v>3.3</v>
      </c>
    </row>
    <row r="64" spans="1:14" ht="17.25" x14ac:dyDescent="0.3">
      <c r="A64" s="594" t="s">
        <v>1133</v>
      </c>
      <c r="B64" s="628">
        <v>4</v>
      </c>
      <c r="C64" s="596">
        <v>1.7</v>
      </c>
      <c r="D64" s="596">
        <v>2.2999999999999998</v>
      </c>
      <c r="E64" s="596">
        <v>9.9</v>
      </c>
      <c r="F64" s="596">
        <v>3.7</v>
      </c>
      <c r="G64" s="596">
        <v>3.4</v>
      </c>
      <c r="H64" s="596">
        <v>4.2</v>
      </c>
      <c r="I64" s="596">
        <v>5.3</v>
      </c>
      <c r="J64" s="596">
        <v>5.2</v>
      </c>
      <c r="K64" s="596">
        <v>3</v>
      </c>
      <c r="L64" s="596">
        <v>5.3</v>
      </c>
      <c r="M64" s="596">
        <v>3</v>
      </c>
      <c r="N64" s="597">
        <v>4.0999999999999996</v>
      </c>
    </row>
    <row r="65" spans="1:14" ht="17.25" x14ac:dyDescent="0.3">
      <c r="A65" s="586" t="s">
        <v>1136</v>
      </c>
      <c r="B65" s="628">
        <v>3.4</v>
      </c>
      <c r="C65" s="596">
        <v>6.5</v>
      </c>
      <c r="D65" s="596">
        <v>1.3</v>
      </c>
      <c r="E65" s="596">
        <v>8</v>
      </c>
      <c r="F65" s="596">
        <v>3.6</v>
      </c>
      <c r="G65" s="596">
        <v>3.4</v>
      </c>
      <c r="H65" s="596">
        <v>-1.2</v>
      </c>
      <c r="I65" s="596">
        <v>5.6</v>
      </c>
      <c r="J65" s="596">
        <v>5.2</v>
      </c>
      <c r="K65" s="596">
        <v>3.1</v>
      </c>
      <c r="L65" s="596">
        <v>4.9000000000000004</v>
      </c>
      <c r="M65" s="596">
        <v>2.2000000000000002</v>
      </c>
      <c r="N65" s="597">
        <v>3.1</v>
      </c>
    </row>
    <row r="66" spans="1:14" ht="17.25" x14ac:dyDescent="0.3">
      <c r="A66" s="586" t="s">
        <v>1137</v>
      </c>
      <c r="B66" s="628">
        <v>3.7</v>
      </c>
      <c r="C66" s="596">
        <v>6.8</v>
      </c>
      <c r="D66" s="596">
        <v>1.4</v>
      </c>
      <c r="E66" s="596">
        <v>9.4</v>
      </c>
      <c r="F66" s="596">
        <v>3.5</v>
      </c>
      <c r="G66" s="596">
        <v>3.1</v>
      </c>
      <c r="H66" s="596">
        <v>2.5</v>
      </c>
      <c r="I66" s="596">
        <v>5.5</v>
      </c>
      <c r="J66" s="596">
        <v>5.3</v>
      </c>
      <c r="K66" s="596">
        <v>3.1</v>
      </c>
      <c r="L66" s="596">
        <v>5</v>
      </c>
      <c r="M66" s="596">
        <v>0.1</v>
      </c>
      <c r="N66" s="597">
        <v>2.4</v>
      </c>
    </row>
    <row r="67" spans="1:14" ht="17.25" x14ac:dyDescent="0.3">
      <c r="A67" s="586" t="s">
        <v>1138</v>
      </c>
      <c r="B67" s="628">
        <v>3</v>
      </c>
      <c r="C67" s="596">
        <v>2.5</v>
      </c>
      <c r="D67" s="596">
        <v>0.1</v>
      </c>
      <c r="E67" s="596">
        <v>8.4</v>
      </c>
      <c r="F67" s="596">
        <v>2.9</v>
      </c>
      <c r="G67" s="596">
        <v>3</v>
      </c>
      <c r="H67" s="596">
        <v>-1.3</v>
      </c>
      <c r="I67" s="596">
        <v>5.4</v>
      </c>
      <c r="J67" s="596">
        <v>5.3</v>
      </c>
      <c r="K67" s="596">
        <v>3.8</v>
      </c>
      <c r="L67" s="596">
        <v>5.2</v>
      </c>
      <c r="M67" s="596">
        <v>0.9</v>
      </c>
      <c r="N67" s="597">
        <v>2.2999999999999998</v>
      </c>
    </row>
    <row r="68" spans="1:14" ht="17.25" x14ac:dyDescent="0.3">
      <c r="A68" s="586" t="s">
        <v>1139</v>
      </c>
      <c r="B68" s="628">
        <v>2.7</v>
      </c>
      <c r="C68" s="596">
        <v>2.8</v>
      </c>
      <c r="D68" s="596">
        <v>-0.5</v>
      </c>
      <c r="E68" s="596">
        <v>8</v>
      </c>
      <c r="F68" s="596">
        <v>3.6</v>
      </c>
      <c r="G68" s="596">
        <v>3.3</v>
      </c>
      <c r="H68" s="596">
        <v>-3.3</v>
      </c>
      <c r="I68" s="596">
        <v>5.6</v>
      </c>
      <c r="J68" s="596">
        <v>5.0999999999999996</v>
      </c>
      <c r="K68" s="596">
        <v>3.7</v>
      </c>
      <c r="L68" s="596">
        <v>5.2</v>
      </c>
      <c r="M68" s="596">
        <v>2.4</v>
      </c>
      <c r="N68" s="597">
        <v>0</v>
      </c>
    </row>
    <row r="69" spans="1:14" ht="17.25" x14ac:dyDescent="0.3">
      <c r="A69" s="586" t="s">
        <v>1140</v>
      </c>
      <c r="B69" s="628">
        <v>-2.2999999999999998</v>
      </c>
      <c r="C69" s="599">
        <v>-4.3</v>
      </c>
      <c r="D69" s="599">
        <v>-0.6</v>
      </c>
      <c r="E69" s="599">
        <v>-6.5</v>
      </c>
      <c r="F69" s="599">
        <v>-3.7</v>
      </c>
      <c r="G69" s="599">
        <v>-14.3</v>
      </c>
      <c r="H69" s="599">
        <v>-14.8</v>
      </c>
      <c r="I69" s="599">
        <v>4.9000000000000004</v>
      </c>
      <c r="J69" s="599">
        <v>4.2</v>
      </c>
      <c r="K69" s="599">
        <v>0.4</v>
      </c>
      <c r="L69" s="599">
        <v>-0.6</v>
      </c>
      <c r="M69" s="599">
        <v>4.7</v>
      </c>
      <c r="N69" s="601">
        <v>-6.6</v>
      </c>
    </row>
    <row r="70" spans="1:14" ht="17.25" x14ac:dyDescent="0.3">
      <c r="A70" s="586" t="s">
        <v>1137</v>
      </c>
      <c r="B70" s="628">
        <v>-33.1</v>
      </c>
      <c r="C70" s="599">
        <v>-6.8</v>
      </c>
      <c r="D70" s="599">
        <v>-41.5</v>
      </c>
      <c r="E70" s="599">
        <v>-90.3</v>
      </c>
      <c r="F70" s="599">
        <v>-24.1</v>
      </c>
      <c r="G70" s="599">
        <v>-60</v>
      </c>
      <c r="H70" s="599">
        <v>-97.9</v>
      </c>
      <c r="I70" s="599">
        <v>7.3</v>
      </c>
      <c r="J70" s="599">
        <v>-1.5</v>
      </c>
      <c r="K70" s="599">
        <v>-11.2</v>
      </c>
      <c r="L70" s="599">
        <v>-41.4</v>
      </c>
      <c r="M70" s="599">
        <v>-7</v>
      </c>
      <c r="N70" s="601">
        <v>-32</v>
      </c>
    </row>
    <row r="71" spans="1:14" ht="17.25" x14ac:dyDescent="0.3">
      <c r="A71" s="586" t="s">
        <v>1138</v>
      </c>
      <c r="B71" s="628">
        <v>-12.7</v>
      </c>
      <c r="C71" s="599">
        <v>2.2000000000000002</v>
      </c>
      <c r="D71" s="599">
        <v>-14.8</v>
      </c>
      <c r="E71" s="599">
        <v>-9.9</v>
      </c>
      <c r="F71" s="599">
        <v>-12.9</v>
      </c>
      <c r="G71" s="599">
        <v>-21.1</v>
      </c>
      <c r="H71" s="599">
        <v>-87.4</v>
      </c>
      <c r="I71" s="599">
        <v>5.5</v>
      </c>
      <c r="J71" s="599">
        <v>0.8</v>
      </c>
      <c r="K71" s="599">
        <v>0.7</v>
      </c>
      <c r="L71" s="599">
        <v>-11.7</v>
      </c>
      <c r="M71" s="599">
        <v>-1.1000000000000001</v>
      </c>
      <c r="N71" s="601">
        <v>-12</v>
      </c>
    </row>
    <row r="72" spans="1:14" ht="17.25" x14ac:dyDescent="0.3">
      <c r="A72" s="586" t="s">
        <v>1139</v>
      </c>
      <c r="B72" s="628">
        <v>-11.1</v>
      </c>
      <c r="C72" s="599">
        <v>-3.1</v>
      </c>
      <c r="D72" s="599">
        <v>-11.3</v>
      </c>
      <c r="E72" s="599">
        <v>-2.2000000000000002</v>
      </c>
      <c r="F72" s="599">
        <v>-7.7</v>
      </c>
      <c r="G72" s="599">
        <v>-19.8</v>
      </c>
      <c r="H72" s="599">
        <v>-74.7</v>
      </c>
      <c r="I72" s="599">
        <v>5.8</v>
      </c>
      <c r="J72" s="599">
        <v>0.9</v>
      </c>
      <c r="K72" s="599">
        <v>1.4</v>
      </c>
      <c r="L72" s="599">
        <v>-4.0999999999999996</v>
      </c>
      <c r="M72" s="599">
        <v>-2.1</v>
      </c>
      <c r="N72" s="601">
        <v>-12.6</v>
      </c>
    </row>
    <row r="73" spans="1:14" ht="18" thickBot="1" x14ac:dyDescent="0.35">
      <c r="A73" s="630" t="s">
        <v>1141</v>
      </c>
      <c r="B73" s="631">
        <v>-8.4</v>
      </c>
      <c r="C73" s="632">
        <v>11.3</v>
      </c>
      <c r="D73" s="632">
        <v>-5.6</v>
      </c>
      <c r="E73" s="632">
        <v>0.6</v>
      </c>
      <c r="F73" s="632">
        <v>1.9</v>
      </c>
      <c r="G73" s="632">
        <v>-19.100000000000001</v>
      </c>
      <c r="H73" s="632">
        <v>-82</v>
      </c>
      <c r="I73" s="632">
        <v>5.8</v>
      </c>
      <c r="J73" s="632">
        <v>2.2999999999999998</v>
      </c>
      <c r="K73" s="632">
        <v>2</v>
      </c>
      <c r="L73" s="632">
        <v>0.7</v>
      </c>
      <c r="M73" s="632">
        <v>4.3</v>
      </c>
      <c r="N73" s="633">
        <v>-10.9</v>
      </c>
    </row>
    <row r="74" spans="1:14" s="635" customFormat="1" ht="21.75" customHeight="1" thickTop="1" x14ac:dyDescent="0.3">
      <c r="A74" s="634" t="s">
        <v>1163</v>
      </c>
      <c r="B74" s="574"/>
      <c r="C74" s="574"/>
      <c r="D74" s="574"/>
      <c r="E74" s="634"/>
      <c r="F74" s="634"/>
      <c r="G74" s="634"/>
      <c r="H74" s="634"/>
      <c r="I74" s="634"/>
      <c r="J74" s="634"/>
      <c r="K74" s="634"/>
      <c r="L74" s="634"/>
      <c r="M74" s="634"/>
      <c r="N74" s="634"/>
    </row>
    <row r="75" spans="1:14" s="635" customFormat="1" ht="16.5" x14ac:dyDescent="0.3">
      <c r="A75" s="634" t="s">
        <v>1145</v>
      </c>
      <c r="B75" s="634"/>
      <c r="C75" s="634"/>
      <c r="D75" s="634"/>
      <c r="E75" s="634"/>
      <c r="F75" s="634"/>
      <c r="G75" s="634"/>
      <c r="H75" s="634"/>
      <c r="I75" s="634"/>
      <c r="J75" s="634"/>
      <c r="K75" s="634"/>
      <c r="L75" s="634"/>
      <c r="M75" s="634"/>
      <c r="N75" s="634"/>
    </row>
  </sheetData>
  <mergeCells count="3">
    <mergeCell ref="A3:A4"/>
    <mergeCell ref="B3:M3"/>
    <mergeCell ref="C44:M44"/>
  </mergeCells>
  <pageMargins left="0.75" right="0.75" top="0.75" bottom="0.75" header="0.3" footer="0"/>
  <pageSetup paperSize="9" scale="5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402"/>
  <sheetViews>
    <sheetView zoomScale="85" zoomScaleNormal="85" zoomScaleSheetLayoutView="85" workbookViewId="0">
      <pane xSplit="1" ySplit="181" topLeftCell="B182" activePane="bottomRight" state="frozen"/>
      <selection activeCell="A150" sqref="A150"/>
      <selection pane="topRight" activeCell="A150" sqref="A150"/>
      <selection pane="bottomLeft" activeCell="A150" sqref="A150"/>
      <selection pane="bottomRight" activeCell="A239" sqref="A239"/>
    </sheetView>
  </sheetViews>
  <sheetFormatPr defaultColWidth="9.140625" defaultRowHeight="14.25" x14ac:dyDescent="0.25"/>
  <cols>
    <col min="1" max="1" width="14.42578125" style="2741" customWidth="1"/>
    <col min="2" max="2" width="12.7109375" style="2741" customWidth="1"/>
    <col min="3" max="4" width="16.7109375" style="2742" customWidth="1"/>
    <col min="5" max="5" width="13.7109375" style="2741" customWidth="1"/>
    <col min="6" max="6" width="12.42578125" style="2741" customWidth="1"/>
    <col min="7" max="7" width="16.5703125" style="2741" bestFit="1" customWidth="1"/>
    <col min="8" max="8" width="16.5703125" style="2741" customWidth="1"/>
    <col min="9" max="9" width="3.28515625" style="2741" customWidth="1"/>
    <col min="10" max="16384" width="9.140625" style="2741"/>
  </cols>
  <sheetData>
    <row r="1" spans="1:8" s="2739" customFormat="1" ht="18.75" customHeight="1" x14ac:dyDescent="0.25">
      <c r="A1" s="2738" t="s">
        <v>4863</v>
      </c>
      <c r="C1" s="2740"/>
      <c r="D1" s="2740"/>
    </row>
    <row r="2" spans="1:8" ht="14.25" customHeight="1" thickBot="1" x14ac:dyDescent="0.3">
      <c r="F2" s="2743"/>
    </row>
    <row r="3" spans="1:8" s="2744" customFormat="1" ht="18" thickTop="1" thickBot="1" x14ac:dyDescent="0.3">
      <c r="A3" s="3921" t="s">
        <v>1</v>
      </c>
      <c r="B3" s="3924" t="s">
        <v>4864</v>
      </c>
      <c r="C3" s="3924"/>
      <c r="D3" s="3924"/>
      <c r="E3" s="3924"/>
      <c r="F3" s="3924"/>
      <c r="G3" s="3924"/>
      <c r="H3" s="3925"/>
    </row>
    <row r="4" spans="1:8" s="2744" customFormat="1" ht="16.5" customHeight="1" thickBot="1" x14ac:dyDescent="0.3">
      <c r="A4" s="3922"/>
      <c r="B4" s="2745" t="s">
        <v>3432</v>
      </c>
      <c r="C4" s="2746"/>
      <c r="D4" s="2746"/>
      <c r="E4" s="3926" t="s">
        <v>119</v>
      </c>
      <c r="F4" s="3926"/>
      <c r="G4" s="3926"/>
      <c r="H4" s="3927"/>
    </row>
    <row r="5" spans="1:8" s="2744" customFormat="1" ht="18.75" customHeight="1" x14ac:dyDescent="0.25">
      <c r="A5" s="3922"/>
      <c r="B5" s="2747" t="s">
        <v>3435</v>
      </c>
      <c r="C5" s="2745" t="s">
        <v>4865</v>
      </c>
      <c r="D5" s="2745" t="s">
        <v>4865</v>
      </c>
      <c r="E5" s="2748" t="s">
        <v>4866</v>
      </c>
      <c r="F5" s="2748" t="s">
        <v>4867</v>
      </c>
      <c r="G5" s="2745" t="s">
        <v>4868</v>
      </c>
      <c r="H5" s="2749" t="s">
        <v>4869</v>
      </c>
    </row>
    <row r="6" spans="1:8" s="2744" customFormat="1" ht="15" customHeight="1" x14ac:dyDescent="0.25">
      <c r="A6" s="3922"/>
      <c r="B6" s="2747" t="s">
        <v>4870</v>
      </c>
      <c r="C6" s="2750" t="s">
        <v>4871</v>
      </c>
      <c r="D6" s="2750" t="s">
        <v>4872</v>
      </c>
      <c r="E6" s="2747" t="s">
        <v>4873</v>
      </c>
      <c r="F6" s="2751"/>
      <c r="G6" s="2747" t="s">
        <v>3708</v>
      </c>
      <c r="H6" s="2749" t="s">
        <v>3708</v>
      </c>
    </row>
    <row r="7" spans="1:8" s="2744" customFormat="1" ht="17.25" customHeight="1" thickBot="1" x14ac:dyDescent="0.3">
      <c r="A7" s="3923"/>
      <c r="B7" s="2752"/>
      <c r="C7" s="2752"/>
      <c r="D7" s="2752"/>
      <c r="E7" s="2752"/>
      <c r="F7" s="2753" t="s">
        <v>3430</v>
      </c>
      <c r="G7" s="2754" t="s">
        <v>3436</v>
      </c>
      <c r="H7" s="2755" t="s">
        <v>4874</v>
      </c>
    </row>
    <row r="8" spans="1:8" ht="12.75" hidden="1" customHeight="1" x14ac:dyDescent="0.25">
      <c r="A8" s="2756">
        <v>37438</v>
      </c>
      <c r="B8" s="2757">
        <v>23</v>
      </c>
      <c r="C8" s="2758">
        <v>703.38</v>
      </c>
      <c r="D8" s="2758">
        <v>375.02</v>
      </c>
      <c r="E8" s="2759">
        <v>79.459999999999994</v>
      </c>
      <c r="F8" s="2760">
        <v>359.86</v>
      </c>
      <c r="G8" s="2761">
        <v>5462</v>
      </c>
      <c r="H8" s="2762">
        <v>390</v>
      </c>
    </row>
    <row r="9" spans="1:8" ht="12.75" hidden="1" customHeight="1" x14ac:dyDescent="0.25">
      <c r="A9" s="2756">
        <v>37469</v>
      </c>
      <c r="B9" s="2757">
        <v>21</v>
      </c>
      <c r="C9" s="2758">
        <v>724.61</v>
      </c>
      <c r="D9" s="2758">
        <v>383.5</v>
      </c>
      <c r="E9" s="2759">
        <v>81.349999999999994</v>
      </c>
      <c r="F9" s="2760">
        <v>369.27</v>
      </c>
      <c r="G9" s="2761">
        <v>4237</v>
      </c>
      <c r="H9" s="2762">
        <v>334</v>
      </c>
    </row>
    <row r="10" spans="1:8" ht="12.75" hidden="1" customHeight="1" x14ac:dyDescent="0.25">
      <c r="A10" s="2756">
        <v>37500</v>
      </c>
      <c r="B10" s="2757">
        <v>20</v>
      </c>
      <c r="C10" s="2758">
        <v>748.41</v>
      </c>
      <c r="D10" s="2758">
        <v>393.72</v>
      </c>
      <c r="E10" s="2759">
        <v>82.34</v>
      </c>
      <c r="F10" s="2760">
        <v>381.25</v>
      </c>
      <c r="G10" s="2761">
        <v>6328</v>
      </c>
      <c r="H10" s="2762">
        <v>488</v>
      </c>
    </row>
    <row r="11" spans="1:8" ht="12.75" hidden="1" customHeight="1" x14ac:dyDescent="0.25">
      <c r="A11" s="2756">
        <v>37530</v>
      </c>
      <c r="B11" s="2757">
        <v>23</v>
      </c>
      <c r="C11" s="2758">
        <v>751.53</v>
      </c>
      <c r="D11" s="2758">
        <v>395.52</v>
      </c>
      <c r="E11" s="2759">
        <v>82.38</v>
      </c>
      <c r="F11" s="2760">
        <v>379.09</v>
      </c>
      <c r="G11" s="2761">
        <v>4380</v>
      </c>
      <c r="H11" s="2762">
        <v>399</v>
      </c>
    </row>
    <row r="12" spans="1:8" ht="12.75" hidden="1" customHeight="1" x14ac:dyDescent="0.25">
      <c r="A12" s="2756">
        <v>37562</v>
      </c>
      <c r="B12" s="2757">
        <v>20</v>
      </c>
      <c r="C12" s="2758">
        <v>757.45</v>
      </c>
      <c r="D12" s="2758">
        <v>400.61</v>
      </c>
      <c r="E12" s="2759">
        <v>82.79</v>
      </c>
      <c r="F12" s="2760">
        <v>380.92</v>
      </c>
      <c r="G12" s="2761">
        <v>5790</v>
      </c>
      <c r="H12" s="2762">
        <v>455</v>
      </c>
    </row>
    <row r="13" spans="1:8" ht="12.75" hidden="1" customHeight="1" x14ac:dyDescent="0.25">
      <c r="A13" s="2756">
        <v>37592</v>
      </c>
      <c r="B13" s="2757">
        <v>20</v>
      </c>
      <c r="C13" s="2758">
        <v>792.91</v>
      </c>
      <c r="D13" s="2758">
        <v>420.66</v>
      </c>
      <c r="E13" s="2759">
        <v>86.5</v>
      </c>
      <c r="F13" s="2760">
        <v>394.26</v>
      </c>
      <c r="G13" s="2761">
        <v>5671</v>
      </c>
      <c r="H13" s="2762">
        <v>421</v>
      </c>
    </row>
    <row r="14" spans="1:8" ht="12.75" hidden="1" customHeight="1" x14ac:dyDescent="0.25">
      <c r="A14" s="2756">
        <v>37624</v>
      </c>
      <c r="B14" s="2757">
        <v>21</v>
      </c>
      <c r="C14" s="2758">
        <v>855</v>
      </c>
      <c r="D14" s="2763">
        <v>463.05</v>
      </c>
      <c r="E14" s="2764">
        <v>94.07</v>
      </c>
      <c r="F14" s="2760">
        <v>419.4</v>
      </c>
      <c r="G14" s="2761">
        <v>7066</v>
      </c>
      <c r="H14" s="2762">
        <v>370</v>
      </c>
    </row>
    <row r="15" spans="1:8" ht="12.75" hidden="1" customHeight="1" x14ac:dyDescent="0.25">
      <c r="A15" s="2756">
        <v>37655</v>
      </c>
      <c r="B15" s="2757">
        <v>19</v>
      </c>
      <c r="C15" s="2758">
        <v>879.71</v>
      </c>
      <c r="D15" s="2763">
        <v>491.9</v>
      </c>
      <c r="E15" s="2764">
        <v>96.74</v>
      </c>
      <c r="F15" s="2760">
        <v>430.16</v>
      </c>
      <c r="G15" s="2761">
        <v>8543</v>
      </c>
      <c r="H15" s="2762">
        <v>419.83</v>
      </c>
    </row>
    <row r="16" spans="1:8" ht="12.75" hidden="1" customHeight="1" x14ac:dyDescent="0.25">
      <c r="A16" s="2756">
        <v>37683</v>
      </c>
      <c r="B16" s="2757">
        <v>20</v>
      </c>
      <c r="C16" s="2758">
        <v>870.27</v>
      </c>
      <c r="D16" s="2763">
        <v>492.47</v>
      </c>
      <c r="E16" s="2764">
        <v>95.12</v>
      </c>
      <c r="F16" s="2760">
        <v>425.16</v>
      </c>
      <c r="G16" s="2761">
        <v>6958</v>
      </c>
      <c r="H16" s="2762">
        <v>440</v>
      </c>
    </row>
    <row r="17" spans="1:8" ht="12.75" hidden="1" customHeight="1" x14ac:dyDescent="0.25">
      <c r="A17" s="2756">
        <v>37714</v>
      </c>
      <c r="B17" s="2757">
        <v>21</v>
      </c>
      <c r="C17" s="2758">
        <v>910.33</v>
      </c>
      <c r="D17" s="2763">
        <v>518.30999999999995</v>
      </c>
      <c r="E17" s="2764">
        <v>98.54</v>
      </c>
      <c r="F17" s="2760">
        <v>440</v>
      </c>
      <c r="G17" s="2761">
        <v>7399</v>
      </c>
      <c r="H17" s="2762">
        <v>814</v>
      </c>
    </row>
    <row r="18" spans="1:8" ht="12.75" hidden="1" customHeight="1" x14ac:dyDescent="0.25">
      <c r="A18" s="2756">
        <v>37742</v>
      </c>
      <c r="B18" s="2757">
        <v>21</v>
      </c>
      <c r="C18" s="2758">
        <v>968.13</v>
      </c>
      <c r="D18" s="2763">
        <v>548.11</v>
      </c>
      <c r="E18" s="2764">
        <v>104.06</v>
      </c>
      <c r="F18" s="2760">
        <v>465.27</v>
      </c>
      <c r="G18" s="2761">
        <v>10253</v>
      </c>
      <c r="H18" s="2762">
        <v>659</v>
      </c>
    </row>
    <row r="19" spans="1:8" ht="12.75" hidden="1" customHeight="1" x14ac:dyDescent="0.25">
      <c r="A19" s="2756">
        <v>37773</v>
      </c>
      <c r="B19" s="2757">
        <v>21</v>
      </c>
      <c r="C19" s="2758">
        <v>1004.17</v>
      </c>
      <c r="D19" s="2763">
        <v>551.09</v>
      </c>
      <c r="E19" s="2764">
        <v>105.98</v>
      </c>
      <c r="F19" s="2760">
        <v>481.03</v>
      </c>
      <c r="G19" s="2761">
        <v>10462</v>
      </c>
      <c r="H19" s="2762">
        <v>970</v>
      </c>
    </row>
    <row r="20" spans="1:8" ht="12.75" hidden="1" customHeight="1" x14ac:dyDescent="0.25">
      <c r="A20" s="2756">
        <v>37805</v>
      </c>
      <c r="B20" s="2757">
        <v>20</v>
      </c>
      <c r="C20" s="2758">
        <v>1013.62</v>
      </c>
      <c r="D20" s="2763">
        <v>537.32000000000005</v>
      </c>
      <c r="E20" s="2764">
        <v>105.19</v>
      </c>
      <c r="F20" s="2760">
        <v>480.96</v>
      </c>
      <c r="G20" s="2761">
        <v>20172</v>
      </c>
      <c r="H20" s="2762">
        <v>1026</v>
      </c>
    </row>
    <row r="21" spans="1:8" ht="13.5" hidden="1" customHeight="1" x14ac:dyDescent="0.25">
      <c r="A21" s="2756">
        <v>37836</v>
      </c>
      <c r="B21" s="2757">
        <v>21</v>
      </c>
      <c r="C21" s="2763">
        <v>995.12</v>
      </c>
      <c r="D21" s="2763">
        <v>531.36</v>
      </c>
      <c r="E21" s="2764">
        <v>102.27</v>
      </c>
      <c r="F21" s="2760">
        <v>472.29</v>
      </c>
      <c r="G21" s="2761">
        <v>11623</v>
      </c>
      <c r="H21" s="2762">
        <v>855</v>
      </c>
    </row>
    <row r="22" spans="1:8" ht="12.75" hidden="1" customHeight="1" x14ac:dyDescent="0.25">
      <c r="A22" s="2756">
        <v>37867</v>
      </c>
      <c r="B22" s="2765">
        <v>21</v>
      </c>
      <c r="C22" s="2763">
        <v>1018.06</v>
      </c>
      <c r="D22" s="2763">
        <v>544.78</v>
      </c>
      <c r="E22" s="2764">
        <v>105.32</v>
      </c>
      <c r="F22" s="2760">
        <v>483.08</v>
      </c>
      <c r="G22" s="2761">
        <v>6792</v>
      </c>
      <c r="H22" s="2762">
        <v>464</v>
      </c>
    </row>
    <row r="23" spans="1:8" ht="12.75" hidden="1" customHeight="1" x14ac:dyDescent="0.25">
      <c r="A23" s="2756">
        <v>37897</v>
      </c>
      <c r="B23" s="2765">
        <v>23</v>
      </c>
      <c r="C23" s="2763">
        <v>1089.51</v>
      </c>
      <c r="D23" s="2763">
        <v>591.4</v>
      </c>
      <c r="E23" s="2764">
        <v>113.54</v>
      </c>
      <c r="F23" s="2760">
        <v>512.29</v>
      </c>
      <c r="G23" s="2761">
        <v>19436</v>
      </c>
      <c r="H23" s="2762">
        <v>995</v>
      </c>
    </row>
    <row r="24" spans="1:8" ht="12.75" hidden="1" customHeight="1" x14ac:dyDescent="0.25">
      <c r="A24" s="2756">
        <v>37928</v>
      </c>
      <c r="B24" s="2757">
        <v>19</v>
      </c>
      <c r="C24" s="2763">
        <v>1163.97</v>
      </c>
      <c r="D24" s="2763">
        <v>639.53</v>
      </c>
      <c r="E24" s="2764">
        <v>120.18</v>
      </c>
      <c r="F24" s="2760">
        <v>545.24</v>
      </c>
      <c r="G24" s="2761">
        <v>7775</v>
      </c>
      <c r="H24" s="2762">
        <v>545</v>
      </c>
    </row>
    <row r="25" spans="1:8" ht="12.75" hidden="1" customHeight="1" x14ac:dyDescent="0.25">
      <c r="A25" s="2756">
        <v>37958</v>
      </c>
      <c r="B25" s="2757">
        <v>22</v>
      </c>
      <c r="C25" s="2763">
        <v>1194.27</v>
      </c>
      <c r="D25" s="2763">
        <v>691.95</v>
      </c>
      <c r="E25" s="2764">
        <v>121.5</v>
      </c>
      <c r="F25" s="2760">
        <v>554.84</v>
      </c>
      <c r="G25" s="2761">
        <v>9682.2000000000007</v>
      </c>
      <c r="H25" s="2762">
        <v>408</v>
      </c>
    </row>
    <row r="26" spans="1:8" ht="12.75" hidden="1" customHeight="1" x14ac:dyDescent="0.25">
      <c r="A26" s="2756">
        <v>37989</v>
      </c>
      <c r="B26" s="2766">
        <v>19</v>
      </c>
      <c r="C26" s="2763">
        <v>1231.02</v>
      </c>
      <c r="D26" s="2763">
        <v>732.75</v>
      </c>
      <c r="E26" s="2763">
        <v>123.2</v>
      </c>
      <c r="F26" s="2763">
        <v>565.4</v>
      </c>
      <c r="G26" s="2767">
        <v>13223</v>
      </c>
      <c r="H26" s="2768">
        <v>703</v>
      </c>
    </row>
    <row r="27" spans="1:8" ht="12.75" hidden="1" customHeight="1" x14ac:dyDescent="0.25">
      <c r="A27" s="2756">
        <v>38021</v>
      </c>
      <c r="B27" s="2766">
        <v>18</v>
      </c>
      <c r="C27" s="2763">
        <v>1306.7</v>
      </c>
      <c r="D27" s="2763">
        <v>787.86</v>
      </c>
      <c r="E27" s="2763">
        <v>130.58000000000001</v>
      </c>
      <c r="F27" s="2763">
        <v>599.33000000000004</v>
      </c>
      <c r="G27" s="2767">
        <v>15372</v>
      </c>
      <c r="H27" s="2768">
        <v>825</v>
      </c>
    </row>
    <row r="28" spans="1:8" ht="12.75" hidden="1" customHeight="1" x14ac:dyDescent="0.25">
      <c r="A28" s="2756">
        <v>38047</v>
      </c>
      <c r="B28" s="2766">
        <v>22</v>
      </c>
      <c r="C28" s="2763">
        <v>1322.36</v>
      </c>
      <c r="D28" s="2763">
        <v>785.43</v>
      </c>
      <c r="E28" s="2763">
        <v>130.88999999999999</v>
      </c>
      <c r="F28" s="2763">
        <v>605.41</v>
      </c>
      <c r="G28" s="2767">
        <v>10015</v>
      </c>
      <c r="H28" s="2768">
        <v>369</v>
      </c>
    </row>
    <row r="29" spans="1:8" ht="12.75" hidden="1" customHeight="1" x14ac:dyDescent="0.25">
      <c r="A29" s="2756">
        <v>38078</v>
      </c>
      <c r="B29" s="2766">
        <v>22</v>
      </c>
      <c r="C29" s="2763">
        <v>1376.95</v>
      </c>
      <c r="D29" s="2763">
        <v>788.88</v>
      </c>
      <c r="E29" s="2763">
        <v>132.37</v>
      </c>
      <c r="F29" s="2763">
        <v>623.96</v>
      </c>
      <c r="G29" s="2767">
        <v>8819</v>
      </c>
      <c r="H29" s="2768">
        <v>321</v>
      </c>
    </row>
    <row r="30" spans="1:8" ht="12.75" hidden="1" customHeight="1" x14ac:dyDescent="0.25">
      <c r="A30" s="2756">
        <v>38108</v>
      </c>
      <c r="B30" s="2766">
        <v>21</v>
      </c>
      <c r="C30" s="2763">
        <v>1441.08</v>
      </c>
      <c r="D30" s="2763">
        <v>802.63</v>
      </c>
      <c r="E30" s="2763">
        <v>137.75</v>
      </c>
      <c r="F30" s="2763">
        <v>650.94000000000005</v>
      </c>
      <c r="G30" s="2767">
        <v>14037</v>
      </c>
      <c r="H30" s="2768">
        <v>624</v>
      </c>
    </row>
    <row r="31" spans="1:8" ht="12.75" hidden="1" customHeight="1" x14ac:dyDescent="0.25">
      <c r="A31" s="2756">
        <v>38139</v>
      </c>
      <c r="B31" s="2766">
        <v>22</v>
      </c>
      <c r="C31" s="2763">
        <v>1457.2</v>
      </c>
      <c r="D31" s="2763">
        <v>805.75</v>
      </c>
      <c r="E31" s="2763">
        <v>138.49</v>
      </c>
      <c r="F31" s="2763">
        <v>656.8</v>
      </c>
      <c r="G31" s="2767">
        <v>12794</v>
      </c>
      <c r="H31" s="2768">
        <v>670</v>
      </c>
    </row>
    <row r="32" spans="1:8" ht="12.75" hidden="1" customHeight="1" x14ac:dyDescent="0.25">
      <c r="A32" s="2756">
        <v>38169</v>
      </c>
      <c r="B32" s="2766">
        <v>22</v>
      </c>
      <c r="C32" s="2763">
        <v>1453.15</v>
      </c>
      <c r="D32" s="2763">
        <v>801.78</v>
      </c>
      <c r="E32" s="2763">
        <v>136.01</v>
      </c>
      <c r="F32" s="2763">
        <v>651.09</v>
      </c>
      <c r="G32" s="2767">
        <v>7884</v>
      </c>
      <c r="H32" s="2768">
        <v>459</v>
      </c>
    </row>
    <row r="33" spans="1:8" ht="12.75" hidden="1" customHeight="1" x14ac:dyDescent="0.25">
      <c r="A33" s="2756">
        <v>38200</v>
      </c>
      <c r="B33" s="2766">
        <v>22</v>
      </c>
      <c r="C33" s="2763">
        <v>1444.65</v>
      </c>
      <c r="D33" s="2763">
        <v>793.9</v>
      </c>
      <c r="E33" s="2763">
        <v>134.07</v>
      </c>
      <c r="F33" s="2763">
        <v>646.79</v>
      </c>
      <c r="G33" s="2767">
        <v>7304</v>
      </c>
      <c r="H33" s="2768">
        <v>482</v>
      </c>
    </row>
    <row r="34" spans="1:8" ht="12.75" hidden="1" customHeight="1" x14ac:dyDescent="0.25">
      <c r="A34" s="2756">
        <v>38231</v>
      </c>
      <c r="B34" s="2766">
        <v>22</v>
      </c>
      <c r="C34" s="2763">
        <v>1455.79</v>
      </c>
      <c r="D34" s="2763">
        <v>794.7</v>
      </c>
      <c r="E34" s="2763">
        <v>135.30000000000001</v>
      </c>
      <c r="F34" s="2763">
        <v>651.04</v>
      </c>
      <c r="G34" s="2767">
        <v>9027</v>
      </c>
      <c r="H34" s="2768">
        <v>558</v>
      </c>
    </row>
    <row r="35" spans="1:8" ht="12.75" hidden="1" customHeight="1" x14ac:dyDescent="0.25">
      <c r="A35" s="2756">
        <v>38261</v>
      </c>
      <c r="B35" s="2766">
        <v>21</v>
      </c>
      <c r="C35" s="2763">
        <v>1499.44</v>
      </c>
      <c r="D35" s="2763">
        <v>817.72</v>
      </c>
      <c r="E35" s="2763">
        <v>138.04</v>
      </c>
      <c r="F35" s="2763">
        <v>666.32</v>
      </c>
      <c r="G35" s="2767">
        <v>12770</v>
      </c>
      <c r="H35" s="2768">
        <v>573.98400000000004</v>
      </c>
    </row>
    <row r="36" spans="1:8" ht="12.75" hidden="1" customHeight="1" x14ac:dyDescent="0.25">
      <c r="A36" s="2756">
        <v>38292</v>
      </c>
      <c r="B36" s="2766">
        <v>20</v>
      </c>
      <c r="C36" s="2763">
        <v>1529.97</v>
      </c>
      <c r="D36" s="2763">
        <v>836.12</v>
      </c>
      <c r="E36" s="2763">
        <v>141.09</v>
      </c>
      <c r="F36" s="2763">
        <v>677.77</v>
      </c>
      <c r="G36" s="2767">
        <v>12281</v>
      </c>
      <c r="H36" s="2768">
        <v>640</v>
      </c>
    </row>
    <row r="37" spans="1:8" ht="12.75" hidden="1" customHeight="1" x14ac:dyDescent="0.25">
      <c r="A37" s="2756">
        <v>38322</v>
      </c>
      <c r="B37" s="2766">
        <v>23</v>
      </c>
      <c r="C37" s="2763">
        <v>1585.78</v>
      </c>
      <c r="D37" s="2763">
        <v>873.31</v>
      </c>
      <c r="E37" s="2763">
        <v>146.06</v>
      </c>
      <c r="F37" s="2763">
        <v>697.01</v>
      </c>
      <c r="G37" s="2767">
        <v>11043</v>
      </c>
      <c r="H37" s="2768">
        <v>753</v>
      </c>
    </row>
    <row r="38" spans="1:8" ht="12.75" hidden="1" customHeight="1" x14ac:dyDescent="0.25">
      <c r="A38" s="2756">
        <v>38353</v>
      </c>
      <c r="B38" s="2766">
        <v>19</v>
      </c>
      <c r="C38" s="2763">
        <v>1656.32</v>
      </c>
      <c r="D38" s="2763">
        <v>909.02</v>
      </c>
      <c r="E38" s="2763">
        <v>151.65</v>
      </c>
      <c r="F38" s="2763">
        <v>722.2</v>
      </c>
      <c r="G38" s="2767">
        <v>11864</v>
      </c>
      <c r="H38" s="2768">
        <v>1010.5</v>
      </c>
    </row>
    <row r="39" spans="1:8" ht="12.75" hidden="1" customHeight="1" x14ac:dyDescent="0.25">
      <c r="A39" s="2756">
        <v>38384</v>
      </c>
      <c r="B39" s="2766">
        <v>18</v>
      </c>
      <c r="C39" s="2763">
        <v>1684.81</v>
      </c>
      <c r="D39" s="2763">
        <v>913.47</v>
      </c>
      <c r="E39" s="2763">
        <v>153.96</v>
      </c>
      <c r="F39" s="2763">
        <v>731.03</v>
      </c>
      <c r="G39" s="2767">
        <v>10978</v>
      </c>
      <c r="H39" s="2768">
        <v>400</v>
      </c>
    </row>
    <row r="40" spans="1:8" ht="12.75" hidden="1" customHeight="1" x14ac:dyDescent="0.25">
      <c r="A40" s="2756">
        <v>38412</v>
      </c>
      <c r="B40" s="2766">
        <v>20</v>
      </c>
      <c r="C40" s="2763">
        <v>1713.2</v>
      </c>
      <c r="D40" s="2763">
        <v>922.99</v>
      </c>
      <c r="E40" s="2763">
        <v>158.25</v>
      </c>
      <c r="F40" s="2763">
        <v>742.65</v>
      </c>
      <c r="G40" s="2767">
        <v>18126</v>
      </c>
      <c r="H40" s="2768">
        <v>805</v>
      </c>
    </row>
    <row r="41" spans="1:8" ht="12.75" hidden="1" customHeight="1" x14ac:dyDescent="0.25">
      <c r="A41" s="2756">
        <v>38443</v>
      </c>
      <c r="B41" s="2766">
        <v>21</v>
      </c>
      <c r="C41" s="2763">
        <v>1705.97</v>
      </c>
      <c r="D41" s="2763">
        <v>915.09</v>
      </c>
      <c r="E41" s="2763">
        <v>155.06</v>
      </c>
      <c r="F41" s="2763">
        <v>730.93</v>
      </c>
      <c r="G41" s="2767">
        <v>12972</v>
      </c>
      <c r="H41" s="2768">
        <v>463</v>
      </c>
    </row>
    <row r="42" spans="1:8" ht="12.75" hidden="1" customHeight="1" x14ac:dyDescent="0.25">
      <c r="A42" s="2756">
        <v>38473</v>
      </c>
      <c r="B42" s="2766">
        <v>22</v>
      </c>
      <c r="C42" s="2763">
        <v>1649.42</v>
      </c>
      <c r="D42" s="2763">
        <v>883.36</v>
      </c>
      <c r="E42" s="2763">
        <v>148.54</v>
      </c>
      <c r="F42" s="2763">
        <v>705.22</v>
      </c>
      <c r="G42" s="2767">
        <v>9013</v>
      </c>
      <c r="H42" s="2768">
        <v>272</v>
      </c>
    </row>
    <row r="43" spans="1:8" ht="12.75" hidden="1" customHeight="1" x14ac:dyDescent="0.25">
      <c r="A43" s="2756">
        <v>38504</v>
      </c>
      <c r="B43" s="2766">
        <v>22</v>
      </c>
      <c r="C43" s="2763">
        <v>1681.86</v>
      </c>
      <c r="D43" s="2763">
        <v>895.08</v>
      </c>
      <c r="E43" s="2763">
        <v>152.52000000000001</v>
      </c>
      <c r="F43" s="2763">
        <v>717.54</v>
      </c>
      <c r="G43" s="2767">
        <v>29856</v>
      </c>
      <c r="H43" s="2768">
        <v>804</v>
      </c>
    </row>
    <row r="44" spans="1:8" ht="12.75" hidden="1" customHeight="1" x14ac:dyDescent="0.25">
      <c r="A44" s="2756">
        <v>38534</v>
      </c>
      <c r="B44" s="2766">
        <v>21</v>
      </c>
      <c r="C44" s="2763">
        <v>1724.38</v>
      </c>
      <c r="D44" s="2763">
        <v>911.56</v>
      </c>
      <c r="E44" s="2763">
        <v>155.41999999999999</v>
      </c>
      <c r="F44" s="2763">
        <v>726.77</v>
      </c>
      <c r="G44" s="2767">
        <v>8071</v>
      </c>
      <c r="H44" s="2768">
        <v>520</v>
      </c>
    </row>
    <row r="45" spans="1:8" ht="12.75" hidden="1" customHeight="1" x14ac:dyDescent="0.25">
      <c r="A45" s="2756">
        <v>38565</v>
      </c>
      <c r="B45" s="2766">
        <v>23</v>
      </c>
      <c r="C45" s="2763">
        <v>1812.43</v>
      </c>
      <c r="D45" s="2763">
        <v>952.76</v>
      </c>
      <c r="E45" s="2760">
        <v>164.74</v>
      </c>
      <c r="F45" s="2760">
        <v>759.86</v>
      </c>
      <c r="G45" s="2761">
        <v>11593</v>
      </c>
      <c r="H45" s="2762">
        <v>612</v>
      </c>
    </row>
    <row r="46" spans="1:8" ht="12.75" hidden="1" customHeight="1" x14ac:dyDescent="0.25">
      <c r="A46" s="2756">
        <v>38596</v>
      </c>
      <c r="B46" s="2766">
        <v>21</v>
      </c>
      <c r="C46" s="2763">
        <v>1922.12</v>
      </c>
      <c r="D46" s="2763">
        <v>1003.55</v>
      </c>
      <c r="E46" s="2764">
        <v>176.47</v>
      </c>
      <c r="F46" s="2760">
        <v>805.72</v>
      </c>
      <c r="G46" s="2761">
        <v>17669</v>
      </c>
      <c r="H46" s="2762">
        <v>1026</v>
      </c>
    </row>
    <row r="47" spans="1:8" ht="12.75" hidden="1" customHeight="1" x14ac:dyDescent="0.25">
      <c r="A47" s="2756">
        <v>38626</v>
      </c>
      <c r="B47" s="2766">
        <v>21</v>
      </c>
      <c r="C47" s="2763">
        <v>1957.01</v>
      </c>
      <c r="D47" s="2763">
        <v>1007.65</v>
      </c>
      <c r="E47" s="2764">
        <v>178.24</v>
      </c>
      <c r="F47" s="2760">
        <v>815.68</v>
      </c>
      <c r="G47" s="2761">
        <v>15882</v>
      </c>
      <c r="H47" s="2762">
        <v>762</v>
      </c>
    </row>
    <row r="48" spans="1:8" ht="12.75" hidden="1" customHeight="1" x14ac:dyDescent="0.25">
      <c r="A48" s="2756">
        <v>38657</v>
      </c>
      <c r="B48" s="2766">
        <v>19</v>
      </c>
      <c r="C48" s="2763">
        <v>1965.17</v>
      </c>
      <c r="D48" s="2763">
        <v>1007.33</v>
      </c>
      <c r="E48" s="2764">
        <v>177.89</v>
      </c>
      <c r="F48" s="2760">
        <v>816.57</v>
      </c>
      <c r="G48" s="2761">
        <v>25540</v>
      </c>
      <c r="H48" s="2762">
        <v>935</v>
      </c>
    </row>
    <row r="49" spans="1:8" ht="12.75" hidden="1" customHeight="1" x14ac:dyDescent="0.25">
      <c r="A49" s="2756">
        <v>38687</v>
      </c>
      <c r="B49" s="2766">
        <v>22</v>
      </c>
      <c r="C49" s="2763">
        <v>1958.47</v>
      </c>
      <c r="D49" s="2763">
        <v>1000.5</v>
      </c>
      <c r="E49" s="2764">
        <v>176.76</v>
      </c>
      <c r="F49" s="2760">
        <v>807.72</v>
      </c>
      <c r="G49" s="2761">
        <v>45862</v>
      </c>
      <c r="H49" s="2762">
        <v>5243</v>
      </c>
    </row>
    <row r="50" spans="1:8" ht="12.75" hidden="1" customHeight="1" x14ac:dyDescent="0.25">
      <c r="A50" s="2756">
        <v>38718</v>
      </c>
      <c r="B50" s="2766">
        <v>21</v>
      </c>
      <c r="C50" s="2763">
        <v>1982.3</v>
      </c>
      <c r="D50" s="2763">
        <v>1012.04</v>
      </c>
      <c r="E50" s="2764">
        <v>178.52</v>
      </c>
      <c r="F50" s="2760">
        <v>816.24</v>
      </c>
      <c r="G50" s="2761">
        <v>19067</v>
      </c>
      <c r="H50" s="2762">
        <v>700</v>
      </c>
    </row>
    <row r="51" spans="1:8" ht="12.75" hidden="1" customHeight="1" x14ac:dyDescent="0.25">
      <c r="A51" s="2756">
        <v>38749</v>
      </c>
      <c r="B51" s="2766">
        <v>19</v>
      </c>
      <c r="C51" s="2763">
        <v>2028.15</v>
      </c>
      <c r="D51" s="2763">
        <v>1033.42</v>
      </c>
      <c r="E51" s="2764">
        <v>183.78</v>
      </c>
      <c r="F51" s="2760">
        <v>834.57</v>
      </c>
      <c r="G51" s="2761">
        <v>21168</v>
      </c>
      <c r="H51" s="2762">
        <v>865</v>
      </c>
    </row>
    <row r="52" spans="1:8" ht="12.75" hidden="1" customHeight="1" x14ac:dyDescent="0.25">
      <c r="A52" s="2756">
        <v>38777</v>
      </c>
      <c r="B52" s="2766">
        <v>22</v>
      </c>
      <c r="C52" s="2763">
        <v>2059.31</v>
      </c>
      <c r="D52" s="2763">
        <v>1047.3599999999999</v>
      </c>
      <c r="E52" s="2764">
        <v>184.86</v>
      </c>
      <c r="F52" s="2760">
        <v>845.69</v>
      </c>
      <c r="G52" s="2761">
        <v>12508</v>
      </c>
      <c r="H52" s="2762">
        <v>684</v>
      </c>
    </row>
    <row r="53" spans="1:8" ht="12.75" hidden="1" customHeight="1" x14ac:dyDescent="0.25">
      <c r="A53" s="2756">
        <v>38808</v>
      </c>
      <c r="B53" s="2766">
        <v>20</v>
      </c>
      <c r="C53" s="2763">
        <v>2044.66</v>
      </c>
      <c r="D53" s="2763">
        <v>1037.69</v>
      </c>
      <c r="E53" s="2764">
        <v>181.23</v>
      </c>
      <c r="F53" s="2760">
        <v>833.78</v>
      </c>
      <c r="G53" s="2761">
        <v>10726</v>
      </c>
      <c r="H53" s="2762">
        <v>631</v>
      </c>
    </row>
    <row r="54" spans="1:8" ht="12.75" hidden="1" customHeight="1" x14ac:dyDescent="0.25">
      <c r="A54" s="2756">
        <v>38838</v>
      </c>
      <c r="B54" s="2766">
        <v>22</v>
      </c>
      <c r="C54" s="2763">
        <v>2038.16</v>
      </c>
      <c r="D54" s="2763">
        <v>1034.25</v>
      </c>
      <c r="E54" s="2764">
        <v>180.08</v>
      </c>
      <c r="F54" s="2760">
        <v>828.41</v>
      </c>
      <c r="G54" s="2761">
        <v>13755.8</v>
      </c>
      <c r="H54" s="2762">
        <v>386</v>
      </c>
    </row>
    <row r="55" spans="1:8" ht="12.75" hidden="1" customHeight="1" x14ac:dyDescent="0.25">
      <c r="A55" s="2756">
        <v>38869</v>
      </c>
      <c r="B55" s="2766">
        <v>22</v>
      </c>
      <c r="C55" s="2763">
        <v>2023.92</v>
      </c>
      <c r="D55" s="2763">
        <v>1026.75</v>
      </c>
      <c r="E55" s="2764">
        <v>178.23</v>
      </c>
      <c r="F55" s="2760">
        <v>818.95</v>
      </c>
      <c r="G55" s="2761">
        <v>15269</v>
      </c>
      <c r="H55" s="2762">
        <v>1054</v>
      </c>
    </row>
    <row r="56" spans="1:8" ht="12.75" hidden="1" customHeight="1" x14ac:dyDescent="0.25">
      <c r="A56" s="2756">
        <v>38899</v>
      </c>
      <c r="B56" s="2766">
        <v>21</v>
      </c>
      <c r="C56" s="2763">
        <v>2110.1</v>
      </c>
      <c r="D56" s="2763">
        <v>1060.6300000000001</v>
      </c>
      <c r="E56" s="2764">
        <v>187</v>
      </c>
      <c r="F56" s="2760">
        <v>852.36</v>
      </c>
      <c r="G56" s="2761">
        <v>18819</v>
      </c>
      <c r="H56" s="2762">
        <v>425.6</v>
      </c>
    </row>
    <row r="57" spans="1:8" ht="12.75" hidden="1" customHeight="1" x14ac:dyDescent="0.25">
      <c r="A57" s="2756">
        <v>38930</v>
      </c>
      <c r="B57" s="2766">
        <v>21</v>
      </c>
      <c r="C57" s="2763">
        <v>2223.5500000000002</v>
      </c>
      <c r="D57" s="2763">
        <v>1089.49</v>
      </c>
      <c r="E57" s="2764">
        <v>195.58</v>
      </c>
      <c r="F57" s="2760">
        <v>890.52</v>
      </c>
      <c r="G57" s="2761">
        <v>14331</v>
      </c>
      <c r="H57" s="2762">
        <v>794</v>
      </c>
    </row>
    <row r="58" spans="1:8" ht="12.75" hidden="1" customHeight="1" x14ac:dyDescent="0.25">
      <c r="A58" s="2756">
        <v>38961</v>
      </c>
      <c r="B58" s="2766">
        <v>21</v>
      </c>
      <c r="C58" s="2763">
        <v>2394.35</v>
      </c>
      <c r="D58" s="2763">
        <v>1154.33</v>
      </c>
      <c r="E58" s="2764">
        <v>207.36</v>
      </c>
      <c r="F58" s="2760">
        <v>957.06</v>
      </c>
      <c r="G58" s="2761">
        <v>16903.900000000001</v>
      </c>
      <c r="H58" s="2762">
        <v>622.79999999999995</v>
      </c>
    </row>
    <row r="59" spans="1:8" ht="12.75" hidden="1" customHeight="1" x14ac:dyDescent="0.25">
      <c r="A59" s="2756">
        <v>38991</v>
      </c>
      <c r="B59" s="2766">
        <v>21</v>
      </c>
      <c r="C59" s="2763">
        <v>2631.06</v>
      </c>
      <c r="D59" s="2763">
        <v>1259.0899999999999</v>
      </c>
      <c r="E59" s="2764">
        <v>228.19</v>
      </c>
      <c r="F59" s="2760">
        <v>1046.08</v>
      </c>
      <c r="G59" s="2761">
        <v>17704</v>
      </c>
      <c r="H59" s="2762">
        <v>551.31799999999998</v>
      </c>
    </row>
    <row r="60" spans="1:8" ht="12.75" hidden="1" customHeight="1" x14ac:dyDescent="0.25">
      <c r="A60" s="2756">
        <v>39022</v>
      </c>
      <c r="B60" s="2766">
        <v>21</v>
      </c>
      <c r="C60" s="2763">
        <v>2979.76</v>
      </c>
      <c r="D60" s="2763">
        <v>1412.8</v>
      </c>
      <c r="E60" s="2764">
        <v>255.29</v>
      </c>
      <c r="F60" s="2760">
        <v>1181.17</v>
      </c>
      <c r="G60" s="2761">
        <v>24762</v>
      </c>
      <c r="H60" s="2762">
        <v>771</v>
      </c>
    </row>
    <row r="61" spans="1:8" ht="12.75" hidden="1" customHeight="1" x14ac:dyDescent="0.25">
      <c r="A61" s="2756">
        <v>39052</v>
      </c>
      <c r="B61" s="2766">
        <v>20</v>
      </c>
      <c r="C61" s="2763">
        <v>3028.73</v>
      </c>
      <c r="D61" s="2763">
        <v>1426.82</v>
      </c>
      <c r="E61" s="2764">
        <v>259.47000000000003</v>
      </c>
      <c r="F61" s="2760">
        <v>1193.69</v>
      </c>
      <c r="G61" s="2761">
        <v>105922</v>
      </c>
      <c r="H61" s="2762">
        <v>3221</v>
      </c>
    </row>
    <row r="62" spans="1:8" ht="12.75" hidden="1" customHeight="1" x14ac:dyDescent="0.25">
      <c r="A62" s="2756">
        <v>39083</v>
      </c>
      <c r="B62" s="2766">
        <v>21</v>
      </c>
      <c r="C62" s="2763">
        <v>3244.01</v>
      </c>
      <c r="D62" s="2763">
        <v>1515.07</v>
      </c>
      <c r="E62" s="2764">
        <v>281.14999999999998</v>
      </c>
      <c r="F62" s="2760">
        <v>1276.51</v>
      </c>
      <c r="G62" s="2761">
        <v>25890</v>
      </c>
      <c r="H62" s="2762">
        <v>686.3</v>
      </c>
    </row>
    <row r="63" spans="1:8" ht="12.75" hidden="1" customHeight="1" x14ac:dyDescent="0.25">
      <c r="A63" s="2756">
        <v>39114</v>
      </c>
      <c r="B63" s="2766">
        <v>18</v>
      </c>
      <c r="C63" s="2763">
        <v>3265.93</v>
      </c>
      <c r="D63" s="2763">
        <v>1534.24</v>
      </c>
      <c r="E63" s="2764">
        <v>286.47000000000003</v>
      </c>
      <c r="F63" s="2760">
        <v>1284.03</v>
      </c>
      <c r="G63" s="2761">
        <v>215289.557</v>
      </c>
      <c r="H63" s="2762">
        <v>4616.0870000000004</v>
      </c>
    </row>
    <row r="64" spans="1:8" ht="12.75" hidden="1" customHeight="1" x14ac:dyDescent="0.25">
      <c r="A64" s="2756">
        <v>39142</v>
      </c>
      <c r="B64" s="2766">
        <v>20</v>
      </c>
      <c r="C64" s="2763">
        <v>3327.8</v>
      </c>
      <c r="D64" s="2763">
        <v>1591.49</v>
      </c>
      <c r="E64" s="2764">
        <v>294.11</v>
      </c>
      <c r="F64" s="2760">
        <v>1305.58</v>
      </c>
      <c r="G64" s="2761">
        <v>20607.429</v>
      </c>
      <c r="H64" s="2762">
        <v>529.08500000000004</v>
      </c>
    </row>
    <row r="65" spans="1:8" ht="12.75" hidden="1" customHeight="1" x14ac:dyDescent="0.25">
      <c r="A65" s="2756">
        <v>39173</v>
      </c>
      <c r="B65" s="2766">
        <v>21</v>
      </c>
      <c r="C65" s="2763">
        <v>3444.42</v>
      </c>
      <c r="D65" s="2763">
        <v>1669.21</v>
      </c>
      <c r="E65" s="2764">
        <v>304.26</v>
      </c>
      <c r="F65" s="2760">
        <v>1345.27</v>
      </c>
      <c r="G65" s="2761">
        <v>27817</v>
      </c>
      <c r="H65" s="2762">
        <v>684</v>
      </c>
    </row>
    <row r="66" spans="1:8" ht="12.75" hidden="1" customHeight="1" x14ac:dyDescent="0.25">
      <c r="A66" s="2756">
        <v>39203</v>
      </c>
      <c r="B66" s="2766">
        <v>22</v>
      </c>
      <c r="C66" s="2763">
        <v>3513.32</v>
      </c>
      <c r="D66" s="2763">
        <v>1730.77</v>
      </c>
      <c r="E66" s="2764">
        <v>317.95</v>
      </c>
      <c r="F66" s="2760">
        <v>1369.27</v>
      </c>
      <c r="G66" s="2761">
        <v>31129.279999999999</v>
      </c>
      <c r="H66" s="2762">
        <v>636.38300000000004</v>
      </c>
    </row>
    <row r="67" spans="1:8" ht="12.75" hidden="1" customHeight="1" x14ac:dyDescent="0.25">
      <c r="A67" s="2756">
        <v>39234</v>
      </c>
      <c r="B67" s="2766">
        <v>21</v>
      </c>
      <c r="C67" s="2763">
        <v>3698.34</v>
      </c>
      <c r="D67" s="2763">
        <v>1811.6</v>
      </c>
      <c r="E67" s="2764">
        <v>327.11</v>
      </c>
      <c r="F67" s="2760">
        <v>1386.03</v>
      </c>
      <c r="G67" s="2761">
        <v>28688</v>
      </c>
      <c r="H67" s="2762">
        <v>641.274</v>
      </c>
    </row>
    <row r="68" spans="1:8" ht="12.75" hidden="1" customHeight="1" x14ac:dyDescent="0.25">
      <c r="A68" s="2756">
        <v>39264</v>
      </c>
      <c r="B68" s="2766">
        <v>22</v>
      </c>
      <c r="C68" s="2763">
        <v>3758.4</v>
      </c>
      <c r="D68" s="2763">
        <v>1851.74</v>
      </c>
      <c r="E68" s="2764">
        <v>347.12</v>
      </c>
      <c r="F68" s="2760">
        <v>1457.49</v>
      </c>
      <c r="G68" s="2761">
        <v>19415.598000000002</v>
      </c>
      <c r="H68" s="2762">
        <v>436.88600000000002</v>
      </c>
    </row>
    <row r="69" spans="1:8" ht="12.75" hidden="1" customHeight="1" x14ac:dyDescent="0.25">
      <c r="A69" s="2756">
        <v>39295</v>
      </c>
      <c r="B69" s="2766">
        <v>23</v>
      </c>
      <c r="C69" s="2763">
        <v>3823.44</v>
      </c>
      <c r="D69" s="2763">
        <v>1909.21</v>
      </c>
      <c r="E69" s="2764">
        <v>356.91</v>
      </c>
      <c r="F69" s="2760">
        <v>1480.6</v>
      </c>
      <c r="G69" s="2761">
        <v>21702</v>
      </c>
      <c r="H69" s="2762">
        <v>625</v>
      </c>
    </row>
    <row r="70" spans="1:8" ht="12.75" hidden="1" customHeight="1" x14ac:dyDescent="0.25">
      <c r="A70" s="2756">
        <v>39326</v>
      </c>
      <c r="B70" s="2766">
        <v>20</v>
      </c>
      <c r="C70" s="2763">
        <v>3848.39</v>
      </c>
      <c r="D70" s="2763">
        <v>1928.04</v>
      </c>
      <c r="E70" s="2764">
        <v>362</v>
      </c>
      <c r="F70" s="2760">
        <v>1484.38</v>
      </c>
      <c r="G70" s="2761">
        <v>26549.976999999999</v>
      </c>
      <c r="H70" s="2762">
        <v>566.15899999999999</v>
      </c>
    </row>
    <row r="71" spans="1:8" ht="12.75" hidden="1" customHeight="1" x14ac:dyDescent="0.25">
      <c r="A71" s="2756">
        <v>39356</v>
      </c>
      <c r="B71" s="2766">
        <v>23</v>
      </c>
      <c r="C71" s="2763">
        <v>4289.03</v>
      </c>
      <c r="D71" s="2763">
        <v>2182.33</v>
      </c>
      <c r="E71" s="2764">
        <v>409.25</v>
      </c>
      <c r="F71" s="2760">
        <v>1644.98</v>
      </c>
      <c r="G71" s="2761">
        <v>49955.307999999997</v>
      </c>
      <c r="H71" s="2762">
        <v>806.62400000000002</v>
      </c>
    </row>
    <row r="72" spans="1:8" ht="12.75" hidden="1" customHeight="1" x14ac:dyDescent="0.25">
      <c r="A72" s="2756">
        <v>39387</v>
      </c>
      <c r="B72" s="2766">
        <v>19</v>
      </c>
      <c r="C72" s="2763">
        <v>4729.45</v>
      </c>
      <c r="D72" s="2763">
        <v>2423.71</v>
      </c>
      <c r="E72" s="2764">
        <v>464.41</v>
      </c>
      <c r="F72" s="2760">
        <v>1809.61</v>
      </c>
      <c r="G72" s="2761">
        <v>66924.271999999997</v>
      </c>
      <c r="H72" s="2762">
        <v>1736.2529999999999</v>
      </c>
    </row>
    <row r="73" spans="1:8" ht="12.75" hidden="1" customHeight="1" x14ac:dyDescent="0.25">
      <c r="A73" s="2756">
        <v>39417</v>
      </c>
      <c r="B73" s="2766">
        <v>20</v>
      </c>
      <c r="C73" s="2763">
        <v>4779.3615000000009</v>
      </c>
      <c r="D73" s="2763">
        <v>2506.6840000000002</v>
      </c>
      <c r="E73" s="2764">
        <v>468.03199999999998</v>
      </c>
      <c r="F73" s="2760">
        <v>1819.6895</v>
      </c>
      <c r="G73" s="2761">
        <v>62188</v>
      </c>
      <c r="H73" s="2762">
        <v>1041</v>
      </c>
    </row>
    <row r="74" spans="1:8" ht="12.75" hidden="1" customHeight="1" x14ac:dyDescent="0.25">
      <c r="A74" s="2756">
        <v>39448</v>
      </c>
      <c r="B74" s="2766">
        <v>20</v>
      </c>
      <c r="C74" s="2763">
        <v>5097.03</v>
      </c>
      <c r="D74" s="2763">
        <v>2739.86</v>
      </c>
      <c r="E74" s="2764">
        <v>505.55</v>
      </c>
      <c r="F74" s="2760">
        <v>1938.86</v>
      </c>
      <c r="G74" s="2761">
        <v>52533</v>
      </c>
      <c r="H74" s="2762">
        <v>1097</v>
      </c>
    </row>
    <row r="75" spans="1:8" ht="12.75" hidden="1" customHeight="1" x14ac:dyDescent="0.25">
      <c r="A75" s="2756">
        <v>39479</v>
      </c>
      <c r="B75" s="2766">
        <v>19</v>
      </c>
      <c r="C75" s="2763">
        <v>5334.6215789473672</v>
      </c>
      <c r="D75" s="2763">
        <v>2906.4263157894734</v>
      </c>
      <c r="E75" s="2764">
        <v>523.21421052631592</v>
      </c>
      <c r="F75" s="2760">
        <v>2028.65</v>
      </c>
      <c r="G75" s="2761">
        <v>65724</v>
      </c>
      <c r="H75" s="2762">
        <v>870</v>
      </c>
    </row>
    <row r="76" spans="1:8" ht="12.75" hidden="1" customHeight="1" x14ac:dyDescent="0.25">
      <c r="A76" s="2756">
        <v>39508</v>
      </c>
      <c r="B76" s="2766">
        <v>19</v>
      </c>
      <c r="C76" s="2763">
        <v>5047.18</v>
      </c>
      <c r="D76" s="2763">
        <v>2897.84</v>
      </c>
      <c r="E76" s="2764">
        <v>486.33</v>
      </c>
      <c r="F76" s="2760">
        <v>1916.63</v>
      </c>
      <c r="G76" s="2761">
        <v>50776</v>
      </c>
      <c r="H76" s="2762">
        <v>854</v>
      </c>
    </row>
    <row r="77" spans="1:8" ht="12.75" hidden="1" customHeight="1" x14ac:dyDescent="0.25">
      <c r="A77" s="2756">
        <v>39539</v>
      </c>
      <c r="B77" s="2766">
        <v>21</v>
      </c>
      <c r="C77" s="2763">
        <v>4752.76</v>
      </c>
      <c r="D77" s="2763">
        <v>2815.46</v>
      </c>
      <c r="E77" s="2764">
        <v>446.57</v>
      </c>
      <c r="F77" s="2760">
        <v>1796.01</v>
      </c>
      <c r="G77" s="2761">
        <v>36358</v>
      </c>
      <c r="H77" s="2762">
        <v>1091</v>
      </c>
    </row>
    <row r="78" spans="1:8" ht="12.75" hidden="1" customHeight="1" x14ac:dyDescent="0.25">
      <c r="A78" s="2756">
        <v>39569</v>
      </c>
      <c r="B78" s="2766">
        <v>21</v>
      </c>
      <c r="C78" s="2763">
        <v>4960.6499999999996</v>
      </c>
      <c r="D78" s="2763">
        <v>2800.19</v>
      </c>
      <c r="E78" s="2764">
        <v>471.43</v>
      </c>
      <c r="F78" s="2760">
        <v>1870.7</v>
      </c>
      <c r="G78" s="2761">
        <v>56054</v>
      </c>
      <c r="H78" s="2762">
        <v>1132</v>
      </c>
    </row>
    <row r="79" spans="1:8" ht="12.75" hidden="1" customHeight="1" x14ac:dyDescent="0.25">
      <c r="A79" s="2756">
        <v>39600</v>
      </c>
      <c r="B79" s="2766">
        <v>21</v>
      </c>
      <c r="C79" s="2763">
        <v>4966.8900000000003</v>
      </c>
      <c r="D79" s="2763">
        <v>2797.4</v>
      </c>
      <c r="E79" s="2764">
        <v>469.24</v>
      </c>
      <c r="F79" s="2760">
        <v>1871.83</v>
      </c>
      <c r="G79" s="2761">
        <v>70459</v>
      </c>
      <c r="H79" s="2762">
        <v>1700</v>
      </c>
    </row>
    <row r="80" spans="1:8" ht="12.75" hidden="1" customHeight="1" x14ac:dyDescent="0.25">
      <c r="A80" s="2756">
        <v>39630</v>
      </c>
      <c r="B80" s="2766">
        <v>23</v>
      </c>
      <c r="C80" s="2763">
        <v>4557.3900000000003</v>
      </c>
      <c r="D80" s="2763">
        <v>2626.4</v>
      </c>
      <c r="E80" s="2764">
        <v>420.36</v>
      </c>
      <c r="F80" s="2760">
        <v>1709.9</v>
      </c>
      <c r="G80" s="2761">
        <v>25202</v>
      </c>
      <c r="H80" s="2762">
        <v>876</v>
      </c>
    </row>
    <row r="81" spans="1:8" ht="12.75" hidden="1" customHeight="1" x14ac:dyDescent="0.25">
      <c r="A81" s="2756">
        <v>39661</v>
      </c>
      <c r="B81" s="2766">
        <v>20</v>
      </c>
      <c r="C81" s="2763">
        <v>4564.1099999999997</v>
      </c>
      <c r="D81" s="2763">
        <v>2550.79</v>
      </c>
      <c r="E81" s="2764">
        <v>418.64</v>
      </c>
      <c r="F81" s="2760">
        <v>1708.4</v>
      </c>
      <c r="G81" s="2761">
        <v>43094</v>
      </c>
      <c r="H81" s="2762">
        <v>705</v>
      </c>
    </row>
    <row r="82" spans="1:8" ht="12.75" hidden="1" customHeight="1" x14ac:dyDescent="0.25">
      <c r="A82" s="2756">
        <v>39699</v>
      </c>
      <c r="B82" s="2766">
        <v>21</v>
      </c>
      <c r="C82" s="2763">
        <v>4369.83</v>
      </c>
      <c r="D82" s="2763">
        <v>2326.5700000000002</v>
      </c>
      <c r="E82" s="2764">
        <v>393.49</v>
      </c>
      <c r="F82" s="2760">
        <v>1630.66</v>
      </c>
      <c r="G82" s="2761">
        <v>37203</v>
      </c>
      <c r="H82" s="2762">
        <v>504</v>
      </c>
    </row>
    <row r="83" spans="1:8" ht="12.75" hidden="1" customHeight="1" x14ac:dyDescent="0.25">
      <c r="A83" s="2756">
        <v>39729</v>
      </c>
      <c r="B83" s="2766">
        <v>21</v>
      </c>
      <c r="C83" s="2763">
        <v>3873.6</v>
      </c>
      <c r="D83" s="2763">
        <v>1976.09</v>
      </c>
      <c r="E83" s="2764">
        <v>339.74</v>
      </c>
      <c r="F83" s="2760">
        <v>1434.25</v>
      </c>
      <c r="G83" s="2761">
        <v>45100</v>
      </c>
      <c r="H83" s="2762">
        <v>902</v>
      </c>
    </row>
    <row r="84" spans="1:8" ht="12.75" hidden="1" customHeight="1" x14ac:dyDescent="0.25">
      <c r="A84" s="2756">
        <v>39760</v>
      </c>
      <c r="B84" s="2766">
        <v>20</v>
      </c>
      <c r="C84" s="2763">
        <v>3431.06</v>
      </c>
      <c r="D84" s="2763">
        <v>1653.51</v>
      </c>
      <c r="E84" s="2764">
        <v>289.25450000000001</v>
      </c>
      <c r="F84" s="2760">
        <v>1266.8094999999998</v>
      </c>
      <c r="G84" s="2761">
        <v>40288</v>
      </c>
      <c r="H84" s="2762">
        <v>766</v>
      </c>
    </row>
    <row r="85" spans="1:8" ht="12.75" hidden="1" customHeight="1" x14ac:dyDescent="0.25">
      <c r="A85" s="2756">
        <v>39790</v>
      </c>
      <c r="B85" s="2766">
        <v>22</v>
      </c>
      <c r="C85" s="2763">
        <v>3220.7404545454551</v>
      </c>
      <c r="D85" s="2763">
        <v>1551.9959090909092</v>
      </c>
      <c r="E85" s="2764">
        <v>266.05318181818183</v>
      </c>
      <c r="F85" s="2760">
        <v>1179.2677272727271</v>
      </c>
      <c r="G85" s="2761">
        <v>38757</v>
      </c>
      <c r="H85" s="2762">
        <v>674</v>
      </c>
    </row>
    <row r="86" spans="1:8" ht="12.75" hidden="1" customHeight="1" x14ac:dyDescent="0.25">
      <c r="A86" s="2756">
        <v>39821</v>
      </c>
      <c r="B86" s="2766">
        <v>19</v>
      </c>
      <c r="C86" s="2763">
        <v>3205.9642105263156</v>
      </c>
      <c r="D86" s="2763">
        <v>1528.0031578947367</v>
      </c>
      <c r="E86" s="2764">
        <v>265.43842105263167</v>
      </c>
      <c r="F86" s="2760">
        <v>1171.0794736842101</v>
      </c>
      <c r="G86" s="2761">
        <v>14198</v>
      </c>
      <c r="H86" s="2762">
        <v>370</v>
      </c>
    </row>
    <row r="87" spans="1:8" ht="12.75" hidden="1" customHeight="1" x14ac:dyDescent="0.25">
      <c r="A87" s="2756">
        <v>39852</v>
      </c>
      <c r="B87" s="2766">
        <v>19</v>
      </c>
      <c r="C87" s="2763">
        <v>2771.1478947368423</v>
      </c>
      <c r="D87" s="2763">
        <v>1286.3705263157894</v>
      </c>
      <c r="E87" s="2764">
        <v>219.57157894736847</v>
      </c>
      <c r="F87" s="2760">
        <v>1011.6305263157897</v>
      </c>
      <c r="G87" s="2761">
        <v>30908</v>
      </c>
      <c r="H87" s="2762">
        <v>664</v>
      </c>
    </row>
    <row r="88" spans="1:8" ht="12.75" hidden="1" customHeight="1" x14ac:dyDescent="0.25">
      <c r="A88" s="2756">
        <v>39880</v>
      </c>
      <c r="B88" s="2766">
        <v>20</v>
      </c>
      <c r="C88" s="2763">
        <v>2673.8294999999994</v>
      </c>
      <c r="D88" s="2763">
        <v>1220.9910000000002</v>
      </c>
      <c r="E88" s="2764">
        <v>210.45700000000005</v>
      </c>
      <c r="F88" s="2760">
        <v>974.81600000000003</v>
      </c>
      <c r="G88" s="2761">
        <v>22700</v>
      </c>
      <c r="H88" s="2762">
        <v>594</v>
      </c>
    </row>
    <row r="89" spans="1:8" ht="12.75" hidden="1" customHeight="1" x14ac:dyDescent="0.25">
      <c r="A89" s="2756">
        <v>39911</v>
      </c>
      <c r="B89" s="2766">
        <v>22</v>
      </c>
      <c r="C89" s="2763">
        <v>3146.7736363636359</v>
      </c>
      <c r="D89" s="2763">
        <v>1446.2295454545456</v>
      </c>
      <c r="E89" s="2764">
        <v>250.3868181818182</v>
      </c>
      <c r="F89" s="2760">
        <v>1141.6222727272725</v>
      </c>
      <c r="G89" s="2761">
        <v>61733</v>
      </c>
      <c r="H89" s="2762">
        <v>1170</v>
      </c>
    </row>
    <row r="90" spans="1:8" ht="12.75" hidden="1" customHeight="1" x14ac:dyDescent="0.25">
      <c r="A90" s="2756">
        <v>39941</v>
      </c>
      <c r="B90" s="2766">
        <v>20</v>
      </c>
      <c r="C90" s="2763">
        <v>3297.8479999999995</v>
      </c>
      <c r="D90" s="2763">
        <v>1537.1479999999999</v>
      </c>
      <c r="E90" s="2764">
        <v>263.45</v>
      </c>
      <c r="F90" s="2760">
        <v>1194.3605</v>
      </c>
      <c r="G90" s="2761">
        <v>64090</v>
      </c>
      <c r="H90" s="2762">
        <v>1116</v>
      </c>
    </row>
    <row r="91" spans="1:8" ht="12.75" hidden="1" customHeight="1" x14ac:dyDescent="0.25">
      <c r="A91" s="2756">
        <v>39972</v>
      </c>
      <c r="B91" s="2766">
        <v>22</v>
      </c>
      <c r="C91" s="2763">
        <v>3903.7250000000004</v>
      </c>
      <c r="D91" s="2763">
        <v>1846.6913636363633</v>
      </c>
      <c r="E91" s="2764">
        <v>319.95227272727271</v>
      </c>
      <c r="F91" s="2760">
        <v>1412.1186363636361</v>
      </c>
      <c r="G91" s="2761">
        <v>54702</v>
      </c>
      <c r="H91" s="2762">
        <v>918</v>
      </c>
    </row>
    <row r="92" spans="1:8" ht="12.75" hidden="1" customHeight="1" x14ac:dyDescent="0.25">
      <c r="A92" s="2756">
        <v>40002</v>
      </c>
      <c r="B92" s="2766">
        <v>23</v>
      </c>
      <c r="C92" s="2763">
        <v>3914.88</v>
      </c>
      <c r="D92" s="2763">
        <v>1869.76</v>
      </c>
      <c r="E92" s="2764">
        <v>318.86</v>
      </c>
      <c r="F92" s="2760">
        <v>1408.19</v>
      </c>
      <c r="G92" s="2761">
        <v>29655</v>
      </c>
      <c r="H92" s="2762">
        <v>919</v>
      </c>
    </row>
    <row r="93" spans="1:8" ht="12.75" hidden="1" customHeight="1" x14ac:dyDescent="0.25">
      <c r="A93" s="2756">
        <v>40033</v>
      </c>
      <c r="B93" s="2766">
        <v>20</v>
      </c>
      <c r="C93" s="2763">
        <v>4160.22</v>
      </c>
      <c r="D93" s="2763">
        <v>2008.75</v>
      </c>
      <c r="E93" s="2764">
        <v>335.63</v>
      </c>
      <c r="F93" s="2760">
        <v>1493.15</v>
      </c>
      <c r="G93" s="2761">
        <v>36738</v>
      </c>
      <c r="H93" s="2762">
        <v>822</v>
      </c>
    </row>
    <row r="94" spans="1:8" ht="12.75" hidden="1" customHeight="1" x14ac:dyDescent="0.25">
      <c r="A94" s="2756">
        <v>40064</v>
      </c>
      <c r="B94" s="2766">
        <v>21</v>
      </c>
      <c r="C94" s="2763">
        <v>4464.2119047619053</v>
      </c>
      <c r="D94" s="2763">
        <v>2197.2742857142857</v>
      </c>
      <c r="E94" s="2764">
        <v>362.01428571428568</v>
      </c>
      <c r="F94" s="2760">
        <v>1597.3671428571431</v>
      </c>
      <c r="G94" s="2761">
        <v>42226</v>
      </c>
      <c r="H94" s="2762">
        <v>863</v>
      </c>
    </row>
    <row r="95" spans="1:8" ht="12.75" hidden="1" customHeight="1" x14ac:dyDescent="0.25">
      <c r="A95" s="2756">
        <v>40094</v>
      </c>
      <c r="B95" s="2766">
        <v>22</v>
      </c>
      <c r="C95" s="2763">
        <v>4767.124545454546</v>
      </c>
      <c r="D95" s="2763">
        <v>2403.7390909090905</v>
      </c>
      <c r="E95" s="2764">
        <v>381.49681818181813</v>
      </c>
      <c r="F95" s="2760">
        <v>1696.5281818181816</v>
      </c>
      <c r="G95" s="2761">
        <v>43510</v>
      </c>
      <c r="H95" s="2762">
        <v>769</v>
      </c>
    </row>
    <row r="96" spans="1:8" ht="12.75" hidden="1" customHeight="1" x14ac:dyDescent="0.25">
      <c r="A96" s="2756">
        <v>40125</v>
      </c>
      <c r="B96" s="2766">
        <v>20</v>
      </c>
      <c r="C96" s="2763">
        <v>4721.5674129955196</v>
      </c>
      <c r="D96" s="2763">
        <v>2406.3637595919799</v>
      </c>
      <c r="E96" s="2764">
        <v>372.11362115828592</v>
      </c>
      <c r="F96" s="2760">
        <v>1677.3474031503495</v>
      </c>
      <c r="G96" s="2761">
        <v>40743</v>
      </c>
      <c r="H96" s="2762">
        <v>877</v>
      </c>
    </row>
    <row r="97" spans="1:8" ht="12.75" hidden="1" customHeight="1" x14ac:dyDescent="0.25">
      <c r="A97" s="2756">
        <v>40155</v>
      </c>
      <c r="B97" s="2766">
        <v>22</v>
      </c>
      <c r="C97" s="2763">
        <v>4701.4132797052725</v>
      </c>
      <c r="D97" s="2763">
        <v>2446.8369212574939</v>
      </c>
      <c r="E97" s="2764">
        <v>362.67871098361297</v>
      </c>
      <c r="F97" s="2760">
        <v>1657.6934882367291</v>
      </c>
      <c r="G97" s="2761">
        <v>56531</v>
      </c>
      <c r="H97" s="2762">
        <v>1654</v>
      </c>
    </row>
    <row r="98" spans="1:8" ht="12.75" hidden="1" customHeight="1" x14ac:dyDescent="0.25">
      <c r="A98" s="2756">
        <v>40186</v>
      </c>
      <c r="B98" s="2766">
        <v>20</v>
      </c>
      <c r="C98" s="2763">
        <v>4827.1281697691684</v>
      </c>
      <c r="D98" s="2763">
        <v>2475.0554744435585</v>
      </c>
      <c r="E98" s="2764">
        <v>365.83203606426071</v>
      </c>
      <c r="F98" s="2760">
        <v>1700.434026533318</v>
      </c>
      <c r="G98" s="2761">
        <v>38064</v>
      </c>
      <c r="H98" s="2762">
        <v>1413</v>
      </c>
    </row>
    <row r="99" spans="1:8" ht="12.75" hidden="1" customHeight="1" x14ac:dyDescent="0.25">
      <c r="A99" s="2756">
        <v>40217</v>
      </c>
      <c r="B99" s="2766">
        <v>18</v>
      </c>
      <c r="C99" s="2763">
        <v>4805.5193926340053</v>
      </c>
      <c r="D99" s="2763">
        <v>2430.7307198612152</v>
      </c>
      <c r="E99" s="2764">
        <v>353.9740535310724</v>
      </c>
      <c r="F99" s="2760">
        <v>1692.2094895967871</v>
      </c>
      <c r="G99" s="2761">
        <v>40847</v>
      </c>
      <c r="H99" s="2762">
        <v>785</v>
      </c>
    </row>
    <row r="100" spans="1:8" ht="12.75" hidden="1" customHeight="1" x14ac:dyDescent="0.25">
      <c r="A100" s="2756">
        <v>40245</v>
      </c>
      <c r="B100" s="2766">
        <v>21</v>
      </c>
      <c r="C100" s="2763">
        <v>4674.8081776468707</v>
      </c>
      <c r="D100" s="2763">
        <v>2350.0572374430562</v>
      </c>
      <c r="E100" s="2764">
        <v>341.97600536861296</v>
      </c>
      <c r="F100" s="2760">
        <v>1643.7926014056338</v>
      </c>
      <c r="G100" s="2761">
        <v>82793</v>
      </c>
      <c r="H100" s="2762">
        <v>4025</v>
      </c>
    </row>
    <row r="101" spans="1:8" ht="12.75" hidden="1" customHeight="1" x14ac:dyDescent="0.25">
      <c r="A101" s="2756">
        <v>40276</v>
      </c>
      <c r="B101" s="2766">
        <v>22</v>
      </c>
      <c r="C101" s="2763">
        <v>4760.5342160712489</v>
      </c>
      <c r="D101" s="2763">
        <v>2382.7889710460195</v>
      </c>
      <c r="E101" s="2764">
        <v>345.60349215515083</v>
      </c>
      <c r="F101" s="2760">
        <v>1668.8078676625278</v>
      </c>
      <c r="G101" s="2761">
        <v>54778</v>
      </c>
      <c r="H101" s="2762">
        <v>1748</v>
      </c>
    </row>
    <row r="102" spans="1:8" ht="12.75" hidden="1" customHeight="1" x14ac:dyDescent="0.25">
      <c r="A102" s="2756">
        <v>40306</v>
      </c>
      <c r="B102" s="2766">
        <v>20</v>
      </c>
      <c r="C102" s="2763">
        <v>4662.6628687485299</v>
      </c>
      <c r="D102" s="2763">
        <v>2210.6989462763413</v>
      </c>
      <c r="E102" s="2764">
        <v>332.38117521174797</v>
      </c>
      <c r="F102" s="2760">
        <v>1631.7926129041973</v>
      </c>
      <c r="G102" s="2761">
        <v>67156</v>
      </c>
      <c r="H102" s="2762">
        <v>868</v>
      </c>
    </row>
    <row r="103" spans="1:8" ht="12.75" hidden="1" customHeight="1" x14ac:dyDescent="0.25">
      <c r="A103" s="2756">
        <v>40337</v>
      </c>
      <c r="B103" s="2766">
        <v>22</v>
      </c>
      <c r="C103" s="2763">
        <v>4672.8805318184213</v>
      </c>
      <c r="D103" s="2763">
        <v>2190.7194830182489</v>
      </c>
      <c r="E103" s="2764">
        <v>331.08397814321273</v>
      </c>
      <c r="F103" s="2760">
        <v>1632.9807664416192</v>
      </c>
      <c r="G103" s="2761">
        <v>32840</v>
      </c>
      <c r="H103" s="2762">
        <v>564</v>
      </c>
    </row>
    <row r="104" spans="1:8" ht="21.75" hidden="1" customHeight="1" x14ac:dyDescent="0.25">
      <c r="A104" s="2769">
        <v>40367</v>
      </c>
      <c r="B104" s="2766">
        <v>22</v>
      </c>
      <c r="C104" s="2763">
        <v>4838.2017363038049</v>
      </c>
      <c r="D104" s="2763">
        <v>2387.9606222700363</v>
      </c>
      <c r="E104" s="2764">
        <v>335.74937648069584</v>
      </c>
      <c r="F104" s="2760">
        <v>1682.4248521466639</v>
      </c>
      <c r="G104" s="2761">
        <v>54326</v>
      </c>
      <c r="H104" s="2762">
        <v>2003</v>
      </c>
    </row>
    <row r="105" spans="1:8" ht="21.75" hidden="1" customHeight="1" x14ac:dyDescent="0.25">
      <c r="A105" s="2769">
        <v>40398</v>
      </c>
      <c r="B105" s="2766">
        <v>22</v>
      </c>
      <c r="C105" s="2763">
        <v>4988.2433227794754</v>
      </c>
      <c r="D105" s="2763">
        <v>2514.5728062364096</v>
      </c>
      <c r="E105" s="2764">
        <v>342.64115513215557</v>
      </c>
      <c r="F105" s="2760">
        <v>1732.0934897286488</v>
      </c>
      <c r="G105" s="2761">
        <v>27448</v>
      </c>
      <c r="H105" s="2762">
        <v>980</v>
      </c>
    </row>
    <row r="106" spans="1:8" ht="21.75" hidden="1" customHeight="1" x14ac:dyDescent="0.25">
      <c r="A106" s="2769">
        <v>40429</v>
      </c>
      <c r="B106" s="2766">
        <v>21</v>
      </c>
      <c r="C106" s="2763">
        <v>5022.4022225149456</v>
      </c>
      <c r="D106" s="2763">
        <v>2518.2450421749295</v>
      </c>
      <c r="E106" s="2764">
        <v>334.51944034010921</v>
      </c>
      <c r="F106" s="2760">
        <v>1738.0269440402251</v>
      </c>
      <c r="G106" s="2761">
        <v>43286</v>
      </c>
      <c r="H106" s="2762">
        <v>1176</v>
      </c>
    </row>
    <row r="107" spans="1:8" ht="21.75" hidden="1" customHeight="1" x14ac:dyDescent="0.25">
      <c r="A107" s="2769">
        <v>40459</v>
      </c>
      <c r="B107" s="2766">
        <v>21</v>
      </c>
      <c r="C107" s="2763">
        <v>5285.4285551968696</v>
      </c>
      <c r="D107" s="2763">
        <v>2713.2079883741744</v>
      </c>
      <c r="E107" s="2764">
        <v>348.07677117991886</v>
      </c>
      <c r="F107" s="2760">
        <v>1823.9338179872177</v>
      </c>
      <c r="G107" s="2761">
        <v>51066</v>
      </c>
      <c r="H107" s="2762">
        <v>895</v>
      </c>
    </row>
    <row r="108" spans="1:8" ht="21.75" hidden="1" customHeight="1" x14ac:dyDescent="0.25">
      <c r="A108" s="2769">
        <v>40490</v>
      </c>
      <c r="B108" s="2766">
        <v>20</v>
      </c>
      <c r="C108" s="2763">
        <v>5501.1338542679714</v>
      </c>
      <c r="D108" s="2763">
        <v>2807.6990289142145</v>
      </c>
      <c r="E108" s="2764">
        <v>361.86941521596083</v>
      </c>
      <c r="F108" s="2760">
        <v>1896.7225727265977</v>
      </c>
      <c r="G108" s="2761">
        <v>45840</v>
      </c>
      <c r="H108" s="2762">
        <v>970</v>
      </c>
    </row>
    <row r="109" spans="1:8" ht="21.75" hidden="1" customHeight="1" x14ac:dyDescent="0.25">
      <c r="A109" s="2769">
        <v>40520</v>
      </c>
      <c r="B109" s="2766">
        <v>23</v>
      </c>
      <c r="C109" s="2763">
        <v>5618.3541600930466</v>
      </c>
      <c r="D109" s="2763">
        <v>2822.6191139903472</v>
      </c>
      <c r="E109" s="2764">
        <v>366.39261578827808</v>
      </c>
      <c r="F109" s="2760">
        <v>1924.7444906555879</v>
      </c>
      <c r="G109" s="2761">
        <v>24223</v>
      </c>
      <c r="H109" s="2762">
        <v>687</v>
      </c>
    </row>
    <row r="110" spans="1:8" ht="21.75" hidden="1" customHeight="1" x14ac:dyDescent="0.25">
      <c r="A110" s="2769">
        <v>40551</v>
      </c>
      <c r="B110" s="2766">
        <v>19</v>
      </c>
      <c r="C110" s="2763">
        <v>5913.2862330420758</v>
      </c>
      <c r="D110" s="2763">
        <v>3006.7265101479898</v>
      </c>
      <c r="E110" s="2764">
        <v>385.70946088370619</v>
      </c>
      <c r="F110" s="2760">
        <v>2023.8537404096467</v>
      </c>
      <c r="G110" s="2761">
        <v>63052</v>
      </c>
      <c r="H110" s="2762">
        <v>1131</v>
      </c>
    </row>
    <row r="111" spans="1:8" ht="21.75" hidden="1" customHeight="1" x14ac:dyDescent="0.25">
      <c r="A111" s="2769">
        <v>40582</v>
      </c>
      <c r="B111" s="2766">
        <v>18</v>
      </c>
      <c r="C111" s="2763">
        <v>5971.5883042516125</v>
      </c>
      <c r="D111" s="2763">
        <v>3100.530430433852</v>
      </c>
      <c r="E111" s="2764">
        <v>388.02398015466383</v>
      </c>
      <c r="F111" s="2760">
        <v>2042.9682051176185</v>
      </c>
      <c r="G111" s="2761">
        <v>36863</v>
      </c>
      <c r="H111" s="2762">
        <v>798</v>
      </c>
    </row>
    <row r="112" spans="1:8" ht="21.75" hidden="1" customHeight="1" x14ac:dyDescent="0.25">
      <c r="A112" s="2769">
        <v>40610</v>
      </c>
      <c r="B112" s="2766">
        <v>22</v>
      </c>
      <c r="C112" s="2763">
        <v>5831.1306084196221</v>
      </c>
      <c r="D112" s="2763">
        <v>3076.7769249677276</v>
      </c>
      <c r="E112" s="2764">
        <v>375.53189619666387</v>
      </c>
      <c r="F112" s="2760">
        <v>1992.36040584489</v>
      </c>
      <c r="G112" s="2761">
        <v>32668.889211363639</v>
      </c>
      <c r="H112" s="2762">
        <v>598</v>
      </c>
    </row>
    <row r="113" spans="1:8" ht="21.75" hidden="1" customHeight="1" x14ac:dyDescent="0.25">
      <c r="A113" s="2769">
        <v>40641</v>
      </c>
      <c r="B113" s="2766">
        <v>20</v>
      </c>
      <c r="C113" s="2763">
        <v>5989.9702859358367</v>
      </c>
      <c r="D113" s="2763">
        <v>3269.5195610526985</v>
      </c>
      <c r="E113" s="2764">
        <v>382.92513075988165</v>
      </c>
      <c r="F113" s="2760">
        <v>2041.4989029438213</v>
      </c>
      <c r="G113" s="2761">
        <v>30257</v>
      </c>
      <c r="H113" s="2762">
        <v>623</v>
      </c>
    </row>
    <row r="114" spans="1:8" ht="21.75" hidden="1" customHeight="1" x14ac:dyDescent="0.25">
      <c r="A114" s="2769">
        <v>40671</v>
      </c>
      <c r="B114" s="2766">
        <v>22</v>
      </c>
      <c r="C114" s="2763">
        <v>6123.3196184820754</v>
      </c>
      <c r="D114" s="2763">
        <v>3355.5446732187688</v>
      </c>
      <c r="E114" s="2764">
        <v>391.50420544999781</v>
      </c>
      <c r="F114" s="2760">
        <v>2084.7833272037842</v>
      </c>
      <c r="G114" s="2761">
        <v>52608</v>
      </c>
      <c r="H114" s="2762">
        <v>931</v>
      </c>
    </row>
    <row r="115" spans="1:8" ht="21.75" hidden="1" customHeight="1" x14ac:dyDescent="0.25">
      <c r="A115" s="2769">
        <v>40702</v>
      </c>
      <c r="B115" s="2766">
        <v>22</v>
      </c>
      <c r="C115" s="2763">
        <v>6134.9756152538139</v>
      </c>
      <c r="D115" s="2763">
        <v>3330.8548858048957</v>
      </c>
      <c r="E115" s="2764">
        <v>393.56788981559907</v>
      </c>
      <c r="F115" s="2760">
        <v>2085.3614012646781</v>
      </c>
      <c r="G115" s="2761">
        <v>34508</v>
      </c>
      <c r="H115" s="2762">
        <v>655</v>
      </c>
    </row>
    <row r="116" spans="1:8" ht="21.75" hidden="1" customHeight="1" x14ac:dyDescent="0.25">
      <c r="A116" s="2769">
        <v>40732</v>
      </c>
      <c r="B116" s="2766">
        <v>21</v>
      </c>
      <c r="C116" s="2763">
        <v>6100.5340312545441</v>
      </c>
      <c r="D116" s="2763">
        <v>3311.6270853551978</v>
      </c>
      <c r="E116" s="2764">
        <v>385.70675885352853</v>
      </c>
      <c r="F116" s="2760">
        <v>2064.2108597424194</v>
      </c>
      <c r="G116" s="2761">
        <v>34925</v>
      </c>
      <c r="H116" s="2762">
        <v>747</v>
      </c>
    </row>
    <row r="117" spans="1:8" ht="21.75" hidden="1" customHeight="1" x14ac:dyDescent="0.25">
      <c r="A117" s="2769">
        <v>40763</v>
      </c>
      <c r="B117" s="2766">
        <v>22</v>
      </c>
      <c r="C117" s="2763">
        <v>5808.8463405194743</v>
      </c>
      <c r="D117" s="2763">
        <v>3183.1998574103122</v>
      </c>
      <c r="E117" s="2764">
        <v>364.34880298524291</v>
      </c>
      <c r="F117" s="2760">
        <v>1958.5331262179209</v>
      </c>
      <c r="G117" s="2761">
        <v>53001</v>
      </c>
      <c r="H117" s="2762">
        <v>881</v>
      </c>
    </row>
    <row r="118" spans="1:8" ht="21.75" hidden="1" customHeight="1" x14ac:dyDescent="0.25">
      <c r="A118" s="2769">
        <v>40794</v>
      </c>
      <c r="B118" s="2766">
        <v>21</v>
      </c>
      <c r="C118" s="2763">
        <v>5670.9189604148805</v>
      </c>
      <c r="D118" s="2763">
        <v>3059.7972168683987</v>
      </c>
      <c r="E118" s="2764">
        <v>353.40800894684475</v>
      </c>
      <c r="F118" s="2760">
        <v>1905.4120639045841</v>
      </c>
      <c r="G118" s="2761">
        <v>28224</v>
      </c>
      <c r="H118" s="2762">
        <v>561</v>
      </c>
    </row>
    <row r="119" spans="1:8" ht="21.75" hidden="1" customHeight="1" x14ac:dyDescent="0.25">
      <c r="A119" s="2769">
        <v>40824</v>
      </c>
      <c r="B119" s="2766">
        <v>20</v>
      </c>
      <c r="C119" s="2763">
        <v>5637.5744888979953</v>
      </c>
      <c r="D119" s="2763">
        <v>2995.3269299796339</v>
      </c>
      <c r="E119" s="2764">
        <v>349.34833664543714</v>
      </c>
      <c r="F119" s="2760">
        <v>1889.8135130994874</v>
      </c>
      <c r="G119" s="2761">
        <v>134903</v>
      </c>
      <c r="H119" s="2762">
        <v>2876</v>
      </c>
    </row>
    <row r="120" spans="1:8" ht="21.75" hidden="1" customHeight="1" x14ac:dyDescent="0.25">
      <c r="A120" s="2769">
        <v>40855</v>
      </c>
      <c r="B120" s="2766">
        <v>20</v>
      </c>
      <c r="C120" s="2763">
        <v>5670.6592734865053</v>
      </c>
      <c r="D120" s="2763">
        <v>3004.8248623912759</v>
      </c>
      <c r="E120" s="2764">
        <v>351.42636680825899</v>
      </c>
      <c r="F120" s="2760">
        <v>1899.078404469974</v>
      </c>
      <c r="G120" s="2761">
        <v>203815</v>
      </c>
      <c r="H120" s="2762">
        <v>1755</v>
      </c>
    </row>
    <row r="121" spans="1:8" ht="21.75" hidden="1" customHeight="1" x14ac:dyDescent="0.25">
      <c r="A121" s="2769">
        <v>40885</v>
      </c>
      <c r="B121" s="2766">
        <v>22</v>
      </c>
      <c r="C121" s="2763">
        <v>5594.3785752621407</v>
      </c>
      <c r="D121" s="2763">
        <v>2944.5615894899115</v>
      </c>
      <c r="E121" s="2764">
        <v>344.85004846409981</v>
      </c>
      <c r="F121" s="2760">
        <v>1864.2220738195088</v>
      </c>
      <c r="G121" s="2761">
        <v>26850</v>
      </c>
      <c r="H121" s="2762">
        <v>367</v>
      </c>
    </row>
    <row r="122" spans="1:8" ht="21.75" hidden="1" customHeight="1" x14ac:dyDescent="0.25">
      <c r="A122" s="2769">
        <v>40916</v>
      </c>
      <c r="B122" s="2766">
        <v>20</v>
      </c>
      <c r="C122" s="2763">
        <v>5610.8151320798479</v>
      </c>
      <c r="D122" s="2763">
        <v>2953.8328536620202</v>
      </c>
      <c r="E122" s="2764">
        <v>346.98399905645067</v>
      </c>
      <c r="F122" s="2760">
        <v>1865.3933302329146</v>
      </c>
      <c r="G122" s="2761">
        <v>23760</v>
      </c>
      <c r="H122" s="2762">
        <v>463</v>
      </c>
    </row>
    <row r="123" spans="1:8" ht="21.75" hidden="1" customHeight="1" x14ac:dyDescent="0.25">
      <c r="A123" s="2769">
        <v>40947</v>
      </c>
      <c r="B123" s="2766">
        <v>18</v>
      </c>
      <c r="C123" s="2763">
        <v>5470.1114168408585</v>
      </c>
      <c r="D123" s="2763">
        <v>2913.2561118098797</v>
      </c>
      <c r="E123" s="2764">
        <v>340.90402923250309</v>
      </c>
      <c r="F123" s="2760">
        <v>1816.4284835109709</v>
      </c>
      <c r="G123" s="2761">
        <v>29830</v>
      </c>
      <c r="H123" s="2762">
        <v>569</v>
      </c>
    </row>
    <row r="124" spans="1:8" ht="21.75" hidden="1" customHeight="1" x14ac:dyDescent="0.25">
      <c r="A124" s="2769">
        <v>40976</v>
      </c>
      <c r="B124" s="2766">
        <v>20</v>
      </c>
      <c r="C124" s="2763">
        <v>5344.216449809076</v>
      </c>
      <c r="D124" s="2763">
        <v>2843.40224746678</v>
      </c>
      <c r="E124" s="2764">
        <v>331.90113355150743</v>
      </c>
      <c r="F124" s="2760">
        <v>1772.0401656764675</v>
      </c>
      <c r="G124" s="2761">
        <v>22808</v>
      </c>
      <c r="H124" s="2762">
        <v>587</v>
      </c>
    </row>
    <row r="125" spans="1:8" ht="21.75" hidden="1" customHeight="1" x14ac:dyDescent="0.25">
      <c r="A125" s="2769">
        <v>41007</v>
      </c>
      <c r="B125" s="2766">
        <v>21</v>
      </c>
      <c r="C125" s="2763">
        <v>5432.8290132240727</v>
      </c>
      <c r="D125" s="2763">
        <v>2876.0336849063874</v>
      </c>
      <c r="E125" s="2764">
        <v>338.76382206302799</v>
      </c>
      <c r="F125" s="2760">
        <v>1797.9146441970308</v>
      </c>
      <c r="G125" s="2761">
        <v>27694</v>
      </c>
      <c r="H125" s="2762">
        <v>444</v>
      </c>
    </row>
    <row r="126" spans="1:8" ht="21.75" hidden="1" customHeight="1" x14ac:dyDescent="0.25">
      <c r="A126" s="2769">
        <v>41030</v>
      </c>
      <c r="B126" s="2766">
        <v>22</v>
      </c>
      <c r="C126" s="2763">
        <v>5473.6417947698528</v>
      </c>
      <c r="D126" s="2763">
        <v>2864.68</v>
      </c>
      <c r="E126" s="2764">
        <v>342.88817332746271</v>
      </c>
      <c r="F126" s="2760">
        <v>1809.4602287430114</v>
      </c>
      <c r="G126" s="2761">
        <v>49260.276581363636</v>
      </c>
      <c r="H126" s="2762">
        <v>1218</v>
      </c>
    </row>
    <row r="127" spans="1:8" ht="21.75" hidden="1" customHeight="1" x14ac:dyDescent="0.25">
      <c r="A127" s="2769">
        <v>41061</v>
      </c>
      <c r="B127" s="2766">
        <v>21</v>
      </c>
      <c r="C127" s="2763">
        <v>5420.0854013313028</v>
      </c>
      <c r="D127" s="2763">
        <v>2758.76320559943</v>
      </c>
      <c r="E127" s="2764">
        <v>340.89007235984388</v>
      </c>
      <c r="F127" s="2760">
        <v>1788.7070911958654</v>
      </c>
      <c r="G127" s="2761">
        <v>27132.0045942857</v>
      </c>
      <c r="H127" s="2762">
        <v>528.29661904761906</v>
      </c>
    </row>
    <row r="128" spans="1:8" ht="21.75" hidden="1" customHeight="1" x14ac:dyDescent="0.25">
      <c r="A128" s="2769">
        <v>41091</v>
      </c>
      <c r="B128" s="2766">
        <v>22</v>
      </c>
      <c r="C128" s="2763">
        <v>5349.9797180510968</v>
      </c>
      <c r="D128" s="2763">
        <v>2662.3849025838758</v>
      </c>
      <c r="E128" s="2764">
        <v>337.62030270935105</v>
      </c>
      <c r="F128" s="2760">
        <v>1757.0258603567993</v>
      </c>
      <c r="G128" s="2761">
        <v>55150</v>
      </c>
      <c r="H128" s="2762">
        <v>835</v>
      </c>
    </row>
    <row r="129" spans="1:8" ht="21.75" hidden="1" customHeight="1" x14ac:dyDescent="0.25">
      <c r="A129" s="2769">
        <v>41122</v>
      </c>
      <c r="B129" s="2766">
        <v>21</v>
      </c>
      <c r="C129" s="2763">
        <v>5245.0794021110551</v>
      </c>
      <c r="D129" s="2764">
        <v>2639.3387503780659</v>
      </c>
      <c r="E129" s="2764">
        <v>333.33846830889098</v>
      </c>
      <c r="F129" s="2760">
        <v>1719.9610192639136</v>
      </c>
      <c r="G129" s="2761">
        <v>44271</v>
      </c>
      <c r="H129" s="2762">
        <v>897</v>
      </c>
    </row>
    <row r="130" spans="1:8" ht="21.75" hidden="1" customHeight="1" x14ac:dyDescent="0.25">
      <c r="A130" s="2769">
        <v>41153</v>
      </c>
      <c r="B130" s="2766">
        <v>19</v>
      </c>
      <c r="C130" s="2763">
        <v>5192.6105554554606</v>
      </c>
      <c r="D130" s="2763">
        <v>2641.6586168231688</v>
      </c>
      <c r="E130" s="2764">
        <v>330.92570796411428</v>
      </c>
      <c r="F130" s="2760">
        <v>1702.112424445781</v>
      </c>
      <c r="G130" s="2761">
        <v>48290</v>
      </c>
      <c r="H130" s="2762">
        <v>1046</v>
      </c>
    </row>
    <row r="131" spans="1:8" ht="21.75" hidden="1" customHeight="1" x14ac:dyDescent="0.25">
      <c r="A131" s="2769">
        <v>41183</v>
      </c>
      <c r="B131" s="2766">
        <v>23</v>
      </c>
      <c r="C131" s="2763">
        <v>5167.6407259096486</v>
      </c>
      <c r="D131" s="2763">
        <v>2596.9531537295984</v>
      </c>
      <c r="E131" s="2764">
        <v>326.87429115643334</v>
      </c>
      <c r="F131" s="2760">
        <v>1692.5891542268419</v>
      </c>
      <c r="G131" s="2761">
        <v>42041</v>
      </c>
      <c r="H131" s="2762">
        <v>1208</v>
      </c>
    </row>
    <row r="132" spans="1:8" ht="21.75" hidden="1" customHeight="1" x14ac:dyDescent="0.25">
      <c r="A132" s="2769">
        <v>41214</v>
      </c>
      <c r="B132" s="2766">
        <v>20</v>
      </c>
      <c r="C132" s="2763">
        <v>5111.2919006366801</v>
      </c>
      <c r="D132" s="2763">
        <v>2552.5462217573104</v>
      </c>
      <c r="E132" s="2764">
        <v>320.88367861160424</v>
      </c>
      <c r="F132" s="2760">
        <v>1663.6266381723792</v>
      </c>
      <c r="G132" s="2761">
        <v>43271</v>
      </c>
      <c r="H132" s="2762">
        <v>2242</v>
      </c>
    </row>
    <row r="133" spans="1:8" ht="21.75" hidden="1" customHeight="1" x14ac:dyDescent="0.25">
      <c r="A133" s="2769">
        <v>41244</v>
      </c>
      <c r="B133" s="2766">
        <v>20</v>
      </c>
      <c r="C133" s="2763">
        <v>5289.9115873023793</v>
      </c>
      <c r="D133" s="2763">
        <v>2678.9063357086279</v>
      </c>
      <c r="E133" s="2764">
        <v>333.15411350648162</v>
      </c>
      <c r="F133" s="2760">
        <v>1710.9982147528208</v>
      </c>
      <c r="G133" s="2761">
        <v>43266</v>
      </c>
      <c r="H133" s="2762">
        <v>976</v>
      </c>
    </row>
    <row r="134" spans="1:8" ht="21.75" hidden="1" customHeight="1" x14ac:dyDescent="0.25">
      <c r="A134" s="2769">
        <v>41275</v>
      </c>
      <c r="B134" s="2766">
        <v>21</v>
      </c>
      <c r="C134" s="2763">
        <v>5491.2625203959324</v>
      </c>
      <c r="D134" s="2763">
        <v>2797.8274260708181</v>
      </c>
      <c r="E134" s="2764">
        <v>347.03893506091526</v>
      </c>
      <c r="F134" s="2760">
        <v>1771.9293336032008</v>
      </c>
      <c r="G134" s="2761">
        <v>50325</v>
      </c>
      <c r="H134" s="2762">
        <v>1480</v>
      </c>
    </row>
    <row r="135" spans="1:8" ht="21.75" hidden="1" customHeight="1" x14ac:dyDescent="0.25">
      <c r="A135" s="2769">
        <v>41306</v>
      </c>
      <c r="B135" s="2766">
        <v>19</v>
      </c>
      <c r="C135" s="2763">
        <v>5711.7698208890888</v>
      </c>
      <c r="D135" s="2763">
        <v>2913.3728545294202</v>
      </c>
      <c r="E135" s="2764">
        <v>361.36561988269057</v>
      </c>
      <c r="F135" s="2760">
        <v>1842.5341962184448</v>
      </c>
      <c r="G135" s="2761">
        <v>56805</v>
      </c>
      <c r="H135" s="2762">
        <v>1454</v>
      </c>
    </row>
    <row r="136" spans="1:8" ht="21.75" hidden="1" customHeight="1" x14ac:dyDescent="0.25">
      <c r="A136" s="2769">
        <v>41334</v>
      </c>
      <c r="B136" s="2766">
        <v>20</v>
      </c>
      <c r="C136" s="2763">
        <v>5905.6085627081156</v>
      </c>
      <c r="D136" s="2763">
        <v>2970.1544057385718</v>
      </c>
      <c r="E136" s="2764">
        <v>378.60650682257977</v>
      </c>
      <c r="F136" s="2760">
        <v>1903.5645159361095</v>
      </c>
      <c r="G136" s="2761">
        <v>44332</v>
      </c>
      <c r="H136" s="2762">
        <v>6979</v>
      </c>
    </row>
    <row r="137" spans="1:8" ht="21.75" hidden="1" customHeight="1" x14ac:dyDescent="0.25">
      <c r="A137" s="2769">
        <v>41365</v>
      </c>
      <c r="B137" s="2766">
        <v>20</v>
      </c>
      <c r="C137" s="2763">
        <v>5925.8694118838303</v>
      </c>
      <c r="D137" s="2763">
        <v>2977.7162584739845</v>
      </c>
      <c r="E137" s="2764">
        <v>379.77221068014592</v>
      </c>
      <c r="F137" s="2760">
        <v>1909.18382824572</v>
      </c>
      <c r="G137" s="2761">
        <v>23747</v>
      </c>
      <c r="H137" s="2762">
        <v>7035</v>
      </c>
    </row>
    <row r="138" spans="1:8" ht="21.75" hidden="1" customHeight="1" x14ac:dyDescent="0.25">
      <c r="A138" s="2770">
        <v>41395</v>
      </c>
      <c r="B138" s="2766">
        <v>22</v>
      </c>
      <c r="C138" s="2763">
        <v>6035.6893429399342</v>
      </c>
      <c r="D138" s="2763">
        <v>3022.7819214621345</v>
      </c>
      <c r="E138" s="2764">
        <v>384.92912600965792</v>
      </c>
      <c r="F138" s="2760">
        <v>1943.3664041456955</v>
      </c>
      <c r="G138" s="2761">
        <v>34240</v>
      </c>
      <c r="H138" s="2762">
        <v>5315</v>
      </c>
    </row>
    <row r="139" spans="1:8" ht="21.75" hidden="1" customHeight="1" x14ac:dyDescent="0.25">
      <c r="A139" s="2770">
        <v>41426</v>
      </c>
      <c r="B139" s="2766">
        <v>20</v>
      </c>
      <c r="C139" s="2763">
        <v>6003.8818344144211</v>
      </c>
      <c r="D139" s="2763">
        <v>3019.4429969149505</v>
      </c>
      <c r="E139" s="2764">
        <v>379.205154828746</v>
      </c>
      <c r="F139" s="2760">
        <v>1929.9368160751917</v>
      </c>
      <c r="G139" s="2761">
        <v>49521</v>
      </c>
      <c r="H139" s="2762">
        <v>13235</v>
      </c>
    </row>
    <row r="140" spans="1:8" ht="21.75" hidden="1" customHeight="1" x14ac:dyDescent="0.25">
      <c r="A140" s="2770">
        <v>41456</v>
      </c>
      <c r="B140" s="2766">
        <v>23</v>
      </c>
      <c r="C140" s="2763">
        <v>5861.2335306335744</v>
      </c>
      <c r="D140" s="2763">
        <v>2932.1836157815283</v>
      </c>
      <c r="E140" s="2764">
        <v>365.89100458220588</v>
      </c>
      <c r="F140" s="2760">
        <v>1873.6728068604425</v>
      </c>
      <c r="G140" s="2761">
        <v>20939</v>
      </c>
      <c r="H140" s="2762">
        <v>2425</v>
      </c>
    </row>
    <row r="141" spans="1:8" ht="21.75" hidden="1" customHeight="1" x14ac:dyDescent="0.25">
      <c r="A141" s="2771">
        <v>41487</v>
      </c>
      <c r="B141" s="2772">
        <v>21</v>
      </c>
      <c r="C141" s="2773">
        <v>5938.6437072263843</v>
      </c>
      <c r="D141" s="2773">
        <v>2987.154768060127</v>
      </c>
      <c r="E141" s="2774">
        <v>371.43416315744048</v>
      </c>
      <c r="F141" s="2775">
        <v>1894.1986776730573</v>
      </c>
      <c r="G141" s="2776">
        <v>35688.769018571402</v>
      </c>
      <c r="H141" s="2777">
        <v>11766.444761904801</v>
      </c>
    </row>
    <row r="142" spans="1:8" ht="21" hidden="1" customHeight="1" x14ac:dyDescent="0.25">
      <c r="A142" s="2770">
        <v>41518</v>
      </c>
      <c r="B142" s="2766">
        <v>20</v>
      </c>
      <c r="C142" s="2763">
        <v>6135.9122365628855</v>
      </c>
      <c r="D142" s="2763">
        <v>3089.75435174942</v>
      </c>
      <c r="E142" s="2764">
        <v>378.95210710928052</v>
      </c>
      <c r="F142" s="2760">
        <v>1949.1574629356851</v>
      </c>
      <c r="G142" s="2761">
        <v>45673.182169500004</v>
      </c>
      <c r="H142" s="2762">
        <v>15597.3014</v>
      </c>
    </row>
    <row r="143" spans="1:8" ht="21" hidden="1" customHeight="1" x14ac:dyDescent="0.25">
      <c r="A143" s="2770">
        <v>41548</v>
      </c>
      <c r="B143" s="2766">
        <v>23</v>
      </c>
      <c r="C143" s="2763">
        <v>6263.9843439559036</v>
      </c>
      <c r="D143" s="2763">
        <v>3209.972628184551</v>
      </c>
      <c r="E143" s="2764">
        <v>388.04733826287656</v>
      </c>
      <c r="F143" s="2760">
        <v>1984.2677177535472</v>
      </c>
      <c r="G143" s="2776">
        <v>71113.644136521732</v>
      </c>
      <c r="H143" s="2777">
        <v>8909.6984347826092</v>
      </c>
    </row>
    <row r="144" spans="1:8" ht="21" hidden="1" customHeight="1" x14ac:dyDescent="0.25">
      <c r="A144" s="2770">
        <v>41579</v>
      </c>
      <c r="B144" s="2766">
        <v>23</v>
      </c>
      <c r="C144" s="2763">
        <v>6435.1746965896145</v>
      </c>
      <c r="D144" s="2763">
        <v>3276.4817615889151</v>
      </c>
      <c r="E144" s="2764">
        <v>397.34544073953288</v>
      </c>
      <c r="F144" s="2760">
        <v>2036.8240879558823</v>
      </c>
      <c r="G144" s="2776">
        <v>32633.431793500007</v>
      </c>
      <c r="H144" s="2777">
        <v>3966.7009500000004</v>
      </c>
    </row>
    <row r="145" spans="1:8" ht="21" hidden="1" customHeight="1" x14ac:dyDescent="0.25">
      <c r="A145" s="2770">
        <v>41609</v>
      </c>
      <c r="B145" s="2766">
        <v>21</v>
      </c>
      <c r="C145" s="2763">
        <v>6565.9314861770808</v>
      </c>
      <c r="D145" s="2763">
        <v>3365.3160475398963</v>
      </c>
      <c r="E145" s="2764">
        <v>401.65649020014359</v>
      </c>
      <c r="F145" s="2760">
        <v>2064.8483022954238</v>
      </c>
      <c r="G145" s="2776">
        <v>41835.919750952402</v>
      </c>
      <c r="H145" s="2777">
        <v>5609.1432380952401</v>
      </c>
    </row>
    <row r="146" spans="1:8" ht="21" hidden="1" customHeight="1" x14ac:dyDescent="0.25">
      <c r="A146" s="2770">
        <v>41640</v>
      </c>
      <c r="B146" s="2766">
        <v>19</v>
      </c>
      <c r="C146" s="2763">
        <v>6752.2293580895366</v>
      </c>
      <c r="D146" s="2763">
        <v>3464.2036812287797</v>
      </c>
      <c r="E146" s="2764">
        <v>407.15387740249116</v>
      </c>
      <c r="F146" s="2760">
        <v>2119.8054832397761</v>
      </c>
      <c r="G146" s="2776">
        <v>58767.026706315803</v>
      </c>
      <c r="H146" s="2777">
        <v>9147.1905789473713</v>
      </c>
    </row>
    <row r="147" spans="1:8" ht="21" hidden="1" customHeight="1" x14ac:dyDescent="0.25">
      <c r="A147" s="2770">
        <v>41671</v>
      </c>
      <c r="B147" s="2766">
        <v>18</v>
      </c>
      <c r="C147" s="2763">
        <v>6622.5085866794834</v>
      </c>
      <c r="D147" s="2763">
        <v>3395.5105736274477</v>
      </c>
      <c r="E147" s="2764">
        <v>399.92717494601004</v>
      </c>
      <c r="F147" s="2760">
        <v>2078.3765063013252</v>
      </c>
      <c r="G147" s="2776">
        <v>51213.340688333301</v>
      </c>
      <c r="H147" s="2777">
        <v>6046.6841111111098</v>
      </c>
    </row>
    <row r="148" spans="1:8" ht="21" hidden="1" customHeight="1" x14ac:dyDescent="0.25">
      <c r="A148" s="2770">
        <v>41699</v>
      </c>
      <c r="B148" s="2766">
        <v>19</v>
      </c>
      <c r="C148" s="2763">
        <v>6610.4170439451073</v>
      </c>
      <c r="D148" s="2763">
        <v>3406.4342368498687</v>
      </c>
      <c r="E148" s="2764">
        <v>402.2470838394197</v>
      </c>
      <c r="F148" s="2760">
        <v>2073.2155678745858</v>
      </c>
      <c r="G148" s="2776">
        <v>82767.679326315789</v>
      </c>
      <c r="H148" s="2777">
        <v>8674.0475263157896</v>
      </c>
    </row>
    <row r="149" spans="1:8" ht="21" hidden="1" customHeight="1" x14ac:dyDescent="0.25">
      <c r="A149" s="2770">
        <v>41730</v>
      </c>
      <c r="B149" s="2766">
        <v>22</v>
      </c>
      <c r="C149" s="2763">
        <v>6677.2</v>
      </c>
      <c r="D149" s="2763">
        <v>3445.81</v>
      </c>
      <c r="E149" s="2764">
        <v>406.44</v>
      </c>
      <c r="F149" s="2760">
        <v>2089.04</v>
      </c>
      <c r="G149" s="2776">
        <v>47264.600630000001</v>
      </c>
      <c r="H149" s="2777">
        <v>8115.54864</v>
      </c>
    </row>
    <row r="150" spans="1:8" ht="21" hidden="1" customHeight="1" x14ac:dyDescent="0.25">
      <c r="A150" s="2770">
        <v>41760</v>
      </c>
      <c r="B150" s="2766">
        <v>21</v>
      </c>
      <c r="C150" s="2763">
        <v>6583.58</v>
      </c>
      <c r="D150" s="2763">
        <v>3395.9570834660444</v>
      </c>
      <c r="E150" s="2764">
        <v>402.65869764358536</v>
      </c>
      <c r="F150" s="2760">
        <v>2056.1273025810301</v>
      </c>
      <c r="G150" s="2776">
        <v>69349.756773333298</v>
      </c>
      <c r="H150" s="2777">
        <v>19624.936047619001</v>
      </c>
    </row>
    <row r="151" spans="1:8" ht="21" hidden="1" customHeight="1" x14ac:dyDescent="0.25">
      <c r="A151" s="2770">
        <v>41791</v>
      </c>
      <c r="B151" s="2766">
        <v>21</v>
      </c>
      <c r="C151" s="2763">
        <v>6680.5379999999996</v>
      </c>
      <c r="D151" s="2763">
        <v>3422.55</v>
      </c>
      <c r="E151" s="2764">
        <v>403.45600000000002</v>
      </c>
      <c r="F151" s="2760">
        <v>2078.529</v>
      </c>
      <c r="G151" s="2776">
        <v>117258.61</v>
      </c>
      <c r="H151" s="2777">
        <v>12715.77</v>
      </c>
    </row>
    <row r="152" spans="1:8" ht="21" hidden="1" customHeight="1" x14ac:dyDescent="0.25">
      <c r="A152" s="2770">
        <v>41821</v>
      </c>
      <c r="B152" s="2766">
        <v>22</v>
      </c>
      <c r="C152" s="2763">
        <v>6721.4557813452557</v>
      </c>
      <c r="D152" s="2763">
        <v>3438.4133489568339</v>
      </c>
      <c r="E152" s="2764">
        <v>401.17550313104226</v>
      </c>
      <c r="F152" s="2760">
        <v>2081.9618208644174</v>
      </c>
      <c r="G152" s="2776">
        <v>41509</v>
      </c>
      <c r="H152" s="2777">
        <v>9324.2000000000007</v>
      </c>
    </row>
    <row r="153" spans="1:8" ht="21" hidden="1" customHeight="1" x14ac:dyDescent="0.25">
      <c r="A153" s="2770">
        <v>41852</v>
      </c>
      <c r="B153" s="2766">
        <v>20</v>
      </c>
      <c r="C153" s="2763">
        <v>6815.1202922883949</v>
      </c>
      <c r="D153" s="2763">
        <v>3462.3438620628026</v>
      </c>
      <c r="E153" s="2764">
        <v>402.96856859730644</v>
      </c>
      <c r="F153" s="2760">
        <v>2106.1361546997364</v>
      </c>
      <c r="G153" s="2776">
        <v>59273.479044</v>
      </c>
      <c r="H153" s="2777">
        <v>13539.874400000001</v>
      </c>
    </row>
    <row r="154" spans="1:8" ht="21" hidden="1" customHeight="1" x14ac:dyDescent="0.25">
      <c r="A154" s="2770">
        <v>41883</v>
      </c>
      <c r="B154" s="2766">
        <v>22</v>
      </c>
      <c r="C154" s="2763">
        <v>6890.44</v>
      </c>
      <c r="D154" s="2763">
        <v>3444.61</v>
      </c>
      <c r="E154" s="2764">
        <v>401.94</v>
      </c>
      <c r="F154" s="2760">
        <v>2124.36</v>
      </c>
      <c r="G154" s="2776">
        <v>62786.5</v>
      </c>
      <c r="H154" s="2777">
        <v>10950.7</v>
      </c>
    </row>
    <row r="155" spans="1:8" ht="21" hidden="1" customHeight="1" x14ac:dyDescent="0.25">
      <c r="A155" s="2770">
        <v>41913</v>
      </c>
      <c r="B155" s="2766">
        <v>22</v>
      </c>
      <c r="C155" s="2763">
        <v>6964.3925702940796</v>
      </c>
      <c r="D155" s="2763">
        <v>3453.8254306361519</v>
      </c>
      <c r="E155" s="2764">
        <v>405.4765654159288</v>
      </c>
      <c r="F155" s="2760">
        <v>2145.0724929504572</v>
      </c>
      <c r="G155" s="2776">
        <v>69451.899999999994</v>
      </c>
      <c r="H155" s="2777">
        <v>8562</v>
      </c>
    </row>
    <row r="156" spans="1:8" ht="21" hidden="1" customHeight="1" x14ac:dyDescent="0.25">
      <c r="A156" s="2770">
        <v>41944</v>
      </c>
      <c r="B156" s="2766">
        <v>20</v>
      </c>
      <c r="C156" s="2763">
        <v>6838.1</v>
      </c>
      <c r="D156" s="2763">
        <v>3373.62</v>
      </c>
      <c r="E156" s="2764">
        <v>397.18</v>
      </c>
      <c r="F156" s="2760">
        <v>2105.4699999999998</v>
      </c>
      <c r="G156" s="2776">
        <v>98178.6</v>
      </c>
      <c r="H156" s="2777">
        <v>14092.4</v>
      </c>
    </row>
    <row r="157" spans="1:8" ht="21" hidden="1" customHeight="1" x14ac:dyDescent="0.25">
      <c r="A157" s="2770">
        <v>41974</v>
      </c>
      <c r="B157" s="2766">
        <v>21</v>
      </c>
      <c r="C157" s="2763">
        <v>6805.1104826814344</v>
      </c>
      <c r="D157" s="2763">
        <v>3344.9890173461076</v>
      </c>
      <c r="E157" s="2764">
        <v>389.40542403285434</v>
      </c>
      <c r="F157" s="2760">
        <v>2081.5829036052701</v>
      </c>
      <c r="G157" s="2776">
        <v>47971.6</v>
      </c>
      <c r="H157" s="2777">
        <v>5928.4</v>
      </c>
    </row>
    <row r="158" spans="1:8" ht="21" hidden="1" customHeight="1" x14ac:dyDescent="0.25">
      <c r="A158" s="2770">
        <v>42005</v>
      </c>
      <c r="B158" s="2766">
        <v>20</v>
      </c>
      <c r="C158" s="2763">
        <v>6681.657434461149</v>
      </c>
      <c r="D158" s="2763">
        <v>3214.8859725586567</v>
      </c>
      <c r="E158" s="2764">
        <v>378.71998498982123</v>
      </c>
      <c r="F158" s="2760">
        <v>2038.2797993041488</v>
      </c>
      <c r="G158" s="2776">
        <v>48166</v>
      </c>
      <c r="H158" s="2777">
        <v>6767</v>
      </c>
    </row>
    <row r="159" spans="1:8" ht="21" hidden="1" customHeight="1" x14ac:dyDescent="0.25">
      <c r="A159" s="2770">
        <v>42036</v>
      </c>
      <c r="B159" s="2766">
        <v>17</v>
      </c>
      <c r="C159" s="2763">
        <v>6564.078402524935</v>
      </c>
      <c r="D159" s="2763">
        <v>3094.8093036255532</v>
      </c>
      <c r="E159" s="2764">
        <v>374.60187170787367</v>
      </c>
      <c r="F159" s="2760">
        <v>2001.8371655006936</v>
      </c>
      <c r="G159" s="2776">
        <v>130776.954814706</v>
      </c>
      <c r="H159" s="2777">
        <v>13270.4126470588</v>
      </c>
    </row>
    <row r="160" spans="1:8" ht="21" hidden="1" customHeight="1" x14ac:dyDescent="0.25">
      <c r="A160" s="2770">
        <v>42064</v>
      </c>
      <c r="B160" s="2766">
        <v>21</v>
      </c>
      <c r="C160" s="2763">
        <v>6510.4605770226863</v>
      </c>
      <c r="D160" s="2763">
        <v>2860.4329038230271</v>
      </c>
      <c r="E160" s="2764">
        <v>375.28144438807476</v>
      </c>
      <c r="F160" s="2760">
        <v>1983.7651045301907</v>
      </c>
      <c r="G160" s="2776">
        <v>79890.772992857092</v>
      </c>
      <c r="H160" s="2777">
        <v>7958.0534285714302</v>
      </c>
    </row>
    <row r="161" spans="1:8" ht="21" hidden="1" customHeight="1" x14ac:dyDescent="0.25">
      <c r="A161" s="2770">
        <v>42095</v>
      </c>
      <c r="B161" s="2766">
        <v>22</v>
      </c>
      <c r="C161" s="2763">
        <v>6419.0132062999264</v>
      </c>
      <c r="D161" s="2763">
        <v>2755.1640692944438</v>
      </c>
      <c r="E161" s="2764">
        <v>370.31480636977938</v>
      </c>
      <c r="F161" s="2760">
        <v>1953.2978949349672</v>
      </c>
      <c r="G161" s="2776">
        <v>108403.788288636</v>
      </c>
      <c r="H161" s="2777">
        <v>36459.9070454545</v>
      </c>
    </row>
    <row r="162" spans="1:8" ht="21" hidden="1" customHeight="1" x14ac:dyDescent="0.25">
      <c r="A162" s="2770">
        <v>42125</v>
      </c>
      <c r="B162" s="2766">
        <v>20</v>
      </c>
      <c r="C162" s="2763">
        <v>6450.478482469548</v>
      </c>
      <c r="D162" s="2763">
        <v>2851.1677596533727</v>
      </c>
      <c r="E162" s="2764">
        <v>372.54924064363382</v>
      </c>
      <c r="F162" s="2760">
        <v>1960.1243177372751</v>
      </c>
      <c r="G162" s="2776">
        <v>139535.71224700002</v>
      </c>
      <c r="H162" s="2777">
        <v>48918.567750000002</v>
      </c>
    </row>
    <row r="163" spans="1:8" ht="21" hidden="1" customHeight="1" x14ac:dyDescent="0.25">
      <c r="A163" s="2770">
        <v>42156</v>
      </c>
      <c r="B163" s="2766">
        <v>22</v>
      </c>
      <c r="C163" s="2763">
        <v>6525.6866478424863</v>
      </c>
      <c r="D163" s="2763">
        <v>2870.9921802035224</v>
      </c>
      <c r="E163" s="2764">
        <v>376.4666297962583</v>
      </c>
      <c r="F163" s="2760">
        <v>1975.572525682066</v>
      </c>
      <c r="G163" s="2776">
        <v>57802.550962727299</v>
      </c>
      <c r="H163" s="2777">
        <v>21735.266</v>
      </c>
    </row>
    <row r="164" spans="1:8" ht="21" hidden="1" customHeight="1" x14ac:dyDescent="0.25">
      <c r="A164" s="2770">
        <v>42186</v>
      </c>
      <c r="B164" s="2766">
        <v>23</v>
      </c>
      <c r="C164" s="2763">
        <v>6516.2301700960934</v>
      </c>
      <c r="D164" s="2763">
        <v>2845.1468618665826</v>
      </c>
      <c r="E164" s="2764">
        <v>373.69061981631603</v>
      </c>
      <c r="F164" s="2760">
        <v>1960.7232310253328</v>
      </c>
      <c r="G164" s="2776">
        <v>41150.161211739098</v>
      </c>
      <c r="H164" s="2777">
        <v>11376.320644347799</v>
      </c>
    </row>
    <row r="165" spans="1:8" ht="21" hidden="1" customHeight="1" x14ac:dyDescent="0.25">
      <c r="A165" s="2778">
        <v>42217</v>
      </c>
      <c r="B165" s="2779">
        <v>21</v>
      </c>
      <c r="C165" s="2780">
        <v>6533.5810239087223</v>
      </c>
      <c r="D165" s="2780">
        <v>2866.0495855963864</v>
      </c>
      <c r="E165" s="2781">
        <v>375.33617422018608</v>
      </c>
      <c r="F165" s="2782">
        <v>1960.9326536251258</v>
      </c>
      <c r="G165" s="2783">
        <v>53471.605172857206</v>
      </c>
      <c r="H165" s="2784">
        <v>14573.8962380952</v>
      </c>
    </row>
    <row r="166" spans="1:8" ht="21" hidden="1" customHeight="1" x14ac:dyDescent="0.25">
      <c r="A166" s="2778">
        <v>42248</v>
      </c>
      <c r="B166" s="2779">
        <v>21</v>
      </c>
      <c r="C166" s="2780">
        <v>6425.36</v>
      </c>
      <c r="D166" s="2780">
        <v>2815.07</v>
      </c>
      <c r="E166" s="2781">
        <v>367.18</v>
      </c>
      <c r="F166" s="2782">
        <v>1925.62</v>
      </c>
      <c r="G166" s="2783">
        <v>55953</v>
      </c>
      <c r="H166" s="2784">
        <v>8508.7999999999993</v>
      </c>
    </row>
    <row r="167" spans="1:8" ht="21" hidden="1" customHeight="1" x14ac:dyDescent="0.25">
      <c r="A167" s="2778">
        <v>42278</v>
      </c>
      <c r="B167" s="2779">
        <v>22</v>
      </c>
      <c r="C167" s="2780">
        <v>6295.1396327107741</v>
      </c>
      <c r="D167" s="2780">
        <v>2738.7714621928135</v>
      </c>
      <c r="E167" s="2781">
        <v>360.6477508563475</v>
      </c>
      <c r="F167" s="2782">
        <v>1885.5750136794466</v>
      </c>
      <c r="G167" s="2783">
        <v>54226.515322272702</v>
      </c>
      <c r="H167" s="2784">
        <v>8573.1904545454599</v>
      </c>
    </row>
    <row r="168" spans="1:8" ht="21" hidden="1" customHeight="1" x14ac:dyDescent="0.25">
      <c r="A168" s="2778">
        <v>42309</v>
      </c>
      <c r="B168" s="2779">
        <v>19</v>
      </c>
      <c r="C168" s="2780">
        <v>6184.9426333006541</v>
      </c>
      <c r="D168" s="2780">
        <v>2642.8544555248682</v>
      </c>
      <c r="E168" s="2781">
        <v>354.53902304180872</v>
      </c>
      <c r="F168" s="2782">
        <v>1845.4210097033026</v>
      </c>
      <c r="G168" s="2783">
        <v>36971.379974736803</v>
      </c>
      <c r="H168" s="2784">
        <v>6275.5189473684195</v>
      </c>
    </row>
    <row r="169" spans="1:8" ht="21" hidden="1" customHeight="1" x14ac:dyDescent="0.25">
      <c r="A169" s="2778">
        <v>42339</v>
      </c>
      <c r="B169" s="2779">
        <v>22</v>
      </c>
      <c r="C169" s="2780">
        <v>6083.09</v>
      </c>
      <c r="D169" s="2780">
        <v>2614.83</v>
      </c>
      <c r="E169" s="2781">
        <v>346.23</v>
      </c>
      <c r="F169" s="2782">
        <v>1806.85</v>
      </c>
      <c r="G169" s="2783">
        <v>67301</v>
      </c>
      <c r="H169" s="2784">
        <v>8244.4</v>
      </c>
    </row>
    <row r="170" spans="1:8" ht="21" hidden="1" customHeight="1" x14ac:dyDescent="0.25">
      <c r="A170" s="2778">
        <v>42370</v>
      </c>
      <c r="B170" s="2779">
        <v>20</v>
      </c>
      <c r="C170" s="2780">
        <v>6117.64</v>
      </c>
      <c r="D170" s="2780">
        <v>2624.64</v>
      </c>
      <c r="E170" s="2781">
        <v>346.55</v>
      </c>
      <c r="F170" s="2782">
        <v>1811.16</v>
      </c>
      <c r="G170" s="2783">
        <v>29713.19</v>
      </c>
      <c r="H170" s="2784">
        <v>9980</v>
      </c>
    </row>
    <row r="171" spans="1:8" ht="21" hidden="1" customHeight="1" x14ac:dyDescent="0.25">
      <c r="A171" s="2778">
        <v>42401</v>
      </c>
      <c r="B171" s="2779">
        <v>19</v>
      </c>
      <c r="C171" s="2780">
        <v>6214.43</v>
      </c>
      <c r="D171" s="2780">
        <v>2691.21</v>
      </c>
      <c r="E171" s="2781">
        <v>352.31</v>
      </c>
      <c r="F171" s="2782">
        <v>1836.75</v>
      </c>
      <c r="G171" s="2783">
        <v>140425</v>
      </c>
      <c r="H171" s="2784">
        <v>12493.58</v>
      </c>
    </row>
    <row r="172" spans="1:8" ht="21" hidden="1" customHeight="1" x14ac:dyDescent="0.25">
      <c r="A172" s="2778">
        <v>42430</v>
      </c>
      <c r="B172" s="2779">
        <v>22</v>
      </c>
      <c r="C172" s="2780">
        <v>6103.72</v>
      </c>
      <c r="D172" s="2780">
        <v>2646.85</v>
      </c>
      <c r="E172" s="2781">
        <v>346.47</v>
      </c>
      <c r="F172" s="2782">
        <v>1802.4680000000001</v>
      </c>
      <c r="G172" s="2783">
        <v>39994.080000000002</v>
      </c>
      <c r="H172" s="2784">
        <v>7685.95</v>
      </c>
    </row>
    <row r="173" spans="1:8" ht="21" hidden="1" customHeight="1" x14ac:dyDescent="0.25">
      <c r="A173" s="2778">
        <v>42461</v>
      </c>
      <c r="B173" s="2779">
        <v>20</v>
      </c>
      <c r="C173" s="2780">
        <v>6038.81</v>
      </c>
      <c r="D173" s="2780">
        <v>2640.2080000000001</v>
      </c>
      <c r="E173" s="2781">
        <v>341.59</v>
      </c>
      <c r="F173" s="2782">
        <v>1781.14</v>
      </c>
      <c r="G173" s="2783">
        <v>45744.063000000002</v>
      </c>
      <c r="H173" s="2784">
        <v>6072.5820000000003</v>
      </c>
    </row>
    <row r="174" spans="1:8" ht="21" hidden="1" customHeight="1" x14ac:dyDescent="0.25">
      <c r="A174" s="2778">
        <v>42491</v>
      </c>
      <c r="B174" s="2779">
        <v>22</v>
      </c>
      <c r="C174" s="2780">
        <v>5998.88</v>
      </c>
      <c r="D174" s="2780">
        <v>2609.19</v>
      </c>
      <c r="E174" s="2781">
        <v>340.07</v>
      </c>
      <c r="F174" s="2782">
        <v>1767.24</v>
      </c>
      <c r="G174" s="2783">
        <v>25520.799999999999</v>
      </c>
      <c r="H174" s="2784">
        <v>6134.76</v>
      </c>
    </row>
    <row r="175" spans="1:8" ht="21" hidden="1" customHeight="1" x14ac:dyDescent="0.25">
      <c r="A175" s="2778">
        <v>42522</v>
      </c>
      <c r="B175" s="2779">
        <v>22</v>
      </c>
      <c r="C175" s="2780">
        <v>5973.3557385919557</v>
      </c>
      <c r="D175" s="2780">
        <v>2580.4849517961161</v>
      </c>
      <c r="E175" s="2781">
        <v>338.41860565395456</v>
      </c>
      <c r="F175" s="2782">
        <v>1752.6125805593824</v>
      </c>
      <c r="G175" s="2783">
        <v>37633.819876363596</v>
      </c>
      <c r="H175" s="2784">
        <v>6851.3916818181797</v>
      </c>
    </row>
    <row r="176" spans="1:8" ht="21" hidden="1" customHeight="1" x14ac:dyDescent="0.25">
      <c r="A176" s="2778">
        <v>42552</v>
      </c>
      <c r="B176" s="2779">
        <v>20</v>
      </c>
      <c r="C176" s="2780">
        <v>6020.0669872535145</v>
      </c>
      <c r="D176" s="2780">
        <v>2593.7581454693714</v>
      </c>
      <c r="E176" s="2781">
        <v>338.80969407279861</v>
      </c>
      <c r="F176" s="2782">
        <v>1755.8751983445011</v>
      </c>
      <c r="G176" s="2783">
        <v>48983.685571999995</v>
      </c>
      <c r="H176" s="2784">
        <v>10644.153400000001</v>
      </c>
    </row>
    <row r="177" spans="1:8" ht="21" hidden="1" customHeight="1" x14ac:dyDescent="0.25">
      <c r="A177" s="2778">
        <v>42583</v>
      </c>
      <c r="B177" s="2779">
        <v>22</v>
      </c>
      <c r="C177" s="2780">
        <v>6259.26</v>
      </c>
      <c r="D177" s="2780">
        <v>2718.5</v>
      </c>
      <c r="E177" s="2781">
        <v>348.74</v>
      </c>
      <c r="F177" s="2782">
        <v>1820.27</v>
      </c>
      <c r="G177" s="2783">
        <v>46549</v>
      </c>
      <c r="H177" s="2784">
        <v>10273</v>
      </c>
    </row>
    <row r="178" spans="1:8" ht="21" hidden="1" customHeight="1" x14ac:dyDescent="0.25">
      <c r="A178" s="2778">
        <v>42614</v>
      </c>
      <c r="B178" s="2779">
        <v>21</v>
      </c>
      <c r="C178" s="2780">
        <v>6230.13</v>
      </c>
      <c r="D178" s="2780">
        <v>2714.59</v>
      </c>
      <c r="E178" s="2781">
        <v>345.23</v>
      </c>
      <c r="F178" s="2782">
        <v>1809.04</v>
      </c>
      <c r="G178" s="2783">
        <v>45542</v>
      </c>
      <c r="H178" s="2784">
        <v>9325</v>
      </c>
    </row>
    <row r="179" spans="1:8" ht="21" hidden="1" customHeight="1" x14ac:dyDescent="0.25">
      <c r="A179" s="2778">
        <v>42644</v>
      </c>
      <c r="B179" s="2779">
        <v>21</v>
      </c>
      <c r="C179" s="2780">
        <v>6292.5568537147537</v>
      </c>
      <c r="D179" s="2780">
        <v>2724.5055904065857</v>
      </c>
      <c r="E179" s="2781">
        <v>349.11056742217175</v>
      </c>
      <c r="F179" s="2782">
        <v>1826.0801454619159</v>
      </c>
      <c r="G179" s="2783">
        <v>55723.158409000003</v>
      </c>
      <c r="H179" s="2784">
        <v>9670.2466000000004</v>
      </c>
    </row>
    <row r="180" spans="1:8" ht="21" hidden="1" customHeight="1" x14ac:dyDescent="0.25">
      <c r="A180" s="2778">
        <v>42675</v>
      </c>
      <c r="B180" s="2779">
        <v>21</v>
      </c>
      <c r="C180" s="2780">
        <v>6253.0515849216363</v>
      </c>
      <c r="D180" s="2780">
        <v>2700.0318947355927</v>
      </c>
      <c r="E180" s="2781">
        <v>344.91212950065221</v>
      </c>
      <c r="F180" s="2782">
        <v>1806.8684141915842</v>
      </c>
      <c r="G180" s="2783">
        <v>113716.523</v>
      </c>
      <c r="H180" s="2784">
        <v>4877.335</v>
      </c>
    </row>
    <row r="181" spans="1:8" ht="21" hidden="1" customHeight="1" x14ac:dyDescent="0.25">
      <c r="A181" s="2778">
        <v>42705</v>
      </c>
      <c r="B181" s="2779">
        <v>22</v>
      </c>
      <c r="C181" s="2780">
        <v>6306.9942924715524</v>
      </c>
      <c r="D181" s="2780">
        <v>2738.9175018973888</v>
      </c>
      <c r="E181" s="2781">
        <v>346.02369430134854</v>
      </c>
      <c r="F181" s="2782">
        <v>1811.2938834121496</v>
      </c>
      <c r="G181" s="2783">
        <v>32743.431</v>
      </c>
      <c r="H181" s="2784">
        <v>976.14499999999998</v>
      </c>
    </row>
    <row r="182" spans="1:8" ht="16.5" hidden="1" customHeight="1" x14ac:dyDescent="0.25">
      <c r="A182" s="2785">
        <v>42736</v>
      </c>
      <c r="B182" s="2786">
        <v>21</v>
      </c>
      <c r="C182" s="2787">
        <v>6397.67</v>
      </c>
      <c r="D182" s="2787">
        <v>2795.72</v>
      </c>
      <c r="E182" s="2788">
        <v>350.09</v>
      </c>
      <c r="F182" s="2789">
        <v>1833.61</v>
      </c>
      <c r="G182" s="2790">
        <v>27990.6</v>
      </c>
      <c r="H182" s="2791">
        <v>1368</v>
      </c>
    </row>
    <row r="183" spans="1:8" ht="16.5" hidden="1" customHeight="1" x14ac:dyDescent="0.25">
      <c r="A183" s="2785">
        <v>42767</v>
      </c>
      <c r="B183" s="2786">
        <v>17</v>
      </c>
      <c r="C183" s="2787">
        <v>6667.15</v>
      </c>
      <c r="D183" s="2787">
        <v>2924.22</v>
      </c>
      <c r="E183" s="2788">
        <v>366.048</v>
      </c>
      <c r="F183" s="2789">
        <v>1910.37</v>
      </c>
      <c r="G183" s="2790">
        <v>44890.96</v>
      </c>
      <c r="H183" s="2791">
        <v>2891.35</v>
      </c>
    </row>
    <row r="184" spans="1:8" ht="16.5" hidden="1" customHeight="1" x14ac:dyDescent="0.25">
      <c r="A184" s="2785">
        <v>42795</v>
      </c>
      <c r="B184" s="2786">
        <v>22</v>
      </c>
      <c r="C184" s="2787">
        <v>6709.981350396919</v>
      </c>
      <c r="D184" s="2787">
        <v>2958.8216457865224</v>
      </c>
      <c r="E184" s="2788">
        <v>368.85298032736949</v>
      </c>
      <c r="F184" s="2789">
        <v>1921.4244655111024</v>
      </c>
      <c r="G184" s="2790">
        <v>68156.401759999993</v>
      </c>
      <c r="H184" s="2791">
        <v>3531.6267272727268</v>
      </c>
    </row>
    <row r="185" spans="1:8" ht="16.5" hidden="1" customHeight="1" x14ac:dyDescent="0.25">
      <c r="A185" s="2785">
        <v>42826</v>
      </c>
      <c r="B185" s="2786">
        <v>20</v>
      </c>
      <c r="C185" s="2787">
        <v>6925.5829364964329</v>
      </c>
      <c r="D185" s="2787">
        <v>3064.2921367724348</v>
      </c>
      <c r="E185" s="2788">
        <v>383.38461338109101</v>
      </c>
      <c r="F185" s="2789">
        <v>1980.8641382118785</v>
      </c>
      <c r="G185" s="2790">
        <v>51450.113136500004</v>
      </c>
      <c r="H185" s="2791">
        <v>2534.6242000000002</v>
      </c>
    </row>
    <row r="186" spans="1:8" ht="16.5" hidden="1" customHeight="1" x14ac:dyDescent="0.25">
      <c r="A186" s="2785">
        <v>42856</v>
      </c>
      <c r="B186" s="2786">
        <v>22</v>
      </c>
      <c r="C186" s="2787">
        <v>7187.2261353653603</v>
      </c>
      <c r="D186" s="2787">
        <v>3232.7678135408974</v>
      </c>
      <c r="E186" s="2788">
        <v>397.90801194361575</v>
      </c>
      <c r="F186" s="2789">
        <v>2049.7800000000002</v>
      </c>
      <c r="G186" s="2790">
        <v>41993.599999999999</v>
      </c>
      <c r="H186" s="2791">
        <v>2233.85</v>
      </c>
    </row>
    <row r="187" spans="1:8" ht="16.5" hidden="1" customHeight="1" x14ac:dyDescent="0.25">
      <c r="A187" s="2785">
        <v>42887</v>
      </c>
      <c r="B187" s="2786">
        <v>21</v>
      </c>
      <c r="C187" s="2787">
        <v>7365.5669487321811</v>
      </c>
      <c r="D187" s="2787">
        <v>3328.9077329541005</v>
      </c>
      <c r="E187" s="2788">
        <v>406.4241667212973</v>
      </c>
      <c r="F187" s="2789">
        <v>2093.495685391094</v>
      </c>
      <c r="G187" s="2790">
        <v>76346.507413809522</v>
      </c>
      <c r="H187" s="2791">
        <v>2606.4156666666663</v>
      </c>
    </row>
    <row r="188" spans="1:8" ht="16.5" hidden="1" customHeight="1" x14ac:dyDescent="0.25">
      <c r="A188" s="2785">
        <v>42917</v>
      </c>
      <c r="B188" s="2786">
        <v>21</v>
      </c>
      <c r="C188" s="2787">
        <v>7643.276972949534</v>
      </c>
      <c r="D188" s="2787">
        <v>3500.4388037676968</v>
      </c>
      <c r="E188" s="2788">
        <v>420.88875893736474</v>
      </c>
      <c r="F188" s="2789">
        <v>2161.7209856701934</v>
      </c>
      <c r="G188" s="2790">
        <v>42148.446304761899</v>
      </c>
      <c r="H188" s="2791">
        <v>1695.1332380952381</v>
      </c>
    </row>
    <row r="189" spans="1:8" ht="16.5" hidden="1" x14ac:dyDescent="0.25">
      <c r="A189" s="2785">
        <v>42948</v>
      </c>
      <c r="B189" s="2786">
        <v>23</v>
      </c>
      <c r="C189" s="2787">
        <v>7754.4908676778041</v>
      </c>
      <c r="D189" s="2787">
        <v>3648.9691796829966</v>
      </c>
      <c r="E189" s="2788">
        <v>423.65448870085004</v>
      </c>
      <c r="F189" s="2789">
        <v>2188.0819788916428</v>
      </c>
      <c r="G189" s="2790">
        <v>75411.543366521742</v>
      </c>
      <c r="H189" s="2791">
        <v>3968.121434782609</v>
      </c>
    </row>
    <row r="190" spans="1:8" ht="16.5" hidden="1" x14ac:dyDescent="0.25">
      <c r="A190" s="2785">
        <v>42979</v>
      </c>
      <c r="B190" s="2786">
        <v>21</v>
      </c>
      <c r="C190" s="2787">
        <v>7774.86</v>
      </c>
      <c r="D190" s="2787">
        <v>3661.22</v>
      </c>
      <c r="E190" s="2788">
        <v>422.04</v>
      </c>
      <c r="F190" s="2789">
        <v>2190.7600000000002</v>
      </c>
      <c r="G190" s="2790">
        <v>63946.81</v>
      </c>
      <c r="H190" s="2791">
        <v>2851.59</v>
      </c>
    </row>
    <row r="191" spans="1:8" ht="16.5" hidden="1" x14ac:dyDescent="0.25">
      <c r="A191" s="2785">
        <v>43009</v>
      </c>
      <c r="B191" s="2786">
        <v>21</v>
      </c>
      <c r="C191" s="2787">
        <v>7855.4886204188915</v>
      </c>
      <c r="D191" s="2787">
        <v>3626.3425714458958</v>
      </c>
      <c r="E191" s="2788">
        <v>425.00559417053012</v>
      </c>
      <c r="F191" s="2789">
        <v>2211.2571925651901</v>
      </c>
      <c r="G191" s="2790">
        <v>77776.123371428563</v>
      </c>
      <c r="H191" s="2791">
        <v>2799.1814761904761</v>
      </c>
    </row>
    <row r="192" spans="1:8" ht="16.5" hidden="1" x14ac:dyDescent="0.25">
      <c r="A192" s="2785">
        <v>43040</v>
      </c>
      <c r="B192" s="2786">
        <v>20</v>
      </c>
      <c r="C192" s="2787">
        <v>7884.5366750411486</v>
      </c>
      <c r="D192" s="2787">
        <v>3628.7131718112673</v>
      </c>
      <c r="E192" s="2788">
        <v>421.56370858145067</v>
      </c>
      <c r="F192" s="2789">
        <v>2209.4381714327601</v>
      </c>
      <c r="G192" s="2790">
        <v>61658.254908000003</v>
      </c>
      <c r="H192" s="2791">
        <v>2228.2662</v>
      </c>
    </row>
    <row r="193" spans="1:8" ht="16.5" hidden="1" x14ac:dyDescent="0.25">
      <c r="A193" s="2785">
        <v>43070</v>
      </c>
      <c r="B193" s="2786">
        <v>20</v>
      </c>
      <c r="C193" s="2787">
        <v>7816.4637124327955</v>
      </c>
      <c r="D193" s="2787">
        <v>3623.2758516676658</v>
      </c>
      <c r="E193" s="2788">
        <v>415.19405433045205</v>
      </c>
      <c r="F193" s="2789">
        <v>2178.5774946978067</v>
      </c>
      <c r="G193" s="2790">
        <v>108649.45821849999</v>
      </c>
      <c r="H193" s="2791">
        <v>2549.0104000000001</v>
      </c>
    </row>
    <row r="194" spans="1:8" ht="16.5" hidden="1" x14ac:dyDescent="0.25">
      <c r="A194" s="2785">
        <v>43101</v>
      </c>
      <c r="B194" s="2786">
        <v>18</v>
      </c>
      <c r="C194" s="2787">
        <v>8077.1135668799752</v>
      </c>
      <c r="D194" s="2787">
        <v>3818.5408908109498</v>
      </c>
      <c r="E194" s="2788">
        <v>430.47003950241947</v>
      </c>
      <c r="F194" s="2789">
        <v>2247.8399664401995</v>
      </c>
      <c r="G194" s="2790">
        <v>76911.576256666667</v>
      </c>
      <c r="H194" s="2791">
        <v>2031.7311666666667</v>
      </c>
    </row>
    <row r="195" spans="1:8" ht="16.5" hidden="1" x14ac:dyDescent="0.25">
      <c r="A195" s="2785">
        <v>43132</v>
      </c>
      <c r="B195" s="2786">
        <v>17</v>
      </c>
      <c r="C195" s="2787">
        <v>8186.04</v>
      </c>
      <c r="D195" s="2787">
        <v>3927.6</v>
      </c>
      <c r="E195" s="2788">
        <v>435.37</v>
      </c>
      <c r="F195" s="2789">
        <v>2277.3200000000002</v>
      </c>
      <c r="G195" s="2790">
        <v>56202</v>
      </c>
      <c r="H195" s="2791">
        <v>3016</v>
      </c>
    </row>
    <row r="196" spans="1:8" ht="16.5" hidden="1" x14ac:dyDescent="0.25">
      <c r="A196" s="2785">
        <v>43160</v>
      </c>
      <c r="B196" s="2786">
        <v>21</v>
      </c>
      <c r="C196" s="2787">
        <v>8240.6512237020452</v>
      </c>
      <c r="D196" s="2787">
        <v>3909.0552742882551</v>
      </c>
      <c r="E196" s="2788">
        <v>436.10592577808103</v>
      </c>
      <c r="F196" s="2789">
        <v>2291.4171669313159</v>
      </c>
      <c r="G196" s="2790">
        <v>52966.440029999983</v>
      </c>
      <c r="H196" s="2791">
        <v>2029.0967142857144</v>
      </c>
    </row>
    <row r="197" spans="1:8" ht="16.5" hidden="1" x14ac:dyDescent="0.25">
      <c r="A197" s="2785">
        <v>43191</v>
      </c>
      <c r="B197" s="2786">
        <v>21</v>
      </c>
      <c r="C197" s="2787">
        <v>8219.1758249230952</v>
      </c>
      <c r="D197" s="2787">
        <v>3820.2642775674335</v>
      </c>
      <c r="E197" s="2788">
        <v>436.22433846571835</v>
      </c>
      <c r="F197" s="2789">
        <v>2283.375129049572</v>
      </c>
      <c r="G197" s="2790">
        <v>40727.056949047619</v>
      </c>
      <c r="H197" s="2791">
        <v>1400.855619047619</v>
      </c>
    </row>
    <row r="198" spans="1:8" ht="16.5" hidden="1" x14ac:dyDescent="0.25">
      <c r="A198" s="2785">
        <v>43221</v>
      </c>
      <c r="B198" s="2786">
        <v>22</v>
      </c>
      <c r="C198" s="2787">
        <v>8190.6087581384609</v>
      </c>
      <c r="D198" s="2787">
        <v>3714.1558548813559</v>
      </c>
      <c r="E198" s="2788">
        <v>436.49940158753691</v>
      </c>
      <c r="F198" s="2789">
        <v>2272.5310711459665</v>
      </c>
      <c r="G198" s="2790">
        <v>62213.442359999994</v>
      </c>
      <c r="H198" s="2791">
        <v>6959.4808636363632</v>
      </c>
    </row>
    <row r="199" spans="1:8" ht="16.5" hidden="1" x14ac:dyDescent="0.25">
      <c r="A199" s="2785">
        <v>43252</v>
      </c>
      <c r="B199" s="2786">
        <v>21</v>
      </c>
      <c r="C199" s="2787">
        <v>8091.2551417592231</v>
      </c>
      <c r="D199" s="2787">
        <v>3675.9353067423217</v>
      </c>
      <c r="E199" s="2788">
        <v>428.90447245247827</v>
      </c>
      <c r="F199" s="2789">
        <v>2237.2569456244482</v>
      </c>
      <c r="G199" s="2790">
        <v>78975.448438095191</v>
      </c>
      <c r="H199" s="2791">
        <v>2120.05019047619</v>
      </c>
    </row>
    <row r="200" spans="1:8" ht="16.5" hidden="1" x14ac:dyDescent="0.25">
      <c r="A200" s="2785">
        <v>43282</v>
      </c>
      <c r="B200" s="2786">
        <v>22</v>
      </c>
      <c r="C200" s="2787">
        <v>8126.0345197445868</v>
      </c>
      <c r="D200" s="2787">
        <v>3705.0804164958313</v>
      </c>
      <c r="E200" s="2788">
        <v>426.82585066147419</v>
      </c>
      <c r="F200" s="2789">
        <v>2233.260319691648</v>
      </c>
      <c r="G200" s="2790">
        <v>61550.252449545456</v>
      </c>
      <c r="H200" s="2791">
        <v>2267.5253181818184</v>
      </c>
    </row>
    <row r="201" spans="1:8" ht="16.5" hidden="1" x14ac:dyDescent="0.25">
      <c r="A201" s="2785">
        <v>43313</v>
      </c>
      <c r="B201" s="2786">
        <v>22</v>
      </c>
      <c r="C201" s="2787">
        <v>8149.6896956545124</v>
      </c>
      <c r="D201" s="2787">
        <v>3717.2033873601595</v>
      </c>
      <c r="E201" s="2788">
        <v>425.1187454278051</v>
      </c>
      <c r="F201" s="2789">
        <v>2233.4985965034507</v>
      </c>
      <c r="G201" s="2790">
        <v>49897.188651363642</v>
      </c>
      <c r="H201" s="2791">
        <v>1598.0410909090908</v>
      </c>
    </row>
    <row r="202" spans="1:8" ht="16.5" hidden="1" x14ac:dyDescent="0.25">
      <c r="A202" s="2785">
        <v>43344</v>
      </c>
      <c r="B202" s="2786">
        <v>19</v>
      </c>
      <c r="C202" s="2787">
        <v>8102.1207861744224</v>
      </c>
      <c r="D202" s="2787">
        <v>3707.7762294117533</v>
      </c>
      <c r="E202" s="2788">
        <v>423.33603392801871</v>
      </c>
      <c r="F202" s="2789">
        <v>2217.8838263157895</v>
      </c>
      <c r="G202" s="2790">
        <v>48694.191874736825</v>
      </c>
      <c r="H202" s="2791">
        <v>1606.4991052631581</v>
      </c>
    </row>
    <row r="203" spans="1:8" ht="16.5" hidden="1" x14ac:dyDescent="0.25">
      <c r="A203" s="2785">
        <v>43374</v>
      </c>
      <c r="B203" s="2786">
        <v>23</v>
      </c>
      <c r="C203" s="2787">
        <v>8188.6236398502151</v>
      </c>
      <c r="D203" s="2787">
        <v>3725.8065322337316</v>
      </c>
      <c r="E203" s="2788">
        <v>430.1293500744228</v>
      </c>
      <c r="F203" s="2789">
        <v>2240.4229043478263</v>
      </c>
      <c r="G203" s="2790">
        <v>35182.095365652181</v>
      </c>
      <c r="H203" s="2791">
        <v>848.86847826086955</v>
      </c>
    </row>
    <row r="204" spans="1:8" ht="16.5" hidden="1" x14ac:dyDescent="0.25">
      <c r="A204" s="2792" t="s">
        <v>4875</v>
      </c>
      <c r="B204" s="2786">
        <v>20</v>
      </c>
      <c r="C204" s="2787">
        <v>8208.5890861460175</v>
      </c>
      <c r="D204" s="2787">
        <v>3730.7828559075933</v>
      </c>
      <c r="E204" s="2788">
        <v>429.77275246876786</v>
      </c>
      <c r="F204" s="2789">
        <v>2236.0949599999994</v>
      </c>
      <c r="G204" s="2790">
        <v>37033.768737000006</v>
      </c>
      <c r="H204" s="2791">
        <v>1387.5148999999999</v>
      </c>
    </row>
    <row r="205" spans="1:8" ht="16.5" hidden="1" x14ac:dyDescent="0.25">
      <c r="A205" s="2785">
        <v>43435</v>
      </c>
      <c r="B205" s="2786">
        <v>20</v>
      </c>
      <c r="C205" s="2787">
        <v>8197.1633456398176</v>
      </c>
      <c r="D205" s="2787">
        <v>3745.1868665097418</v>
      </c>
      <c r="E205" s="2788">
        <v>427.66146477454106</v>
      </c>
      <c r="F205" s="2789">
        <v>2220.75623</v>
      </c>
      <c r="G205" s="2790">
        <v>57056.500700500001</v>
      </c>
      <c r="H205" s="2791">
        <v>1914.41345</v>
      </c>
    </row>
    <row r="206" spans="1:8" ht="16.5" hidden="1" x14ac:dyDescent="0.25">
      <c r="A206" s="2792">
        <v>43466</v>
      </c>
      <c r="B206" s="2786">
        <v>20</v>
      </c>
      <c r="C206" s="2787">
        <v>8201.8237059877574</v>
      </c>
      <c r="D206" s="2787">
        <v>3760.5904040379864</v>
      </c>
      <c r="E206" s="2788">
        <v>427.11638615642585</v>
      </c>
      <c r="F206" s="2789">
        <v>2218.3551149999998</v>
      </c>
      <c r="G206" s="2790">
        <v>34270.237609999996</v>
      </c>
      <c r="H206" s="2791">
        <v>1055.1132500000001</v>
      </c>
    </row>
    <row r="207" spans="1:8" ht="16.5" hidden="1" x14ac:dyDescent="0.25">
      <c r="A207" s="2792">
        <v>43497</v>
      </c>
      <c r="B207" s="2786">
        <v>18</v>
      </c>
      <c r="C207" s="2787">
        <v>8153.0037369959482</v>
      </c>
      <c r="D207" s="2787">
        <v>3736.2985477589132</v>
      </c>
      <c r="E207" s="2788">
        <v>428.25662239542282</v>
      </c>
      <c r="F207" s="2789">
        <v>2204.6351944444446</v>
      </c>
      <c r="G207" s="2790">
        <v>100842</v>
      </c>
      <c r="H207" s="2791">
        <v>3250</v>
      </c>
    </row>
    <row r="208" spans="1:8" ht="16.5" hidden="1" x14ac:dyDescent="0.25">
      <c r="A208" s="2792">
        <v>43525</v>
      </c>
      <c r="B208" s="2786">
        <v>19</v>
      </c>
      <c r="C208" s="2787">
        <v>8083.1836651990707</v>
      </c>
      <c r="D208" s="2787">
        <v>3665.3339761261282</v>
      </c>
      <c r="E208" s="2788">
        <v>424.32158992010159</v>
      </c>
      <c r="F208" s="2789">
        <v>2185.3548894736841</v>
      </c>
      <c r="G208" s="2790">
        <v>58226.883656315789</v>
      </c>
      <c r="H208" s="2791">
        <v>1630.6515789473683</v>
      </c>
    </row>
    <row r="209" spans="1:8" ht="16.5" hidden="1" x14ac:dyDescent="0.25">
      <c r="A209" s="2792">
        <v>43556</v>
      </c>
      <c r="B209" s="2786">
        <v>22</v>
      </c>
      <c r="C209" s="2787">
        <v>8007.7667100635481</v>
      </c>
      <c r="D209" s="2787">
        <v>3602.5350900290014</v>
      </c>
      <c r="E209" s="2788">
        <v>421.67254729032999</v>
      </c>
      <c r="F209" s="2789">
        <v>2162.4161045454548</v>
      </c>
      <c r="G209" s="2790">
        <v>85292.364053636367</v>
      </c>
      <c r="H209" s="2791">
        <v>6256.2233636363635</v>
      </c>
    </row>
    <row r="210" spans="1:8" ht="16.5" hidden="1" x14ac:dyDescent="0.25">
      <c r="A210" s="2792">
        <v>43586</v>
      </c>
      <c r="B210" s="2786">
        <v>22</v>
      </c>
      <c r="C210" s="2787">
        <v>7949.088298964768</v>
      </c>
      <c r="D210" s="2787">
        <v>3544.8906637948066</v>
      </c>
      <c r="E210" s="2788">
        <v>416.31431149053992</v>
      </c>
      <c r="F210" s="2789">
        <v>2142.6749954545453</v>
      </c>
      <c r="G210" s="2790">
        <v>52628.417036363644</v>
      </c>
      <c r="H210" s="2791">
        <v>1987.3890909090908</v>
      </c>
    </row>
    <row r="211" spans="1:8" ht="16.5" hidden="1" x14ac:dyDescent="0.25">
      <c r="A211" s="2792">
        <v>43617</v>
      </c>
      <c r="B211" s="2786">
        <v>19</v>
      </c>
      <c r="C211" s="2787">
        <v>7912.5574638637454</v>
      </c>
      <c r="D211" s="2787">
        <v>3490.09853398631</v>
      </c>
      <c r="E211" s="2788">
        <v>415.31054707429138</v>
      </c>
      <c r="F211" s="2789">
        <v>2124.9501947368421</v>
      </c>
      <c r="G211" s="2790">
        <v>47573.376907368438</v>
      </c>
      <c r="H211" s="2791">
        <v>1740.4940526315788</v>
      </c>
    </row>
    <row r="212" spans="1:8" ht="16.5" hidden="1" x14ac:dyDescent="0.25">
      <c r="A212" s="2792">
        <v>43647</v>
      </c>
      <c r="B212" s="2786">
        <v>22</v>
      </c>
      <c r="C212" s="2787">
        <v>8056.4679364054355</v>
      </c>
      <c r="D212" s="2787">
        <v>3517.922736840294</v>
      </c>
      <c r="E212" s="2788">
        <v>420.33371838197615</v>
      </c>
      <c r="F212" s="2789">
        <v>2149.4008363636367</v>
      </c>
      <c r="G212" s="2790">
        <v>55604.085192272716</v>
      </c>
      <c r="H212" s="2791">
        <v>2560.4175909090909</v>
      </c>
    </row>
    <row r="213" spans="1:8" ht="16.5" hidden="1" x14ac:dyDescent="0.25">
      <c r="A213" s="2792">
        <v>43678</v>
      </c>
      <c r="B213" s="2786">
        <v>22</v>
      </c>
      <c r="C213" s="2787">
        <v>8150.8116290353473</v>
      </c>
      <c r="D213" s="2787">
        <v>3560.865552430495</v>
      </c>
      <c r="E213" s="2788">
        <v>422.57768883022658</v>
      </c>
      <c r="F213" s="2789">
        <v>2167.6664818181816</v>
      </c>
      <c r="G213" s="2790">
        <v>62393.08992181818</v>
      </c>
      <c r="H213" s="2791">
        <v>2265.9169999999999</v>
      </c>
    </row>
    <row r="214" spans="1:8" ht="16.5" hidden="1" x14ac:dyDescent="0.25">
      <c r="A214" s="2792">
        <v>43709</v>
      </c>
      <c r="B214" s="2786">
        <v>19</v>
      </c>
      <c r="C214" s="2787">
        <v>7983.4539952833284</v>
      </c>
      <c r="D214" s="2787">
        <v>3460.9442256425482</v>
      </c>
      <c r="E214" s="2788">
        <v>415.74023232280604</v>
      </c>
      <c r="F214" s="2789">
        <v>2119.5766842105268</v>
      </c>
      <c r="G214" s="2790">
        <v>49183.712481052637</v>
      </c>
      <c r="H214" s="2791">
        <v>1549.152052631579</v>
      </c>
    </row>
    <row r="215" spans="1:8" ht="16.5" hidden="1" x14ac:dyDescent="0.25">
      <c r="A215" s="2792">
        <v>43739</v>
      </c>
      <c r="B215" s="2786">
        <v>23</v>
      </c>
      <c r="C215" s="2787">
        <v>7992.5566261206832</v>
      </c>
      <c r="D215" s="2787">
        <v>3455.1606633394108</v>
      </c>
      <c r="E215" s="2788">
        <v>419.49604351263281</v>
      </c>
      <c r="F215" s="2789">
        <v>2121.0835391304349</v>
      </c>
      <c r="G215" s="2790">
        <v>54978.625024347828</v>
      </c>
      <c r="H215" s="2791">
        <v>1784.3891304347826</v>
      </c>
    </row>
    <row r="216" spans="1:8" ht="16.5" hidden="1" x14ac:dyDescent="0.25">
      <c r="A216" s="2792">
        <v>43770</v>
      </c>
      <c r="B216" s="2786">
        <v>19</v>
      </c>
      <c r="C216" s="2787">
        <v>8074.0244159549611</v>
      </c>
      <c r="D216" s="2787">
        <v>3478.4725744002085</v>
      </c>
      <c r="E216" s="2788">
        <v>418.82515231695544</v>
      </c>
      <c r="F216" s="2789">
        <v>2129.4249684210522</v>
      </c>
      <c r="G216" s="2790">
        <v>29469.18890526316</v>
      </c>
      <c r="H216" s="2791">
        <v>1441.2059999999999</v>
      </c>
    </row>
    <row r="217" spans="1:8" ht="20.100000000000001" hidden="1" customHeight="1" x14ac:dyDescent="0.25">
      <c r="A217" s="2792">
        <v>43800</v>
      </c>
      <c r="B217" s="2786">
        <v>19</v>
      </c>
      <c r="C217" s="2787">
        <v>8178.2076403638548</v>
      </c>
      <c r="D217" s="2787">
        <v>3520.6171769116245</v>
      </c>
      <c r="E217" s="2788">
        <v>420.74820094087494</v>
      </c>
      <c r="F217" s="2789">
        <v>2143.6959421052634</v>
      </c>
      <c r="G217" s="2790">
        <v>50132.745672105259</v>
      </c>
      <c r="H217" s="2791">
        <v>1231.8837368421052</v>
      </c>
    </row>
    <row r="218" spans="1:8" ht="20.100000000000001" hidden="1" customHeight="1" x14ac:dyDescent="0.25">
      <c r="A218" s="2792">
        <v>43831</v>
      </c>
      <c r="B218" s="2786">
        <v>21</v>
      </c>
      <c r="C218" s="2787">
        <v>8492.1114403374977</v>
      </c>
      <c r="D218" s="2787">
        <v>3651.885957260215</v>
      </c>
      <c r="E218" s="2788">
        <v>440.26178835825095</v>
      </c>
      <c r="F218" s="2789">
        <v>2220.9862904761903</v>
      </c>
      <c r="G218" s="2790">
        <v>91797.595111428614</v>
      </c>
      <c r="H218" s="2791">
        <v>12169.313714285714</v>
      </c>
    </row>
    <row r="219" spans="1:8" ht="20.100000000000001" hidden="1" customHeight="1" x14ac:dyDescent="0.25">
      <c r="A219" s="2792">
        <v>43862</v>
      </c>
      <c r="B219" s="2786">
        <v>19</v>
      </c>
      <c r="C219" s="2787">
        <v>8484.1491861179093</v>
      </c>
      <c r="D219" s="2787">
        <v>3587.5255898240753</v>
      </c>
      <c r="E219" s="2788">
        <v>437.7144352043801</v>
      </c>
      <c r="F219" s="2789">
        <v>2218.218768421053</v>
      </c>
      <c r="G219" s="2790">
        <v>70667.812935263166</v>
      </c>
      <c r="H219" s="2791">
        <v>2614.4904736842104</v>
      </c>
    </row>
    <row r="220" spans="1:8" ht="20.100000000000001" hidden="1" customHeight="1" x14ac:dyDescent="0.25">
      <c r="A220" s="2792" t="s">
        <v>4876</v>
      </c>
      <c r="B220" s="2786">
        <v>13</v>
      </c>
      <c r="C220" s="2787">
        <v>7417.8673353487638</v>
      </c>
      <c r="D220" s="2787">
        <v>3092.4285543953174</v>
      </c>
      <c r="E220" s="2788">
        <v>377.98798442770743</v>
      </c>
      <c r="F220" s="2789">
        <v>1938.6304384615385</v>
      </c>
      <c r="G220" s="2790">
        <v>108267.78863000001</v>
      </c>
      <c r="H220" s="2791">
        <v>2713.2214615384614</v>
      </c>
    </row>
    <row r="221" spans="1:8" ht="20.100000000000001" hidden="1" customHeight="1" x14ac:dyDescent="0.25">
      <c r="A221" s="2792" t="s">
        <v>412</v>
      </c>
      <c r="B221" s="2786">
        <v>19</v>
      </c>
      <c r="C221" s="2787">
        <v>6429.0700850063431</v>
      </c>
      <c r="D221" s="2787">
        <v>2543.4193965675809</v>
      </c>
      <c r="E221" s="2788">
        <v>317.90141405864762</v>
      </c>
      <c r="F221" s="2789">
        <v>1679.0985526315792</v>
      </c>
      <c r="G221" s="2790">
        <v>67039.407791578953</v>
      </c>
      <c r="H221" s="2791">
        <v>2048.9536315789474</v>
      </c>
    </row>
    <row r="222" spans="1:8" ht="20.100000000000001" hidden="1" customHeight="1" x14ac:dyDescent="0.25">
      <c r="A222" s="2792" t="s">
        <v>503</v>
      </c>
      <c r="B222" s="2786">
        <v>20</v>
      </c>
      <c r="C222" s="2787">
        <v>6174.1871313639131</v>
      </c>
      <c r="D222" s="2787">
        <v>2427.1178311711251</v>
      </c>
      <c r="E222" s="2788">
        <v>306.03542981499947</v>
      </c>
      <c r="F222" s="2789">
        <v>1610.3089500000001</v>
      </c>
      <c r="G222" s="2790">
        <v>41991.559447499996</v>
      </c>
      <c r="H222" s="2791">
        <v>1711.32295</v>
      </c>
    </row>
    <row r="223" spans="1:8" ht="20.100000000000001" hidden="1" customHeight="1" x14ac:dyDescent="0.25">
      <c r="A223" s="2792" t="s">
        <v>177</v>
      </c>
      <c r="B223" s="2786">
        <v>22</v>
      </c>
      <c r="C223" s="2787">
        <v>6380.5291232365707</v>
      </c>
      <c r="D223" s="2787">
        <v>2514.5657622696285</v>
      </c>
      <c r="E223" s="2788">
        <v>315.42781737660141</v>
      </c>
      <c r="F223" s="2789">
        <v>1663.1706454545456</v>
      </c>
      <c r="G223" s="2790">
        <v>81516.154265454548</v>
      </c>
      <c r="H223" s="2791">
        <v>3347.2645000000002</v>
      </c>
    </row>
    <row r="224" spans="1:8" ht="20.100000000000001" customHeight="1" x14ac:dyDescent="0.25">
      <c r="A224" s="2792" t="s">
        <v>142</v>
      </c>
      <c r="B224" s="2786">
        <v>23</v>
      </c>
      <c r="C224" s="2787">
        <v>6269.4331167380678</v>
      </c>
      <c r="D224" s="2787">
        <v>2468.773642817152</v>
      </c>
      <c r="E224" s="2788">
        <v>306.76767089334481</v>
      </c>
      <c r="F224" s="2789">
        <v>1630.7150173913042</v>
      </c>
      <c r="G224" s="2790">
        <v>71462.633461739111</v>
      </c>
      <c r="H224" s="2791">
        <v>2513.847652173913</v>
      </c>
    </row>
    <row r="225" spans="1:8" ht="20.100000000000001" customHeight="1" x14ac:dyDescent="0.25">
      <c r="A225" s="2792" t="s">
        <v>143</v>
      </c>
      <c r="B225" s="2786">
        <v>21</v>
      </c>
      <c r="C225" s="2787">
        <v>5958.877656782628</v>
      </c>
      <c r="D225" s="2787">
        <v>2358.3635424758158</v>
      </c>
      <c r="E225" s="2788">
        <v>289.16537618207587</v>
      </c>
      <c r="F225" s="2789">
        <v>1549.7041190476191</v>
      </c>
      <c r="G225" s="2790">
        <v>120355.99208761904</v>
      </c>
      <c r="H225" s="2791">
        <v>3399.8074285714288</v>
      </c>
    </row>
    <row r="226" spans="1:8" ht="20.100000000000001" customHeight="1" x14ac:dyDescent="0.25">
      <c r="A226" s="2792" t="s">
        <v>144</v>
      </c>
      <c r="B226" s="2786">
        <v>22</v>
      </c>
      <c r="C226" s="2787">
        <v>5929.2591929066466</v>
      </c>
      <c r="D226" s="2787">
        <v>2341.888962559839</v>
      </c>
      <c r="E226" s="2788">
        <v>287.3343552653854</v>
      </c>
      <c r="F226" s="2789">
        <v>1541.9280000000001</v>
      </c>
      <c r="G226" s="2790">
        <v>29309.546441818187</v>
      </c>
      <c r="H226" s="2791">
        <v>1134.0859545454546</v>
      </c>
    </row>
    <row r="227" spans="1:8" ht="20.100000000000001" customHeight="1" x14ac:dyDescent="0.25">
      <c r="A227" s="2792" t="s">
        <v>145</v>
      </c>
      <c r="B227" s="2786">
        <v>22</v>
      </c>
      <c r="C227" s="2787">
        <v>5681.6462966182416</v>
      </c>
      <c r="D227" s="2787">
        <v>2241.3402970072389</v>
      </c>
      <c r="E227" s="2788">
        <v>273.95359731086404</v>
      </c>
      <c r="F227" s="2789">
        <v>1477.5351954545456</v>
      </c>
      <c r="G227" s="2790">
        <v>29974.933586363637</v>
      </c>
      <c r="H227" s="2791">
        <v>1281.9475909090909</v>
      </c>
    </row>
    <row r="228" spans="1:8" ht="20.100000000000001" customHeight="1" x14ac:dyDescent="0.25">
      <c r="A228" s="2792" t="s">
        <v>146</v>
      </c>
      <c r="B228" s="2786">
        <v>20</v>
      </c>
      <c r="C228" s="2787">
        <v>5865.0649181359295</v>
      </c>
      <c r="D228" s="2787">
        <v>2311.2857130438379</v>
      </c>
      <c r="E228" s="2788">
        <v>286.15168685287836</v>
      </c>
      <c r="F228" s="2789">
        <v>1525.0088250000001</v>
      </c>
      <c r="G228" s="2790">
        <v>29819.705405000001</v>
      </c>
      <c r="H228" s="2791">
        <v>1577.1840500000001</v>
      </c>
    </row>
    <row r="229" spans="1:8" ht="20.100000000000001" customHeight="1" x14ac:dyDescent="0.25">
      <c r="A229" s="2792" t="s">
        <v>147</v>
      </c>
      <c r="B229" s="2786">
        <v>22</v>
      </c>
      <c r="C229" s="2787">
        <v>6238.0680919825018</v>
      </c>
      <c r="D229" s="2787">
        <v>2478.9779647024166</v>
      </c>
      <c r="E229" s="2788">
        <v>303.68228006464045</v>
      </c>
      <c r="F229" s="2789">
        <v>1617.7072999999998</v>
      </c>
      <c r="G229" s="2790">
        <v>36995.934111818184</v>
      </c>
      <c r="H229" s="2791">
        <v>1454.9313636363636</v>
      </c>
    </row>
    <row r="230" spans="1:8" ht="20.100000000000001" customHeight="1" x14ac:dyDescent="0.25">
      <c r="A230" s="2792" t="s">
        <v>148</v>
      </c>
      <c r="B230" s="2786">
        <v>19</v>
      </c>
      <c r="C230" s="2787">
        <v>6368.1004033048694</v>
      </c>
      <c r="D230" s="2787">
        <v>2538.7771618075931</v>
      </c>
      <c r="E230" s="2788">
        <v>308.85105903717658</v>
      </c>
      <c r="F230" s="2789">
        <v>1649.235557894737</v>
      </c>
      <c r="G230" s="2790">
        <v>33570.001557894728</v>
      </c>
      <c r="H230" s="2791">
        <v>1097.7637894736843</v>
      </c>
    </row>
    <row r="231" spans="1:8" ht="20.100000000000001" customHeight="1" x14ac:dyDescent="0.25">
      <c r="A231" s="2792" t="s">
        <v>928</v>
      </c>
      <c r="B231" s="2786">
        <v>18</v>
      </c>
      <c r="C231" s="2787">
        <v>6230.6102467008932</v>
      </c>
      <c r="D231" s="2787">
        <v>2465.041885969837</v>
      </c>
      <c r="E231" s="2788">
        <v>301.3111640636975</v>
      </c>
      <c r="F231" s="2789">
        <v>1613.4850722222225</v>
      </c>
      <c r="G231" s="2790">
        <v>53079.804963888884</v>
      </c>
      <c r="H231" s="2791">
        <v>1003.2886111111111</v>
      </c>
    </row>
    <row r="232" spans="1:8" ht="20.100000000000001" customHeight="1" x14ac:dyDescent="0.25">
      <c r="A232" s="2792" t="s">
        <v>929</v>
      </c>
      <c r="B232" s="2786">
        <v>20</v>
      </c>
      <c r="C232" s="2787">
        <v>6103.62385813736</v>
      </c>
      <c r="D232" s="2787">
        <v>2389.8467715717311</v>
      </c>
      <c r="E232" s="2788">
        <v>293.84270249017351</v>
      </c>
      <c r="F232" s="2789">
        <v>1580.6001699999999</v>
      </c>
      <c r="G232" s="2790">
        <v>92843.584896</v>
      </c>
      <c r="H232" s="2791">
        <v>2703.9973</v>
      </c>
    </row>
    <row r="233" spans="1:8" ht="20.100000000000001" customHeight="1" x14ac:dyDescent="0.25">
      <c r="A233" s="2792" t="s">
        <v>3273</v>
      </c>
      <c r="B233" s="2786">
        <v>20</v>
      </c>
      <c r="C233" s="2787">
        <v>6282.3077411319955</v>
      </c>
      <c r="D233" s="2787">
        <v>2444.9188766254838</v>
      </c>
      <c r="E233" s="2788">
        <v>301.93349034076738</v>
      </c>
      <c r="F233" s="2789">
        <v>1625.5523800000001</v>
      </c>
      <c r="G233" s="2790">
        <v>31802.278311500002</v>
      </c>
      <c r="H233" s="2791">
        <v>990.67330000000004</v>
      </c>
    </row>
    <row r="234" spans="1:8" ht="20.100000000000001" customHeight="1" x14ac:dyDescent="0.25">
      <c r="A234" s="2792" t="s">
        <v>3274</v>
      </c>
      <c r="B234" s="2786">
        <v>20</v>
      </c>
      <c r="C234" s="2787">
        <v>6638.9198581689225</v>
      </c>
      <c r="D234" s="2787">
        <v>2581.2607267210838</v>
      </c>
      <c r="E234" s="2788">
        <v>321.62095241388431</v>
      </c>
      <c r="F234" s="2789">
        <v>1716.07314</v>
      </c>
      <c r="G234" s="2790">
        <v>33009.462947</v>
      </c>
      <c r="H234" s="2791">
        <v>2110.6673999999998</v>
      </c>
    </row>
    <row r="235" spans="1:8" ht="19.5" customHeight="1" x14ac:dyDescent="0.25">
      <c r="A235" s="2793" t="s">
        <v>3275</v>
      </c>
      <c r="B235" s="2794">
        <v>22</v>
      </c>
      <c r="C235" s="2795">
        <v>6981.8972727272721</v>
      </c>
      <c r="D235" s="2795">
        <v>2680.4900000000002</v>
      </c>
      <c r="E235" s="2796">
        <v>332.40318181818174</v>
      </c>
      <c r="F235" s="2797">
        <v>1789.3595454545452</v>
      </c>
      <c r="G235" s="2798">
        <v>60946.593938636397</v>
      </c>
      <c r="H235" s="2799">
        <v>2276.1394090909098</v>
      </c>
    </row>
    <row r="236" spans="1:8" ht="19.5" customHeight="1" thickBot="1" x14ac:dyDescent="0.3">
      <c r="A236" s="2800" t="s">
        <v>4877</v>
      </c>
      <c r="B236" s="2801">
        <v>22</v>
      </c>
      <c r="C236" s="2802">
        <v>7560.4427272727271</v>
      </c>
      <c r="D236" s="2802">
        <v>2787.670454545454</v>
      </c>
      <c r="E236" s="2803">
        <v>358.55409090909097</v>
      </c>
      <c r="F236" s="2804">
        <v>1932.2454545454545</v>
      </c>
      <c r="G236" s="2805">
        <v>50303.903501818204</v>
      </c>
      <c r="H236" s="2806">
        <v>1851.6385909090909</v>
      </c>
    </row>
    <row r="237" spans="1:8" s="2807" customFormat="1" ht="46.5" customHeight="1" thickTop="1" x14ac:dyDescent="0.25">
      <c r="A237" s="3928" t="s">
        <v>4878</v>
      </c>
      <c r="B237" s="3928"/>
      <c r="C237" s="3928"/>
      <c r="D237" s="3928"/>
      <c r="E237" s="3928"/>
      <c r="F237" s="3928"/>
      <c r="G237" s="3928"/>
      <c r="H237" s="3928"/>
    </row>
    <row r="238" spans="1:8" s="2808" customFormat="1" ht="29.25" customHeight="1" x14ac:dyDescent="0.25">
      <c r="A238" s="3929" t="s">
        <v>4879</v>
      </c>
      <c r="B238" s="3929"/>
      <c r="C238" s="3929"/>
      <c r="D238" s="3929"/>
      <c r="E238" s="3929"/>
      <c r="F238" s="3929"/>
      <c r="G238" s="3929"/>
      <c r="H238" s="3929"/>
    </row>
    <row r="239" spans="1:8" s="2807" customFormat="1" ht="17.25" customHeight="1" x14ac:dyDescent="0.25">
      <c r="A239" s="2807" t="s">
        <v>4880</v>
      </c>
      <c r="C239" s="2809"/>
      <c r="D239" s="2810"/>
      <c r="E239" s="2811"/>
      <c r="F239" s="2811"/>
      <c r="H239" s="2812"/>
    </row>
    <row r="240" spans="1:8" s="2813" customFormat="1" ht="13.5" customHeight="1" x14ac:dyDescent="0.25">
      <c r="A240" s="2807"/>
      <c r="B240" s="2807"/>
      <c r="C240" s="2809"/>
      <c r="D240" s="2810"/>
      <c r="E240" s="2811"/>
      <c r="F240" s="2811"/>
      <c r="H240" s="2814"/>
    </row>
    <row r="241" spans="1:8" s="2739" customFormat="1" ht="17.25" x14ac:dyDescent="0.25">
      <c r="A241" s="2815" t="s">
        <v>4881</v>
      </c>
      <c r="C241" s="2740"/>
      <c r="D241" s="2740"/>
    </row>
    <row r="242" spans="1:8" ht="14.25" customHeight="1" thickBot="1" x14ac:dyDescent="0.3">
      <c r="A242" s="2816"/>
      <c r="B242" s="2816"/>
      <c r="C242" s="2817"/>
      <c r="D242" s="2818" t="s">
        <v>8</v>
      </c>
    </row>
    <row r="243" spans="1:8" ht="56.25" customHeight="1" thickTop="1" thickBot="1" x14ac:dyDescent="0.3">
      <c r="A243" s="2819" t="s">
        <v>1</v>
      </c>
      <c r="B243" s="2820" t="s">
        <v>4301</v>
      </c>
      <c r="C243" s="2820" t="s">
        <v>4302</v>
      </c>
      <c r="D243" s="2821" t="s">
        <v>4882</v>
      </c>
    </row>
    <row r="244" spans="1:8" ht="16.5" hidden="1" customHeight="1" x14ac:dyDescent="0.25">
      <c r="A244" s="2822">
        <v>40217</v>
      </c>
      <c r="B244" s="2823">
        <v>161.03771599999999</v>
      </c>
      <c r="C244" s="2824">
        <v>131.77647004000002</v>
      </c>
      <c r="D244" s="2825" t="s">
        <v>4883</v>
      </c>
      <c r="E244" s="2826"/>
      <c r="F244" s="2827"/>
    </row>
    <row r="245" spans="1:8" ht="15" hidden="1" customHeight="1" x14ac:dyDescent="0.25">
      <c r="A245" s="2822">
        <v>40245</v>
      </c>
      <c r="B245" s="2823">
        <v>403.32256000000001</v>
      </c>
      <c r="C245" s="2824">
        <v>356.66909319999996</v>
      </c>
      <c r="D245" s="2825" t="s">
        <v>4884</v>
      </c>
      <c r="E245" s="2826"/>
      <c r="F245" s="2827"/>
    </row>
    <row r="246" spans="1:8" ht="15" hidden="1" customHeight="1" x14ac:dyDescent="0.25">
      <c r="A246" s="2822">
        <v>40276</v>
      </c>
      <c r="B246" s="2823">
        <v>521.20303650000005</v>
      </c>
      <c r="C246" s="2824">
        <v>201.15583000000001</v>
      </c>
      <c r="D246" s="2825" t="s">
        <v>4885</v>
      </c>
      <c r="E246" s="2826"/>
      <c r="F246" s="2828"/>
      <c r="G246" s="2827"/>
      <c r="H246" s="2827"/>
    </row>
    <row r="247" spans="1:8" ht="15" hidden="1" customHeight="1" x14ac:dyDescent="0.25">
      <c r="A247" s="2822">
        <v>40306</v>
      </c>
      <c r="B247" s="2823">
        <v>329.135806</v>
      </c>
      <c r="C247" s="2824">
        <v>128.8008695</v>
      </c>
      <c r="D247" s="2825" t="s">
        <v>4886</v>
      </c>
      <c r="E247" s="2826"/>
      <c r="F247" s="2827"/>
      <c r="G247" s="2827"/>
      <c r="H247" s="2827"/>
    </row>
    <row r="248" spans="1:8" ht="15" hidden="1" customHeight="1" x14ac:dyDescent="0.25">
      <c r="A248" s="2822">
        <v>40337</v>
      </c>
      <c r="B248" s="2823">
        <v>207.11887580000001</v>
      </c>
      <c r="C248" s="2824">
        <v>28.417289</v>
      </c>
      <c r="D248" s="2825" t="s">
        <v>4887</v>
      </c>
      <c r="E248" s="2826"/>
      <c r="F248" s="2827"/>
      <c r="G248" s="2827"/>
      <c r="H248" s="2827"/>
    </row>
    <row r="249" spans="1:8" ht="15" hidden="1" customHeight="1" x14ac:dyDescent="0.25">
      <c r="A249" s="2822">
        <v>40367</v>
      </c>
      <c r="B249" s="2823">
        <v>270.14908350000002</v>
      </c>
      <c r="C249" s="2824">
        <v>133.29416225</v>
      </c>
      <c r="D249" s="2825" t="s">
        <v>4888</v>
      </c>
      <c r="E249" s="2826"/>
      <c r="F249" s="2827"/>
      <c r="G249" s="2827"/>
      <c r="H249" s="2827"/>
    </row>
    <row r="250" spans="1:8" ht="15" hidden="1" customHeight="1" x14ac:dyDescent="0.25">
      <c r="A250" s="2822">
        <v>40398</v>
      </c>
      <c r="B250" s="2823">
        <v>217.86438000000001</v>
      </c>
      <c r="C250" s="2824">
        <v>79.483020699999997</v>
      </c>
      <c r="D250" s="2825" t="s">
        <v>4889</v>
      </c>
      <c r="E250" s="2826"/>
      <c r="F250" s="2828"/>
      <c r="G250" s="2827"/>
    </row>
    <row r="251" spans="1:8" ht="15" hidden="1" customHeight="1" x14ac:dyDescent="0.25">
      <c r="A251" s="2822">
        <v>40429</v>
      </c>
      <c r="B251" s="2823">
        <v>388.8727184</v>
      </c>
      <c r="C251" s="2824">
        <v>199.41526140000002</v>
      </c>
      <c r="D251" s="2825" t="s">
        <v>4890</v>
      </c>
      <c r="E251" s="2826"/>
      <c r="F251" s="2827"/>
      <c r="G251" s="2827"/>
    </row>
    <row r="252" spans="1:8" ht="15" hidden="1" customHeight="1" x14ac:dyDescent="0.25">
      <c r="A252" s="2822">
        <v>40459</v>
      </c>
      <c r="B252" s="2823">
        <v>348.71195539999997</v>
      </c>
      <c r="C252" s="2824">
        <v>354.42421330000002</v>
      </c>
      <c r="D252" s="2825" t="s">
        <v>4891</v>
      </c>
      <c r="E252" s="2826"/>
      <c r="F252" s="2827"/>
      <c r="G252" s="2827"/>
    </row>
    <row r="253" spans="1:8" ht="15" hidden="1" customHeight="1" x14ac:dyDescent="0.25">
      <c r="A253" s="2822">
        <v>40490</v>
      </c>
      <c r="B253" s="2823">
        <v>347.89406220000001</v>
      </c>
      <c r="C253" s="2824">
        <v>128.35713510000002</v>
      </c>
      <c r="D253" s="2825" t="s">
        <v>4892</v>
      </c>
      <c r="E253" s="2826"/>
      <c r="F253" s="2827"/>
      <c r="G253" s="2827"/>
    </row>
    <row r="254" spans="1:8" ht="15" hidden="1" customHeight="1" x14ac:dyDescent="0.25">
      <c r="A254" s="2822">
        <v>40520</v>
      </c>
      <c r="B254" s="2823">
        <v>178.9509745</v>
      </c>
      <c r="C254" s="2824">
        <v>55.540696149999995</v>
      </c>
      <c r="D254" s="2825" t="s">
        <v>4893</v>
      </c>
      <c r="E254" s="2826"/>
      <c r="F254" s="2827"/>
    </row>
    <row r="255" spans="1:8" ht="15" hidden="1" customHeight="1" x14ac:dyDescent="0.25">
      <c r="A255" s="2822">
        <v>40551</v>
      </c>
      <c r="B255" s="2823">
        <v>725.55969600000003</v>
      </c>
      <c r="C255" s="2824">
        <v>370.46430950000001</v>
      </c>
      <c r="D255" s="2825" t="s">
        <v>4894</v>
      </c>
      <c r="E255" s="2826"/>
      <c r="F255" s="2827"/>
    </row>
    <row r="256" spans="1:8" ht="15" hidden="1" customHeight="1" x14ac:dyDescent="0.25">
      <c r="A256" s="2822">
        <v>40582</v>
      </c>
      <c r="B256" s="2823">
        <v>154.24198669999998</v>
      </c>
      <c r="C256" s="2824">
        <v>111.00644709999999</v>
      </c>
      <c r="D256" s="2825" t="s">
        <v>4895</v>
      </c>
      <c r="E256" s="2826"/>
      <c r="F256" s="2827"/>
    </row>
    <row r="257" spans="1:8" ht="15" hidden="1" customHeight="1" x14ac:dyDescent="0.25">
      <c r="A257" s="2822">
        <v>40610</v>
      </c>
      <c r="B257" s="2823">
        <v>42.2</v>
      </c>
      <c r="C257" s="2824">
        <v>203.6</v>
      </c>
      <c r="D257" s="2825" t="s">
        <v>4896</v>
      </c>
      <c r="E257" s="2826"/>
      <c r="F257" s="2827"/>
    </row>
    <row r="258" spans="1:8" ht="15" hidden="1" customHeight="1" x14ac:dyDescent="0.25">
      <c r="A258" s="2822">
        <v>40641</v>
      </c>
      <c r="B258" s="2823">
        <v>142.80000000000001</v>
      </c>
      <c r="C258" s="2824">
        <v>119.9</v>
      </c>
      <c r="D258" s="2825" t="s">
        <v>4897</v>
      </c>
      <c r="E258" s="2826"/>
      <c r="F258" s="2827"/>
    </row>
    <row r="259" spans="1:8" ht="15" hidden="1" customHeight="1" x14ac:dyDescent="0.25">
      <c r="A259" s="2822">
        <v>40671</v>
      </c>
      <c r="B259" s="2823">
        <v>246.9</v>
      </c>
      <c r="C259" s="2824">
        <v>263.39999999999998</v>
      </c>
      <c r="D259" s="2825" t="s">
        <v>4898</v>
      </c>
      <c r="E259" s="2826"/>
      <c r="F259" s="2827"/>
    </row>
    <row r="260" spans="1:8" ht="15" hidden="1" customHeight="1" x14ac:dyDescent="0.25">
      <c r="A260" s="2822">
        <v>40702</v>
      </c>
      <c r="B260" s="2823">
        <v>201.6</v>
      </c>
      <c r="C260" s="2824">
        <v>336.5</v>
      </c>
      <c r="D260" s="2825" t="s">
        <v>4899</v>
      </c>
      <c r="E260" s="2826"/>
      <c r="F260" s="2829"/>
    </row>
    <row r="261" spans="1:8" ht="15" hidden="1" customHeight="1" x14ac:dyDescent="0.25">
      <c r="A261" s="2822">
        <v>40732</v>
      </c>
      <c r="B261" s="2823">
        <v>218.3</v>
      </c>
      <c r="C261" s="2824">
        <v>240.4</v>
      </c>
      <c r="D261" s="2825" t="s">
        <v>4900</v>
      </c>
      <c r="E261" s="2826"/>
      <c r="F261" s="2827"/>
      <c r="G261" s="2830"/>
    </row>
    <row r="262" spans="1:8" ht="15" hidden="1" customHeight="1" x14ac:dyDescent="0.25">
      <c r="A262" s="2822">
        <v>40763</v>
      </c>
      <c r="B262" s="2823">
        <v>168.1</v>
      </c>
      <c r="C262" s="2824">
        <v>606.6</v>
      </c>
      <c r="D262" s="2825" t="s">
        <v>4901</v>
      </c>
      <c r="E262" s="2826"/>
      <c r="F262" s="2827"/>
      <c r="G262" s="2830"/>
    </row>
    <row r="263" spans="1:8" ht="15" hidden="1" customHeight="1" x14ac:dyDescent="0.25">
      <c r="A263" s="2822">
        <v>40794</v>
      </c>
      <c r="B263" s="2823">
        <v>130.69999999999999</v>
      </c>
      <c r="C263" s="2824">
        <v>174.4</v>
      </c>
      <c r="D263" s="2825" t="s">
        <v>4902</v>
      </c>
      <c r="E263" s="2826"/>
      <c r="F263" s="2827"/>
      <c r="G263" s="2830"/>
    </row>
    <row r="264" spans="1:8" ht="15" hidden="1" customHeight="1" x14ac:dyDescent="0.25">
      <c r="A264" s="2822">
        <v>40824</v>
      </c>
      <c r="B264" s="2823">
        <v>166.1</v>
      </c>
      <c r="C264" s="2824">
        <v>339.9</v>
      </c>
      <c r="D264" s="2825" t="s">
        <v>4903</v>
      </c>
      <c r="E264" s="2826"/>
      <c r="F264" s="2827"/>
      <c r="G264" s="2830"/>
      <c r="H264" s="2827"/>
    </row>
    <row r="265" spans="1:8" ht="15" hidden="1" customHeight="1" x14ac:dyDescent="0.25">
      <c r="A265" s="2822">
        <v>40855</v>
      </c>
      <c r="B265" s="2823">
        <v>3631.7</v>
      </c>
      <c r="C265" s="2824">
        <v>3694.6</v>
      </c>
      <c r="D265" s="2825" t="s">
        <v>4904</v>
      </c>
      <c r="E265" s="2826"/>
      <c r="F265" s="2827"/>
      <c r="G265" s="2830"/>
      <c r="H265" s="2827"/>
    </row>
    <row r="266" spans="1:8" ht="15" hidden="1" customHeight="1" x14ac:dyDescent="0.25">
      <c r="A266" s="2822">
        <v>40885</v>
      </c>
      <c r="B266" s="2824">
        <v>329.8</v>
      </c>
      <c r="C266" s="2824">
        <v>175.4</v>
      </c>
      <c r="D266" s="2825" t="s">
        <v>4905</v>
      </c>
      <c r="E266" s="2826"/>
      <c r="F266" s="2829"/>
      <c r="G266" s="2830"/>
      <c r="H266" s="2827"/>
    </row>
    <row r="267" spans="1:8" ht="15" hidden="1" customHeight="1" x14ac:dyDescent="0.25">
      <c r="A267" s="2822">
        <v>40916</v>
      </c>
      <c r="B267" s="2824">
        <v>125.6</v>
      </c>
      <c r="C267" s="2824">
        <v>111.1</v>
      </c>
      <c r="D267" s="2825" t="s">
        <v>4906</v>
      </c>
      <c r="E267" s="2826"/>
      <c r="F267" s="2829"/>
      <c r="G267" s="2830"/>
      <c r="H267" s="2827"/>
    </row>
    <row r="268" spans="1:8" ht="15" hidden="1" customHeight="1" x14ac:dyDescent="0.25">
      <c r="A268" s="2822">
        <v>40947</v>
      </c>
      <c r="B268" s="2824">
        <v>180</v>
      </c>
      <c r="C268" s="2824">
        <v>131.6</v>
      </c>
      <c r="D268" s="2825" t="s">
        <v>4907</v>
      </c>
      <c r="E268" s="2826"/>
      <c r="F268" s="2829"/>
      <c r="G268" s="2830"/>
      <c r="H268" s="2827"/>
    </row>
    <row r="269" spans="1:8" ht="15" hidden="1" customHeight="1" x14ac:dyDescent="0.25">
      <c r="A269" s="2822">
        <v>40976</v>
      </c>
      <c r="B269" s="2824">
        <v>151.69999999999999</v>
      </c>
      <c r="C269" s="2824">
        <v>123.2</v>
      </c>
      <c r="D269" s="2825" t="s">
        <v>4908</v>
      </c>
      <c r="E269" s="2826"/>
      <c r="F269" s="2829"/>
      <c r="G269" s="2830"/>
      <c r="H269" s="2827"/>
    </row>
    <row r="270" spans="1:8" ht="15" hidden="1" customHeight="1" x14ac:dyDescent="0.25">
      <c r="A270" s="2822">
        <v>41007</v>
      </c>
      <c r="B270" s="2824">
        <v>311.5</v>
      </c>
      <c r="C270" s="2824">
        <v>291.5</v>
      </c>
      <c r="D270" s="2825" t="s">
        <v>4909</v>
      </c>
      <c r="E270" s="2826"/>
      <c r="F270" s="2829"/>
      <c r="G270" s="2830"/>
      <c r="H270" s="2827"/>
    </row>
    <row r="271" spans="1:8" ht="15" hidden="1" customHeight="1" x14ac:dyDescent="0.25">
      <c r="A271" s="2822">
        <v>41037</v>
      </c>
      <c r="B271" s="2824">
        <v>210.2</v>
      </c>
      <c r="C271" s="2824">
        <v>395.36</v>
      </c>
      <c r="D271" s="2831">
        <v>-185.2</v>
      </c>
      <c r="E271" s="2826"/>
      <c r="F271" s="2829"/>
      <c r="G271" s="2830"/>
      <c r="H271" s="2827"/>
    </row>
    <row r="272" spans="1:8" ht="15" hidden="1" customHeight="1" x14ac:dyDescent="0.25">
      <c r="A272" s="2822">
        <v>41068</v>
      </c>
      <c r="B272" s="2824">
        <v>154.94</v>
      </c>
      <c r="C272" s="2824">
        <v>223.923</v>
      </c>
      <c r="D272" s="2831">
        <v>-68.983000000000004</v>
      </c>
      <c r="E272" s="2826"/>
      <c r="F272" s="2829"/>
      <c r="G272" s="2830"/>
      <c r="H272" s="2827"/>
    </row>
    <row r="273" spans="1:8" ht="15" hidden="1" customHeight="1" x14ac:dyDescent="0.25">
      <c r="A273" s="2822">
        <v>41098</v>
      </c>
      <c r="B273" s="2824">
        <v>389.9</v>
      </c>
      <c r="C273" s="2824">
        <v>344.3</v>
      </c>
      <c r="D273" s="2831" t="s">
        <v>4910</v>
      </c>
      <c r="E273" s="2826"/>
      <c r="F273" s="2829"/>
      <c r="G273" s="2830"/>
      <c r="H273" s="2827"/>
    </row>
    <row r="274" spans="1:8" ht="15" hidden="1" customHeight="1" x14ac:dyDescent="0.25">
      <c r="A274" s="2822">
        <v>41129</v>
      </c>
      <c r="B274" s="2824">
        <v>209.5</v>
      </c>
      <c r="C274" s="2824">
        <v>315.5</v>
      </c>
      <c r="D274" s="2831" t="s">
        <v>4911</v>
      </c>
      <c r="E274" s="2826"/>
      <c r="F274" s="2829"/>
      <c r="G274" s="2830"/>
      <c r="H274" s="2827"/>
    </row>
    <row r="275" spans="1:8" ht="15" hidden="1" customHeight="1" x14ac:dyDescent="0.25">
      <c r="A275" s="2822">
        <v>41160</v>
      </c>
      <c r="B275" s="2824">
        <v>163.1</v>
      </c>
      <c r="C275" s="2824">
        <v>243.9</v>
      </c>
      <c r="D275" s="2831">
        <v>-80.8</v>
      </c>
      <c r="E275" s="2826"/>
      <c r="F275" s="2829"/>
      <c r="G275" s="2830"/>
      <c r="H275" s="2827"/>
    </row>
    <row r="276" spans="1:8" ht="15" hidden="1" customHeight="1" x14ac:dyDescent="0.25">
      <c r="A276" s="2822">
        <v>41190</v>
      </c>
      <c r="B276" s="2824">
        <v>216.6</v>
      </c>
      <c r="C276" s="2824">
        <v>236.5</v>
      </c>
      <c r="D276" s="2831">
        <v>-19.900000000000006</v>
      </c>
      <c r="E276" s="2826"/>
      <c r="F276" s="2829"/>
      <c r="G276" s="2830"/>
      <c r="H276" s="2827"/>
    </row>
    <row r="277" spans="1:8" ht="15" hidden="1" customHeight="1" x14ac:dyDescent="0.25">
      <c r="A277" s="2822">
        <v>41221</v>
      </c>
      <c r="B277" s="2832">
        <v>347.4</v>
      </c>
      <c r="C277" s="2832">
        <v>135.5</v>
      </c>
      <c r="D277" s="2831">
        <v>211.89999999999998</v>
      </c>
      <c r="E277" s="2826"/>
      <c r="F277" s="2829"/>
      <c r="G277" s="2830"/>
      <c r="H277" s="2829"/>
    </row>
    <row r="278" spans="1:8" ht="15" hidden="1" customHeight="1" x14ac:dyDescent="0.25">
      <c r="A278" s="2822">
        <v>41251</v>
      </c>
      <c r="B278" s="2824">
        <v>313.17</v>
      </c>
      <c r="C278" s="2824">
        <v>120.857</v>
      </c>
      <c r="D278" s="2831">
        <v>192.31300000000002</v>
      </c>
      <c r="E278" s="2826"/>
      <c r="F278" s="2829"/>
      <c r="G278" s="2830"/>
      <c r="H278" s="2827"/>
    </row>
    <row r="279" spans="1:8" ht="15" hidden="1" customHeight="1" x14ac:dyDescent="0.25">
      <c r="A279" s="2822">
        <v>41282</v>
      </c>
      <c r="B279" s="2824">
        <v>530.9</v>
      </c>
      <c r="C279" s="2824">
        <v>391.2</v>
      </c>
      <c r="D279" s="2831">
        <v>139.69999999999999</v>
      </c>
      <c r="E279" s="2826"/>
      <c r="F279" s="2829"/>
      <c r="G279" s="2830"/>
      <c r="H279" s="2827"/>
    </row>
    <row r="280" spans="1:8" ht="15" hidden="1" customHeight="1" x14ac:dyDescent="0.25">
      <c r="A280" s="2822">
        <v>41313</v>
      </c>
      <c r="B280" s="2824">
        <v>565.5</v>
      </c>
      <c r="C280" s="2824">
        <v>447.5</v>
      </c>
      <c r="D280" s="2831">
        <v>118</v>
      </c>
      <c r="E280" s="2826"/>
      <c r="F280" s="2829"/>
      <c r="G280" s="2830"/>
      <c r="H280" s="2827"/>
    </row>
    <row r="281" spans="1:8" ht="15" hidden="1" customHeight="1" x14ac:dyDescent="0.25">
      <c r="A281" s="2822">
        <v>41341</v>
      </c>
      <c r="B281" s="2824">
        <v>384.6</v>
      </c>
      <c r="C281" s="2824">
        <v>129.4</v>
      </c>
      <c r="D281" s="2831">
        <v>255.20000000000002</v>
      </c>
      <c r="E281" s="2826"/>
      <c r="F281" s="2829"/>
      <c r="G281" s="2833"/>
      <c r="H281" s="2833"/>
    </row>
    <row r="282" spans="1:8" ht="15" hidden="1" customHeight="1" x14ac:dyDescent="0.25">
      <c r="A282" s="2822">
        <v>41372</v>
      </c>
      <c r="B282" s="2824">
        <v>240.5</v>
      </c>
      <c r="C282" s="2824">
        <v>113.6</v>
      </c>
      <c r="D282" s="2831">
        <v>126.9</v>
      </c>
      <c r="E282" s="2826"/>
      <c r="F282" s="2829"/>
      <c r="G282" s="2830"/>
      <c r="H282" s="2827"/>
    </row>
    <row r="283" spans="1:8" ht="15" hidden="1" customHeight="1" x14ac:dyDescent="0.25">
      <c r="A283" s="2822">
        <v>41402</v>
      </c>
      <c r="B283" s="2824">
        <v>331.9</v>
      </c>
      <c r="C283" s="2824">
        <v>235.2</v>
      </c>
      <c r="D283" s="2831">
        <v>96.699999999999989</v>
      </c>
      <c r="E283" s="2826"/>
      <c r="F283" s="2829"/>
      <c r="G283" s="2830"/>
      <c r="H283" s="2827"/>
    </row>
    <row r="284" spans="1:8" ht="15" hidden="1" customHeight="1" x14ac:dyDescent="0.25">
      <c r="A284" s="2822">
        <v>41433</v>
      </c>
      <c r="B284" s="2824">
        <v>474.5</v>
      </c>
      <c r="C284" s="2824">
        <v>440</v>
      </c>
      <c r="D284" s="2831">
        <v>34.5</v>
      </c>
      <c r="E284" s="2826"/>
      <c r="F284" s="2829"/>
      <c r="G284" s="2830"/>
      <c r="H284" s="2827"/>
    </row>
    <row r="285" spans="1:8" ht="15" hidden="1" customHeight="1" x14ac:dyDescent="0.25">
      <c r="A285" s="2822">
        <v>41463</v>
      </c>
      <c r="B285" s="2824">
        <v>167.53213600000001</v>
      </c>
      <c r="C285" s="2832">
        <v>87.90154167</v>
      </c>
      <c r="D285" s="2831">
        <v>79.630594330000008</v>
      </c>
      <c r="E285" s="2826"/>
      <c r="F285" s="2829"/>
      <c r="G285" s="2830"/>
      <c r="H285" s="2827"/>
    </row>
    <row r="286" spans="1:8" ht="15" hidden="1" customHeight="1" x14ac:dyDescent="0.25">
      <c r="A286" s="2822">
        <v>41494</v>
      </c>
      <c r="B286" s="2824">
        <v>300.86</v>
      </c>
      <c r="C286" s="2824">
        <v>275.04000000000002</v>
      </c>
      <c r="D286" s="2831">
        <v>25.819999999999993</v>
      </c>
      <c r="E286" s="2826"/>
      <c r="F286" s="2829"/>
      <c r="G286" s="2830"/>
      <c r="H286" s="2827"/>
    </row>
    <row r="287" spans="1:8" ht="18" hidden="1" customHeight="1" x14ac:dyDescent="0.25">
      <c r="A287" s="2822">
        <v>41525</v>
      </c>
      <c r="B287" s="2832">
        <v>213.7</v>
      </c>
      <c r="C287" s="2824">
        <v>520.1</v>
      </c>
      <c r="D287" s="2831">
        <v>-306.40000000000003</v>
      </c>
      <c r="E287" s="2826"/>
      <c r="F287" s="2829"/>
      <c r="G287" s="2830"/>
      <c r="H287" s="2827"/>
    </row>
    <row r="288" spans="1:8" ht="18" hidden="1" customHeight="1" x14ac:dyDescent="0.25">
      <c r="A288" s="2822">
        <v>41555</v>
      </c>
      <c r="B288" s="2824">
        <v>743.9</v>
      </c>
      <c r="C288" s="2824">
        <v>1020.6</v>
      </c>
      <c r="D288" s="2831">
        <v>-276.70000000000005</v>
      </c>
      <c r="E288" s="2826"/>
      <c r="F288" s="2829"/>
      <c r="G288" s="2830"/>
      <c r="H288" s="2828"/>
    </row>
    <row r="289" spans="1:8" ht="18" hidden="1" customHeight="1" x14ac:dyDescent="0.25">
      <c r="A289" s="2822">
        <v>41586</v>
      </c>
      <c r="B289" s="2832">
        <v>184.5</v>
      </c>
      <c r="C289" s="2824">
        <v>112</v>
      </c>
      <c r="D289" s="2831">
        <v>72.5</v>
      </c>
      <c r="E289" s="2826"/>
      <c r="F289" s="2829"/>
      <c r="G289" s="2833"/>
      <c r="H289" s="2833"/>
    </row>
    <row r="290" spans="1:8" ht="18" hidden="1" customHeight="1" x14ac:dyDescent="0.25">
      <c r="A290" s="2822">
        <v>41616</v>
      </c>
      <c r="B290" s="2824">
        <v>501.6</v>
      </c>
      <c r="C290" s="2824">
        <v>493.5</v>
      </c>
      <c r="D290" s="2831">
        <v>8.1000000000000227</v>
      </c>
      <c r="E290" s="2826"/>
      <c r="F290" s="2829"/>
      <c r="G290" s="2830"/>
      <c r="H290" s="2828"/>
    </row>
    <row r="291" spans="1:8" ht="18" hidden="1" customHeight="1" x14ac:dyDescent="0.25">
      <c r="A291" s="2822">
        <v>41647</v>
      </c>
      <c r="B291" s="2824">
        <v>439.2</v>
      </c>
      <c r="C291" s="2824">
        <v>475</v>
      </c>
      <c r="D291" s="2831">
        <v>-35.800000000000011</v>
      </c>
      <c r="E291" s="2826"/>
      <c r="F291" s="2829"/>
      <c r="G291" s="2830"/>
      <c r="H291" s="2828"/>
    </row>
    <row r="292" spans="1:8" ht="18" hidden="1" customHeight="1" x14ac:dyDescent="0.25">
      <c r="A292" s="2822">
        <v>41678</v>
      </c>
      <c r="B292" s="2832">
        <v>455.9</v>
      </c>
      <c r="C292" s="2832">
        <v>475.2</v>
      </c>
      <c r="D292" s="2834">
        <v>-19.300000000000011</v>
      </c>
      <c r="E292" s="2826"/>
      <c r="F292" s="2829"/>
      <c r="G292" s="2829"/>
      <c r="H292" s="2829"/>
    </row>
    <row r="293" spans="1:8" ht="18" hidden="1" customHeight="1" x14ac:dyDescent="0.25">
      <c r="A293" s="2822">
        <v>41706</v>
      </c>
      <c r="B293" s="2824">
        <v>159.49</v>
      </c>
      <c r="C293" s="2824">
        <v>257</v>
      </c>
      <c r="D293" s="2831">
        <v>-97.509999999999991</v>
      </c>
      <c r="E293" s="2826"/>
      <c r="F293" s="2829"/>
      <c r="G293" s="2829"/>
      <c r="H293" s="2829"/>
    </row>
    <row r="294" spans="1:8" ht="18" hidden="1" customHeight="1" x14ac:dyDescent="0.25">
      <c r="A294" s="2822">
        <v>41737</v>
      </c>
      <c r="B294" s="2824">
        <v>516.6</v>
      </c>
      <c r="C294" s="2824">
        <v>528.29999999999995</v>
      </c>
      <c r="D294" s="2831">
        <v>-11.699999999999932</v>
      </c>
      <c r="E294" s="2826"/>
      <c r="F294" s="2829"/>
      <c r="G294" s="2829"/>
      <c r="H294" s="2829"/>
    </row>
    <row r="295" spans="1:8" ht="18" hidden="1" customHeight="1" x14ac:dyDescent="0.25">
      <c r="A295" s="2822">
        <v>41767</v>
      </c>
      <c r="B295" s="2824">
        <v>924.98</v>
      </c>
      <c r="C295" s="2824">
        <v>641.19000000000005</v>
      </c>
      <c r="D295" s="2831">
        <v>283.78999999999996</v>
      </c>
      <c r="E295" s="2826"/>
      <c r="F295" s="2829"/>
      <c r="G295" s="2829"/>
      <c r="H295" s="2829"/>
    </row>
    <row r="296" spans="1:8" ht="18" hidden="1" customHeight="1" x14ac:dyDescent="0.25">
      <c r="A296" s="2822">
        <v>41798</v>
      </c>
      <c r="B296" s="2824">
        <v>846.45</v>
      </c>
      <c r="C296" s="2824">
        <v>784.9</v>
      </c>
      <c r="D296" s="2831">
        <v>61.550000000000068</v>
      </c>
      <c r="E296" s="2826"/>
      <c r="F296" s="2829"/>
      <c r="G296" s="2829"/>
      <c r="H296" s="2829"/>
    </row>
    <row r="297" spans="1:8" ht="18" hidden="1" customHeight="1" x14ac:dyDescent="0.25">
      <c r="A297" s="2822">
        <v>41828</v>
      </c>
      <c r="B297" s="2824">
        <v>330.4</v>
      </c>
      <c r="C297" s="2824">
        <v>313.5</v>
      </c>
      <c r="D297" s="2831">
        <v>16.899999999999977</v>
      </c>
      <c r="E297" s="2826"/>
      <c r="F297" s="2829"/>
      <c r="G297" s="2829"/>
      <c r="H297" s="2829"/>
    </row>
    <row r="298" spans="1:8" ht="18" hidden="1" customHeight="1" x14ac:dyDescent="0.25">
      <c r="A298" s="2822">
        <v>41859</v>
      </c>
      <c r="B298" s="2824">
        <v>372.4</v>
      </c>
      <c r="C298" s="2824">
        <v>544.79999999999995</v>
      </c>
      <c r="D298" s="2831">
        <v>-172.39999999999998</v>
      </c>
      <c r="E298" s="2826"/>
      <c r="F298" s="2829"/>
      <c r="G298" s="2829"/>
      <c r="H298" s="2829"/>
    </row>
    <row r="299" spans="1:8" ht="18" hidden="1" customHeight="1" x14ac:dyDescent="0.25">
      <c r="A299" s="2822">
        <v>41890</v>
      </c>
      <c r="B299" s="2824">
        <v>539.20000000000005</v>
      </c>
      <c r="C299" s="2824">
        <v>515.16</v>
      </c>
      <c r="D299" s="2831">
        <v>24.040000000000077</v>
      </c>
      <c r="E299" s="2826"/>
      <c r="F299" s="2829"/>
      <c r="G299" s="2829"/>
      <c r="H299" s="2829"/>
    </row>
    <row r="300" spans="1:8" ht="18" hidden="1" customHeight="1" x14ac:dyDescent="0.25">
      <c r="A300" s="2822">
        <v>41920</v>
      </c>
      <c r="B300" s="2824">
        <v>442.86</v>
      </c>
      <c r="C300" s="2824">
        <v>664.5</v>
      </c>
      <c r="D300" s="2831">
        <v>-221.64</v>
      </c>
      <c r="E300" s="2826"/>
      <c r="F300" s="2829"/>
      <c r="G300" s="2829"/>
      <c r="H300" s="2829"/>
    </row>
    <row r="301" spans="1:8" ht="18" hidden="1" customHeight="1" x14ac:dyDescent="0.25">
      <c r="A301" s="2822">
        <v>41951</v>
      </c>
      <c r="B301" s="2824">
        <v>359.09500000000003</v>
      </c>
      <c r="C301" s="2824">
        <v>795.55</v>
      </c>
      <c r="D301" s="2831">
        <v>-436.45499999999993</v>
      </c>
      <c r="E301" s="2826"/>
      <c r="F301" s="2829"/>
      <c r="G301" s="2829"/>
      <c r="H301" s="2829"/>
    </row>
    <row r="302" spans="1:8" ht="18" hidden="1" customHeight="1" x14ac:dyDescent="0.25">
      <c r="A302" s="2822">
        <v>41981</v>
      </c>
      <c r="B302" s="2824">
        <v>216.4</v>
      </c>
      <c r="C302" s="2824">
        <v>432.38</v>
      </c>
      <c r="D302" s="2831">
        <v>-215.98</v>
      </c>
      <c r="E302" s="2826"/>
      <c r="F302" s="2829"/>
      <c r="G302" s="2829"/>
      <c r="H302" s="2829"/>
    </row>
    <row r="303" spans="1:8" ht="18" hidden="1" customHeight="1" x14ac:dyDescent="0.25">
      <c r="A303" s="2822">
        <v>42005</v>
      </c>
      <c r="B303" s="2824">
        <v>221.6</v>
      </c>
      <c r="C303" s="2824">
        <v>445.3</v>
      </c>
      <c r="D303" s="2831">
        <v>-223.70000000000002</v>
      </c>
      <c r="E303" s="2826"/>
      <c r="F303" s="2829"/>
      <c r="G303" s="2829"/>
      <c r="H303" s="2829"/>
    </row>
    <row r="304" spans="1:8" ht="18" hidden="1" customHeight="1" x14ac:dyDescent="0.25">
      <c r="A304" s="2822">
        <v>42036</v>
      </c>
      <c r="B304" s="2824">
        <v>232.3</v>
      </c>
      <c r="C304" s="2824">
        <v>730.7</v>
      </c>
      <c r="D304" s="2831">
        <v>-498.40000000000003</v>
      </c>
      <c r="E304" s="2826"/>
      <c r="F304" s="2829"/>
      <c r="G304" s="2829"/>
      <c r="H304" s="2829"/>
    </row>
    <row r="305" spans="1:8" ht="18" hidden="1" customHeight="1" x14ac:dyDescent="0.25">
      <c r="A305" s="2822">
        <v>42064</v>
      </c>
      <c r="B305" s="2824">
        <v>268.5</v>
      </c>
      <c r="C305" s="2824">
        <v>898.4</v>
      </c>
      <c r="D305" s="2831">
        <v>-629.9</v>
      </c>
      <c r="E305" s="2826"/>
      <c r="F305" s="2829"/>
      <c r="G305" s="2829"/>
      <c r="H305" s="2829"/>
    </row>
    <row r="306" spans="1:8" ht="18" hidden="1" customHeight="1" x14ac:dyDescent="0.25">
      <c r="A306" s="2822">
        <v>42095</v>
      </c>
      <c r="B306" s="2824">
        <v>424.5</v>
      </c>
      <c r="C306" s="2824">
        <v>1610.7</v>
      </c>
      <c r="D306" s="2831">
        <v>-1186.2</v>
      </c>
      <c r="E306" s="2826"/>
      <c r="F306" s="2829"/>
      <c r="G306" s="2829"/>
      <c r="H306" s="2829"/>
    </row>
    <row r="307" spans="1:8" ht="18" hidden="1" customHeight="1" x14ac:dyDescent="0.25">
      <c r="A307" s="2822">
        <v>42125</v>
      </c>
      <c r="B307" s="2824">
        <v>316.79000000000002</v>
      </c>
      <c r="C307" s="2824">
        <v>871.38900000000001</v>
      </c>
      <c r="D307" s="2831">
        <v>-554.59899999999993</v>
      </c>
      <c r="E307" s="2826"/>
      <c r="F307" s="2829"/>
      <c r="G307" s="2829"/>
      <c r="H307" s="2829"/>
    </row>
    <row r="308" spans="1:8" ht="18" hidden="1" customHeight="1" x14ac:dyDescent="0.25">
      <c r="A308" s="2822">
        <v>42156</v>
      </c>
      <c r="B308" s="2824">
        <v>223.7</v>
      </c>
      <c r="C308" s="2824">
        <v>679.1</v>
      </c>
      <c r="D308" s="2831">
        <v>-455.40000000000003</v>
      </c>
      <c r="E308" s="2826"/>
      <c r="F308" s="2829"/>
      <c r="G308" s="2829"/>
      <c r="H308" s="2829"/>
    </row>
    <row r="309" spans="1:8" ht="18" hidden="1" customHeight="1" x14ac:dyDescent="0.25">
      <c r="A309" s="2822">
        <v>42186</v>
      </c>
      <c r="B309" s="2824">
        <v>299.5</v>
      </c>
      <c r="C309" s="2824">
        <v>294.8</v>
      </c>
      <c r="D309" s="2831">
        <v>4.6999999999999886</v>
      </c>
      <c r="E309" s="2826"/>
      <c r="F309" s="2829"/>
      <c r="G309" s="2829"/>
      <c r="H309" s="2829"/>
    </row>
    <row r="310" spans="1:8" ht="18" hidden="1" customHeight="1" x14ac:dyDescent="0.25">
      <c r="A310" s="2785">
        <v>42217</v>
      </c>
      <c r="B310" s="2824">
        <v>252.7</v>
      </c>
      <c r="C310" s="2824">
        <v>534.70000000000005</v>
      </c>
      <c r="D310" s="2831">
        <v>-282.00000000000006</v>
      </c>
      <c r="E310" s="2826"/>
      <c r="F310" s="2829"/>
      <c r="G310" s="2829"/>
      <c r="H310" s="2829"/>
    </row>
    <row r="311" spans="1:8" ht="18" hidden="1" customHeight="1" x14ac:dyDescent="0.25">
      <c r="A311" s="2785">
        <v>42248</v>
      </c>
      <c r="B311" s="2824">
        <v>355.57600000000002</v>
      </c>
      <c r="C311" s="2824">
        <v>823.68700000000001</v>
      </c>
      <c r="D311" s="2831">
        <v>-468.11099999999999</v>
      </c>
      <c r="E311" s="2826"/>
      <c r="F311" s="2829"/>
      <c r="G311" s="2829"/>
      <c r="H311" s="2829"/>
    </row>
    <row r="312" spans="1:8" ht="18" hidden="1" customHeight="1" x14ac:dyDescent="0.25">
      <c r="A312" s="2785">
        <v>42278</v>
      </c>
      <c r="B312" s="2824">
        <v>480.72313200000002</v>
      </c>
      <c r="C312" s="2824">
        <v>775.22100599999999</v>
      </c>
      <c r="D312" s="2831">
        <v>-294.49787399999997</v>
      </c>
      <c r="E312" s="2826"/>
      <c r="F312" s="2829"/>
      <c r="G312" s="2829"/>
      <c r="H312" s="2829"/>
    </row>
    <row r="313" spans="1:8" ht="18" hidden="1" customHeight="1" x14ac:dyDescent="0.25">
      <c r="A313" s="2785">
        <v>42309</v>
      </c>
      <c r="B313" s="2824">
        <v>277.5</v>
      </c>
      <c r="C313" s="2824">
        <v>420.6</v>
      </c>
      <c r="D313" s="2831">
        <v>-143.10000000000002</v>
      </c>
      <c r="E313" s="2826"/>
      <c r="F313" s="2835"/>
      <c r="G313" s="2835"/>
      <c r="H313" s="2835"/>
    </row>
    <row r="314" spans="1:8" ht="18" hidden="1" customHeight="1" x14ac:dyDescent="0.25">
      <c r="A314" s="2785">
        <v>42339</v>
      </c>
      <c r="B314" s="2824">
        <v>987.9</v>
      </c>
      <c r="C314" s="2824">
        <v>1231</v>
      </c>
      <c r="D314" s="2831">
        <v>-243.10000000000002</v>
      </c>
      <c r="E314" s="2826"/>
      <c r="F314" s="2835"/>
      <c r="G314" s="2835"/>
      <c r="H314" s="2835"/>
    </row>
    <row r="315" spans="1:8" ht="18" hidden="1" customHeight="1" x14ac:dyDescent="0.25">
      <c r="A315" s="2785">
        <v>42370</v>
      </c>
      <c r="B315" s="2824">
        <v>227.35</v>
      </c>
      <c r="C315" s="2824">
        <v>272.8</v>
      </c>
      <c r="D315" s="2831">
        <v>-45.450000000000017</v>
      </c>
      <c r="E315" s="2826"/>
      <c r="F315" s="2835"/>
      <c r="G315" s="2835"/>
      <c r="H315" s="2835"/>
    </row>
    <row r="316" spans="1:8" ht="23.25" hidden="1" customHeight="1" x14ac:dyDescent="0.25">
      <c r="A316" s="2785">
        <v>42401</v>
      </c>
      <c r="B316" s="2824">
        <v>734.2</v>
      </c>
      <c r="C316" s="2824">
        <v>686.38599999999997</v>
      </c>
      <c r="D316" s="2831">
        <v>47.814000000000078</v>
      </c>
      <c r="E316" s="2826"/>
      <c r="F316" s="2829"/>
      <c r="G316" s="2829"/>
      <c r="H316" s="2829"/>
    </row>
    <row r="317" spans="1:8" ht="18" hidden="1" customHeight="1" x14ac:dyDescent="0.25">
      <c r="A317" s="2785">
        <v>42430</v>
      </c>
      <c r="B317" s="2824">
        <v>329.8</v>
      </c>
      <c r="C317" s="2824">
        <v>311.7</v>
      </c>
      <c r="D317" s="2831">
        <v>18.100000000000023</v>
      </c>
      <c r="E317" s="2826"/>
      <c r="F317" s="2829"/>
      <c r="G317" s="2829"/>
      <c r="H317" s="2829"/>
    </row>
    <row r="318" spans="1:8" ht="18" hidden="1" customHeight="1" x14ac:dyDescent="0.25">
      <c r="A318" s="2785">
        <v>42461</v>
      </c>
      <c r="B318" s="2824">
        <v>565.79999999999995</v>
      </c>
      <c r="C318" s="2824">
        <v>422.1</v>
      </c>
      <c r="D318" s="2831">
        <v>143.69999999999993</v>
      </c>
      <c r="E318" s="2826"/>
      <c r="F318" s="2829"/>
      <c r="G318" s="2829"/>
      <c r="H318" s="2829"/>
    </row>
    <row r="319" spans="1:8" ht="18" hidden="1" customHeight="1" x14ac:dyDescent="0.25">
      <c r="A319" s="2785">
        <v>42491</v>
      </c>
      <c r="B319" s="2824">
        <v>158.65</v>
      </c>
      <c r="C319" s="2824">
        <v>201.6</v>
      </c>
      <c r="D319" s="2831">
        <v>-42.949999999999989</v>
      </c>
      <c r="E319" s="2826"/>
      <c r="F319" s="2829"/>
      <c r="G319" s="2829"/>
      <c r="H319" s="2829"/>
    </row>
    <row r="320" spans="1:8" ht="18" hidden="1" customHeight="1" x14ac:dyDescent="0.25">
      <c r="A320" s="2785">
        <v>42522</v>
      </c>
      <c r="B320" s="2824">
        <v>274.39999999999998</v>
      </c>
      <c r="C320" s="2824">
        <v>358.98</v>
      </c>
      <c r="D320" s="2831">
        <v>-84.580000000000041</v>
      </c>
      <c r="E320" s="2826"/>
      <c r="F320" s="2829"/>
      <c r="G320" s="2829"/>
      <c r="H320" s="2829"/>
    </row>
    <row r="321" spans="1:8" ht="18" hidden="1" customHeight="1" x14ac:dyDescent="0.25">
      <c r="A321" s="2785">
        <v>42552</v>
      </c>
      <c r="B321" s="2824">
        <v>186.06</v>
      </c>
      <c r="C321" s="2824">
        <v>638.99</v>
      </c>
      <c r="D321" s="2831">
        <v>-452.93</v>
      </c>
      <c r="E321" s="2826"/>
      <c r="F321" s="2829"/>
      <c r="G321" s="2829"/>
      <c r="H321" s="2829"/>
    </row>
    <row r="322" spans="1:8" ht="18" hidden="1" customHeight="1" x14ac:dyDescent="0.25">
      <c r="A322" s="2785">
        <v>42583</v>
      </c>
      <c r="B322" s="2824">
        <v>264.39999999999998</v>
      </c>
      <c r="C322" s="2824">
        <v>590.79999999999995</v>
      </c>
      <c r="D322" s="2831">
        <v>-326.39999999999998</v>
      </c>
      <c r="E322" s="2826"/>
      <c r="F322" s="2829"/>
      <c r="G322" s="2829"/>
      <c r="H322" s="2829"/>
    </row>
    <row r="323" spans="1:8" ht="18" hidden="1" customHeight="1" x14ac:dyDescent="0.25">
      <c r="A323" s="2785">
        <v>42614</v>
      </c>
      <c r="B323" s="2824">
        <v>510.3</v>
      </c>
      <c r="C323" s="2824">
        <v>677.85</v>
      </c>
      <c r="D323" s="2831">
        <v>-167.55</v>
      </c>
      <c r="E323" s="2826"/>
      <c r="F323" s="2829"/>
      <c r="G323" s="2829"/>
      <c r="H323" s="2829"/>
    </row>
    <row r="324" spans="1:8" ht="18" hidden="1" customHeight="1" x14ac:dyDescent="0.25">
      <c r="A324" s="2785">
        <v>42644</v>
      </c>
      <c r="B324" s="2824">
        <v>214.3</v>
      </c>
      <c r="C324" s="2824">
        <v>420.8</v>
      </c>
      <c r="D324" s="2831">
        <v>-206.5</v>
      </c>
      <c r="E324" s="2826"/>
      <c r="F324" s="2829"/>
      <c r="G324" s="2829"/>
      <c r="H324" s="2829"/>
    </row>
    <row r="325" spans="1:8" ht="18" hidden="1" customHeight="1" x14ac:dyDescent="0.25">
      <c r="A325" s="2785">
        <v>42675</v>
      </c>
      <c r="B325" s="2824">
        <v>333.67</v>
      </c>
      <c r="C325" s="2824">
        <v>533.6</v>
      </c>
      <c r="D325" s="2831">
        <v>-199.93</v>
      </c>
      <c r="E325" s="2826"/>
      <c r="F325" s="2829"/>
      <c r="G325" s="2829"/>
      <c r="H325" s="2829"/>
    </row>
    <row r="326" spans="1:8" ht="18" hidden="1" customHeight="1" x14ac:dyDescent="0.25">
      <c r="A326" s="2785">
        <v>42705</v>
      </c>
      <c r="B326" s="2824">
        <v>225.9</v>
      </c>
      <c r="C326" s="2824">
        <v>202.4</v>
      </c>
      <c r="D326" s="2831">
        <v>23.5</v>
      </c>
      <c r="E326" s="2826"/>
      <c r="F326" s="2829"/>
      <c r="G326" s="2829"/>
      <c r="H326" s="2829"/>
    </row>
    <row r="327" spans="1:8" ht="16.5" hidden="1" x14ac:dyDescent="0.25">
      <c r="A327" s="2785">
        <v>42736</v>
      </c>
      <c r="B327" s="2824">
        <v>184.4</v>
      </c>
      <c r="C327" s="2824">
        <v>265.60000000000002</v>
      </c>
      <c r="D327" s="2831">
        <v>-81.200000000000017</v>
      </c>
      <c r="E327" s="2826"/>
      <c r="F327" s="2829"/>
      <c r="G327" s="2829"/>
      <c r="H327" s="2829"/>
    </row>
    <row r="328" spans="1:8" ht="16.5" hidden="1" x14ac:dyDescent="0.25">
      <c r="A328" s="2785">
        <v>42767</v>
      </c>
      <c r="B328" s="2824">
        <v>273.76</v>
      </c>
      <c r="C328" s="2824">
        <v>312.25</v>
      </c>
      <c r="D328" s="2831">
        <v>-38.490000000000009</v>
      </c>
      <c r="E328" s="2826"/>
      <c r="F328" s="2829"/>
      <c r="G328" s="2829"/>
      <c r="H328" s="2829"/>
    </row>
    <row r="329" spans="1:8" ht="16.5" hidden="1" x14ac:dyDescent="0.25">
      <c r="A329" s="2785">
        <v>42795</v>
      </c>
      <c r="B329" s="2824">
        <v>280.2</v>
      </c>
      <c r="C329" s="2824">
        <v>887.9</v>
      </c>
      <c r="D329" s="2831">
        <v>-607.70000000000005</v>
      </c>
      <c r="E329" s="2826"/>
      <c r="F329" s="2829"/>
      <c r="G329" s="2829"/>
      <c r="H329" s="2829"/>
    </row>
    <row r="330" spans="1:8" ht="16.5" hidden="1" x14ac:dyDescent="0.25">
      <c r="A330" s="2785">
        <v>42826</v>
      </c>
      <c r="B330" s="2824">
        <v>527</v>
      </c>
      <c r="C330" s="2824">
        <v>250.2</v>
      </c>
      <c r="D330" s="2831">
        <v>276.8</v>
      </c>
      <c r="E330" s="2826"/>
      <c r="F330" s="2829"/>
      <c r="G330" s="2829"/>
      <c r="H330" s="2829"/>
    </row>
    <row r="331" spans="1:8" ht="16.5" hidden="1" x14ac:dyDescent="0.25">
      <c r="A331" s="2785">
        <v>42856</v>
      </c>
      <c r="B331" s="2824">
        <v>301.60000000000002</v>
      </c>
      <c r="C331" s="2824">
        <v>241.16800000000001</v>
      </c>
      <c r="D331" s="2831">
        <v>60.432000000000016</v>
      </c>
      <c r="E331" s="2826"/>
      <c r="F331" s="2829"/>
      <c r="G331" s="2829"/>
      <c r="H331" s="2829"/>
    </row>
    <row r="332" spans="1:8" ht="16.5" hidden="1" x14ac:dyDescent="0.25">
      <c r="A332" s="2785">
        <v>42887</v>
      </c>
      <c r="B332" s="2824">
        <v>358.7</v>
      </c>
      <c r="C332" s="2824">
        <v>807</v>
      </c>
      <c r="D332" s="2831">
        <v>-448.3</v>
      </c>
      <c r="E332" s="2826"/>
      <c r="F332" s="2829"/>
      <c r="G332" s="2829"/>
      <c r="H332" s="2829"/>
    </row>
    <row r="333" spans="1:8" ht="16.5" hidden="1" x14ac:dyDescent="0.25">
      <c r="A333" s="2785">
        <v>42917</v>
      </c>
      <c r="B333" s="2824">
        <v>427.7</v>
      </c>
      <c r="C333" s="2824">
        <v>322.8</v>
      </c>
      <c r="D333" s="2831">
        <v>104.89999999999998</v>
      </c>
      <c r="E333" s="2826"/>
      <c r="F333" s="2829"/>
      <c r="G333" s="2829"/>
      <c r="H333" s="2829"/>
    </row>
    <row r="334" spans="1:8" ht="16.5" hidden="1" x14ac:dyDescent="0.25">
      <c r="A334" s="2785">
        <v>42948</v>
      </c>
      <c r="B334" s="2824">
        <v>761.8</v>
      </c>
      <c r="C334" s="2824">
        <v>579.20000000000005</v>
      </c>
      <c r="D334" s="2831">
        <v>182.59999999999991</v>
      </c>
      <c r="E334" s="2826"/>
      <c r="F334" s="2829"/>
      <c r="G334" s="2829"/>
      <c r="H334" s="2829"/>
    </row>
    <row r="335" spans="1:8" ht="16.5" hidden="1" x14ac:dyDescent="0.25">
      <c r="A335" s="2785">
        <v>42979</v>
      </c>
      <c r="B335" s="2824">
        <v>626.6</v>
      </c>
      <c r="C335" s="2824">
        <v>676.8</v>
      </c>
      <c r="D335" s="2831">
        <v>-50.199999999999932</v>
      </c>
      <c r="E335" s="2826"/>
      <c r="F335" s="2829"/>
      <c r="G335" s="2829"/>
      <c r="H335" s="2829"/>
    </row>
    <row r="336" spans="1:8" ht="16.5" hidden="1" x14ac:dyDescent="0.25">
      <c r="A336" s="2785">
        <v>43009</v>
      </c>
      <c r="B336" s="2824">
        <v>508.95111316000003</v>
      </c>
      <c r="C336" s="2824">
        <v>744.55372396000007</v>
      </c>
      <c r="D336" s="2831">
        <v>-235.60261080000004</v>
      </c>
      <c r="E336" s="2826"/>
      <c r="F336" s="2829"/>
      <c r="G336" s="2829"/>
      <c r="H336" s="2829"/>
    </row>
    <row r="337" spans="1:8" ht="16.5" hidden="1" x14ac:dyDescent="0.25">
      <c r="A337" s="2785">
        <v>43040</v>
      </c>
      <c r="B337" s="2824">
        <v>147.17636619000001</v>
      </c>
      <c r="C337" s="2824">
        <v>506.27438144000001</v>
      </c>
      <c r="D337" s="2831">
        <v>-359.09801525</v>
      </c>
      <c r="E337" s="2826"/>
      <c r="F337" s="2829"/>
      <c r="G337" s="2829"/>
      <c r="H337" s="2829"/>
    </row>
    <row r="338" spans="1:8" ht="16.5" hidden="1" x14ac:dyDescent="0.25">
      <c r="A338" s="2785">
        <v>43070</v>
      </c>
      <c r="B338" s="2824">
        <v>428.8</v>
      </c>
      <c r="C338" s="2824">
        <v>687.5</v>
      </c>
      <c r="D338" s="2831">
        <v>-258.7</v>
      </c>
      <c r="E338" s="2826"/>
      <c r="F338" s="2829"/>
      <c r="G338" s="2829"/>
      <c r="H338" s="2829"/>
    </row>
    <row r="339" spans="1:8" ht="16.5" hidden="1" x14ac:dyDescent="0.25">
      <c r="A339" s="2785">
        <v>43101</v>
      </c>
      <c r="B339" s="2824">
        <v>163.69956866999999</v>
      </c>
      <c r="C339" s="2824">
        <v>158.84555512</v>
      </c>
      <c r="D339" s="2831">
        <v>4.8540135499999906</v>
      </c>
      <c r="E339" s="2826"/>
      <c r="F339" s="2829"/>
      <c r="H339" s="2829"/>
    </row>
    <row r="340" spans="1:8" ht="16.5" hidden="1" x14ac:dyDescent="0.25">
      <c r="A340" s="2785">
        <v>43132</v>
      </c>
      <c r="B340" s="2824">
        <v>214.9</v>
      </c>
      <c r="C340" s="2824">
        <v>330</v>
      </c>
      <c r="D340" s="2831">
        <v>-115.1</v>
      </c>
      <c r="E340" s="2826"/>
      <c r="F340" s="2829"/>
      <c r="G340" s="2829"/>
      <c r="H340" s="2829"/>
    </row>
    <row r="341" spans="1:8" ht="16.5" hidden="1" x14ac:dyDescent="0.25">
      <c r="A341" s="2785">
        <v>43160</v>
      </c>
      <c r="B341" s="2824">
        <v>176.17088856000001</v>
      </c>
      <c r="C341" s="2824">
        <v>213.54689044</v>
      </c>
      <c r="D341" s="2831">
        <v>-37.37600187999999</v>
      </c>
      <c r="E341" s="2826"/>
      <c r="F341" s="2829"/>
      <c r="G341" s="2829"/>
      <c r="H341" s="2829"/>
    </row>
    <row r="342" spans="1:8" ht="16.5" hidden="1" x14ac:dyDescent="0.25">
      <c r="A342" s="2785">
        <v>43191</v>
      </c>
      <c r="B342" s="2824">
        <v>314.86257048000004</v>
      </c>
      <c r="C342" s="2824">
        <v>248.25234823</v>
      </c>
      <c r="D342" s="2831">
        <v>66.610222250000049</v>
      </c>
      <c r="E342" s="2826"/>
      <c r="F342" s="2829"/>
      <c r="G342" s="2829"/>
      <c r="H342" s="2829"/>
    </row>
    <row r="343" spans="1:8" ht="16.5" hidden="1" x14ac:dyDescent="0.25">
      <c r="A343" s="2785">
        <v>43221</v>
      </c>
      <c r="B343" s="2832">
        <v>289.56337730000001</v>
      </c>
      <c r="C343" s="2832">
        <v>463.47694624000002</v>
      </c>
      <c r="D343" s="2831">
        <v>-173.91356894</v>
      </c>
      <c r="E343" s="2826"/>
      <c r="F343" s="2829"/>
      <c r="G343" s="2829"/>
      <c r="H343" s="2829"/>
    </row>
    <row r="344" spans="1:8" ht="16.5" hidden="1" x14ac:dyDescent="0.25">
      <c r="A344" s="2785">
        <v>43252</v>
      </c>
      <c r="B344" s="2824">
        <v>164.34553600000001</v>
      </c>
      <c r="C344" s="2824">
        <v>678.257836</v>
      </c>
      <c r="D344" s="2831">
        <v>-513.91229999999996</v>
      </c>
      <c r="E344" s="2826"/>
      <c r="F344" s="2829"/>
      <c r="G344" s="2829"/>
      <c r="H344" s="2829"/>
    </row>
    <row r="345" spans="1:8" ht="16.5" hidden="1" x14ac:dyDescent="0.25">
      <c r="A345" s="2785">
        <v>43282</v>
      </c>
      <c r="B345" s="2824">
        <v>253.28813493000001</v>
      </c>
      <c r="C345" s="2824">
        <v>768.13122389</v>
      </c>
      <c r="D345" s="2831">
        <v>-514.84308895999993</v>
      </c>
      <c r="E345" s="2826"/>
    </row>
    <row r="346" spans="1:8" ht="16.5" hidden="1" x14ac:dyDescent="0.25">
      <c r="A346" s="2785">
        <v>43313</v>
      </c>
      <c r="B346" s="2824">
        <v>175.8</v>
      </c>
      <c r="C346" s="2824">
        <v>421.4</v>
      </c>
      <c r="D346" s="2831">
        <v>-245.59999999999997</v>
      </c>
      <c r="E346" s="2826"/>
    </row>
    <row r="347" spans="1:8" ht="16.5" hidden="1" x14ac:dyDescent="0.25">
      <c r="A347" s="2785">
        <v>43344</v>
      </c>
      <c r="B347" s="2824">
        <v>243.54948572999999</v>
      </c>
      <c r="C347" s="2824">
        <v>502.39480193000003</v>
      </c>
      <c r="D347" s="2831">
        <v>-258.84531620000001</v>
      </c>
      <c r="E347" s="2826"/>
    </row>
    <row r="348" spans="1:8" ht="16.5" hidden="1" x14ac:dyDescent="0.25">
      <c r="A348" s="2785">
        <v>43374</v>
      </c>
      <c r="B348" s="2824">
        <v>304.76623125999998</v>
      </c>
      <c r="C348" s="2824">
        <v>382.50753410999999</v>
      </c>
      <c r="D348" s="2831">
        <v>-77.741302850000025</v>
      </c>
      <c r="E348" s="2826"/>
    </row>
    <row r="349" spans="1:8" ht="16.5" hidden="1" x14ac:dyDescent="0.25">
      <c r="A349" s="2785">
        <v>43405</v>
      </c>
      <c r="B349" s="2824">
        <v>267.94366561999999</v>
      </c>
      <c r="C349" s="2824">
        <v>310.56397023</v>
      </c>
      <c r="D349" s="2831">
        <v>-42.620304610000005</v>
      </c>
      <c r="E349" s="2826"/>
    </row>
    <row r="350" spans="1:8" ht="16.5" hidden="1" x14ac:dyDescent="0.25">
      <c r="A350" s="2785">
        <v>43435</v>
      </c>
      <c r="B350" s="2824">
        <v>367.32497288999997</v>
      </c>
      <c r="C350" s="2824">
        <v>669.86459102999993</v>
      </c>
      <c r="D350" s="2831">
        <v>-302.53961813999996</v>
      </c>
      <c r="E350" s="2826"/>
    </row>
    <row r="351" spans="1:8" ht="16.5" hidden="1" x14ac:dyDescent="0.25">
      <c r="A351" s="2785">
        <v>43466</v>
      </c>
      <c r="B351" s="2824">
        <v>250.01246903999998</v>
      </c>
      <c r="C351" s="2824">
        <v>301.93385665</v>
      </c>
      <c r="D351" s="2831">
        <v>-51.921387609999996</v>
      </c>
      <c r="E351" s="2826"/>
    </row>
    <row r="352" spans="1:8" ht="16.5" hidden="1" x14ac:dyDescent="0.25">
      <c r="A352" s="2785">
        <v>43497</v>
      </c>
      <c r="B352" s="2824">
        <v>1080.8</v>
      </c>
      <c r="C352" s="2824">
        <v>1305.9000000000001</v>
      </c>
      <c r="D352" s="2831">
        <v>-225.1</v>
      </c>
      <c r="E352" s="2826"/>
    </row>
    <row r="353" spans="1:8" ht="16.5" hidden="1" x14ac:dyDescent="0.25">
      <c r="A353" s="2785">
        <v>43525</v>
      </c>
      <c r="B353" s="2824">
        <v>546.18642484000009</v>
      </c>
      <c r="C353" s="2824">
        <v>708.79133571</v>
      </c>
      <c r="D353" s="2831">
        <v>-162.60491087</v>
      </c>
      <c r="E353" s="2826"/>
    </row>
    <row r="354" spans="1:8" ht="16.5" hidden="1" x14ac:dyDescent="0.25">
      <c r="A354" s="2785">
        <v>43556</v>
      </c>
      <c r="B354" s="2824">
        <v>363.12925673000001</v>
      </c>
      <c r="C354" s="2824">
        <v>559.92395619000001</v>
      </c>
      <c r="D354" s="2831">
        <v>-196.79469946000003</v>
      </c>
      <c r="E354" s="2826"/>
    </row>
    <row r="355" spans="1:8" ht="16.5" hidden="1" x14ac:dyDescent="0.2">
      <c r="A355" s="2785">
        <v>43586</v>
      </c>
      <c r="B355" s="2824">
        <v>175.72877995999997</v>
      </c>
      <c r="C355" s="2824">
        <v>364.86919901999994</v>
      </c>
      <c r="D355" s="2831">
        <v>-189.14041905999997</v>
      </c>
      <c r="E355" s="2826"/>
      <c r="F355" s="2836"/>
      <c r="G355" s="2829"/>
      <c r="H355" s="2837"/>
    </row>
    <row r="356" spans="1:8" ht="16.5" hidden="1" x14ac:dyDescent="0.2">
      <c r="A356" s="2785">
        <v>43617</v>
      </c>
      <c r="B356" s="2824">
        <v>117.97682239</v>
      </c>
      <c r="C356" s="2824">
        <v>319.51484075000002</v>
      </c>
      <c r="D356" s="2831">
        <v>-201.53801836000002</v>
      </c>
      <c r="E356" s="2826"/>
      <c r="F356" s="2836"/>
      <c r="G356" s="2829"/>
      <c r="H356" s="2837"/>
    </row>
    <row r="357" spans="1:8" ht="16.5" hidden="1" x14ac:dyDescent="0.2">
      <c r="A357" s="2785">
        <v>43647</v>
      </c>
      <c r="B357" s="2824">
        <v>461.35330399999998</v>
      </c>
      <c r="C357" s="2824">
        <v>660.04945999999995</v>
      </c>
      <c r="D357" s="2831">
        <v>-198.69615599999997</v>
      </c>
      <c r="E357" s="2826"/>
      <c r="F357" s="2836"/>
      <c r="G357" s="2829"/>
      <c r="H357" s="2837"/>
    </row>
    <row r="358" spans="1:8" ht="16.5" hidden="1" x14ac:dyDescent="0.2">
      <c r="A358" s="2785">
        <v>43678</v>
      </c>
      <c r="B358" s="2824">
        <v>589.6</v>
      </c>
      <c r="C358" s="2824">
        <v>750.3</v>
      </c>
      <c r="D358" s="2831">
        <v>-160.69999999999993</v>
      </c>
      <c r="E358" s="2826"/>
      <c r="F358" s="2836"/>
      <c r="G358" s="2829"/>
      <c r="H358" s="2837"/>
    </row>
    <row r="359" spans="1:8" ht="16.5" hidden="1" x14ac:dyDescent="0.2">
      <c r="A359" s="2785">
        <v>43709</v>
      </c>
      <c r="B359" s="2824">
        <v>252.41364633000001</v>
      </c>
      <c r="C359" s="2824">
        <v>452.88127608999997</v>
      </c>
      <c r="D359" s="2831">
        <v>-200.46762975999997</v>
      </c>
      <c r="E359" s="2826"/>
      <c r="F359" s="2836"/>
      <c r="G359" s="2829"/>
      <c r="H359" s="2837"/>
    </row>
    <row r="360" spans="1:8" ht="16.5" hidden="1" x14ac:dyDescent="0.2">
      <c r="A360" s="2785">
        <v>43739</v>
      </c>
      <c r="B360" s="2824">
        <v>341.91895273</v>
      </c>
      <c r="C360" s="2824">
        <v>399.51268721999998</v>
      </c>
      <c r="D360" s="2831">
        <v>-57.593734489999974</v>
      </c>
      <c r="E360" s="2826"/>
      <c r="F360" s="2836"/>
      <c r="G360" s="2829"/>
      <c r="H360" s="2837"/>
    </row>
    <row r="361" spans="1:8" ht="16.5" hidden="1" x14ac:dyDescent="0.2">
      <c r="A361" s="2785">
        <v>43770</v>
      </c>
      <c r="B361" s="2824">
        <v>148.64693626999997</v>
      </c>
      <c r="C361" s="2824">
        <v>238.63695158000002</v>
      </c>
      <c r="D361" s="2831">
        <v>-89.990015310000047</v>
      </c>
      <c r="E361" s="2826"/>
      <c r="F361" s="2836"/>
      <c r="G361" s="2829"/>
      <c r="H361" s="2837"/>
    </row>
    <row r="362" spans="1:8" ht="16.5" hidden="1" x14ac:dyDescent="0.2">
      <c r="A362" s="2785">
        <v>43800</v>
      </c>
      <c r="B362" s="2824">
        <v>168.30112600000001</v>
      </c>
      <c r="C362" s="2824">
        <v>204.30930824000001</v>
      </c>
      <c r="D362" s="2831">
        <v>-36.008182239999996</v>
      </c>
      <c r="E362" s="2826"/>
      <c r="F362" s="2836"/>
      <c r="G362" s="2829"/>
      <c r="H362" s="2837"/>
    </row>
    <row r="363" spans="1:8" ht="16.5" hidden="1" x14ac:dyDescent="0.2">
      <c r="A363" s="2785">
        <v>43831</v>
      </c>
      <c r="B363" s="2824">
        <v>145.75920266</v>
      </c>
      <c r="C363" s="2824">
        <v>250.67246011</v>
      </c>
      <c r="D363" s="2831">
        <v>-104.91325745</v>
      </c>
      <c r="E363" s="2826"/>
      <c r="F363" s="2836"/>
      <c r="G363" s="2829"/>
      <c r="H363" s="2837"/>
    </row>
    <row r="364" spans="1:8" ht="16.5" hidden="1" x14ac:dyDescent="0.2">
      <c r="A364" s="2785">
        <v>43862</v>
      </c>
      <c r="B364" s="2824">
        <v>160.84890891999999</v>
      </c>
      <c r="C364" s="2824">
        <v>415.3447185</v>
      </c>
      <c r="D364" s="2831">
        <v>-254.49580958000001</v>
      </c>
      <c r="E364" s="2826"/>
      <c r="F364" s="2836"/>
      <c r="G364" s="2829"/>
      <c r="H364" s="2837"/>
    </row>
    <row r="365" spans="1:8" ht="16.5" hidden="1" x14ac:dyDescent="0.2">
      <c r="A365" s="2785">
        <v>43891</v>
      </c>
      <c r="B365" s="2824">
        <v>166.38438112</v>
      </c>
      <c r="C365" s="2824">
        <v>626.22916894000002</v>
      </c>
      <c r="D365" s="2831">
        <v>-459.84478782000002</v>
      </c>
      <c r="E365" s="2826"/>
      <c r="F365" s="2836"/>
      <c r="G365" s="2829"/>
      <c r="H365" s="2837"/>
    </row>
    <row r="366" spans="1:8" ht="16.5" hidden="1" x14ac:dyDescent="0.2">
      <c r="A366" s="2785">
        <v>43922</v>
      </c>
      <c r="B366" s="2824">
        <v>158.85770421999999</v>
      </c>
      <c r="C366" s="2824">
        <v>445.84691133999996</v>
      </c>
      <c r="D366" s="2831">
        <v>-286.98920712</v>
      </c>
      <c r="E366" s="2826"/>
      <c r="F366" s="2836"/>
      <c r="G366" s="2829"/>
      <c r="H366" s="2837"/>
    </row>
    <row r="367" spans="1:8" ht="16.5" hidden="1" x14ac:dyDescent="0.25">
      <c r="A367" s="2785">
        <v>43952</v>
      </c>
      <c r="B367" s="2824">
        <v>96.384426290000007</v>
      </c>
      <c r="C367" s="2824">
        <v>186.81947284</v>
      </c>
      <c r="D367" s="2831">
        <v>-90.435046549999996</v>
      </c>
      <c r="E367" s="2826"/>
      <c r="H367" s="2837"/>
    </row>
    <row r="368" spans="1:8" ht="16.5" hidden="1" x14ac:dyDescent="0.2">
      <c r="A368" s="2785">
        <v>43983</v>
      </c>
      <c r="B368" s="2824">
        <v>164.12794043</v>
      </c>
      <c r="C368" s="2824">
        <v>364.41533373000004</v>
      </c>
      <c r="D368" s="2831">
        <v>-200.28739330000002</v>
      </c>
      <c r="E368" s="2826"/>
      <c r="F368" s="2836"/>
      <c r="G368" s="2829"/>
      <c r="H368" s="2837"/>
    </row>
    <row r="369" spans="1:9" ht="16.5" x14ac:dyDescent="0.2">
      <c r="A369" s="2785">
        <v>44013</v>
      </c>
      <c r="B369" s="2824">
        <v>846.09347446000004</v>
      </c>
      <c r="C369" s="2824">
        <v>1230.1873005799998</v>
      </c>
      <c r="D369" s="2831">
        <v>-384.0938261199999</v>
      </c>
      <c r="E369" s="2826"/>
      <c r="F369" s="2836"/>
      <c r="H369" s="2838"/>
    </row>
    <row r="370" spans="1:9" ht="16.5" x14ac:dyDescent="0.2">
      <c r="A370" s="2785">
        <v>44044</v>
      </c>
      <c r="B370" s="2824">
        <v>1758.4613597800001</v>
      </c>
      <c r="C370" s="2824">
        <v>1864.95180121</v>
      </c>
      <c r="D370" s="2831">
        <v>-106.49044143000006</v>
      </c>
      <c r="E370" s="2826"/>
      <c r="F370" s="2836"/>
      <c r="H370" s="2838"/>
    </row>
    <row r="371" spans="1:9" ht="16.5" x14ac:dyDescent="0.2">
      <c r="A371" s="2785">
        <v>44075</v>
      </c>
      <c r="B371" s="2824">
        <v>175.32535059</v>
      </c>
      <c r="C371" s="2824">
        <v>282.86659758999997</v>
      </c>
      <c r="D371" s="2831">
        <v>-107.54124699999997</v>
      </c>
      <c r="E371" s="2826"/>
      <c r="F371" s="2836"/>
      <c r="H371" s="2838"/>
    </row>
    <row r="372" spans="1:9" ht="16.5" x14ac:dyDescent="0.2">
      <c r="A372" s="2785">
        <v>44105</v>
      </c>
      <c r="B372" s="2824">
        <v>67.83185872</v>
      </c>
      <c r="C372" s="2824">
        <v>183.78849277</v>
      </c>
      <c r="D372" s="2831">
        <v>-115.95663405000001</v>
      </c>
      <c r="E372" s="2826"/>
      <c r="F372" s="2836"/>
      <c r="H372" s="2838"/>
    </row>
    <row r="373" spans="1:9" ht="16.5" x14ac:dyDescent="0.2">
      <c r="A373" s="2785">
        <v>44136</v>
      </c>
      <c r="B373" s="2824">
        <v>210.80748795</v>
      </c>
      <c r="C373" s="2824">
        <v>160.16052164999999</v>
      </c>
      <c r="D373" s="2831">
        <v>50.646966299999981</v>
      </c>
      <c r="E373" s="2826"/>
      <c r="F373" s="2836"/>
      <c r="H373" s="2838"/>
    </row>
    <row r="374" spans="1:9" ht="16.5" x14ac:dyDescent="0.2">
      <c r="A374" s="2785">
        <v>44166</v>
      </c>
      <c r="B374" s="2824">
        <v>139.16891934</v>
      </c>
      <c r="C374" s="2824">
        <v>169.6396259</v>
      </c>
      <c r="D374" s="2831">
        <v>-30.470706560000004</v>
      </c>
      <c r="E374" s="2826"/>
      <c r="F374" s="2836"/>
      <c r="H374" s="2838"/>
    </row>
    <row r="375" spans="1:9" ht="16.5" x14ac:dyDescent="0.2">
      <c r="A375" s="2785">
        <v>44197</v>
      </c>
      <c r="B375" s="2824">
        <v>101.08099918000001</v>
      </c>
      <c r="C375" s="2824">
        <v>310.21439637999998</v>
      </c>
      <c r="D375" s="2831">
        <v>-209.13339719999999</v>
      </c>
      <c r="E375" s="2826"/>
      <c r="F375" s="2836"/>
      <c r="H375" s="2838"/>
    </row>
    <row r="376" spans="1:9" ht="16.5" x14ac:dyDescent="0.2">
      <c r="A376" s="2785">
        <v>44228</v>
      </c>
      <c r="B376" s="2824">
        <v>336.99862200000001</v>
      </c>
      <c r="C376" s="2824">
        <v>337.09988282999996</v>
      </c>
      <c r="D376" s="2831">
        <v>-0.10126082999998332</v>
      </c>
      <c r="E376" s="2826"/>
      <c r="F376" s="2836"/>
      <c r="H376" s="2838"/>
    </row>
    <row r="377" spans="1:9" ht="16.5" x14ac:dyDescent="0.2">
      <c r="A377" s="2785">
        <v>44256</v>
      </c>
      <c r="B377" s="2824">
        <v>638.53544831000022</v>
      </c>
      <c r="C377" s="2824">
        <v>847.48317842000017</v>
      </c>
      <c r="D377" s="2831">
        <v>-208.94773010999995</v>
      </c>
      <c r="E377" s="2826"/>
      <c r="F377" s="2836"/>
      <c r="H377" s="2838"/>
    </row>
    <row r="378" spans="1:9" ht="16.5" x14ac:dyDescent="0.2">
      <c r="A378" s="2785">
        <v>44287</v>
      </c>
      <c r="B378" s="2824">
        <v>111.79326396999997</v>
      </c>
      <c r="C378" s="2824">
        <v>154.88396629000002</v>
      </c>
      <c r="D378" s="2831">
        <v>-43.090702320000055</v>
      </c>
      <c r="E378" s="2826"/>
      <c r="F378" s="2836"/>
      <c r="H378" s="2838"/>
    </row>
    <row r="379" spans="1:9" ht="16.5" x14ac:dyDescent="0.2">
      <c r="A379" s="2785">
        <v>44317</v>
      </c>
      <c r="B379" s="2824">
        <v>90.236932599999989</v>
      </c>
      <c r="C379" s="2824">
        <v>137.31930266999998</v>
      </c>
      <c r="D379" s="2831">
        <v>-47.082370069999996</v>
      </c>
      <c r="E379" s="2826"/>
      <c r="F379" s="2836"/>
      <c r="H379" s="2838"/>
    </row>
    <row r="380" spans="1:9" ht="16.5" x14ac:dyDescent="0.2">
      <c r="A380" s="2785">
        <v>44348</v>
      </c>
      <c r="B380" s="2824">
        <v>160.84219200000001</v>
      </c>
      <c r="C380" s="2824">
        <v>376.45302900000002</v>
      </c>
      <c r="D380" s="2831">
        <v>-215.610837</v>
      </c>
      <c r="E380" s="2826"/>
      <c r="F380" s="2836"/>
      <c r="H380" s="2838"/>
    </row>
    <row r="381" spans="1:9" ht="17.25" thickBot="1" x14ac:dyDescent="0.25">
      <c r="A381" s="2785">
        <v>44378</v>
      </c>
      <c r="B381" s="2824">
        <v>178.19344776</v>
      </c>
      <c r="C381" s="2824">
        <v>261.31608412000003</v>
      </c>
      <c r="D381" s="2831">
        <v>-83.12263636000003</v>
      </c>
      <c r="E381" s="2826"/>
      <c r="F381" s="2836"/>
      <c r="H381" s="2838"/>
    </row>
    <row r="382" spans="1:9" ht="17.25" thickBot="1" x14ac:dyDescent="0.3">
      <c r="A382" s="2839" t="s">
        <v>114</v>
      </c>
      <c r="B382" s="2840">
        <f>SUM(B369:B381)</f>
        <v>4815.3693566600014</v>
      </c>
      <c r="C382" s="2840">
        <f t="shared" ref="C382:D382" si="0">SUM(C369:C381)</f>
        <v>6316.3641794100004</v>
      </c>
      <c r="D382" s="2841">
        <f t="shared" si="0"/>
        <v>-1500.9948227499999</v>
      </c>
      <c r="E382" s="2842"/>
      <c r="F382" s="2843"/>
      <c r="G382" s="2829"/>
      <c r="H382" s="2829"/>
    </row>
    <row r="383" spans="1:9" s="2807" customFormat="1" ht="17.25" customHeight="1" thickTop="1" x14ac:dyDescent="0.25">
      <c r="A383" s="2807" t="s">
        <v>4912</v>
      </c>
      <c r="C383" s="2809"/>
      <c r="D383" s="2844"/>
      <c r="E383" s="2845"/>
      <c r="F383" s="2829"/>
      <c r="H383" s="2811"/>
      <c r="I383" s="2811"/>
    </row>
    <row r="384" spans="1:9" s="2807" customFormat="1" ht="17.25" customHeight="1" x14ac:dyDescent="0.25">
      <c r="A384" s="2807" t="s">
        <v>4880</v>
      </c>
      <c r="C384" s="2809"/>
      <c r="D384" s="2810"/>
      <c r="E384" s="2811"/>
      <c r="F384" s="2811"/>
      <c r="G384" s="2811"/>
      <c r="H384" s="2812"/>
    </row>
    <row r="385" spans="2:8" ht="12.75" customHeight="1" x14ac:dyDescent="0.25">
      <c r="B385" s="2829"/>
      <c r="C385" s="2829"/>
      <c r="D385" s="2846"/>
      <c r="E385" s="2828"/>
      <c r="F385" s="2828"/>
      <c r="G385" s="2847"/>
    </row>
    <row r="386" spans="2:8" ht="12.75" customHeight="1" x14ac:dyDescent="0.25">
      <c r="C386" s="2741"/>
      <c r="D386" s="2829"/>
      <c r="F386" s="2848"/>
      <c r="G386" s="2848"/>
      <c r="H386" s="2837"/>
    </row>
    <row r="387" spans="2:8" ht="12.75" customHeight="1" x14ac:dyDescent="0.25">
      <c r="B387" s="2849"/>
      <c r="C387" s="2850"/>
      <c r="D387" s="2851"/>
      <c r="E387" s="2830"/>
      <c r="F387" s="2852"/>
      <c r="G387" s="2853"/>
      <c r="H387" s="2853"/>
    </row>
    <row r="388" spans="2:8" ht="12.75" customHeight="1" x14ac:dyDescent="0.25">
      <c r="B388" s="2854"/>
      <c r="D388" s="2855"/>
      <c r="E388" s="2827"/>
      <c r="F388" s="2828"/>
      <c r="G388" s="2828"/>
    </row>
    <row r="389" spans="2:8" ht="12.75" customHeight="1" x14ac:dyDescent="0.25">
      <c r="B389" s="2830"/>
      <c r="C389" s="2830"/>
      <c r="D389" s="2830"/>
      <c r="E389" s="2827"/>
      <c r="F389" s="2828"/>
      <c r="G389" s="2828"/>
    </row>
    <row r="390" spans="2:8" s="2830" customFormat="1" ht="12.75" customHeight="1" x14ac:dyDescent="0.25"/>
    <row r="391" spans="2:8" ht="12.75" customHeight="1" x14ac:dyDescent="0.25"/>
    <row r="392" spans="2:8" ht="12.75" customHeight="1" x14ac:dyDescent="0.25">
      <c r="B392" s="2848"/>
      <c r="C392" s="2856"/>
      <c r="D392" s="2857"/>
      <c r="E392" s="2848"/>
    </row>
    <row r="393" spans="2:8" ht="12.75" customHeight="1" x14ac:dyDescent="0.25">
      <c r="C393" s="2855"/>
      <c r="D393" s="2846"/>
      <c r="E393" s="2828"/>
      <c r="F393" s="2828"/>
      <c r="G393" s="2827"/>
    </row>
    <row r="394" spans="2:8" x14ac:dyDescent="0.25">
      <c r="B394" s="2827"/>
      <c r="C394" s="2846"/>
      <c r="D394" s="2846"/>
    </row>
    <row r="395" spans="2:8" x14ac:dyDescent="0.25">
      <c r="C395" s="2846"/>
      <c r="D395" s="2855"/>
    </row>
    <row r="396" spans="2:8" x14ac:dyDescent="0.25">
      <c r="C396" s="2855"/>
      <c r="D396" s="2855"/>
    </row>
    <row r="397" spans="2:8" x14ac:dyDescent="0.25">
      <c r="D397" s="2855"/>
    </row>
    <row r="398" spans="2:8" x14ac:dyDescent="0.25">
      <c r="D398" s="2855"/>
    </row>
    <row r="399" spans="2:8" x14ac:dyDescent="0.25">
      <c r="C399" s="2855"/>
      <c r="D399" s="2855"/>
    </row>
    <row r="400" spans="2:8" x14ac:dyDescent="0.25">
      <c r="C400" s="2855"/>
      <c r="D400" s="2855"/>
    </row>
    <row r="401" spans="3:4" x14ac:dyDescent="0.25">
      <c r="C401" s="2855"/>
      <c r="D401" s="2855"/>
    </row>
    <row r="402" spans="3:4" x14ac:dyDescent="0.25">
      <c r="D402" s="2855"/>
    </row>
  </sheetData>
  <mergeCells count="5">
    <mergeCell ref="A3:A7"/>
    <mergeCell ref="B3:H3"/>
    <mergeCell ref="E4:H4"/>
    <mergeCell ref="A237:H237"/>
    <mergeCell ref="A238:H238"/>
  </mergeCells>
  <printOptions horizontalCentered="1"/>
  <pageMargins left="0.75" right="0.75" top="0.75" bottom="0.75" header="0.3" footer="0"/>
  <pageSetup paperSize="9" scale="70"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R45"/>
  <sheetViews>
    <sheetView zoomScaleNormal="100" zoomScaleSheetLayoutView="90" workbookViewId="0">
      <pane xSplit="3" ySplit="6" topLeftCell="D7" activePane="bottomRight" state="frozen"/>
      <selection activeCell="A150" sqref="A150"/>
      <selection pane="topRight" activeCell="A150" sqref="A150"/>
      <selection pane="bottomLeft" activeCell="A150" sqref="A150"/>
      <selection pane="bottomRight"/>
    </sheetView>
  </sheetViews>
  <sheetFormatPr defaultColWidth="8.85546875" defaultRowHeight="14.25" x14ac:dyDescent="0.25"/>
  <cols>
    <col min="1" max="1" width="15.140625" style="2861" customWidth="1"/>
    <col min="2" max="2" width="14.7109375" style="2861" hidden="1" customWidth="1"/>
    <col min="3" max="3" width="15.28515625" style="2861" hidden="1" customWidth="1"/>
    <col min="4" max="4" width="15.5703125" style="2861" customWidth="1"/>
    <col min="5" max="5" width="16.42578125" style="2861" customWidth="1"/>
    <col min="6" max="6" width="15.5703125" style="2861" customWidth="1"/>
    <col min="7" max="7" width="16.42578125" style="2861" customWidth="1"/>
    <col min="8" max="8" width="15.5703125" style="2861" customWidth="1"/>
    <col min="9" max="9" width="16.42578125" style="2861" customWidth="1"/>
    <col min="10" max="10" width="15.5703125" style="2861" customWidth="1"/>
    <col min="11" max="11" width="16.42578125" style="2861" customWidth="1"/>
    <col min="12" max="12" width="15.5703125" style="2861" customWidth="1"/>
    <col min="13" max="13" width="16.42578125" style="2861" customWidth="1"/>
    <col min="14" max="16384" width="8.85546875" style="2861"/>
  </cols>
  <sheetData>
    <row r="1" spans="1:18" s="2739" customFormat="1" ht="18.75" customHeight="1" x14ac:dyDescent="0.25">
      <c r="A1" s="2738" t="s">
        <v>4913</v>
      </c>
      <c r="B1" s="2858"/>
      <c r="C1" s="2859"/>
      <c r="D1" s="2859"/>
      <c r="E1" s="2859"/>
      <c r="F1" s="2738"/>
      <c r="G1" s="2859"/>
      <c r="H1" s="2859"/>
    </row>
    <row r="2" spans="1:18" ht="10.5" customHeight="1" thickBot="1" x14ac:dyDescent="0.3">
      <c r="A2" s="2860"/>
      <c r="B2" s="2860"/>
      <c r="C2" s="2860"/>
    </row>
    <row r="3" spans="1:18" s="2863" customFormat="1" ht="18.75" customHeight="1" thickTop="1" thickBot="1" x14ac:dyDescent="0.35">
      <c r="A3" s="2862"/>
      <c r="B3" s="3932">
        <v>2016</v>
      </c>
      <c r="C3" s="3933"/>
      <c r="D3" s="3934">
        <v>2017</v>
      </c>
      <c r="E3" s="3933"/>
      <c r="F3" s="3930">
        <v>2018</v>
      </c>
      <c r="G3" s="3931"/>
      <c r="H3" s="3930">
        <v>2019</v>
      </c>
      <c r="I3" s="3931"/>
      <c r="J3" s="3930">
        <v>2020</v>
      </c>
      <c r="K3" s="3931"/>
      <c r="L3" s="3930">
        <v>2021</v>
      </c>
      <c r="M3" s="3931"/>
    </row>
    <row r="4" spans="1:18" s="2863" customFormat="1" ht="16.5" customHeight="1" x14ac:dyDescent="0.3">
      <c r="A4" s="2864"/>
      <c r="B4" s="3941" t="s">
        <v>4914</v>
      </c>
      <c r="C4" s="3939" t="s">
        <v>4915</v>
      </c>
      <c r="D4" s="3936" t="s">
        <v>4916</v>
      </c>
      <c r="E4" s="3939" t="s">
        <v>4917</v>
      </c>
      <c r="F4" s="3936" t="s">
        <v>4916</v>
      </c>
      <c r="G4" s="3939" t="s">
        <v>4917</v>
      </c>
      <c r="H4" s="3936" t="s">
        <v>4916</v>
      </c>
      <c r="I4" s="3939" t="s">
        <v>4917</v>
      </c>
      <c r="J4" s="3936" t="s">
        <v>4916</v>
      </c>
      <c r="K4" s="3939" t="s">
        <v>4917</v>
      </c>
      <c r="L4" s="3941" t="s">
        <v>4916</v>
      </c>
      <c r="M4" s="3944" t="s">
        <v>4917</v>
      </c>
    </row>
    <row r="5" spans="1:18" s="2863" customFormat="1" ht="16.5" x14ac:dyDescent="0.3">
      <c r="A5" s="2864"/>
      <c r="B5" s="3942"/>
      <c r="C5" s="3940"/>
      <c r="D5" s="3937"/>
      <c r="E5" s="3940"/>
      <c r="F5" s="3937"/>
      <c r="G5" s="3940"/>
      <c r="H5" s="3937"/>
      <c r="I5" s="3940"/>
      <c r="J5" s="3937"/>
      <c r="K5" s="3940"/>
      <c r="L5" s="3942"/>
      <c r="M5" s="3945"/>
    </row>
    <row r="6" spans="1:18" s="2868" customFormat="1" ht="16.5" customHeight="1" thickBot="1" x14ac:dyDescent="0.35">
      <c r="A6" s="2865"/>
      <c r="B6" s="3943"/>
      <c r="C6" s="2866" t="s">
        <v>4918</v>
      </c>
      <c r="D6" s="3938"/>
      <c r="E6" s="2866" t="s">
        <v>4918</v>
      </c>
      <c r="F6" s="3938"/>
      <c r="G6" s="2866" t="s">
        <v>4918</v>
      </c>
      <c r="H6" s="3938"/>
      <c r="I6" s="2866" t="s">
        <v>4918</v>
      </c>
      <c r="J6" s="3938"/>
      <c r="K6" s="2866" t="s">
        <v>4918</v>
      </c>
      <c r="L6" s="3943"/>
      <c r="M6" s="2867" t="s">
        <v>4918</v>
      </c>
    </row>
    <row r="7" spans="1:18" ht="17.25" thickTop="1" x14ac:dyDescent="0.25">
      <c r="A7" s="2869" t="s">
        <v>117</v>
      </c>
      <c r="B7" s="2870">
        <v>118426</v>
      </c>
      <c r="C7" s="2871">
        <v>5250</v>
      </c>
      <c r="D7" s="2872">
        <v>124362</v>
      </c>
      <c r="E7" s="2871">
        <v>6119</v>
      </c>
      <c r="F7" s="2870">
        <v>120974</v>
      </c>
      <c r="G7" s="2871">
        <v>6615</v>
      </c>
      <c r="H7" s="2870">
        <v>122273</v>
      </c>
      <c r="I7" s="2871">
        <v>6178</v>
      </c>
      <c r="J7" s="2870">
        <v>137419</v>
      </c>
      <c r="K7" s="2873">
        <v>5995</v>
      </c>
      <c r="L7" s="2870">
        <v>1232</v>
      </c>
      <c r="M7" s="2873">
        <v>243</v>
      </c>
      <c r="N7" s="2874"/>
    </row>
    <row r="8" spans="1:18" ht="16.5" x14ac:dyDescent="0.25">
      <c r="A8" s="2869" t="s">
        <v>104</v>
      </c>
      <c r="B8" s="2870">
        <v>100706</v>
      </c>
      <c r="C8" s="2875">
        <v>4912</v>
      </c>
      <c r="D8" s="2872">
        <v>105049</v>
      </c>
      <c r="E8" s="2871">
        <v>4713</v>
      </c>
      <c r="F8" s="2870">
        <v>115600</v>
      </c>
      <c r="G8" s="2871">
        <v>6060</v>
      </c>
      <c r="H8" s="2870">
        <v>115613</v>
      </c>
      <c r="I8" s="2871">
        <v>5140</v>
      </c>
      <c r="J8" s="2876">
        <v>111560</v>
      </c>
      <c r="K8" s="2873">
        <v>4899</v>
      </c>
      <c r="L8" s="2876">
        <v>1229</v>
      </c>
      <c r="M8" s="2873">
        <v>176</v>
      </c>
      <c r="N8" s="2874"/>
    </row>
    <row r="9" spans="1:18" ht="16.5" x14ac:dyDescent="0.25">
      <c r="A9" s="2869" t="s">
        <v>1077</v>
      </c>
      <c r="B9" s="2870">
        <v>108704</v>
      </c>
      <c r="C9" s="2871">
        <v>4841</v>
      </c>
      <c r="D9" s="2872">
        <v>110271</v>
      </c>
      <c r="E9" s="2875">
        <v>5254</v>
      </c>
      <c r="F9" s="2870">
        <v>119841</v>
      </c>
      <c r="G9" s="2875">
        <v>5808</v>
      </c>
      <c r="H9" s="2870">
        <v>114419</v>
      </c>
      <c r="I9" s="2875">
        <v>5200</v>
      </c>
      <c r="J9" s="2877">
        <v>55863</v>
      </c>
      <c r="K9" s="2873">
        <v>3250</v>
      </c>
      <c r="L9" s="2877">
        <v>311</v>
      </c>
      <c r="M9" s="2873">
        <v>103</v>
      </c>
      <c r="N9" s="2874"/>
    </row>
    <row r="10" spans="1:18" ht="16.5" x14ac:dyDescent="0.25">
      <c r="A10" s="2869" t="s">
        <v>105</v>
      </c>
      <c r="B10" s="2870">
        <v>91992</v>
      </c>
      <c r="C10" s="2871">
        <v>4382</v>
      </c>
      <c r="D10" s="2872">
        <v>111432</v>
      </c>
      <c r="E10" s="2871">
        <v>4830</v>
      </c>
      <c r="F10" s="2870">
        <v>104967</v>
      </c>
      <c r="G10" s="2871">
        <v>5631</v>
      </c>
      <c r="H10" s="2870">
        <v>108565</v>
      </c>
      <c r="I10" s="2871">
        <v>5450</v>
      </c>
      <c r="J10" s="2870">
        <v>10</v>
      </c>
      <c r="K10" s="2873">
        <v>808</v>
      </c>
      <c r="L10" s="2870">
        <v>58</v>
      </c>
      <c r="M10" s="2873">
        <v>25</v>
      </c>
      <c r="N10" s="2874"/>
      <c r="O10" s="2874"/>
    </row>
    <row r="11" spans="1:18" ht="16.5" x14ac:dyDescent="0.25">
      <c r="A11" s="2869" t="s">
        <v>106</v>
      </c>
      <c r="B11" s="2870">
        <v>94830</v>
      </c>
      <c r="C11" s="2871">
        <v>4278</v>
      </c>
      <c r="D11" s="2872">
        <v>96557</v>
      </c>
      <c r="E11" s="2871">
        <v>4593</v>
      </c>
      <c r="F11" s="2870">
        <v>101138</v>
      </c>
      <c r="G11" s="2871">
        <v>5227.5556689495397</v>
      </c>
      <c r="H11" s="2870">
        <v>96814</v>
      </c>
      <c r="I11" s="2871">
        <v>4915</v>
      </c>
      <c r="J11" s="2870">
        <v>20</v>
      </c>
      <c r="K11" s="2873">
        <v>748</v>
      </c>
      <c r="L11" s="2870">
        <v>115</v>
      </c>
      <c r="M11" s="2873">
        <v>11</v>
      </c>
      <c r="N11" s="2874"/>
      <c r="O11" s="2878"/>
    </row>
    <row r="12" spans="1:18" ht="16.5" x14ac:dyDescent="0.25">
      <c r="A12" s="2869" t="s">
        <v>112</v>
      </c>
      <c r="B12" s="2870">
        <v>71806</v>
      </c>
      <c r="C12" s="2871">
        <v>3525</v>
      </c>
      <c r="D12" s="2872">
        <v>78188</v>
      </c>
      <c r="E12" s="2871">
        <v>3810</v>
      </c>
      <c r="F12" s="2879">
        <v>84345</v>
      </c>
      <c r="G12" s="2875">
        <v>4118</v>
      </c>
      <c r="H12" s="2879">
        <v>92398</v>
      </c>
      <c r="I12" s="2875">
        <v>4169</v>
      </c>
      <c r="J12" s="2870">
        <v>9</v>
      </c>
      <c r="K12" s="2873">
        <v>383</v>
      </c>
      <c r="L12" s="2870">
        <v>280</v>
      </c>
      <c r="M12" s="2880">
        <v>20</v>
      </c>
      <c r="N12" s="2874"/>
      <c r="O12" s="2874"/>
    </row>
    <row r="13" spans="1:18" ht="16.5" x14ac:dyDescent="0.25">
      <c r="A13" s="2869" t="s">
        <v>113</v>
      </c>
      <c r="B13" s="2870">
        <v>108122</v>
      </c>
      <c r="C13" s="2871">
        <v>3806</v>
      </c>
      <c r="D13" s="2872">
        <v>112347</v>
      </c>
      <c r="E13" s="2871">
        <v>4205</v>
      </c>
      <c r="F13" s="2876">
        <v>115881</v>
      </c>
      <c r="G13" s="2871">
        <v>4401</v>
      </c>
      <c r="H13" s="2876">
        <v>115448</v>
      </c>
      <c r="I13" s="2871">
        <v>4937</v>
      </c>
      <c r="J13" s="2870">
        <v>45</v>
      </c>
      <c r="K13" s="2873">
        <v>414</v>
      </c>
      <c r="L13" s="2881">
        <v>1242</v>
      </c>
      <c r="M13" s="2873"/>
      <c r="N13" s="2882"/>
      <c r="O13" s="2883"/>
      <c r="P13" s="2884"/>
      <c r="Q13" s="2884"/>
      <c r="R13" s="2884"/>
    </row>
    <row r="14" spans="1:18" ht="16.5" x14ac:dyDescent="0.25">
      <c r="A14" s="2869" t="s">
        <v>107</v>
      </c>
      <c r="B14" s="2870">
        <v>94920</v>
      </c>
      <c r="C14" s="2871">
        <v>4322</v>
      </c>
      <c r="D14" s="2872">
        <v>100191</v>
      </c>
      <c r="E14" s="2871">
        <v>4329</v>
      </c>
      <c r="F14" s="2870">
        <v>109471</v>
      </c>
      <c r="G14" s="2871">
        <v>4500.9161038469219</v>
      </c>
      <c r="H14" s="2870">
        <v>107275</v>
      </c>
      <c r="I14" s="2871">
        <v>4753</v>
      </c>
      <c r="J14" s="2870">
        <v>317</v>
      </c>
      <c r="K14" s="2873">
        <v>195</v>
      </c>
      <c r="L14" s="2870"/>
      <c r="M14" s="2873"/>
      <c r="N14" s="2874"/>
      <c r="O14" s="2878"/>
      <c r="Q14" s="2878"/>
    </row>
    <row r="15" spans="1:18" ht="16.5" x14ac:dyDescent="0.25">
      <c r="A15" s="2869" t="s">
        <v>108</v>
      </c>
      <c r="B15" s="2870">
        <v>91384</v>
      </c>
      <c r="C15" s="2871">
        <v>3894</v>
      </c>
      <c r="D15" s="2885">
        <v>96282</v>
      </c>
      <c r="E15" s="2871">
        <v>4243</v>
      </c>
      <c r="F15" s="2886">
        <v>102849</v>
      </c>
      <c r="G15" s="2871">
        <v>3895</v>
      </c>
      <c r="H15" s="2886">
        <v>100837</v>
      </c>
      <c r="I15" s="2871">
        <v>4362</v>
      </c>
      <c r="J15" s="2879">
        <v>369</v>
      </c>
      <c r="K15" s="2873">
        <v>215</v>
      </c>
      <c r="L15" s="2879"/>
      <c r="M15" s="2873"/>
      <c r="N15" s="2874"/>
    </row>
    <row r="16" spans="1:18" ht="16.5" x14ac:dyDescent="0.25">
      <c r="A16" s="2869" t="s">
        <v>109</v>
      </c>
      <c r="B16" s="2870">
        <v>130421</v>
      </c>
      <c r="C16" s="2887">
        <v>4973</v>
      </c>
      <c r="D16" s="2872">
        <v>130070</v>
      </c>
      <c r="E16" s="2871">
        <v>5511</v>
      </c>
      <c r="F16" s="2879">
        <v>134052</v>
      </c>
      <c r="G16" s="2871">
        <v>5440.3738781800002</v>
      </c>
      <c r="H16" s="2879">
        <v>129018</v>
      </c>
      <c r="I16" s="2871">
        <v>5434</v>
      </c>
      <c r="J16" s="2879">
        <v>1149</v>
      </c>
      <c r="K16" s="2873">
        <v>222</v>
      </c>
      <c r="L16" s="2879"/>
      <c r="M16" s="2873"/>
      <c r="N16" s="2874"/>
      <c r="R16" s="2878"/>
    </row>
    <row r="17" spans="1:14" ht="16.5" x14ac:dyDescent="0.25">
      <c r="A17" s="2869" t="s">
        <v>110</v>
      </c>
      <c r="B17" s="2870">
        <v>115782</v>
      </c>
      <c r="C17" s="2887">
        <v>5251</v>
      </c>
      <c r="D17" s="2872">
        <v>121496</v>
      </c>
      <c r="E17" s="2871">
        <v>6026</v>
      </c>
      <c r="F17" s="2879">
        <v>132247</v>
      </c>
      <c r="G17" s="2875">
        <v>5678.4576338200004</v>
      </c>
      <c r="H17" s="2879">
        <v>128730</v>
      </c>
      <c r="I17" s="2875">
        <v>5964</v>
      </c>
      <c r="J17" s="2879">
        <v>1177</v>
      </c>
      <c r="K17" s="2873">
        <v>254</v>
      </c>
      <c r="L17" s="2879"/>
      <c r="M17" s="2873"/>
      <c r="N17" s="2874"/>
    </row>
    <row r="18" spans="1:14" ht="17.25" thickBot="1" x14ac:dyDescent="0.3">
      <c r="A18" s="2869" t="s">
        <v>111</v>
      </c>
      <c r="B18" s="2870">
        <v>148134</v>
      </c>
      <c r="C18" s="2875">
        <v>6433</v>
      </c>
      <c r="D18" s="2872">
        <v>155615</v>
      </c>
      <c r="E18" s="2875">
        <v>6629</v>
      </c>
      <c r="F18" s="2886">
        <v>158043</v>
      </c>
      <c r="G18" s="2871">
        <v>6662</v>
      </c>
      <c r="H18" s="2886">
        <v>152098</v>
      </c>
      <c r="I18" s="2871">
        <v>6605</v>
      </c>
      <c r="J18" s="2879">
        <v>1042</v>
      </c>
      <c r="K18" s="2873">
        <v>281</v>
      </c>
      <c r="L18" s="2879"/>
      <c r="M18" s="2873"/>
      <c r="N18" s="2874"/>
    </row>
    <row r="19" spans="1:14" s="2863" customFormat="1" ht="17.25" thickBot="1" x14ac:dyDescent="0.3">
      <c r="A19" s="2888" t="s">
        <v>4919</v>
      </c>
      <c r="B19" s="2889">
        <f t="shared" ref="B19:K19" si="0">SUM(B7:B18)</f>
        <v>1275227</v>
      </c>
      <c r="C19" s="2890">
        <f t="shared" si="0"/>
        <v>55867</v>
      </c>
      <c r="D19" s="2891">
        <f t="shared" si="0"/>
        <v>1341860</v>
      </c>
      <c r="E19" s="2890">
        <f t="shared" si="0"/>
        <v>60262</v>
      </c>
      <c r="F19" s="2889">
        <f t="shared" si="0"/>
        <v>1399408</v>
      </c>
      <c r="G19" s="2890">
        <f t="shared" si="0"/>
        <v>64037.303284796464</v>
      </c>
      <c r="H19" s="2889">
        <f t="shared" si="0"/>
        <v>1383488</v>
      </c>
      <c r="I19" s="2890">
        <f t="shared" si="0"/>
        <v>63107</v>
      </c>
      <c r="J19" s="2889">
        <f t="shared" si="0"/>
        <v>308980</v>
      </c>
      <c r="K19" s="2892">
        <f t="shared" si="0"/>
        <v>17664</v>
      </c>
      <c r="L19" s="2889">
        <f>SUM(L7:L18)</f>
        <v>4467</v>
      </c>
      <c r="M19" s="2893">
        <f>SUM(M7:M18)</f>
        <v>578</v>
      </c>
    </row>
    <row r="20" spans="1:14" s="2728" customFormat="1" ht="34.5" customHeight="1" thickTop="1" x14ac:dyDescent="0.25">
      <c r="A20" s="3935" t="s">
        <v>4920</v>
      </c>
      <c r="B20" s="3935"/>
      <c r="C20" s="3935"/>
      <c r="D20" s="3935"/>
      <c r="E20" s="3935"/>
      <c r="F20" s="3935"/>
      <c r="G20" s="3935"/>
      <c r="H20" s="3935"/>
      <c r="I20" s="3935"/>
      <c r="J20" s="3935"/>
      <c r="K20" s="3935"/>
      <c r="L20" s="3935"/>
      <c r="M20" s="3935"/>
    </row>
    <row r="21" spans="1:14" s="2728" customFormat="1" ht="15.75" x14ac:dyDescent="0.25">
      <c r="A21" s="2894" t="s">
        <v>4921</v>
      </c>
      <c r="B21" s="2895"/>
      <c r="C21" s="2895"/>
      <c r="D21" s="2896"/>
      <c r="E21" s="2896"/>
      <c r="G21" s="2896"/>
      <c r="I21" s="2896"/>
      <c r="K21" s="2897"/>
    </row>
    <row r="22" spans="1:14" s="2728" customFormat="1" ht="16.5" customHeight="1" x14ac:dyDescent="0.25">
      <c r="A22" s="2898" t="s">
        <v>4922</v>
      </c>
      <c r="B22" s="2896"/>
      <c r="C22" s="2896"/>
      <c r="D22" s="2896"/>
      <c r="E22" s="2896"/>
      <c r="G22" s="2896"/>
      <c r="I22" s="2896"/>
    </row>
    <row r="23" spans="1:14" s="2728" customFormat="1" x14ac:dyDescent="0.25">
      <c r="B23" s="2896"/>
      <c r="C23" s="2896"/>
      <c r="D23" s="2896"/>
      <c r="E23" s="2896"/>
      <c r="G23" s="2896"/>
      <c r="I23" s="2896"/>
      <c r="J23" s="2896"/>
      <c r="K23" s="2896"/>
      <c r="M23" s="2861"/>
    </row>
    <row r="24" spans="1:14" x14ac:dyDescent="0.25">
      <c r="B24" s="2878"/>
    </row>
    <row r="25" spans="1:14" x14ac:dyDescent="0.25">
      <c r="B25" s="2878"/>
      <c r="C25" s="2878"/>
    </row>
    <row r="26" spans="1:14" x14ac:dyDescent="0.25">
      <c r="B26" s="2878"/>
    </row>
    <row r="45" spans="15:15" x14ac:dyDescent="0.25">
      <c r="O45" s="2861" t="s">
        <v>3430</v>
      </c>
    </row>
  </sheetData>
  <mergeCells count="19">
    <mergeCell ref="A20:M20"/>
    <mergeCell ref="H4:H6"/>
    <mergeCell ref="I4:I5"/>
    <mergeCell ref="J4:J6"/>
    <mergeCell ref="K4:K5"/>
    <mergeCell ref="L4:L6"/>
    <mergeCell ref="M4:M5"/>
    <mergeCell ref="B4:B6"/>
    <mergeCell ref="C4:C5"/>
    <mergeCell ref="D4:D6"/>
    <mergeCell ref="E4:E5"/>
    <mergeCell ref="F4:F6"/>
    <mergeCell ref="G4:G5"/>
    <mergeCell ref="L3:M3"/>
    <mergeCell ref="B3:C3"/>
    <mergeCell ref="D3:E3"/>
    <mergeCell ref="F3:G3"/>
    <mergeCell ref="H3:I3"/>
    <mergeCell ref="J3:K3"/>
  </mergeCells>
  <printOptions horizontalCentered="1"/>
  <pageMargins left="0.75" right="0.75" top="0.75" bottom="0.75" header="0" footer="0"/>
  <pageSetup paperSize="9" scale="74"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T139"/>
  <sheetViews>
    <sheetView showGridLines="0" zoomScale="90" zoomScaleNormal="90" zoomScaleSheetLayoutView="85" workbookViewId="0">
      <pane xSplit="1" ySplit="52" topLeftCell="B53" activePane="bottomRight" state="frozen"/>
      <selection activeCell="A150" sqref="A150"/>
      <selection pane="topRight" activeCell="A150" sqref="A150"/>
      <selection pane="bottomLeft" activeCell="A150" sqref="A150"/>
      <selection pane="bottomRight"/>
    </sheetView>
  </sheetViews>
  <sheetFormatPr defaultRowHeight="14.25" x14ac:dyDescent="0.25"/>
  <cols>
    <col min="1" max="1" width="11.7109375" style="104" customWidth="1"/>
    <col min="2" max="4" width="9.42578125" style="104" customWidth="1"/>
    <col min="5" max="5" width="10.5703125" style="104" customWidth="1"/>
    <col min="6" max="6" width="17.85546875" style="104" customWidth="1"/>
    <col min="7" max="7" width="14.7109375" style="104" customWidth="1"/>
    <col min="8" max="9" width="15.42578125" style="104" customWidth="1"/>
    <col min="10" max="10" width="15.7109375" style="104" customWidth="1"/>
    <col min="11" max="11" width="9" style="104" customWidth="1"/>
    <col min="12" max="12" width="8.5703125" style="2901" customWidth="1"/>
    <col min="13" max="13" width="9.140625" style="104"/>
    <col min="14" max="14" width="10.42578125" style="104" customWidth="1"/>
    <col min="15" max="16" width="9.140625" style="104" customWidth="1"/>
    <col min="17" max="17" width="4.7109375" style="2902" customWidth="1"/>
    <col min="18" max="19" width="9.140625" style="104" customWidth="1"/>
    <col min="20" max="20" width="6.85546875" style="104" customWidth="1"/>
    <col min="21" max="21" width="5.28515625" style="104" customWidth="1"/>
    <col min="22" max="22" width="5.7109375" style="104" customWidth="1"/>
    <col min="23" max="247" width="9.140625" style="104"/>
    <col min="248" max="248" width="13.28515625" style="104" customWidth="1"/>
    <col min="249" max="249" width="10.5703125" style="104" customWidth="1"/>
    <col min="250" max="250" width="12.140625" style="104" customWidth="1"/>
    <col min="251" max="251" width="8.140625" style="104" bestFit="1" customWidth="1"/>
    <col min="252" max="252" width="11.5703125" style="104" bestFit="1" customWidth="1"/>
    <col min="253" max="253" width="11.140625" style="104" customWidth="1"/>
    <col min="254" max="254" width="12.5703125" style="104" customWidth="1"/>
    <col min="255" max="255" width="13.85546875" style="104" customWidth="1"/>
    <col min="256" max="256" width="13.42578125" style="104" customWidth="1"/>
    <col min="257" max="257" width="11" style="104" customWidth="1"/>
    <col min="258" max="258" width="17.7109375" style="104" bestFit="1" customWidth="1"/>
    <col min="259" max="260" width="9.140625" style="104"/>
    <col min="261" max="261" width="10.140625" style="104" customWidth="1"/>
    <col min="262" max="503" width="9.140625" style="104"/>
    <col min="504" max="504" width="13.28515625" style="104" customWidth="1"/>
    <col min="505" max="505" width="10.5703125" style="104" customWidth="1"/>
    <col min="506" max="506" width="12.140625" style="104" customWidth="1"/>
    <col min="507" max="507" width="8.140625" style="104" bestFit="1" customWidth="1"/>
    <col min="508" max="508" width="11.5703125" style="104" bestFit="1" customWidth="1"/>
    <col min="509" max="509" width="11.140625" style="104" customWidth="1"/>
    <col min="510" max="510" width="12.5703125" style="104" customWidth="1"/>
    <col min="511" max="511" width="13.85546875" style="104" customWidth="1"/>
    <col min="512" max="512" width="13.42578125" style="104" customWidth="1"/>
    <col min="513" max="513" width="11" style="104" customWidth="1"/>
    <col min="514" max="514" width="17.7109375" style="104" bestFit="1" customWidth="1"/>
    <col min="515" max="516" width="9.140625" style="104"/>
    <col min="517" max="517" width="10.140625" style="104" customWidth="1"/>
    <col min="518" max="759" width="9.140625" style="104"/>
    <col min="760" max="760" width="13.28515625" style="104" customWidth="1"/>
    <col min="761" max="761" width="10.5703125" style="104" customWidth="1"/>
    <col min="762" max="762" width="12.140625" style="104" customWidth="1"/>
    <col min="763" max="763" width="8.140625" style="104" bestFit="1" customWidth="1"/>
    <col min="764" max="764" width="11.5703125" style="104" bestFit="1" customWidth="1"/>
    <col min="765" max="765" width="11.140625" style="104" customWidth="1"/>
    <col min="766" max="766" width="12.5703125" style="104" customWidth="1"/>
    <col min="767" max="767" width="13.85546875" style="104" customWidth="1"/>
    <col min="768" max="768" width="13.42578125" style="104" customWidth="1"/>
    <col min="769" max="769" width="11" style="104" customWidth="1"/>
    <col min="770" max="770" width="17.7109375" style="104" bestFit="1" customWidth="1"/>
    <col min="771" max="772" width="9.140625" style="104"/>
    <col min="773" max="773" width="10.140625" style="104" customWidth="1"/>
    <col min="774" max="1015" width="9.140625" style="104"/>
    <col min="1016" max="1016" width="13.28515625" style="104" customWidth="1"/>
    <col min="1017" max="1017" width="10.5703125" style="104" customWidth="1"/>
    <col min="1018" max="1018" width="12.140625" style="104" customWidth="1"/>
    <col min="1019" max="1019" width="8.140625" style="104" bestFit="1" customWidth="1"/>
    <col min="1020" max="1020" width="11.5703125" style="104" bestFit="1" customWidth="1"/>
    <col min="1021" max="1021" width="11.140625" style="104" customWidth="1"/>
    <col min="1022" max="1022" width="12.5703125" style="104" customWidth="1"/>
    <col min="1023" max="1023" width="13.85546875" style="104" customWidth="1"/>
    <col min="1024" max="1024" width="13.42578125" style="104" customWidth="1"/>
    <col min="1025" max="1025" width="11" style="104" customWidth="1"/>
    <col min="1026" max="1026" width="17.7109375" style="104" bestFit="1" customWidth="1"/>
    <col min="1027" max="1028" width="9.140625" style="104"/>
    <col min="1029" max="1029" width="10.140625" style="104" customWidth="1"/>
    <col min="1030" max="1271" width="9.140625" style="104"/>
    <col min="1272" max="1272" width="13.28515625" style="104" customWidth="1"/>
    <col min="1273" max="1273" width="10.5703125" style="104" customWidth="1"/>
    <col min="1274" max="1274" width="12.140625" style="104" customWidth="1"/>
    <col min="1275" max="1275" width="8.140625" style="104" bestFit="1" customWidth="1"/>
    <col min="1276" max="1276" width="11.5703125" style="104" bestFit="1" customWidth="1"/>
    <col min="1277" max="1277" width="11.140625" style="104" customWidth="1"/>
    <col min="1278" max="1278" width="12.5703125" style="104" customWidth="1"/>
    <col min="1279" max="1279" width="13.85546875" style="104" customWidth="1"/>
    <col min="1280" max="1280" width="13.42578125" style="104" customWidth="1"/>
    <col min="1281" max="1281" width="11" style="104" customWidth="1"/>
    <col min="1282" max="1282" width="17.7109375" style="104" bestFit="1" customWidth="1"/>
    <col min="1283" max="1284" width="9.140625" style="104"/>
    <col min="1285" max="1285" width="10.140625" style="104" customWidth="1"/>
    <col min="1286" max="1527" width="9.140625" style="104"/>
    <col min="1528" max="1528" width="13.28515625" style="104" customWidth="1"/>
    <col min="1529" max="1529" width="10.5703125" style="104" customWidth="1"/>
    <col min="1530" max="1530" width="12.140625" style="104" customWidth="1"/>
    <col min="1531" max="1531" width="8.140625" style="104" bestFit="1" customWidth="1"/>
    <col min="1532" max="1532" width="11.5703125" style="104" bestFit="1" customWidth="1"/>
    <col min="1533" max="1533" width="11.140625" style="104" customWidth="1"/>
    <col min="1534" max="1534" width="12.5703125" style="104" customWidth="1"/>
    <col min="1535" max="1535" width="13.85546875" style="104" customWidth="1"/>
    <col min="1536" max="1536" width="13.42578125" style="104" customWidth="1"/>
    <col min="1537" max="1537" width="11" style="104" customWidth="1"/>
    <col min="1538" max="1538" width="17.7109375" style="104" bestFit="1" customWidth="1"/>
    <col min="1539" max="1540" width="9.140625" style="104"/>
    <col min="1541" max="1541" width="10.140625" style="104" customWidth="1"/>
    <col min="1542" max="1783" width="9.140625" style="104"/>
    <col min="1784" max="1784" width="13.28515625" style="104" customWidth="1"/>
    <col min="1785" max="1785" width="10.5703125" style="104" customWidth="1"/>
    <col min="1786" max="1786" width="12.140625" style="104" customWidth="1"/>
    <col min="1787" max="1787" width="8.140625" style="104" bestFit="1" customWidth="1"/>
    <col min="1788" max="1788" width="11.5703125" style="104" bestFit="1" customWidth="1"/>
    <col min="1789" max="1789" width="11.140625" style="104" customWidth="1"/>
    <col min="1790" max="1790" width="12.5703125" style="104" customWidth="1"/>
    <col min="1791" max="1791" width="13.85546875" style="104" customWidth="1"/>
    <col min="1792" max="1792" width="13.42578125" style="104" customWidth="1"/>
    <col min="1793" max="1793" width="11" style="104" customWidth="1"/>
    <col min="1794" max="1794" width="17.7109375" style="104" bestFit="1" customWidth="1"/>
    <col min="1795" max="1796" width="9.140625" style="104"/>
    <col min="1797" max="1797" width="10.140625" style="104" customWidth="1"/>
    <col min="1798" max="2039" width="9.140625" style="104"/>
    <col min="2040" max="2040" width="13.28515625" style="104" customWidth="1"/>
    <col min="2041" max="2041" width="10.5703125" style="104" customWidth="1"/>
    <col min="2042" max="2042" width="12.140625" style="104" customWidth="1"/>
    <col min="2043" max="2043" width="8.140625" style="104" bestFit="1" customWidth="1"/>
    <col min="2044" max="2044" width="11.5703125" style="104" bestFit="1" customWidth="1"/>
    <col min="2045" max="2045" width="11.140625" style="104" customWidth="1"/>
    <col min="2046" max="2046" width="12.5703125" style="104" customWidth="1"/>
    <col min="2047" max="2047" width="13.85546875" style="104" customWidth="1"/>
    <col min="2048" max="2048" width="13.42578125" style="104" customWidth="1"/>
    <col min="2049" max="2049" width="11" style="104" customWidth="1"/>
    <col min="2050" max="2050" width="17.7109375" style="104" bestFit="1" customWidth="1"/>
    <col min="2051" max="2052" width="9.140625" style="104"/>
    <col min="2053" max="2053" width="10.140625" style="104" customWidth="1"/>
    <col min="2054" max="2295" width="9.140625" style="104"/>
    <col min="2296" max="2296" width="13.28515625" style="104" customWidth="1"/>
    <col min="2297" max="2297" width="10.5703125" style="104" customWidth="1"/>
    <col min="2298" max="2298" width="12.140625" style="104" customWidth="1"/>
    <col min="2299" max="2299" width="8.140625" style="104" bestFit="1" customWidth="1"/>
    <col min="2300" max="2300" width="11.5703125" style="104" bestFit="1" customWidth="1"/>
    <col min="2301" max="2301" width="11.140625" style="104" customWidth="1"/>
    <col min="2302" max="2302" width="12.5703125" style="104" customWidth="1"/>
    <col min="2303" max="2303" width="13.85546875" style="104" customWidth="1"/>
    <col min="2304" max="2304" width="13.42578125" style="104" customWidth="1"/>
    <col min="2305" max="2305" width="11" style="104" customWidth="1"/>
    <col min="2306" max="2306" width="17.7109375" style="104" bestFit="1" customWidth="1"/>
    <col min="2307" max="2308" width="9.140625" style="104"/>
    <col min="2309" max="2309" width="10.140625" style="104" customWidth="1"/>
    <col min="2310" max="2551" width="9.140625" style="104"/>
    <col min="2552" max="2552" width="13.28515625" style="104" customWidth="1"/>
    <col min="2553" max="2553" width="10.5703125" style="104" customWidth="1"/>
    <col min="2554" max="2554" width="12.140625" style="104" customWidth="1"/>
    <col min="2555" max="2555" width="8.140625" style="104" bestFit="1" customWidth="1"/>
    <col min="2556" max="2556" width="11.5703125" style="104" bestFit="1" customWidth="1"/>
    <col min="2557" max="2557" width="11.140625" style="104" customWidth="1"/>
    <col min="2558" max="2558" width="12.5703125" style="104" customWidth="1"/>
    <col min="2559" max="2559" width="13.85546875" style="104" customWidth="1"/>
    <col min="2560" max="2560" width="13.42578125" style="104" customWidth="1"/>
    <col min="2561" max="2561" width="11" style="104" customWidth="1"/>
    <col min="2562" max="2562" width="17.7109375" style="104" bestFit="1" customWidth="1"/>
    <col min="2563" max="2564" width="9.140625" style="104"/>
    <col min="2565" max="2565" width="10.140625" style="104" customWidth="1"/>
    <col min="2566" max="2807" width="9.140625" style="104"/>
    <col min="2808" max="2808" width="13.28515625" style="104" customWidth="1"/>
    <col min="2809" max="2809" width="10.5703125" style="104" customWidth="1"/>
    <col min="2810" max="2810" width="12.140625" style="104" customWidth="1"/>
    <col min="2811" max="2811" width="8.140625" style="104" bestFit="1" customWidth="1"/>
    <col min="2812" max="2812" width="11.5703125" style="104" bestFit="1" customWidth="1"/>
    <col min="2813" max="2813" width="11.140625" style="104" customWidth="1"/>
    <col min="2814" max="2814" width="12.5703125" style="104" customWidth="1"/>
    <col min="2815" max="2815" width="13.85546875" style="104" customWidth="1"/>
    <col min="2816" max="2816" width="13.42578125" style="104" customWidth="1"/>
    <col min="2817" max="2817" width="11" style="104" customWidth="1"/>
    <col min="2818" max="2818" width="17.7109375" style="104" bestFit="1" customWidth="1"/>
    <col min="2819" max="2820" width="9.140625" style="104"/>
    <col min="2821" max="2821" width="10.140625" style="104" customWidth="1"/>
    <col min="2822" max="3063" width="9.140625" style="104"/>
    <col min="3064" max="3064" width="13.28515625" style="104" customWidth="1"/>
    <col min="3065" max="3065" width="10.5703125" style="104" customWidth="1"/>
    <col min="3066" max="3066" width="12.140625" style="104" customWidth="1"/>
    <col min="3067" max="3067" width="8.140625" style="104" bestFit="1" customWidth="1"/>
    <col min="3068" max="3068" width="11.5703125" style="104" bestFit="1" customWidth="1"/>
    <col min="3069" max="3069" width="11.140625" style="104" customWidth="1"/>
    <col min="3070" max="3070" width="12.5703125" style="104" customWidth="1"/>
    <col min="3071" max="3071" width="13.85546875" style="104" customWidth="1"/>
    <col min="3072" max="3072" width="13.42578125" style="104" customWidth="1"/>
    <col min="3073" max="3073" width="11" style="104" customWidth="1"/>
    <col min="3074" max="3074" width="17.7109375" style="104" bestFit="1" customWidth="1"/>
    <col min="3075" max="3076" width="9.140625" style="104"/>
    <col min="3077" max="3077" width="10.140625" style="104" customWidth="1"/>
    <col min="3078" max="3319" width="9.140625" style="104"/>
    <col min="3320" max="3320" width="13.28515625" style="104" customWidth="1"/>
    <col min="3321" max="3321" width="10.5703125" style="104" customWidth="1"/>
    <col min="3322" max="3322" width="12.140625" style="104" customWidth="1"/>
    <col min="3323" max="3323" width="8.140625" style="104" bestFit="1" customWidth="1"/>
    <col min="3324" max="3324" width="11.5703125" style="104" bestFit="1" customWidth="1"/>
    <col min="3325" max="3325" width="11.140625" style="104" customWidth="1"/>
    <col min="3326" max="3326" width="12.5703125" style="104" customWidth="1"/>
    <col min="3327" max="3327" width="13.85546875" style="104" customWidth="1"/>
    <col min="3328" max="3328" width="13.42578125" style="104" customWidth="1"/>
    <col min="3329" max="3329" width="11" style="104" customWidth="1"/>
    <col min="3330" max="3330" width="17.7109375" style="104" bestFit="1" customWidth="1"/>
    <col min="3331" max="3332" width="9.140625" style="104"/>
    <col min="3333" max="3333" width="10.140625" style="104" customWidth="1"/>
    <col min="3334" max="3575" width="9.140625" style="104"/>
    <col min="3576" max="3576" width="13.28515625" style="104" customWidth="1"/>
    <col min="3577" max="3577" width="10.5703125" style="104" customWidth="1"/>
    <col min="3578" max="3578" width="12.140625" style="104" customWidth="1"/>
    <col min="3579" max="3579" width="8.140625" style="104" bestFit="1" customWidth="1"/>
    <col min="3580" max="3580" width="11.5703125" style="104" bestFit="1" customWidth="1"/>
    <col min="3581" max="3581" width="11.140625" style="104" customWidth="1"/>
    <col min="3582" max="3582" width="12.5703125" style="104" customWidth="1"/>
    <col min="3583" max="3583" width="13.85546875" style="104" customWidth="1"/>
    <col min="3584" max="3584" width="13.42578125" style="104" customWidth="1"/>
    <col min="3585" max="3585" width="11" style="104" customWidth="1"/>
    <col min="3586" max="3586" width="17.7109375" style="104" bestFit="1" customWidth="1"/>
    <col min="3587" max="3588" width="9.140625" style="104"/>
    <col min="3589" max="3589" width="10.140625" style="104" customWidth="1"/>
    <col min="3590" max="3831" width="9.140625" style="104"/>
    <col min="3832" max="3832" width="13.28515625" style="104" customWidth="1"/>
    <col min="3833" max="3833" width="10.5703125" style="104" customWidth="1"/>
    <col min="3834" max="3834" width="12.140625" style="104" customWidth="1"/>
    <col min="3835" max="3835" width="8.140625" style="104" bestFit="1" customWidth="1"/>
    <col min="3836" max="3836" width="11.5703125" style="104" bestFit="1" customWidth="1"/>
    <col min="3837" max="3837" width="11.140625" style="104" customWidth="1"/>
    <col min="3838" max="3838" width="12.5703125" style="104" customWidth="1"/>
    <col min="3839" max="3839" width="13.85546875" style="104" customWidth="1"/>
    <col min="3840" max="3840" width="13.42578125" style="104" customWidth="1"/>
    <col min="3841" max="3841" width="11" style="104" customWidth="1"/>
    <col min="3842" max="3842" width="17.7109375" style="104" bestFit="1" customWidth="1"/>
    <col min="3843" max="3844" width="9.140625" style="104"/>
    <col min="3845" max="3845" width="10.140625" style="104" customWidth="1"/>
    <col min="3846" max="4087" width="9.140625" style="104"/>
    <col min="4088" max="4088" width="13.28515625" style="104" customWidth="1"/>
    <col min="4089" max="4089" width="10.5703125" style="104" customWidth="1"/>
    <col min="4090" max="4090" width="12.140625" style="104" customWidth="1"/>
    <col min="4091" max="4091" width="8.140625" style="104" bestFit="1" customWidth="1"/>
    <col min="4092" max="4092" width="11.5703125" style="104" bestFit="1" customWidth="1"/>
    <col min="4093" max="4093" width="11.140625" style="104" customWidth="1"/>
    <col min="4094" max="4094" width="12.5703125" style="104" customWidth="1"/>
    <col min="4095" max="4095" width="13.85546875" style="104" customWidth="1"/>
    <col min="4096" max="4096" width="13.42578125" style="104" customWidth="1"/>
    <col min="4097" max="4097" width="11" style="104" customWidth="1"/>
    <col min="4098" max="4098" width="17.7109375" style="104" bestFit="1" customWidth="1"/>
    <col min="4099" max="4100" width="9.140625" style="104"/>
    <col min="4101" max="4101" width="10.140625" style="104" customWidth="1"/>
    <col min="4102" max="4343" width="9.140625" style="104"/>
    <col min="4344" max="4344" width="13.28515625" style="104" customWidth="1"/>
    <col min="4345" max="4345" width="10.5703125" style="104" customWidth="1"/>
    <col min="4346" max="4346" width="12.140625" style="104" customWidth="1"/>
    <col min="4347" max="4347" width="8.140625" style="104" bestFit="1" customWidth="1"/>
    <col min="4348" max="4348" width="11.5703125" style="104" bestFit="1" customWidth="1"/>
    <col min="4349" max="4349" width="11.140625" style="104" customWidth="1"/>
    <col min="4350" max="4350" width="12.5703125" style="104" customWidth="1"/>
    <col min="4351" max="4351" width="13.85546875" style="104" customWidth="1"/>
    <col min="4352" max="4352" width="13.42578125" style="104" customWidth="1"/>
    <col min="4353" max="4353" width="11" style="104" customWidth="1"/>
    <col min="4354" max="4354" width="17.7109375" style="104" bestFit="1" customWidth="1"/>
    <col min="4355" max="4356" width="9.140625" style="104"/>
    <col min="4357" max="4357" width="10.140625" style="104" customWidth="1"/>
    <col min="4358" max="4599" width="9.140625" style="104"/>
    <col min="4600" max="4600" width="13.28515625" style="104" customWidth="1"/>
    <col min="4601" max="4601" width="10.5703125" style="104" customWidth="1"/>
    <col min="4602" max="4602" width="12.140625" style="104" customWidth="1"/>
    <col min="4603" max="4603" width="8.140625" style="104" bestFit="1" customWidth="1"/>
    <col min="4604" max="4604" width="11.5703125" style="104" bestFit="1" customWidth="1"/>
    <col min="4605" max="4605" width="11.140625" style="104" customWidth="1"/>
    <col min="4606" max="4606" width="12.5703125" style="104" customWidth="1"/>
    <col min="4607" max="4607" width="13.85546875" style="104" customWidth="1"/>
    <col min="4608" max="4608" width="13.42578125" style="104" customWidth="1"/>
    <col min="4609" max="4609" width="11" style="104" customWidth="1"/>
    <col min="4610" max="4610" width="17.7109375" style="104" bestFit="1" customWidth="1"/>
    <col min="4611" max="4612" width="9.140625" style="104"/>
    <col min="4613" max="4613" width="10.140625" style="104" customWidth="1"/>
    <col min="4614" max="4855" width="9.140625" style="104"/>
    <col min="4856" max="4856" width="13.28515625" style="104" customWidth="1"/>
    <col min="4857" max="4857" width="10.5703125" style="104" customWidth="1"/>
    <col min="4858" max="4858" width="12.140625" style="104" customWidth="1"/>
    <col min="4859" max="4859" width="8.140625" style="104" bestFit="1" customWidth="1"/>
    <col min="4860" max="4860" width="11.5703125" style="104" bestFit="1" customWidth="1"/>
    <col min="4861" max="4861" width="11.140625" style="104" customWidth="1"/>
    <col min="4862" max="4862" width="12.5703125" style="104" customWidth="1"/>
    <col min="4863" max="4863" width="13.85546875" style="104" customWidth="1"/>
    <col min="4864" max="4864" width="13.42578125" style="104" customWidth="1"/>
    <col min="4865" max="4865" width="11" style="104" customWidth="1"/>
    <col min="4866" max="4866" width="17.7109375" style="104" bestFit="1" customWidth="1"/>
    <col min="4867" max="4868" width="9.140625" style="104"/>
    <col min="4869" max="4869" width="10.140625" style="104" customWidth="1"/>
    <col min="4870" max="5111" width="9.140625" style="104"/>
    <col min="5112" max="5112" width="13.28515625" style="104" customWidth="1"/>
    <col min="5113" max="5113" width="10.5703125" style="104" customWidth="1"/>
    <col min="5114" max="5114" width="12.140625" style="104" customWidth="1"/>
    <col min="5115" max="5115" width="8.140625" style="104" bestFit="1" customWidth="1"/>
    <col min="5116" max="5116" width="11.5703125" style="104" bestFit="1" customWidth="1"/>
    <col min="5117" max="5117" width="11.140625" style="104" customWidth="1"/>
    <col min="5118" max="5118" width="12.5703125" style="104" customWidth="1"/>
    <col min="5119" max="5119" width="13.85546875" style="104" customWidth="1"/>
    <col min="5120" max="5120" width="13.42578125" style="104" customWidth="1"/>
    <col min="5121" max="5121" width="11" style="104" customWidth="1"/>
    <col min="5122" max="5122" width="17.7109375" style="104" bestFit="1" customWidth="1"/>
    <col min="5123" max="5124" width="9.140625" style="104"/>
    <col min="5125" max="5125" width="10.140625" style="104" customWidth="1"/>
    <col min="5126" max="5367" width="9.140625" style="104"/>
    <col min="5368" max="5368" width="13.28515625" style="104" customWidth="1"/>
    <col min="5369" max="5369" width="10.5703125" style="104" customWidth="1"/>
    <col min="5370" max="5370" width="12.140625" style="104" customWidth="1"/>
    <col min="5371" max="5371" width="8.140625" style="104" bestFit="1" customWidth="1"/>
    <col min="5372" max="5372" width="11.5703125" style="104" bestFit="1" customWidth="1"/>
    <col min="5373" max="5373" width="11.140625" style="104" customWidth="1"/>
    <col min="5374" max="5374" width="12.5703125" style="104" customWidth="1"/>
    <col min="5375" max="5375" width="13.85546875" style="104" customWidth="1"/>
    <col min="5376" max="5376" width="13.42578125" style="104" customWidth="1"/>
    <col min="5377" max="5377" width="11" style="104" customWidth="1"/>
    <col min="5378" max="5378" width="17.7109375" style="104" bestFit="1" customWidth="1"/>
    <col min="5379" max="5380" width="9.140625" style="104"/>
    <col min="5381" max="5381" width="10.140625" style="104" customWidth="1"/>
    <col min="5382" max="5623" width="9.140625" style="104"/>
    <col min="5624" max="5624" width="13.28515625" style="104" customWidth="1"/>
    <col min="5625" max="5625" width="10.5703125" style="104" customWidth="1"/>
    <col min="5626" max="5626" width="12.140625" style="104" customWidth="1"/>
    <col min="5627" max="5627" width="8.140625" style="104" bestFit="1" customWidth="1"/>
    <col min="5628" max="5628" width="11.5703125" style="104" bestFit="1" customWidth="1"/>
    <col min="5629" max="5629" width="11.140625" style="104" customWidth="1"/>
    <col min="5630" max="5630" width="12.5703125" style="104" customWidth="1"/>
    <col min="5631" max="5631" width="13.85546875" style="104" customWidth="1"/>
    <col min="5632" max="5632" width="13.42578125" style="104" customWidth="1"/>
    <col min="5633" max="5633" width="11" style="104" customWidth="1"/>
    <col min="5634" max="5634" width="17.7109375" style="104" bestFit="1" customWidth="1"/>
    <col min="5635" max="5636" width="9.140625" style="104"/>
    <col min="5637" max="5637" width="10.140625" style="104" customWidth="1"/>
    <col min="5638" max="5879" width="9.140625" style="104"/>
    <col min="5880" max="5880" width="13.28515625" style="104" customWidth="1"/>
    <col min="5881" max="5881" width="10.5703125" style="104" customWidth="1"/>
    <col min="5882" max="5882" width="12.140625" style="104" customWidth="1"/>
    <col min="5883" max="5883" width="8.140625" style="104" bestFit="1" customWidth="1"/>
    <col min="5884" max="5884" width="11.5703125" style="104" bestFit="1" customWidth="1"/>
    <col min="5885" max="5885" width="11.140625" style="104" customWidth="1"/>
    <col min="5886" max="5886" width="12.5703125" style="104" customWidth="1"/>
    <col min="5887" max="5887" width="13.85546875" style="104" customWidth="1"/>
    <col min="5888" max="5888" width="13.42578125" style="104" customWidth="1"/>
    <col min="5889" max="5889" width="11" style="104" customWidth="1"/>
    <col min="5890" max="5890" width="17.7109375" style="104" bestFit="1" customWidth="1"/>
    <col min="5891" max="5892" width="9.140625" style="104"/>
    <col min="5893" max="5893" width="10.140625" style="104" customWidth="1"/>
    <col min="5894" max="6135" width="9.140625" style="104"/>
    <col min="6136" max="6136" width="13.28515625" style="104" customWidth="1"/>
    <col min="6137" max="6137" width="10.5703125" style="104" customWidth="1"/>
    <col min="6138" max="6138" width="12.140625" style="104" customWidth="1"/>
    <col min="6139" max="6139" width="8.140625" style="104" bestFit="1" customWidth="1"/>
    <col min="6140" max="6140" width="11.5703125" style="104" bestFit="1" customWidth="1"/>
    <col min="6141" max="6141" width="11.140625" style="104" customWidth="1"/>
    <col min="6142" max="6142" width="12.5703125" style="104" customWidth="1"/>
    <col min="6143" max="6143" width="13.85546875" style="104" customWidth="1"/>
    <col min="6144" max="6144" width="13.42578125" style="104" customWidth="1"/>
    <col min="6145" max="6145" width="11" style="104" customWidth="1"/>
    <col min="6146" max="6146" width="17.7109375" style="104" bestFit="1" customWidth="1"/>
    <col min="6147" max="6148" width="9.140625" style="104"/>
    <col min="6149" max="6149" width="10.140625" style="104" customWidth="1"/>
    <col min="6150" max="6391" width="9.140625" style="104"/>
    <col min="6392" max="6392" width="13.28515625" style="104" customWidth="1"/>
    <col min="6393" max="6393" width="10.5703125" style="104" customWidth="1"/>
    <col min="6394" max="6394" width="12.140625" style="104" customWidth="1"/>
    <col min="6395" max="6395" width="8.140625" style="104" bestFit="1" customWidth="1"/>
    <col min="6396" max="6396" width="11.5703125" style="104" bestFit="1" customWidth="1"/>
    <col min="6397" max="6397" width="11.140625" style="104" customWidth="1"/>
    <col min="6398" max="6398" width="12.5703125" style="104" customWidth="1"/>
    <col min="6399" max="6399" width="13.85546875" style="104" customWidth="1"/>
    <col min="6400" max="6400" width="13.42578125" style="104" customWidth="1"/>
    <col min="6401" max="6401" width="11" style="104" customWidth="1"/>
    <col min="6402" max="6402" width="17.7109375" style="104" bestFit="1" customWidth="1"/>
    <col min="6403" max="6404" width="9.140625" style="104"/>
    <col min="6405" max="6405" width="10.140625" style="104" customWidth="1"/>
    <col min="6406" max="6647" width="9.140625" style="104"/>
    <col min="6648" max="6648" width="13.28515625" style="104" customWidth="1"/>
    <col min="6649" max="6649" width="10.5703125" style="104" customWidth="1"/>
    <col min="6650" max="6650" width="12.140625" style="104" customWidth="1"/>
    <col min="6651" max="6651" width="8.140625" style="104" bestFit="1" customWidth="1"/>
    <col min="6652" max="6652" width="11.5703125" style="104" bestFit="1" customWidth="1"/>
    <col min="6653" max="6653" width="11.140625" style="104" customWidth="1"/>
    <col min="6654" max="6654" width="12.5703125" style="104" customWidth="1"/>
    <col min="6655" max="6655" width="13.85546875" style="104" customWidth="1"/>
    <col min="6656" max="6656" width="13.42578125" style="104" customWidth="1"/>
    <col min="6657" max="6657" width="11" style="104" customWidth="1"/>
    <col min="6658" max="6658" width="17.7109375" style="104" bestFit="1" customWidth="1"/>
    <col min="6659" max="6660" width="9.140625" style="104"/>
    <col min="6661" max="6661" width="10.140625" style="104" customWidth="1"/>
    <col min="6662" max="6903" width="9.140625" style="104"/>
    <col min="6904" max="6904" width="13.28515625" style="104" customWidth="1"/>
    <col min="6905" max="6905" width="10.5703125" style="104" customWidth="1"/>
    <col min="6906" max="6906" width="12.140625" style="104" customWidth="1"/>
    <col min="6907" max="6907" width="8.140625" style="104" bestFit="1" customWidth="1"/>
    <col min="6908" max="6908" width="11.5703125" style="104" bestFit="1" customWidth="1"/>
    <col min="6909" max="6909" width="11.140625" style="104" customWidth="1"/>
    <col min="6910" max="6910" width="12.5703125" style="104" customWidth="1"/>
    <col min="6911" max="6911" width="13.85546875" style="104" customWidth="1"/>
    <col min="6912" max="6912" width="13.42578125" style="104" customWidth="1"/>
    <col min="6913" max="6913" width="11" style="104" customWidth="1"/>
    <col min="6914" max="6914" width="17.7109375" style="104" bestFit="1" customWidth="1"/>
    <col min="6915" max="6916" width="9.140625" style="104"/>
    <col min="6917" max="6917" width="10.140625" style="104" customWidth="1"/>
    <col min="6918" max="7159" width="9.140625" style="104"/>
    <col min="7160" max="7160" width="13.28515625" style="104" customWidth="1"/>
    <col min="7161" max="7161" width="10.5703125" style="104" customWidth="1"/>
    <col min="7162" max="7162" width="12.140625" style="104" customWidth="1"/>
    <col min="7163" max="7163" width="8.140625" style="104" bestFit="1" customWidth="1"/>
    <col min="7164" max="7164" width="11.5703125" style="104" bestFit="1" customWidth="1"/>
    <col min="7165" max="7165" width="11.140625" style="104" customWidth="1"/>
    <col min="7166" max="7166" width="12.5703125" style="104" customWidth="1"/>
    <col min="7167" max="7167" width="13.85546875" style="104" customWidth="1"/>
    <col min="7168" max="7168" width="13.42578125" style="104" customWidth="1"/>
    <col min="7169" max="7169" width="11" style="104" customWidth="1"/>
    <col min="7170" max="7170" width="17.7109375" style="104" bestFit="1" customWidth="1"/>
    <col min="7171" max="7172" width="9.140625" style="104"/>
    <col min="7173" max="7173" width="10.140625" style="104" customWidth="1"/>
    <col min="7174" max="7415" width="9.140625" style="104"/>
    <col min="7416" max="7416" width="13.28515625" style="104" customWidth="1"/>
    <col min="7417" max="7417" width="10.5703125" style="104" customWidth="1"/>
    <col min="7418" max="7418" width="12.140625" style="104" customWidth="1"/>
    <col min="7419" max="7419" width="8.140625" style="104" bestFit="1" customWidth="1"/>
    <col min="7420" max="7420" width="11.5703125" style="104" bestFit="1" customWidth="1"/>
    <col min="7421" max="7421" width="11.140625" style="104" customWidth="1"/>
    <col min="7422" max="7422" width="12.5703125" style="104" customWidth="1"/>
    <col min="7423" max="7423" width="13.85546875" style="104" customWidth="1"/>
    <col min="7424" max="7424" width="13.42578125" style="104" customWidth="1"/>
    <col min="7425" max="7425" width="11" style="104" customWidth="1"/>
    <col min="7426" max="7426" width="17.7109375" style="104" bestFit="1" customWidth="1"/>
    <col min="7427" max="7428" width="9.140625" style="104"/>
    <col min="7429" max="7429" width="10.140625" style="104" customWidth="1"/>
    <col min="7430" max="7671" width="9.140625" style="104"/>
    <col min="7672" max="7672" width="13.28515625" style="104" customWidth="1"/>
    <col min="7673" max="7673" width="10.5703125" style="104" customWidth="1"/>
    <col min="7674" max="7674" width="12.140625" style="104" customWidth="1"/>
    <col min="7675" max="7675" width="8.140625" style="104" bestFit="1" customWidth="1"/>
    <col min="7676" max="7676" width="11.5703125" style="104" bestFit="1" customWidth="1"/>
    <col min="7677" max="7677" width="11.140625" style="104" customWidth="1"/>
    <col min="7678" max="7678" width="12.5703125" style="104" customWidth="1"/>
    <col min="7679" max="7679" width="13.85546875" style="104" customWidth="1"/>
    <col min="7680" max="7680" width="13.42578125" style="104" customWidth="1"/>
    <col min="7681" max="7681" width="11" style="104" customWidth="1"/>
    <col min="7682" max="7682" width="17.7109375" style="104" bestFit="1" customWidth="1"/>
    <col min="7683" max="7684" width="9.140625" style="104"/>
    <col min="7685" max="7685" width="10.140625" style="104" customWidth="1"/>
    <col min="7686" max="7927" width="9.140625" style="104"/>
    <col min="7928" max="7928" width="13.28515625" style="104" customWidth="1"/>
    <col min="7929" max="7929" width="10.5703125" style="104" customWidth="1"/>
    <col min="7930" max="7930" width="12.140625" style="104" customWidth="1"/>
    <col min="7931" max="7931" width="8.140625" style="104" bestFit="1" customWidth="1"/>
    <col min="7932" max="7932" width="11.5703125" style="104" bestFit="1" customWidth="1"/>
    <col min="7933" max="7933" width="11.140625" style="104" customWidth="1"/>
    <col min="7934" max="7934" width="12.5703125" style="104" customWidth="1"/>
    <col min="7935" max="7935" width="13.85546875" style="104" customWidth="1"/>
    <col min="7936" max="7936" width="13.42578125" style="104" customWidth="1"/>
    <col min="7937" max="7937" width="11" style="104" customWidth="1"/>
    <col min="7938" max="7938" width="17.7109375" style="104" bestFit="1" customWidth="1"/>
    <col min="7939" max="7940" width="9.140625" style="104"/>
    <col min="7941" max="7941" width="10.140625" style="104" customWidth="1"/>
    <col min="7942" max="8183" width="9.140625" style="104"/>
    <col min="8184" max="8184" width="13.28515625" style="104" customWidth="1"/>
    <col min="8185" max="8185" width="10.5703125" style="104" customWidth="1"/>
    <col min="8186" max="8186" width="12.140625" style="104" customWidth="1"/>
    <col min="8187" max="8187" width="8.140625" style="104" bestFit="1" customWidth="1"/>
    <col min="8188" max="8188" width="11.5703125" style="104" bestFit="1" customWidth="1"/>
    <col min="8189" max="8189" width="11.140625" style="104" customWidth="1"/>
    <col min="8190" max="8190" width="12.5703125" style="104" customWidth="1"/>
    <col min="8191" max="8191" width="13.85546875" style="104" customWidth="1"/>
    <col min="8192" max="8192" width="13.42578125" style="104" customWidth="1"/>
    <col min="8193" max="8193" width="11" style="104" customWidth="1"/>
    <col min="8194" max="8194" width="17.7109375" style="104" bestFit="1" customWidth="1"/>
    <col min="8195" max="8196" width="9.140625" style="104"/>
    <col min="8197" max="8197" width="10.140625" style="104" customWidth="1"/>
    <col min="8198" max="8439" width="9.140625" style="104"/>
    <col min="8440" max="8440" width="13.28515625" style="104" customWidth="1"/>
    <col min="8441" max="8441" width="10.5703125" style="104" customWidth="1"/>
    <col min="8442" max="8442" width="12.140625" style="104" customWidth="1"/>
    <col min="8443" max="8443" width="8.140625" style="104" bestFit="1" customWidth="1"/>
    <col min="8444" max="8444" width="11.5703125" style="104" bestFit="1" customWidth="1"/>
    <col min="8445" max="8445" width="11.140625" style="104" customWidth="1"/>
    <col min="8446" max="8446" width="12.5703125" style="104" customWidth="1"/>
    <col min="8447" max="8447" width="13.85546875" style="104" customWidth="1"/>
    <col min="8448" max="8448" width="13.42578125" style="104" customWidth="1"/>
    <col min="8449" max="8449" width="11" style="104" customWidth="1"/>
    <col min="8450" max="8450" width="17.7109375" style="104" bestFit="1" customWidth="1"/>
    <col min="8451" max="8452" width="9.140625" style="104"/>
    <col min="8453" max="8453" width="10.140625" style="104" customWidth="1"/>
    <col min="8454" max="8695" width="9.140625" style="104"/>
    <col min="8696" max="8696" width="13.28515625" style="104" customWidth="1"/>
    <col min="8697" max="8697" width="10.5703125" style="104" customWidth="1"/>
    <col min="8698" max="8698" width="12.140625" style="104" customWidth="1"/>
    <col min="8699" max="8699" width="8.140625" style="104" bestFit="1" customWidth="1"/>
    <col min="8700" max="8700" width="11.5703125" style="104" bestFit="1" customWidth="1"/>
    <col min="8701" max="8701" width="11.140625" style="104" customWidth="1"/>
    <col min="8702" max="8702" width="12.5703125" style="104" customWidth="1"/>
    <col min="8703" max="8703" width="13.85546875" style="104" customWidth="1"/>
    <col min="8704" max="8704" width="13.42578125" style="104" customWidth="1"/>
    <col min="8705" max="8705" width="11" style="104" customWidth="1"/>
    <col min="8706" max="8706" width="17.7109375" style="104" bestFit="1" customWidth="1"/>
    <col min="8707" max="8708" width="9.140625" style="104"/>
    <col min="8709" max="8709" width="10.140625" style="104" customWidth="1"/>
    <col min="8710" max="8951" width="9.140625" style="104"/>
    <col min="8952" max="8952" width="13.28515625" style="104" customWidth="1"/>
    <col min="8953" max="8953" width="10.5703125" style="104" customWidth="1"/>
    <col min="8954" max="8954" width="12.140625" style="104" customWidth="1"/>
    <col min="8955" max="8955" width="8.140625" style="104" bestFit="1" customWidth="1"/>
    <col min="8956" max="8956" width="11.5703125" style="104" bestFit="1" customWidth="1"/>
    <col min="8957" max="8957" width="11.140625" style="104" customWidth="1"/>
    <col min="8958" max="8958" width="12.5703125" style="104" customWidth="1"/>
    <col min="8959" max="8959" width="13.85546875" style="104" customWidth="1"/>
    <col min="8960" max="8960" width="13.42578125" style="104" customWidth="1"/>
    <col min="8961" max="8961" width="11" style="104" customWidth="1"/>
    <col min="8962" max="8962" width="17.7109375" style="104" bestFit="1" customWidth="1"/>
    <col min="8963" max="8964" width="9.140625" style="104"/>
    <col min="8965" max="8965" width="10.140625" style="104" customWidth="1"/>
    <col min="8966" max="9207" width="9.140625" style="104"/>
    <col min="9208" max="9208" width="13.28515625" style="104" customWidth="1"/>
    <col min="9209" max="9209" width="10.5703125" style="104" customWidth="1"/>
    <col min="9210" max="9210" width="12.140625" style="104" customWidth="1"/>
    <col min="9211" max="9211" width="8.140625" style="104" bestFit="1" customWidth="1"/>
    <col min="9212" max="9212" width="11.5703125" style="104" bestFit="1" customWidth="1"/>
    <col min="9213" max="9213" width="11.140625" style="104" customWidth="1"/>
    <col min="9214" max="9214" width="12.5703125" style="104" customWidth="1"/>
    <col min="9215" max="9215" width="13.85546875" style="104" customWidth="1"/>
    <col min="9216" max="9216" width="13.42578125" style="104" customWidth="1"/>
    <col min="9217" max="9217" width="11" style="104" customWidth="1"/>
    <col min="9218" max="9218" width="17.7109375" style="104" bestFit="1" customWidth="1"/>
    <col min="9219" max="9220" width="9.140625" style="104"/>
    <col min="9221" max="9221" width="10.140625" style="104" customWidth="1"/>
    <col min="9222" max="9463" width="9.140625" style="104"/>
    <col min="9464" max="9464" width="13.28515625" style="104" customWidth="1"/>
    <col min="9465" max="9465" width="10.5703125" style="104" customWidth="1"/>
    <col min="9466" max="9466" width="12.140625" style="104" customWidth="1"/>
    <col min="9467" max="9467" width="8.140625" style="104" bestFit="1" customWidth="1"/>
    <col min="9468" max="9468" width="11.5703125" style="104" bestFit="1" customWidth="1"/>
    <col min="9469" max="9469" width="11.140625" style="104" customWidth="1"/>
    <col min="9470" max="9470" width="12.5703125" style="104" customWidth="1"/>
    <col min="9471" max="9471" width="13.85546875" style="104" customWidth="1"/>
    <col min="9472" max="9472" width="13.42578125" style="104" customWidth="1"/>
    <col min="9473" max="9473" width="11" style="104" customWidth="1"/>
    <col min="9474" max="9474" width="17.7109375" style="104" bestFit="1" customWidth="1"/>
    <col min="9475" max="9476" width="9.140625" style="104"/>
    <col min="9477" max="9477" width="10.140625" style="104" customWidth="1"/>
    <col min="9478" max="9719" width="9.140625" style="104"/>
    <col min="9720" max="9720" width="13.28515625" style="104" customWidth="1"/>
    <col min="9721" max="9721" width="10.5703125" style="104" customWidth="1"/>
    <col min="9722" max="9722" width="12.140625" style="104" customWidth="1"/>
    <col min="9723" max="9723" width="8.140625" style="104" bestFit="1" customWidth="1"/>
    <col min="9724" max="9724" width="11.5703125" style="104" bestFit="1" customWidth="1"/>
    <col min="9725" max="9725" width="11.140625" style="104" customWidth="1"/>
    <col min="9726" max="9726" width="12.5703125" style="104" customWidth="1"/>
    <col min="9727" max="9727" width="13.85546875" style="104" customWidth="1"/>
    <col min="9728" max="9728" width="13.42578125" style="104" customWidth="1"/>
    <col min="9729" max="9729" width="11" style="104" customWidth="1"/>
    <col min="9730" max="9730" width="17.7109375" style="104" bestFit="1" customWidth="1"/>
    <col min="9731" max="9732" width="9.140625" style="104"/>
    <col min="9733" max="9733" width="10.140625" style="104" customWidth="1"/>
    <col min="9734" max="9975" width="9.140625" style="104"/>
    <col min="9976" max="9976" width="13.28515625" style="104" customWidth="1"/>
    <col min="9977" max="9977" width="10.5703125" style="104" customWidth="1"/>
    <col min="9978" max="9978" width="12.140625" style="104" customWidth="1"/>
    <col min="9979" max="9979" width="8.140625" style="104" bestFit="1" customWidth="1"/>
    <col min="9980" max="9980" width="11.5703125" style="104" bestFit="1" customWidth="1"/>
    <col min="9981" max="9981" width="11.140625" style="104" customWidth="1"/>
    <col min="9982" max="9982" width="12.5703125" style="104" customWidth="1"/>
    <col min="9983" max="9983" width="13.85546875" style="104" customWidth="1"/>
    <col min="9984" max="9984" width="13.42578125" style="104" customWidth="1"/>
    <col min="9985" max="9985" width="11" style="104" customWidth="1"/>
    <col min="9986" max="9986" width="17.7109375" style="104" bestFit="1" customWidth="1"/>
    <col min="9987" max="9988" width="9.140625" style="104"/>
    <col min="9989" max="9989" width="10.140625" style="104" customWidth="1"/>
    <col min="9990" max="10231" width="9.140625" style="104"/>
    <col min="10232" max="10232" width="13.28515625" style="104" customWidth="1"/>
    <col min="10233" max="10233" width="10.5703125" style="104" customWidth="1"/>
    <col min="10234" max="10234" width="12.140625" style="104" customWidth="1"/>
    <col min="10235" max="10235" width="8.140625" style="104" bestFit="1" customWidth="1"/>
    <col min="10236" max="10236" width="11.5703125" style="104" bestFit="1" customWidth="1"/>
    <col min="10237" max="10237" width="11.140625" style="104" customWidth="1"/>
    <col min="10238" max="10238" width="12.5703125" style="104" customWidth="1"/>
    <col min="10239" max="10239" width="13.85546875" style="104" customWidth="1"/>
    <col min="10240" max="10240" width="13.42578125" style="104" customWidth="1"/>
    <col min="10241" max="10241" width="11" style="104" customWidth="1"/>
    <col min="10242" max="10242" width="17.7109375" style="104" bestFit="1" customWidth="1"/>
    <col min="10243" max="10244" width="9.140625" style="104"/>
    <col min="10245" max="10245" width="10.140625" style="104" customWidth="1"/>
    <col min="10246" max="10487" width="9.140625" style="104"/>
    <col min="10488" max="10488" width="13.28515625" style="104" customWidth="1"/>
    <col min="10489" max="10489" width="10.5703125" style="104" customWidth="1"/>
    <col min="10490" max="10490" width="12.140625" style="104" customWidth="1"/>
    <col min="10491" max="10491" width="8.140625" style="104" bestFit="1" customWidth="1"/>
    <col min="10492" max="10492" width="11.5703125" style="104" bestFit="1" customWidth="1"/>
    <col min="10493" max="10493" width="11.140625" style="104" customWidth="1"/>
    <col min="10494" max="10494" width="12.5703125" style="104" customWidth="1"/>
    <col min="10495" max="10495" width="13.85546875" style="104" customWidth="1"/>
    <col min="10496" max="10496" width="13.42578125" style="104" customWidth="1"/>
    <col min="10497" max="10497" width="11" style="104" customWidth="1"/>
    <col min="10498" max="10498" width="17.7109375" style="104" bestFit="1" customWidth="1"/>
    <col min="10499" max="10500" width="9.140625" style="104"/>
    <col min="10501" max="10501" width="10.140625" style="104" customWidth="1"/>
    <col min="10502" max="10743" width="9.140625" style="104"/>
    <col min="10744" max="10744" width="13.28515625" style="104" customWidth="1"/>
    <col min="10745" max="10745" width="10.5703125" style="104" customWidth="1"/>
    <col min="10746" max="10746" width="12.140625" style="104" customWidth="1"/>
    <col min="10747" max="10747" width="8.140625" style="104" bestFit="1" customWidth="1"/>
    <col min="10748" max="10748" width="11.5703125" style="104" bestFit="1" customWidth="1"/>
    <col min="10749" max="10749" width="11.140625" style="104" customWidth="1"/>
    <col min="10750" max="10750" width="12.5703125" style="104" customWidth="1"/>
    <col min="10751" max="10751" width="13.85546875" style="104" customWidth="1"/>
    <col min="10752" max="10752" width="13.42578125" style="104" customWidth="1"/>
    <col min="10753" max="10753" width="11" style="104" customWidth="1"/>
    <col min="10754" max="10754" width="17.7109375" style="104" bestFit="1" customWidth="1"/>
    <col min="10755" max="10756" width="9.140625" style="104"/>
    <col min="10757" max="10757" width="10.140625" style="104" customWidth="1"/>
    <col min="10758" max="10999" width="9.140625" style="104"/>
    <col min="11000" max="11000" width="13.28515625" style="104" customWidth="1"/>
    <col min="11001" max="11001" width="10.5703125" style="104" customWidth="1"/>
    <col min="11002" max="11002" width="12.140625" style="104" customWidth="1"/>
    <col min="11003" max="11003" width="8.140625" style="104" bestFit="1" customWidth="1"/>
    <col min="11004" max="11004" width="11.5703125" style="104" bestFit="1" customWidth="1"/>
    <col min="11005" max="11005" width="11.140625" style="104" customWidth="1"/>
    <col min="11006" max="11006" width="12.5703125" style="104" customWidth="1"/>
    <col min="11007" max="11007" width="13.85546875" style="104" customWidth="1"/>
    <col min="11008" max="11008" width="13.42578125" style="104" customWidth="1"/>
    <col min="11009" max="11009" width="11" style="104" customWidth="1"/>
    <col min="11010" max="11010" width="17.7109375" style="104" bestFit="1" customWidth="1"/>
    <col min="11011" max="11012" width="9.140625" style="104"/>
    <col min="11013" max="11013" width="10.140625" style="104" customWidth="1"/>
    <col min="11014" max="11255" width="9.140625" style="104"/>
    <col min="11256" max="11256" width="13.28515625" style="104" customWidth="1"/>
    <col min="11257" max="11257" width="10.5703125" style="104" customWidth="1"/>
    <col min="11258" max="11258" width="12.140625" style="104" customWidth="1"/>
    <col min="11259" max="11259" width="8.140625" style="104" bestFit="1" customWidth="1"/>
    <col min="11260" max="11260" width="11.5703125" style="104" bestFit="1" customWidth="1"/>
    <col min="11261" max="11261" width="11.140625" style="104" customWidth="1"/>
    <col min="11262" max="11262" width="12.5703125" style="104" customWidth="1"/>
    <col min="11263" max="11263" width="13.85546875" style="104" customWidth="1"/>
    <col min="11264" max="11264" width="13.42578125" style="104" customWidth="1"/>
    <col min="11265" max="11265" width="11" style="104" customWidth="1"/>
    <col min="11266" max="11266" width="17.7109375" style="104" bestFit="1" customWidth="1"/>
    <col min="11267" max="11268" width="9.140625" style="104"/>
    <col min="11269" max="11269" width="10.140625" style="104" customWidth="1"/>
    <col min="11270" max="11511" width="9.140625" style="104"/>
    <col min="11512" max="11512" width="13.28515625" style="104" customWidth="1"/>
    <col min="11513" max="11513" width="10.5703125" style="104" customWidth="1"/>
    <col min="11514" max="11514" width="12.140625" style="104" customWidth="1"/>
    <col min="11515" max="11515" width="8.140625" style="104" bestFit="1" customWidth="1"/>
    <col min="11516" max="11516" width="11.5703125" style="104" bestFit="1" customWidth="1"/>
    <col min="11517" max="11517" width="11.140625" style="104" customWidth="1"/>
    <col min="11518" max="11518" width="12.5703125" style="104" customWidth="1"/>
    <col min="11519" max="11519" width="13.85546875" style="104" customWidth="1"/>
    <col min="11520" max="11520" width="13.42578125" style="104" customWidth="1"/>
    <col min="11521" max="11521" width="11" style="104" customWidth="1"/>
    <col min="11522" max="11522" width="17.7109375" style="104" bestFit="1" customWidth="1"/>
    <col min="11523" max="11524" width="9.140625" style="104"/>
    <col min="11525" max="11525" width="10.140625" style="104" customWidth="1"/>
    <col min="11526" max="11767" width="9.140625" style="104"/>
    <col min="11768" max="11768" width="13.28515625" style="104" customWidth="1"/>
    <col min="11769" max="11769" width="10.5703125" style="104" customWidth="1"/>
    <col min="11770" max="11770" width="12.140625" style="104" customWidth="1"/>
    <col min="11771" max="11771" width="8.140625" style="104" bestFit="1" customWidth="1"/>
    <col min="11772" max="11772" width="11.5703125" style="104" bestFit="1" customWidth="1"/>
    <col min="11773" max="11773" width="11.140625" style="104" customWidth="1"/>
    <col min="11774" max="11774" width="12.5703125" style="104" customWidth="1"/>
    <col min="11775" max="11775" width="13.85546875" style="104" customWidth="1"/>
    <col min="11776" max="11776" width="13.42578125" style="104" customWidth="1"/>
    <col min="11777" max="11777" width="11" style="104" customWidth="1"/>
    <col min="11778" max="11778" width="17.7109375" style="104" bestFit="1" customWidth="1"/>
    <col min="11779" max="11780" width="9.140625" style="104"/>
    <col min="11781" max="11781" width="10.140625" style="104" customWidth="1"/>
    <col min="11782" max="12023" width="9.140625" style="104"/>
    <col min="12024" max="12024" width="13.28515625" style="104" customWidth="1"/>
    <col min="12025" max="12025" width="10.5703125" style="104" customWidth="1"/>
    <col min="12026" max="12026" width="12.140625" style="104" customWidth="1"/>
    <col min="12027" max="12027" width="8.140625" style="104" bestFit="1" customWidth="1"/>
    <col min="12028" max="12028" width="11.5703125" style="104" bestFit="1" customWidth="1"/>
    <col min="12029" max="12029" width="11.140625" style="104" customWidth="1"/>
    <col min="12030" max="12030" width="12.5703125" style="104" customWidth="1"/>
    <col min="12031" max="12031" width="13.85546875" style="104" customWidth="1"/>
    <col min="12032" max="12032" width="13.42578125" style="104" customWidth="1"/>
    <col min="12033" max="12033" width="11" style="104" customWidth="1"/>
    <col min="12034" max="12034" width="17.7109375" style="104" bestFit="1" customWidth="1"/>
    <col min="12035" max="12036" width="9.140625" style="104"/>
    <col min="12037" max="12037" width="10.140625" style="104" customWidth="1"/>
    <col min="12038" max="12279" width="9.140625" style="104"/>
    <col min="12280" max="12280" width="13.28515625" style="104" customWidth="1"/>
    <col min="12281" max="12281" width="10.5703125" style="104" customWidth="1"/>
    <col min="12282" max="12282" width="12.140625" style="104" customWidth="1"/>
    <col min="12283" max="12283" width="8.140625" style="104" bestFit="1" customWidth="1"/>
    <col min="12284" max="12284" width="11.5703125" style="104" bestFit="1" customWidth="1"/>
    <col min="12285" max="12285" width="11.140625" style="104" customWidth="1"/>
    <col min="12286" max="12286" width="12.5703125" style="104" customWidth="1"/>
    <col min="12287" max="12287" width="13.85546875" style="104" customWidth="1"/>
    <col min="12288" max="12288" width="13.42578125" style="104" customWidth="1"/>
    <col min="12289" max="12289" width="11" style="104" customWidth="1"/>
    <col min="12290" max="12290" width="17.7109375" style="104" bestFit="1" customWidth="1"/>
    <col min="12291" max="12292" width="9.140625" style="104"/>
    <col min="12293" max="12293" width="10.140625" style="104" customWidth="1"/>
    <col min="12294" max="12535" width="9.140625" style="104"/>
    <col min="12536" max="12536" width="13.28515625" style="104" customWidth="1"/>
    <col min="12537" max="12537" width="10.5703125" style="104" customWidth="1"/>
    <col min="12538" max="12538" width="12.140625" style="104" customWidth="1"/>
    <col min="12539" max="12539" width="8.140625" style="104" bestFit="1" customWidth="1"/>
    <col min="12540" max="12540" width="11.5703125" style="104" bestFit="1" customWidth="1"/>
    <col min="12541" max="12541" width="11.140625" style="104" customWidth="1"/>
    <col min="12542" max="12542" width="12.5703125" style="104" customWidth="1"/>
    <col min="12543" max="12543" width="13.85546875" style="104" customWidth="1"/>
    <col min="12544" max="12544" width="13.42578125" style="104" customWidth="1"/>
    <col min="12545" max="12545" width="11" style="104" customWidth="1"/>
    <col min="12546" max="12546" width="17.7109375" style="104" bestFit="1" customWidth="1"/>
    <col min="12547" max="12548" width="9.140625" style="104"/>
    <col min="12549" max="12549" width="10.140625" style="104" customWidth="1"/>
    <col min="12550" max="12791" width="9.140625" style="104"/>
    <col min="12792" max="12792" width="13.28515625" style="104" customWidth="1"/>
    <col min="12793" max="12793" width="10.5703125" style="104" customWidth="1"/>
    <col min="12794" max="12794" width="12.140625" style="104" customWidth="1"/>
    <col min="12795" max="12795" width="8.140625" style="104" bestFit="1" customWidth="1"/>
    <col min="12796" max="12796" width="11.5703125" style="104" bestFit="1" customWidth="1"/>
    <col min="12797" max="12797" width="11.140625" style="104" customWidth="1"/>
    <col min="12798" max="12798" width="12.5703125" style="104" customWidth="1"/>
    <col min="12799" max="12799" width="13.85546875" style="104" customWidth="1"/>
    <col min="12800" max="12800" width="13.42578125" style="104" customWidth="1"/>
    <col min="12801" max="12801" width="11" style="104" customWidth="1"/>
    <col min="12802" max="12802" width="17.7109375" style="104" bestFit="1" customWidth="1"/>
    <col min="12803" max="12804" width="9.140625" style="104"/>
    <col min="12805" max="12805" width="10.140625" style="104" customWidth="1"/>
    <col min="12806" max="13047" width="9.140625" style="104"/>
    <col min="13048" max="13048" width="13.28515625" style="104" customWidth="1"/>
    <col min="13049" max="13049" width="10.5703125" style="104" customWidth="1"/>
    <col min="13050" max="13050" width="12.140625" style="104" customWidth="1"/>
    <col min="13051" max="13051" width="8.140625" style="104" bestFit="1" customWidth="1"/>
    <col min="13052" max="13052" width="11.5703125" style="104" bestFit="1" customWidth="1"/>
    <col min="13053" max="13053" width="11.140625" style="104" customWidth="1"/>
    <col min="13054" max="13054" width="12.5703125" style="104" customWidth="1"/>
    <col min="13055" max="13055" width="13.85546875" style="104" customWidth="1"/>
    <col min="13056" max="13056" width="13.42578125" style="104" customWidth="1"/>
    <col min="13057" max="13057" width="11" style="104" customWidth="1"/>
    <col min="13058" max="13058" width="17.7109375" style="104" bestFit="1" customWidth="1"/>
    <col min="13059" max="13060" width="9.140625" style="104"/>
    <col min="13061" max="13061" width="10.140625" style="104" customWidth="1"/>
    <col min="13062" max="13303" width="9.140625" style="104"/>
    <col min="13304" max="13304" width="13.28515625" style="104" customWidth="1"/>
    <col min="13305" max="13305" width="10.5703125" style="104" customWidth="1"/>
    <col min="13306" max="13306" width="12.140625" style="104" customWidth="1"/>
    <col min="13307" max="13307" width="8.140625" style="104" bestFit="1" customWidth="1"/>
    <col min="13308" max="13308" width="11.5703125" style="104" bestFit="1" customWidth="1"/>
    <col min="13309" max="13309" width="11.140625" style="104" customWidth="1"/>
    <col min="13310" max="13310" width="12.5703125" style="104" customWidth="1"/>
    <col min="13311" max="13311" width="13.85546875" style="104" customWidth="1"/>
    <col min="13312" max="13312" width="13.42578125" style="104" customWidth="1"/>
    <col min="13313" max="13313" width="11" style="104" customWidth="1"/>
    <col min="13314" max="13314" width="17.7109375" style="104" bestFit="1" customWidth="1"/>
    <col min="13315" max="13316" width="9.140625" style="104"/>
    <col min="13317" max="13317" width="10.140625" style="104" customWidth="1"/>
    <col min="13318" max="13559" width="9.140625" style="104"/>
    <col min="13560" max="13560" width="13.28515625" style="104" customWidth="1"/>
    <col min="13561" max="13561" width="10.5703125" style="104" customWidth="1"/>
    <col min="13562" max="13562" width="12.140625" style="104" customWidth="1"/>
    <col min="13563" max="13563" width="8.140625" style="104" bestFit="1" customWidth="1"/>
    <col min="13564" max="13564" width="11.5703125" style="104" bestFit="1" customWidth="1"/>
    <col min="13565" max="13565" width="11.140625" style="104" customWidth="1"/>
    <col min="13566" max="13566" width="12.5703125" style="104" customWidth="1"/>
    <col min="13567" max="13567" width="13.85546875" style="104" customWidth="1"/>
    <col min="13568" max="13568" width="13.42578125" style="104" customWidth="1"/>
    <col min="13569" max="13569" width="11" style="104" customWidth="1"/>
    <col min="13570" max="13570" width="17.7109375" style="104" bestFit="1" customWidth="1"/>
    <col min="13571" max="13572" width="9.140625" style="104"/>
    <col min="13573" max="13573" width="10.140625" style="104" customWidth="1"/>
    <col min="13574" max="13815" width="9.140625" style="104"/>
    <col min="13816" max="13816" width="13.28515625" style="104" customWidth="1"/>
    <col min="13817" max="13817" width="10.5703125" style="104" customWidth="1"/>
    <col min="13818" max="13818" width="12.140625" style="104" customWidth="1"/>
    <col min="13819" max="13819" width="8.140625" style="104" bestFit="1" customWidth="1"/>
    <col min="13820" max="13820" width="11.5703125" style="104" bestFit="1" customWidth="1"/>
    <col min="13821" max="13821" width="11.140625" style="104" customWidth="1"/>
    <col min="13822" max="13822" width="12.5703125" style="104" customWidth="1"/>
    <col min="13823" max="13823" width="13.85546875" style="104" customWidth="1"/>
    <col min="13824" max="13824" width="13.42578125" style="104" customWidth="1"/>
    <col min="13825" max="13825" width="11" style="104" customWidth="1"/>
    <col min="13826" max="13826" width="17.7109375" style="104" bestFit="1" customWidth="1"/>
    <col min="13827" max="13828" width="9.140625" style="104"/>
    <col min="13829" max="13829" width="10.140625" style="104" customWidth="1"/>
    <col min="13830" max="14071" width="9.140625" style="104"/>
    <col min="14072" max="14072" width="13.28515625" style="104" customWidth="1"/>
    <col min="14073" max="14073" width="10.5703125" style="104" customWidth="1"/>
    <col min="14074" max="14074" width="12.140625" style="104" customWidth="1"/>
    <col min="14075" max="14075" width="8.140625" style="104" bestFit="1" customWidth="1"/>
    <col min="14076" max="14076" width="11.5703125" style="104" bestFit="1" customWidth="1"/>
    <col min="14077" max="14077" width="11.140625" style="104" customWidth="1"/>
    <col min="14078" max="14078" width="12.5703125" style="104" customWidth="1"/>
    <col min="14079" max="14079" width="13.85546875" style="104" customWidth="1"/>
    <col min="14080" max="14080" width="13.42578125" style="104" customWidth="1"/>
    <col min="14081" max="14081" width="11" style="104" customWidth="1"/>
    <col min="14082" max="14082" width="17.7109375" style="104" bestFit="1" customWidth="1"/>
    <col min="14083" max="14084" width="9.140625" style="104"/>
    <col min="14085" max="14085" width="10.140625" style="104" customWidth="1"/>
    <col min="14086" max="14327" width="9.140625" style="104"/>
    <col min="14328" max="14328" width="13.28515625" style="104" customWidth="1"/>
    <col min="14329" max="14329" width="10.5703125" style="104" customWidth="1"/>
    <col min="14330" max="14330" width="12.140625" style="104" customWidth="1"/>
    <col min="14331" max="14331" width="8.140625" style="104" bestFit="1" customWidth="1"/>
    <col min="14332" max="14332" width="11.5703125" style="104" bestFit="1" customWidth="1"/>
    <col min="14333" max="14333" width="11.140625" style="104" customWidth="1"/>
    <col min="14334" max="14334" width="12.5703125" style="104" customWidth="1"/>
    <col min="14335" max="14335" width="13.85546875" style="104" customWidth="1"/>
    <col min="14336" max="14336" width="13.42578125" style="104" customWidth="1"/>
    <col min="14337" max="14337" width="11" style="104" customWidth="1"/>
    <col min="14338" max="14338" width="17.7109375" style="104" bestFit="1" customWidth="1"/>
    <col min="14339" max="14340" width="9.140625" style="104"/>
    <col min="14341" max="14341" width="10.140625" style="104" customWidth="1"/>
    <col min="14342" max="14583" width="9.140625" style="104"/>
    <col min="14584" max="14584" width="13.28515625" style="104" customWidth="1"/>
    <col min="14585" max="14585" width="10.5703125" style="104" customWidth="1"/>
    <col min="14586" max="14586" width="12.140625" style="104" customWidth="1"/>
    <col min="14587" max="14587" width="8.140625" style="104" bestFit="1" customWidth="1"/>
    <col min="14588" max="14588" width="11.5703125" style="104" bestFit="1" customWidth="1"/>
    <col min="14589" max="14589" width="11.140625" style="104" customWidth="1"/>
    <col min="14590" max="14590" width="12.5703125" style="104" customWidth="1"/>
    <col min="14591" max="14591" width="13.85546875" style="104" customWidth="1"/>
    <col min="14592" max="14592" width="13.42578125" style="104" customWidth="1"/>
    <col min="14593" max="14593" width="11" style="104" customWidth="1"/>
    <col min="14594" max="14594" width="17.7109375" style="104" bestFit="1" customWidth="1"/>
    <col min="14595" max="14596" width="9.140625" style="104"/>
    <col min="14597" max="14597" width="10.140625" style="104" customWidth="1"/>
    <col min="14598" max="14839" width="9.140625" style="104"/>
    <col min="14840" max="14840" width="13.28515625" style="104" customWidth="1"/>
    <col min="14841" max="14841" width="10.5703125" style="104" customWidth="1"/>
    <col min="14842" max="14842" width="12.140625" style="104" customWidth="1"/>
    <col min="14843" max="14843" width="8.140625" style="104" bestFit="1" customWidth="1"/>
    <col min="14844" max="14844" width="11.5703125" style="104" bestFit="1" customWidth="1"/>
    <col min="14845" max="14845" width="11.140625" style="104" customWidth="1"/>
    <col min="14846" max="14846" width="12.5703125" style="104" customWidth="1"/>
    <col min="14847" max="14847" width="13.85546875" style="104" customWidth="1"/>
    <col min="14848" max="14848" width="13.42578125" style="104" customWidth="1"/>
    <col min="14849" max="14849" width="11" style="104" customWidth="1"/>
    <col min="14850" max="14850" width="17.7109375" style="104" bestFit="1" customWidth="1"/>
    <col min="14851" max="14852" width="9.140625" style="104"/>
    <col min="14853" max="14853" width="10.140625" style="104" customWidth="1"/>
    <col min="14854" max="15095" width="9.140625" style="104"/>
    <col min="15096" max="15096" width="13.28515625" style="104" customWidth="1"/>
    <col min="15097" max="15097" width="10.5703125" style="104" customWidth="1"/>
    <col min="15098" max="15098" width="12.140625" style="104" customWidth="1"/>
    <col min="15099" max="15099" width="8.140625" style="104" bestFit="1" customWidth="1"/>
    <col min="15100" max="15100" width="11.5703125" style="104" bestFit="1" customWidth="1"/>
    <col min="15101" max="15101" width="11.140625" style="104" customWidth="1"/>
    <col min="15102" max="15102" width="12.5703125" style="104" customWidth="1"/>
    <col min="15103" max="15103" width="13.85546875" style="104" customWidth="1"/>
    <col min="15104" max="15104" width="13.42578125" style="104" customWidth="1"/>
    <col min="15105" max="15105" width="11" style="104" customWidth="1"/>
    <col min="15106" max="15106" width="17.7109375" style="104" bestFit="1" customWidth="1"/>
    <col min="15107" max="15108" width="9.140625" style="104"/>
    <col min="15109" max="15109" width="10.140625" style="104" customWidth="1"/>
    <col min="15110" max="15351" width="9.140625" style="104"/>
    <col min="15352" max="15352" width="13.28515625" style="104" customWidth="1"/>
    <col min="15353" max="15353" width="10.5703125" style="104" customWidth="1"/>
    <col min="15354" max="15354" width="12.140625" style="104" customWidth="1"/>
    <col min="15355" max="15355" width="8.140625" style="104" bestFit="1" customWidth="1"/>
    <col min="15356" max="15356" width="11.5703125" style="104" bestFit="1" customWidth="1"/>
    <col min="15357" max="15357" width="11.140625" style="104" customWidth="1"/>
    <col min="15358" max="15358" width="12.5703125" style="104" customWidth="1"/>
    <col min="15359" max="15359" width="13.85546875" style="104" customWidth="1"/>
    <col min="15360" max="15360" width="13.42578125" style="104" customWidth="1"/>
    <col min="15361" max="15361" width="11" style="104" customWidth="1"/>
    <col min="15362" max="15362" width="17.7109375" style="104" bestFit="1" customWidth="1"/>
    <col min="15363" max="15364" width="9.140625" style="104"/>
    <col min="15365" max="15365" width="10.140625" style="104" customWidth="1"/>
    <col min="15366" max="15607" width="9.140625" style="104"/>
    <col min="15608" max="15608" width="13.28515625" style="104" customWidth="1"/>
    <col min="15609" max="15609" width="10.5703125" style="104" customWidth="1"/>
    <col min="15610" max="15610" width="12.140625" style="104" customWidth="1"/>
    <col min="15611" max="15611" width="8.140625" style="104" bestFit="1" customWidth="1"/>
    <col min="15612" max="15612" width="11.5703125" style="104" bestFit="1" customWidth="1"/>
    <col min="15613" max="15613" width="11.140625" style="104" customWidth="1"/>
    <col min="15614" max="15614" width="12.5703125" style="104" customWidth="1"/>
    <col min="15615" max="15615" width="13.85546875" style="104" customWidth="1"/>
    <col min="15616" max="15616" width="13.42578125" style="104" customWidth="1"/>
    <col min="15617" max="15617" width="11" style="104" customWidth="1"/>
    <col min="15618" max="15618" width="17.7109375" style="104" bestFit="1" customWidth="1"/>
    <col min="15619" max="15620" width="9.140625" style="104"/>
    <col min="15621" max="15621" width="10.140625" style="104" customWidth="1"/>
    <col min="15622" max="15863" width="9.140625" style="104"/>
    <col min="15864" max="15864" width="13.28515625" style="104" customWidth="1"/>
    <col min="15865" max="15865" width="10.5703125" style="104" customWidth="1"/>
    <col min="15866" max="15866" width="12.140625" style="104" customWidth="1"/>
    <col min="15867" max="15867" width="8.140625" style="104" bestFit="1" customWidth="1"/>
    <col min="15868" max="15868" width="11.5703125" style="104" bestFit="1" customWidth="1"/>
    <col min="15869" max="15869" width="11.140625" style="104" customWidth="1"/>
    <col min="15870" max="15870" width="12.5703125" style="104" customWidth="1"/>
    <col min="15871" max="15871" width="13.85546875" style="104" customWidth="1"/>
    <col min="15872" max="15872" width="13.42578125" style="104" customWidth="1"/>
    <col min="15873" max="15873" width="11" style="104" customWidth="1"/>
    <col min="15874" max="15874" width="17.7109375" style="104" bestFit="1" customWidth="1"/>
    <col min="15875" max="15876" width="9.140625" style="104"/>
    <col min="15877" max="15877" width="10.140625" style="104" customWidth="1"/>
    <col min="15878" max="16119" width="9.140625" style="104"/>
    <col min="16120" max="16120" width="13.28515625" style="104" customWidth="1"/>
    <col min="16121" max="16121" width="10.5703125" style="104" customWidth="1"/>
    <col min="16122" max="16122" width="12.140625" style="104" customWidth="1"/>
    <col min="16123" max="16123" width="8.140625" style="104" bestFit="1" customWidth="1"/>
    <col min="16124" max="16124" width="11.5703125" style="104" bestFit="1" customWidth="1"/>
    <col min="16125" max="16125" width="11.140625" style="104" customWidth="1"/>
    <col min="16126" max="16126" width="12.5703125" style="104" customWidth="1"/>
    <col min="16127" max="16127" width="13.85546875" style="104" customWidth="1"/>
    <col min="16128" max="16128" width="13.42578125" style="104" customWidth="1"/>
    <col min="16129" max="16129" width="11" style="104" customWidth="1"/>
    <col min="16130" max="16130" width="17.7109375" style="104" bestFit="1" customWidth="1"/>
    <col min="16131" max="16132" width="9.140625" style="104"/>
    <col min="16133" max="16133" width="10.140625" style="104" customWidth="1"/>
    <col min="16134" max="16384" width="9.140625" style="104"/>
  </cols>
  <sheetData>
    <row r="1" spans="1:46" ht="36" customHeight="1" x14ac:dyDescent="0.35">
      <c r="A1" s="2899" t="s">
        <v>4923</v>
      </c>
      <c r="B1" s="84"/>
      <c r="C1" s="84"/>
      <c r="D1" s="84"/>
      <c r="E1" s="84"/>
      <c r="F1" s="84"/>
      <c r="G1" s="84"/>
      <c r="H1" s="84"/>
      <c r="I1" s="290"/>
      <c r="J1" s="2900"/>
      <c r="K1" s="2900"/>
    </row>
    <row r="2" spans="1:46" ht="3" customHeight="1" thickBot="1" x14ac:dyDescent="0.3">
      <c r="K2" s="110"/>
      <c r="L2" s="2903"/>
    </row>
    <row r="3" spans="1:46" s="2907" customFormat="1" ht="19.5" customHeight="1" thickTop="1" x14ac:dyDescent="0.25">
      <c r="A3" s="2904"/>
      <c r="B3" s="3948" t="s">
        <v>4924</v>
      </c>
      <c r="C3" s="3948"/>
      <c r="D3" s="3948"/>
      <c r="E3" s="3948"/>
      <c r="F3" s="3949" t="s">
        <v>4925</v>
      </c>
      <c r="G3" s="3949" t="s">
        <v>4926</v>
      </c>
      <c r="H3" s="3949" t="s">
        <v>4927</v>
      </c>
      <c r="I3" s="3949" t="s">
        <v>4928</v>
      </c>
      <c r="J3" s="3952" t="s">
        <v>4929</v>
      </c>
      <c r="K3" s="127"/>
      <c r="L3" s="2905"/>
      <c r="M3" s="127"/>
      <c r="N3" s="127"/>
      <c r="O3" s="127"/>
      <c r="P3" s="127"/>
      <c r="Q3" s="2906"/>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row>
    <row r="4" spans="1:46" s="2907" customFormat="1" ht="13.5" customHeight="1" x14ac:dyDescent="0.25">
      <c r="A4" s="2908"/>
      <c r="B4" s="3955" t="s">
        <v>4930</v>
      </c>
      <c r="C4" s="3955"/>
      <c r="D4" s="3955"/>
      <c r="E4" s="3955"/>
      <c r="F4" s="3950"/>
      <c r="G4" s="3950"/>
      <c r="H4" s="3950"/>
      <c r="I4" s="3950"/>
      <c r="J4" s="3953"/>
      <c r="K4" s="127"/>
      <c r="L4" s="2905"/>
      <c r="M4" s="127"/>
      <c r="N4" s="127"/>
      <c r="O4" s="127"/>
      <c r="P4" s="127"/>
      <c r="Q4" s="2906"/>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row>
    <row r="5" spans="1:46" s="2907" customFormat="1" ht="23.25" customHeight="1" thickBot="1" x14ac:dyDescent="0.3">
      <c r="A5" s="2908"/>
      <c r="B5" s="3955" t="s">
        <v>4931</v>
      </c>
      <c r="C5" s="3955"/>
      <c r="D5" s="3955"/>
      <c r="E5" s="3955"/>
      <c r="F5" s="3950"/>
      <c r="G5" s="3950"/>
      <c r="H5" s="3950"/>
      <c r="I5" s="3950"/>
      <c r="J5" s="3953"/>
      <c r="K5" s="127"/>
      <c r="L5" s="2905"/>
      <c r="M5" s="127"/>
      <c r="N5" s="127"/>
      <c r="O5" s="127"/>
      <c r="P5" s="127"/>
      <c r="Q5" s="2906"/>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row>
    <row r="6" spans="1:46" s="2907" customFormat="1" ht="38.25" customHeight="1" thickBot="1" x14ac:dyDescent="0.3">
      <c r="A6" s="2908"/>
      <c r="B6" s="2909" t="s">
        <v>4932</v>
      </c>
      <c r="C6" s="2910" t="s">
        <v>4933</v>
      </c>
      <c r="D6" s="2910" t="s">
        <v>3326</v>
      </c>
      <c r="E6" s="2911" t="s">
        <v>274</v>
      </c>
      <c r="F6" s="3951"/>
      <c r="G6" s="3951"/>
      <c r="H6" s="3951"/>
      <c r="I6" s="3951"/>
      <c r="J6" s="3954"/>
      <c r="K6" s="127"/>
      <c r="L6" s="2905"/>
      <c r="M6" s="127"/>
      <c r="N6" s="127"/>
      <c r="O6" s="127"/>
      <c r="P6" s="127"/>
      <c r="Q6" s="2906"/>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row>
    <row r="7" spans="1:46" s="2917" customFormat="1" ht="24" customHeight="1" thickBot="1" x14ac:dyDescent="0.3">
      <c r="A7" s="2912"/>
      <c r="B7" s="3946" t="s">
        <v>8</v>
      </c>
      <c r="C7" s="3946"/>
      <c r="D7" s="3946"/>
      <c r="E7" s="3946"/>
      <c r="F7" s="3946"/>
      <c r="G7" s="3946"/>
      <c r="H7" s="3946"/>
      <c r="I7" s="2913" t="s">
        <v>3968</v>
      </c>
      <c r="J7" s="2914" t="s">
        <v>4934</v>
      </c>
      <c r="K7" s="2248"/>
      <c r="L7" s="2915"/>
      <c r="M7" s="2248"/>
      <c r="N7" s="2248"/>
      <c r="O7" s="2248"/>
      <c r="P7" s="2248"/>
      <c r="Q7" s="2916"/>
      <c r="R7" s="2248"/>
      <c r="S7" s="2248"/>
      <c r="T7" s="2248"/>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c r="AT7" s="2248"/>
    </row>
    <row r="8" spans="1:46" s="2907" customFormat="1" ht="24" hidden="1" customHeight="1" x14ac:dyDescent="0.25">
      <c r="A8" s="2918">
        <v>40909</v>
      </c>
      <c r="B8" s="2919">
        <v>6382</v>
      </c>
      <c r="C8" s="2920">
        <v>4503</v>
      </c>
      <c r="D8" s="2920">
        <v>69112</v>
      </c>
      <c r="E8" s="2919">
        <v>79997</v>
      </c>
      <c r="F8" s="2920">
        <v>1425</v>
      </c>
      <c r="G8" s="2921">
        <v>0.2</v>
      </c>
      <c r="H8" s="2922">
        <f>E8+F8+G8</f>
        <v>81422.2</v>
      </c>
      <c r="I8" s="2922">
        <f>H8/29.1257</f>
        <v>2795.5448281071358</v>
      </c>
      <c r="J8" s="2923">
        <v>4.3</v>
      </c>
      <c r="K8" s="127"/>
      <c r="L8" s="2905"/>
      <c r="M8" s="2905"/>
      <c r="N8" s="127"/>
      <c r="O8" s="127"/>
      <c r="P8" s="127"/>
      <c r="Q8" s="2906"/>
      <c r="R8" s="127"/>
      <c r="S8" s="127"/>
      <c r="T8" s="2906"/>
      <c r="U8" s="127"/>
      <c r="V8" s="2048"/>
      <c r="W8" s="2048"/>
      <c r="X8" s="2048"/>
      <c r="Y8" s="2048"/>
      <c r="Z8" s="2048"/>
      <c r="AA8" s="2048"/>
      <c r="AB8" s="2048"/>
      <c r="AC8" s="2048"/>
      <c r="AD8" s="127"/>
      <c r="AE8" s="127"/>
      <c r="AF8" s="127"/>
      <c r="AG8" s="127"/>
      <c r="AH8" s="127"/>
      <c r="AI8" s="127"/>
      <c r="AJ8" s="127"/>
      <c r="AK8" s="127"/>
      <c r="AL8" s="127"/>
      <c r="AM8" s="127"/>
      <c r="AN8" s="127"/>
      <c r="AO8" s="127"/>
      <c r="AP8" s="127"/>
      <c r="AQ8" s="127"/>
      <c r="AR8" s="127"/>
      <c r="AS8" s="127"/>
      <c r="AT8" s="127"/>
    </row>
    <row r="9" spans="1:46" s="2907" customFormat="1" ht="24" hidden="1" customHeight="1" x14ac:dyDescent="0.25">
      <c r="A9" s="2918">
        <v>40940</v>
      </c>
      <c r="B9" s="2919">
        <v>6458</v>
      </c>
      <c r="C9" s="2920">
        <v>4467</v>
      </c>
      <c r="D9" s="2920">
        <v>68981</v>
      </c>
      <c r="E9" s="2919">
        <v>79906</v>
      </c>
      <c r="F9" s="2920">
        <v>1443</v>
      </c>
      <c r="G9" s="2921">
        <v>0.2</v>
      </c>
      <c r="H9" s="2922">
        <f>E9+F9+G9</f>
        <v>81349.2</v>
      </c>
      <c r="I9" s="2922">
        <f>H9/28.7562</f>
        <v>2828.9273269764431</v>
      </c>
      <c r="J9" s="2923">
        <v>4.3</v>
      </c>
      <c r="K9" s="127"/>
      <c r="L9" s="2905"/>
      <c r="M9" s="2905"/>
      <c r="N9" s="127"/>
      <c r="O9" s="127"/>
      <c r="P9" s="127"/>
      <c r="Q9" s="2906"/>
      <c r="R9" s="127"/>
      <c r="S9" s="127"/>
      <c r="T9" s="2906"/>
      <c r="U9" s="127"/>
      <c r="V9" s="2048"/>
      <c r="W9" s="2048"/>
      <c r="X9" s="2048"/>
      <c r="Y9" s="2048"/>
      <c r="Z9" s="2048"/>
      <c r="AA9" s="2048"/>
      <c r="AB9" s="127"/>
      <c r="AC9" s="127"/>
      <c r="AD9" s="127"/>
      <c r="AE9" s="127"/>
      <c r="AF9" s="127"/>
      <c r="AG9" s="127"/>
      <c r="AH9" s="127"/>
      <c r="AI9" s="127"/>
      <c r="AJ9" s="127"/>
      <c r="AK9" s="127"/>
      <c r="AL9" s="127"/>
      <c r="AM9" s="127"/>
      <c r="AN9" s="127"/>
      <c r="AO9" s="127"/>
      <c r="AP9" s="127"/>
      <c r="AQ9" s="127"/>
      <c r="AR9" s="127"/>
      <c r="AS9" s="127"/>
      <c r="AT9" s="127"/>
    </row>
    <row r="10" spans="1:46" s="2907" customFormat="1" ht="24" hidden="1" customHeight="1" x14ac:dyDescent="0.25">
      <c r="A10" s="2918">
        <v>40969</v>
      </c>
      <c r="B10" s="2919">
        <v>6040</v>
      </c>
      <c r="C10" s="2920">
        <v>4459</v>
      </c>
      <c r="D10" s="2920">
        <v>68870</v>
      </c>
      <c r="E10" s="2919">
        <v>79369</v>
      </c>
      <c r="F10" s="2920">
        <v>1452</v>
      </c>
      <c r="G10" s="2921">
        <v>0.1</v>
      </c>
      <c r="H10" s="2922">
        <f>E10+F10+G10</f>
        <v>80821.100000000006</v>
      </c>
      <c r="I10" s="2922">
        <v>2798.2</v>
      </c>
      <c r="J10" s="2923">
        <v>4.3</v>
      </c>
      <c r="K10" s="127"/>
      <c r="L10" s="2905"/>
      <c r="M10" s="2905"/>
      <c r="N10" s="127"/>
      <c r="O10" s="127"/>
      <c r="P10" s="127"/>
      <c r="Q10" s="2906"/>
      <c r="R10" s="127"/>
      <c r="S10" s="127"/>
      <c r="T10" s="2906"/>
      <c r="U10" s="127"/>
      <c r="V10" s="2048"/>
      <c r="W10" s="2048"/>
      <c r="X10" s="2048"/>
      <c r="Y10" s="2048"/>
      <c r="Z10" s="2048"/>
      <c r="AA10" s="2048"/>
      <c r="AB10" s="127"/>
      <c r="AC10" s="127"/>
      <c r="AD10" s="127"/>
      <c r="AE10" s="127"/>
      <c r="AF10" s="127"/>
      <c r="AG10" s="127"/>
      <c r="AH10" s="127"/>
      <c r="AI10" s="127"/>
      <c r="AJ10" s="127"/>
      <c r="AK10" s="127"/>
      <c r="AL10" s="127"/>
      <c r="AM10" s="127"/>
      <c r="AN10" s="127"/>
      <c r="AO10" s="127"/>
      <c r="AP10" s="127"/>
      <c r="AQ10" s="127"/>
      <c r="AR10" s="127"/>
      <c r="AS10" s="127"/>
      <c r="AT10" s="127"/>
    </row>
    <row r="11" spans="1:46" s="2907" customFormat="1" ht="24" hidden="1" customHeight="1" x14ac:dyDescent="0.25">
      <c r="A11" s="2918">
        <v>41000</v>
      </c>
      <c r="B11" s="2919">
        <v>6079</v>
      </c>
      <c r="C11" s="2920">
        <v>4495</v>
      </c>
      <c r="D11" s="2920">
        <v>68421</v>
      </c>
      <c r="E11" s="2919">
        <v>78995</v>
      </c>
      <c r="F11" s="2920">
        <v>1462</v>
      </c>
      <c r="G11" s="2921">
        <v>0.1</v>
      </c>
      <c r="H11" s="2922">
        <v>80457.100000000006</v>
      </c>
      <c r="I11" s="2922">
        <v>2771.4</v>
      </c>
      <c r="J11" s="2923">
        <v>4.3</v>
      </c>
      <c r="K11" s="127"/>
      <c r="L11" s="2905"/>
      <c r="M11" s="2905"/>
      <c r="N11" s="127"/>
      <c r="O11" s="127"/>
      <c r="P11" s="127"/>
      <c r="Q11" s="2906"/>
      <c r="R11" s="127"/>
      <c r="S11" s="127"/>
      <c r="T11" s="2906"/>
      <c r="U11" s="127"/>
      <c r="V11" s="2048"/>
      <c r="W11" s="2048"/>
      <c r="X11" s="2048"/>
      <c r="Y11" s="2048"/>
      <c r="Z11" s="2048"/>
      <c r="AA11" s="2048"/>
      <c r="AB11" s="127"/>
      <c r="AC11" s="127"/>
      <c r="AD11" s="127"/>
      <c r="AE11" s="127"/>
      <c r="AF11" s="127"/>
      <c r="AG11" s="127"/>
      <c r="AH11" s="127"/>
      <c r="AI11" s="127"/>
      <c r="AJ11" s="127"/>
      <c r="AK11" s="127"/>
      <c r="AL11" s="127"/>
      <c r="AM11" s="127"/>
      <c r="AN11" s="127"/>
      <c r="AO11" s="127"/>
      <c r="AP11" s="127"/>
      <c r="AQ11" s="127"/>
      <c r="AR11" s="127"/>
      <c r="AS11" s="127"/>
      <c r="AT11" s="127"/>
    </row>
    <row r="12" spans="1:46" s="2907" customFormat="1" ht="24" hidden="1" customHeight="1" x14ac:dyDescent="0.25">
      <c r="A12" s="2918">
        <v>41030</v>
      </c>
      <c r="B12" s="2919">
        <v>5875</v>
      </c>
      <c r="C12" s="2920">
        <v>4503</v>
      </c>
      <c r="D12" s="2920">
        <v>67703</v>
      </c>
      <c r="E12" s="2919">
        <v>78081</v>
      </c>
      <c r="F12" s="2920">
        <v>1463</v>
      </c>
      <c r="G12" s="2921">
        <v>0.2</v>
      </c>
      <c r="H12" s="2922">
        <f t="shared" ref="H12:H21" si="0">E12+F12+G12</f>
        <v>79544.2</v>
      </c>
      <c r="I12" s="2922">
        <v>2667.5</v>
      </c>
      <c r="J12" s="2923">
        <v>4.2</v>
      </c>
      <c r="K12" s="127"/>
      <c r="L12" s="2905"/>
      <c r="M12" s="2905"/>
      <c r="N12" s="127"/>
      <c r="O12" s="127"/>
      <c r="P12" s="127"/>
      <c r="Q12" s="2906"/>
      <c r="R12" s="127"/>
      <c r="S12" s="127"/>
      <c r="T12" s="2906"/>
      <c r="U12" s="127"/>
      <c r="V12" s="2048"/>
      <c r="W12" s="2048"/>
      <c r="X12" s="2048"/>
      <c r="Y12" s="2048"/>
      <c r="Z12" s="2048"/>
      <c r="AA12" s="2048"/>
      <c r="AB12" s="127"/>
      <c r="AC12" s="127"/>
      <c r="AD12" s="127"/>
      <c r="AE12" s="127"/>
      <c r="AF12" s="127"/>
      <c r="AG12" s="127"/>
      <c r="AH12" s="127"/>
      <c r="AI12" s="127"/>
      <c r="AJ12" s="127"/>
      <c r="AK12" s="127"/>
      <c r="AL12" s="127"/>
      <c r="AM12" s="127"/>
      <c r="AN12" s="127"/>
      <c r="AO12" s="127"/>
      <c r="AP12" s="127"/>
      <c r="AQ12" s="127"/>
      <c r="AR12" s="127"/>
      <c r="AS12" s="127"/>
      <c r="AT12" s="127"/>
    </row>
    <row r="13" spans="1:46" s="2907" customFormat="1" ht="28.5" hidden="1" customHeight="1" x14ac:dyDescent="0.25">
      <c r="A13" s="2918">
        <v>41061</v>
      </c>
      <c r="B13" s="2919">
        <v>6118</v>
      </c>
      <c r="C13" s="2920">
        <v>4676</v>
      </c>
      <c r="D13" s="2920">
        <v>74295</v>
      </c>
      <c r="E13" s="2919">
        <v>85089</v>
      </c>
      <c r="F13" s="2920">
        <v>1582</v>
      </c>
      <c r="G13" s="2921">
        <v>0.1</v>
      </c>
      <c r="H13" s="2922">
        <f t="shared" si="0"/>
        <v>86671.1</v>
      </c>
      <c r="I13" s="2922">
        <v>2798</v>
      </c>
      <c r="J13" s="2923">
        <v>4.5999999999999996</v>
      </c>
      <c r="K13" s="127"/>
      <c r="L13" s="2905"/>
      <c r="M13" s="2905"/>
      <c r="N13" s="127"/>
      <c r="O13" s="127"/>
      <c r="P13" s="127"/>
      <c r="Q13" s="2906"/>
      <c r="R13" s="127"/>
      <c r="S13" s="127"/>
      <c r="T13" s="2906"/>
      <c r="U13" s="127"/>
      <c r="V13" s="2048"/>
      <c r="W13" s="2048"/>
      <c r="X13" s="2048"/>
      <c r="Y13" s="2048"/>
      <c r="Z13" s="2048"/>
      <c r="AA13" s="2048"/>
      <c r="AB13" s="127"/>
      <c r="AC13" s="127"/>
      <c r="AD13" s="127"/>
      <c r="AE13" s="127"/>
      <c r="AF13" s="127"/>
      <c r="AG13" s="127"/>
      <c r="AH13" s="127"/>
      <c r="AI13" s="127"/>
      <c r="AJ13" s="127"/>
      <c r="AK13" s="127"/>
      <c r="AL13" s="127"/>
      <c r="AM13" s="127"/>
      <c r="AN13" s="127"/>
      <c r="AO13" s="127"/>
      <c r="AP13" s="127"/>
      <c r="AQ13" s="127"/>
      <c r="AR13" s="127"/>
      <c r="AS13" s="127"/>
      <c r="AT13" s="127"/>
    </row>
    <row r="14" spans="1:46" s="2907" customFormat="1" ht="24" hidden="1" customHeight="1" x14ac:dyDescent="0.25">
      <c r="A14" s="2918">
        <v>41091</v>
      </c>
      <c r="B14" s="2919">
        <v>6305</v>
      </c>
      <c r="C14" s="2920">
        <v>4654</v>
      </c>
      <c r="D14" s="2920">
        <v>75348</v>
      </c>
      <c r="E14" s="2919">
        <v>86307</v>
      </c>
      <c r="F14" s="2920">
        <v>1568</v>
      </c>
      <c r="G14" s="2921">
        <v>0.2</v>
      </c>
      <c r="H14" s="2922">
        <f t="shared" si="0"/>
        <v>87875.199999999997</v>
      </c>
      <c r="I14" s="2922">
        <v>2845.4</v>
      </c>
      <c r="J14" s="2923">
        <v>4.7</v>
      </c>
      <c r="K14" s="127"/>
      <c r="L14" s="2905"/>
      <c r="M14" s="2905"/>
      <c r="N14" s="127"/>
      <c r="O14" s="127"/>
      <c r="P14" s="127"/>
      <c r="Q14" s="2906"/>
      <c r="R14" s="127"/>
      <c r="S14" s="127"/>
      <c r="T14" s="2906"/>
      <c r="U14" s="127"/>
      <c r="V14" s="2048"/>
      <c r="W14" s="2048"/>
      <c r="X14" s="2048"/>
      <c r="Y14" s="2048"/>
      <c r="Z14" s="2048"/>
      <c r="AA14" s="2048"/>
      <c r="AB14" s="127"/>
      <c r="AC14" s="127"/>
      <c r="AD14" s="127"/>
      <c r="AE14" s="127"/>
      <c r="AF14" s="127"/>
      <c r="AG14" s="127"/>
      <c r="AH14" s="127"/>
      <c r="AI14" s="127"/>
      <c r="AJ14" s="127"/>
      <c r="AK14" s="127"/>
      <c r="AL14" s="127"/>
      <c r="AM14" s="127"/>
      <c r="AN14" s="127"/>
      <c r="AO14" s="127"/>
      <c r="AP14" s="127"/>
      <c r="AQ14" s="127"/>
      <c r="AR14" s="127"/>
      <c r="AS14" s="127"/>
      <c r="AT14" s="127"/>
    </row>
    <row r="15" spans="1:46" s="2907" customFormat="1" ht="24" hidden="1" customHeight="1" x14ac:dyDescent="0.25">
      <c r="A15" s="2918">
        <v>41122</v>
      </c>
      <c r="B15" s="2919">
        <v>6361</v>
      </c>
      <c r="C15" s="2920">
        <v>4631</v>
      </c>
      <c r="D15" s="2920">
        <v>75754</v>
      </c>
      <c r="E15" s="2919">
        <v>86746</v>
      </c>
      <c r="F15" s="2920">
        <v>1561</v>
      </c>
      <c r="G15" s="2921">
        <v>0.2</v>
      </c>
      <c r="H15" s="2922">
        <f t="shared" si="0"/>
        <v>88307.199999999997</v>
      </c>
      <c r="I15" s="2922">
        <v>2897.9</v>
      </c>
      <c r="J15" s="2923">
        <v>4.7</v>
      </c>
      <c r="K15" s="127"/>
      <c r="L15" s="2905"/>
      <c r="M15" s="2905"/>
      <c r="N15" s="127"/>
      <c r="O15" s="127"/>
      <c r="P15" s="127"/>
      <c r="Q15" s="2906"/>
      <c r="R15" s="127"/>
      <c r="S15" s="127"/>
      <c r="T15" s="2906"/>
      <c r="U15" s="127"/>
      <c r="V15" s="2048"/>
      <c r="W15" s="2048"/>
      <c r="X15" s="2048"/>
      <c r="Y15" s="2048"/>
      <c r="Z15" s="2048"/>
      <c r="AA15" s="2048"/>
      <c r="AB15" s="127"/>
      <c r="AC15" s="127"/>
      <c r="AD15" s="127"/>
      <c r="AE15" s="127"/>
      <c r="AF15" s="127"/>
      <c r="AG15" s="127"/>
      <c r="AH15" s="127"/>
      <c r="AI15" s="127"/>
      <c r="AJ15" s="127"/>
      <c r="AK15" s="127"/>
      <c r="AL15" s="127"/>
      <c r="AM15" s="127"/>
      <c r="AN15" s="127"/>
      <c r="AO15" s="127"/>
      <c r="AP15" s="127"/>
      <c r="AQ15" s="127"/>
      <c r="AR15" s="127"/>
      <c r="AS15" s="127"/>
      <c r="AT15" s="127"/>
    </row>
    <row r="16" spans="1:46" s="2907" customFormat="1" ht="24" hidden="1" customHeight="1" x14ac:dyDescent="0.25">
      <c r="A16" s="2918" t="s">
        <v>4935</v>
      </c>
      <c r="B16" s="2919">
        <v>6817</v>
      </c>
      <c r="C16" s="2920">
        <v>4685</v>
      </c>
      <c r="D16" s="2920">
        <v>76297</v>
      </c>
      <c r="E16" s="2919">
        <v>87799</v>
      </c>
      <c r="F16" s="2920">
        <v>1580</v>
      </c>
      <c r="G16" s="2921">
        <v>0.2</v>
      </c>
      <c r="H16" s="2922">
        <f t="shared" si="0"/>
        <v>89379.199999999997</v>
      </c>
      <c r="I16" s="2922">
        <v>2935.9</v>
      </c>
      <c r="J16" s="2923">
        <v>4.7</v>
      </c>
      <c r="K16" s="127"/>
      <c r="L16" s="2905"/>
      <c r="M16" s="2905"/>
      <c r="N16" s="127"/>
      <c r="O16" s="127"/>
      <c r="P16" s="127"/>
      <c r="Q16" s="2906"/>
      <c r="R16" s="127"/>
      <c r="S16" s="127"/>
      <c r="T16" s="2906"/>
      <c r="U16" s="127"/>
      <c r="V16" s="2048"/>
      <c r="W16" s="2048"/>
      <c r="X16" s="2048"/>
      <c r="Y16" s="2048"/>
      <c r="Z16" s="2048"/>
      <c r="AA16" s="2048"/>
      <c r="AB16" s="127"/>
      <c r="AC16" s="127"/>
      <c r="AD16" s="127"/>
      <c r="AE16" s="127"/>
      <c r="AF16" s="127"/>
      <c r="AG16" s="127"/>
      <c r="AH16" s="127"/>
      <c r="AI16" s="127"/>
      <c r="AJ16" s="127"/>
      <c r="AK16" s="127"/>
      <c r="AL16" s="127"/>
      <c r="AM16" s="127"/>
      <c r="AN16" s="127"/>
      <c r="AO16" s="127"/>
      <c r="AP16" s="127"/>
      <c r="AQ16" s="127"/>
      <c r="AR16" s="127"/>
      <c r="AS16" s="127"/>
      <c r="AT16" s="127"/>
    </row>
    <row r="17" spans="1:46" s="2907" customFormat="1" ht="24" hidden="1" customHeight="1" x14ac:dyDescent="0.25">
      <c r="A17" s="2918">
        <v>41183</v>
      </c>
      <c r="B17" s="2919">
        <v>6689</v>
      </c>
      <c r="C17" s="2920">
        <v>4761</v>
      </c>
      <c r="D17" s="2920">
        <v>76522</v>
      </c>
      <c r="E17" s="2919">
        <v>87972</v>
      </c>
      <c r="F17" s="2920">
        <v>1606</v>
      </c>
      <c r="G17" s="2921">
        <v>0.1</v>
      </c>
      <c r="H17" s="2922">
        <f t="shared" si="0"/>
        <v>89578.1</v>
      </c>
      <c r="I17" s="2922">
        <v>2891.8</v>
      </c>
      <c r="J17" s="2923">
        <v>4.7</v>
      </c>
      <c r="K17" s="127"/>
      <c r="L17" s="2905"/>
      <c r="M17" s="2905"/>
      <c r="N17" s="127"/>
      <c r="O17" s="127"/>
      <c r="P17" s="127"/>
      <c r="Q17" s="2906"/>
      <c r="R17" s="127"/>
      <c r="S17" s="127"/>
      <c r="T17" s="2906"/>
      <c r="U17" s="127"/>
      <c r="V17" s="2048"/>
      <c r="W17" s="2048"/>
      <c r="X17" s="2048"/>
      <c r="Y17" s="2048"/>
      <c r="Z17" s="2048"/>
      <c r="AA17" s="2048"/>
      <c r="AB17" s="127"/>
      <c r="AC17" s="127"/>
      <c r="AD17" s="127"/>
      <c r="AE17" s="127"/>
      <c r="AF17" s="127"/>
      <c r="AG17" s="127"/>
      <c r="AH17" s="127"/>
      <c r="AI17" s="127"/>
      <c r="AJ17" s="127"/>
      <c r="AK17" s="127"/>
      <c r="AL17" s="127"/>
      <c r="AM17" s="127"/>
      <c r="AN17" s="127"/>
      <c r="AO17" s="127"/>
      <c r="AP17" s="127"/>
      <c r="AQ17" s="127"/>
      <c r="AR17" s="127"/>
      <c r="AS17" s="127"/>
      <c r="AT17" s="127"/>
    </row>
    <row r="18" spans="1:46" s="2907" customFormat="1" ht="24" hidden="1" customHeight="1" x14ac:dyDescent="0.25">
      <c r="A18" s="2918">
        <v>41214</v>
      </c>
      <c r="B18" s="2919">
        <v>6694</v>
      </c>
      <c r="C18" s="2920">
        <v>4714</v>
      </c>
      <c r="D18" s="2920">
        <v>78955</v>
      </c>
      <c r="E18" s="2919">
        <v>90363</v>
      </c>
      <c r="F18" s="2920">
        <v>1588</v>
      </c>
      <c r="G18" s="2921">
        <v>0.2</v>
      </c>
      <c r="H18" s="2922">
        <f t="shared" si="0"/>
        <v>91951.2</v>
      </c>
      <c r="I18" s="2922">
        <v>2990.7</v>
      </c>
      <c r="J18" s="2923">
        <v>4.9000000000000004</v>
      </c>
      <c r="K18" s="127"/>
      <c r="L18" s="2905"/>
      <c r="M18" s="2905"/>
      <c r="N18" s="127"/>
      <c r="O18" s="127"/>
      <c r="P18" s="127"/>
      <c r="Q18" s="2906"/>
      <c r="R18" s="127"/>
      <c r="S18" s="127"/>
      <c r="T18" s="2906"/>
      <c r="U18" s="127"/>
      <c r="V18" s="2048"/>
      <c r="W18" s="2048"/>
      <c r="X18" s="2048"/>
      <c r="Y18" s="2048"/>
      <c r="Z18" s="2048"/>
      <c r="AA18" s="2048"/>
      <c r="AB18" s="127"/>
      <c r="AC18" s="127"/>
      <c r="AD18" s="127"/>
      <c r="AE18" s="127"/>
      <c r="AF18" s="127"/>
      <c r="AG18" s="127"/>
      <c r="AH18" s="127"/>
      <c r="AI18" s="127"/>
      <c r="AJ18" s="127"/>
      <c r="AK18" s="127"/>
      <c r="AL18" s="127"/>
      <c r="AM18" s="127"/>
      <c r="AN18" s="127"/>
      <c r="AO18" s="127"/>
      <c r="AP18" s="127"/>
      <c r="AQ18" s="127"/>
      <c r="AR18" s="127"/>
      <c r="AS18" s="127"/>
      <c r="AT18" s="127"/>
    </row>
    <row r="19" spans="1:46" s="2907" customFormat="1" ht="24" hidden="1" customHeight="1" x14ac:dyDescent="0.25">
      <c r="A19" s="2918" t="s">
        <v>4936</v>
      </c>
      <c r="B19" s="2919">
        <v>6399</v>
      </c>
      <c r="C19" s="2920">
        <v>4688</v>
      </c>
      <c r="D19" s="2920">
        <v>80322</v>
      </c>
      <c r="E19" s="2919">
        <v>91409</v>
      </c>
      <c r="F19" s="2920">
        <v>1579</v>
      </c>
      <c r="G19" s="2921">
        <v>0.2</v>
      </c>
      <c r="H19" s="2922">
        <f t="shared" si="0"/>
        <v>92988.2</v>
      </c>
      <c r="I19" s="2922">
        <v>3046.3</v>
      </c>
      <c r="J19" s="2923">
        <v>4.9000000000000004</v>
      </c>
      <c r="K19" s="2906"/>
      <c r="L19" s="2905"/>
      <c r="M19" s="2905"/>
      <c r="N19" s="127"/>
      <c r="O19" s="127"/>
      <c r="P19" s="127"/>
      <c r="Q19" s="2906"/>
      <c r="R19" s="127"/>
      <c r="S19" s="127"/>
      <c r="T19" s="2906"/>
      <c r="U19" s="127"/>
      <c r="V19" s="2048"/>
      <c r="W19" s="2048"/>
      <c r="X19" s="2048"/>
      <c r="Y19" s="2048"/>
      <c r="Z19" s="2048"/>
      <c r="AA19" s="2048"/>
      <c r="AB19" s="127"/>
      <c r="AC19" s="127"/>
      <c r="AD19" s="127"/>
      <c r="AE19" s="127"/>
      <c r="AF19" s="127"/>
      <c r="AG19" s="127"/>
      <c r="AH19" s="127"/>
      <c r="AI19" s="127"/>
      <c r="AJ19" s="127"/>
      <c r="AK19" s="127"/>
      <c r="AL19" s="127"/>
      <c r="AM19" s="127"/>
      <c r="AN19" s="127"/>
      <c r="AO19" s="127"/>
      <c r="AP19" s="127"/>
      <c r="AQ19" s="127"/>
      <c r="AR19" s="127"/>
      <c r="AS19" s="127"/>
      <c r="AT19" s="127"/>
    </row>
    <row r="20" spans="1:46" s="2907" customFormat="1" ht="24" hidden="1" customHeight="1" x14ac:dyDescent="0.25">
      <c r="A20" s="2918" t="s">
        <v>4937</v>
      </c>
      <c r="B20" s="2919">
        <v>6410</v>
      </c>
      <c r="C20" s="2920">
        <v>4681</v>
      </c>
      <c r="D20" s="2920">
        <v>82858</v>
      </c>
      <c r="E20" s="2919">
        <v>93949</v>
      </c>
      <c r="F20" s="2920">
        <v>1577</v>
      </c>
      <c r="G20" s="2921">
        <v>0.1</v>
      </c>
      <c r="H20" s="2922">
        <f t="shared" si="0"/>
        <v>95526.1</v>
      </c>
      <c r="I20" s="2922">
        <v>3142.2</v>
      </c>
      <c r="J20" s="2923">
        <v>5.0835866301836425</v>
      </c>
      <c r="K20" s="127"/>
      <c r="L20" s="2048"/>
      <c r="M20" s="2905"/>
      <c r="N20" s="2906"/>
      <c r="O20" s="127"/>
      <c r="P20" s="127"/>
      <c r="Q20" s="2906"/>
      <c r="R20" s="127"/>
      <c r="S20" s="127"/>
      <c r="T20" s="2906"/>
      <c r="U20" s="127"/>
      <c r="V20" s="2048"/>
      <c r="W20" s="2048"/>
      <c r="X20" s="2048"/>
      <c r="Y20" s="2048"/>
      <c r="Z20" s="2048"/>
      <c r="AA20" s="2048"/>
      <c r="AB20" s="127"/>
      <c r="AC20" s="127"/>
      <c r="AD20" s="127"/>
      <c r="AE20" s="127"/>
      <c r="AF20" s="127"/>
      <c r="AG20" s="127"/>
      <c r="AH20" s="127"/>
      <c r="AI20" s="127"/>
      <c r="AJ20" s="127"/>
      <c r="AK20" s="127"/>
      <c r="AL20" s="127"/>
      <c r="AM20" s="127"/>
      <c r="AN20" s="127"/>
      <c r="AO20" s="127"/>
      <c r="AP20" s="127"/>
      <c r="AQ20" s="127"/>
      <c r="AR20" s="127"/>
      <c r="AS20" s="127"/>
      <c r="AT20" s="127"/>
    </row>
    <row r="21" spans="1:46" s="2907" customFormat="1" ht="24" hidden="1" customHeight="1" x14ac:dyDescent="0.25">
      <c r="A21" s="2924" t="s">
        <v>4938</v>
      </c>
      <c r="B21" s="2919">
        <v>6195</v>
      </c>
      <c r="C21" s="2920">
        <v>4664</v>
      </c>
      <c r="D21" s="2920">
        <v>82523</v>
      </c>
      <c r="E21" s="2919">
        <v>93382</v>
      </c>
      <c r="F21" s="2920">
        <v>1571</v>
      </c>
      <c r="G21" s="2921">
        <v>0.1</v>
      </c>
      <c r="H21" s="2922">
        <f t="shared" si="0"/>
        <v>94953.1</v>
      </c>
      <c r="I21" s="2922">
        <v>3081</v>
      </c>
      <c r="J21" s="2923">
        <v>5.05309344414239</v>
      </c>
      <c r="K21" s="2906"/>
      <c r="L21" s="2048"/>
      <c r="M21" s="2905"/>
      <c r="N21" s="2906"/>
      <c r="O21" s="127"/>
      <c r="P21" s="127"/>
      <c r="Q21" s="2906"/>
      <c r="R21" s="127"/>
      <c r="S21" s="127"/>
      <c r="T21" s="2906"/>
      <c r="U21" s="127"/>
      <c r="V21" s="2048"/>
      <c r="W21" s="2048"/>
      <c r="X21" s="2048"/>
      <c r="Y21" s="2048"/>
      <c r="Z21" s="2048"/>
      <c r="AA21" s="2048"/>
      <c r="AB21" s="127"/>
      <c r="AC21" s="127"/>
      <c r="AD21" s="127"/>
      <c r="AE21" s="127"/>
      <c r="AF21" s="127"/>
      <c r="AG21" s="127"/>
      <c r="AH21" s="127"/>
      <c r="AI21" s="127"/>
      <c r="AJ21" s="127"/>
      <c r="AK21" s="127"/>
      <c r="AL21" s="127"/>
      <c r="AM21" s="127"/>
      <c r="AN21" s="127"/>
      <c r="AO21" s="127"/>
      <c r="AP21" s="127"/>
      <c r="AQ21" s="127"/>
      <c r="AR21" s="127"/>
      <c r="AS21" s="127"/>
      <c r="AT21" s="127"/>
    </row>
    <row r="22" spans="1:46" s="2907" customFormat="1" ht="24" hidden="1" customHeight="1" x14ac:dyDescent="0.25">
      <c r="A22" s="2924" t="s">
        <v>1329</v>
      </c>
      <c r="B22" s="2919">
        <v>6263</v>
      </c>
      <c r="C22" s="2920">
        <v>4664</v>
      </c>
      <c r="D22" s="2920">
        <v>85650</v>
      </c>
      <c r="E22" s="2919">
        <v>96577</v>
      </c>
      <c r="F22" s="2920">
        <v>1572</v>
      </c>
      <c r="G22" s="2921">
        <v>0.2</v>
      </c>
      <c r="H22" s="2922">
        <v>98149.2</v>
      </c>
      <c r="I22" s="2922">
        <v>3150.3514684641309</v>
      </c>
      <c r="J22" s="2923">
        <v>5.223179433507914</v>
      </c>
      <c r="K22" s="2906"/>
      <c r="L22" s="2048"/>
      <c r="M22" s="2905"/>
      <c r="N22" s="2906"/>
      <c r="O22" s="127"/>
      <c r="P22" s="127"/>
      <c r="Q22" s="2906"/>
      <c r="R22" s="127"/>
      <c r="S22" s="127"/>
      <c r="T22" s="2906"/>
      <c r="U22" s="127"/>
      <c r="V22" s="2048"/>
      <c r="W22" s="2048"/>
      <c r="X22" s="2048"/>
      <c r="Y22" s="2048"/>
      <c r="Z22" s="2048"/>
      <c r="AA22" s="2048"/>
      <c r="AB22" s="127"/>
      <c r="AC22" s="127"/>
      <c r="AD22" s="127"/>
      <c r="AE22" s="127"/>
      <c r="AF22" s="127"/>
      <c r="AG22" s="127"/>
      <c r="AH22" s="127"/>
      <c r="AI22" s="127"/>
      <c r="AJ22" s="127"/>
      <c r="AK22" s="127"/>
      <c r="AL22" s="127"/>
      <c r="AM22" s="127"/>
      <c r="AN22" s="127"/>
      <c r="AO22" s="127"/>
      <c r="AP22" s="127"/>
      <c r="AQ22" s="127"/>
      <c r="AR22" s="127"/>
      <c r="AS22" s="127"/>
      <c r="AT22" s="127"/>
    </row>
    <row r="23" spans="1:46" s="2907" customFormat="1" ht="24" hidden="1" customHeight="1" x14ac:dyDescent="0.25">
      <c r="A23" s="2924" t="s">
        <v>1330</v>
      </c>
      <c r="B23" s="2919">
        <v>5743</v>
      </c>
      <c r="C23" s="2920">
        <v>4673</v>
      </c>
      <c r="D23" s="2920">
        <v>85290</v>
      </c>
      <c r="E23" s="2919">
        <v>95706</v>
      </c>
      <c r="F23" s="2920">
        <v>1573</v>
      </c>
      <c r="G23" s="2921">
        <v>0.1</v>
      </c>
      <c r="H23" s="2922">
        <v>97279.1</v>
      </c>
      <c r="I23" s="2922">
        <v>3140.1931004206117</v>
      </c>
      <c r="J23" s="2923">
        <v>5.1768755571126377</v>
      </c>
      <c r="K23" s="2906"/>
      <c r="L23" s="2048"/>
      <c r="M23" s="2905"/>
      <c r="N23" s="2906"/>
      <c r="O23" s="127"/>
      <c r="P23" s="127"/>
      <c r="Q23" s="2906"/>
      <c r="R23" s="127"/>
      <c r="S23" s="127"/>
      <c r="T23" s="2906"/>
      <c r="U23" s="127"/>
      <c r="V23" s="2048"/>
      <c r="W23" s="2048"/>
      <c r="X23" s="2048"/>
      <c r="Y23" s="2048"/>
      <c r="Z23" s="2048"/>
      <c r="AA23" s="2048"/>
      <c r="AB23" s="127"/>
      <c r="AC23" s="127"/>
      <c r="AD23" s="127"/>
      <c r="AE23" s="127"/>
      <c r="AF23" s="127"/>
      <c r="AG23" s="127"/>
      <c r="AH23" s="127"/>
      <c r="AI23" s="127"/>
      <c r="AJ23" s="127"/>
      <c r="AK23" s="127"/>
      <c r="AL23" s="127"/>
      <c r="AM23" s="127"/>
      <c r="AN23" s="127"/>
      <c r="AO23" s="127"/>
      <c r="AP23" s="127"/>
      <c r="AQ23" s="127"/>
      <c r="AR23" s="127"/>
      <c r="AS23" s="127"/>
      <c r="AT23" s="127"/>
    </row>
    <row r="24" spans="1:46" s="2907" customFormat="1" ht="24" hidden="1" customHeight="1" x14ac:dyDescent="0.25">
      <c r="A24" s="2924" t="s">
        <v>4939</v>
      </c>
      <c r="B24" s="2925">
        <v>5542</v>
      </c>
      <c r="C24" s="2926">
        <v>4651</v>
      </c>
      <c r="D24" s="2926">
        <v>93693</v>
      </c>
      <c r="E24" s="2925">
        <v>103886</v>
      </c>
      <c r="F24" s="2926">
        <v>1568</v>
      </c>
      <c r="G24" s="2927">
        <v>0.1</v>
      </c>
      <c r="H24" s="2922">
        <f t="shared" ref="H24:H36" si="1">E24+F24+G24</f>
        <v>105454.1</v>
      </c>
      <c r="I24" s="2928">
        <v>3391.5</v>
      </c>
      <c r="J24" s="2923">
        <v>5.6119223213137444</v>
      </c>
      <c r="K24" s="2268"/>
      <c r="L24" s="2048"/>
      <c r="M24" s="2905"/>
      <c r="N24" s="2906"/>
      <c r="O24" s="127"/>
      <c r="P24" s="127"/>
      <c r="Q24" s="2906"/>
      <c r="R24" s="127"/>
      <c r="S24" s="127"/>
      <c r="T24" s="2906"/>
      <c r="U24" s="127"/>
      <c r="V24" s="2048"/>
      <c r="W24" s="2048"/>
      <c r="X24" s="2048"/>
      <c r="Y24" s="2048"/>
      <c r="Z24" s="2048"/>
      <c r="AA24" s="2048"/>
      <c r="AB24" s="127"/>
      <c r="AC24" s="127"/>
      <c r="AD24" s="127"/>
      <c r="AE24" s="127"/>
      <c r="AF24" s="127"/>
      <c r="AG24" s="127"/>
      <c r="AH24" s="127"/>
      <c r="AI24" s="127"/>
      <c r="AJ24" s="127"/>
      <c r="AK24" s="127"/>
      <c r="AL24" s="127"/>
      <c r="AM24" s="127"/>
      <c r="AN24" s="127"/>
      <c r="AO24" s="127"/>
      <c r="AP24" s="127"/>
      <c r="AQ24" s="127"/>
      <c r="AR24" s="127"/>
      <c r="AS24" s="127"/>
      <c r="AT24" s="127"/>
    </row>
    <row r="25" spans="1:46" s="2907" customFormat="1" ht="24" hidden="1" customHeight="1" x14ac:dyDescent="0.25">
      <c r="A25" s="2924" t="s">
        <v>4940</v>
      </c>
      <c r="B25" s="2925">
        <v>4699</v>
      </c>
      <c r="C25" s="2926">
        <v>4662</v>
      </c>
      <c r="D25" s="2926">
        <v>94063</v>
      </c>
      <c r="E25" s="2925">
        <v>103424</v>
      </c>
      <c r="F25" s="2926">
        <v>1616</v>
      </c>
      <c r="G25" s="2927">
        <v>0.1</v>
      </c>
      <c r="H25" s="2922">
        <f t="shared" si="1"/>
        <v>105040.1</v>
      </c>
      <c r="I25" s="2928">
        <v>3386.9</v>
      </c>
      <c r="J25" s="2923">
        <v>5.6</v>
      </c>
      <c r="K25" s="2268"/>
      <c r="L25" s="2048"/>
      <c r="M25" s="2905"/>
      <c r="N25" s="2906"/>
      <c r="O25" s="127"/>
      <c r="P25" s="127"/>
      <c r="Q25" s="2906"/>
      <c r="R25" s="127"/>
      <c r="S25" s="127"/>
      <c r="T25" s="2906"/>
      <c r="U25" s="127"/>
      <c r="V25" s="2048"/>
      <c r="W25" s="2048"/>
      <c r="X25" s="2048"/>
      <c r="Y25" s="2048"/>
      <c r="Z25" s="2048"/>
      <c r="AA25" s="2048"/>
      <c r="AB25" s="127"/>
      <c r="AC25" s="127"/>
      <c r="AD25" s="127"/>
      <c r="AE25" s="127"/>
      <c r="AF25" s="127"/>
      <c r="AG25" s="127"/>
      <c r="AH25" s="127"/>
      <c r="AI25" s="127"/>
      <c r="AJ25" s="127"/>
      <c r="AK25" s="127"/>
      <c r="AL25" s="127"/>
      <c r="AM25" s="127"/>
      <c r="AN25" s="127"/>
      <c r="AO25" s="127"/>
      <c r="AP25" s="127"/>
      <c r="AQ25" s="127"/>
      <c r="AR25" s="127"/>
      <c r="AS25" s="127"/>
      <c r="AT25" s="127"/>
    </row>
    <row r="26" spans="1:46" s="2907" customFormat="1" ht="24" hidden="1" customHeight="1" x14ac:dyDescent="0.25">
      <c r="A26" s="2924" t="s">
        <v>4941</v>
      </c>
      <c r="B26" s="2925">
        <v>5165</v>
      </c>
      <c r="C26" s="2926">
        <v>4662</v>
      </c>
      <c r="D26" s="2926">
        <v>90668</v>
      </c>
      <c r="E26" s="2925">
        <v>100495</v>
      </c>
      <c r="F26" s="2926">
        <v>1619</v>
      </c>
      <c r="G26" s="2927">
        <v>0.1</v>
      </c>
      <c r="H26" s="2922">
        <f t="shared" si="1"/>
        <v>102114.1</v>
      </c>
      <c r="I26" s="2928">
        <v>3316.3</v>
      </c>
      <c r="J26" s="2923">
        <v>5.43417844456369</v>
      </c>
      <c r="K26" s="2268"/>
      <c r="L26" s="2048"/>
      <c r="M26" s="2905"/>
      <c r="N26" s="2906"/>
      <c r="O26" s="127"/>
      <c r="P26" s="127"/>
      <c r="Q26" s="2906"/>
      <c r="R26" s="127"/>
      <c r="S26" s="127"/>
      <c r="T26" s="2906"/>
      <c r="U26" s="127"/>
      <c r="V26" s="2048"/>
      <c r="W26" s="2048"/>
      <c r="X26" s="2048"/>
      <c r="Y26" s="2048"/>
      <c r="Z26" s="2048"/>
      <c r="AA26" s="2048"/>
      <c r="AB26" s="127"/>
      <c r="AC26" s="127"/>
      <c r="AD26" s="127"/>
      <c r="AE26" s="127"/>
      <c r="AF26" s="127"/>
      <c r="AG26" s="127"/>
      <c r="AH26" s="127"/>
      <c r="AI26" s="127"/>
      <c r="AJ26" s="127"/>
      <c r="AK26" s="127"/>
      <c r="AL26" s="127"/>
      <c r="AM26" s="127"/>
      <c r="AN26" s="127"/>
      <c r="AO26" s="127"/>
      <c r="AP26" s="127"/>
      <c r="AQ26" s="127"/>
      <c r="AR26" s="127"/>
      <c r="AS26" s="127"/>
      <c r="AT26" s="127"/>
    </row>
    <row r="27" spans="1:46" s="2907" customFormat="1" ht="24" hidden="1" customHeight="1" x14ac:dyDescent="0.25">
      <c r="A27" s="2924" t="s">
        <v>4942</v>
      </c>
      <c r="B27" s="2925">
        <v>5407</v>
      </c>
      <c r="C27" s="2926">
        <v>4667</v>
      </c>
      <c r="D27" s="2926">
        <v>89022</v>
      </c>
      <c r="E27" s="2925">
        <v>99096</v>
      </c>
      <c r="F27" s="2926">
        <v>1620</v>
      </c>
      <c r="G27" s="2927">
        <v>0.1</v>
      </c>
      <c r="H27" s="2922">
        <f t="shared" si="1"/>
        <v>100716.1</v>
      </c>
      <c r="I27" s="2928">
        <v>3271.5</v>
      </c>
      <c r="J27" s="2923">
        <v>5.359781456630583</v>
      </c>
      <c r="K27" s="2268"/>
      <c r="L27" s="2048"/>
      <c r="M27" s="2905"/>
      <c r="N27" s="2906"/>
      <c r="O27" s="127"/>
      <c r="P27" s="127"/>
      <c r="Q27" s="2906"/>
      <c r="R27" s="127"/>
      <c r="S27" s="127"/>
      <c r="T27" s="2906"/>
      <c r="U27" s="127"/>
      <c r="V27" s="2048"/>
      <c r="W27" s="2048"/>
      <c r="X27" s="2048"/>
      <c r="Y27" s="2048"/>
      <c r="Z27" s="2048"/>
      <c r="AA27" s="2048"/>
      <c r="AB27" s="127"/>
      <c r="AC27" s="127"/>
      <c r="AD27" s="127"/>
      <c r="AE27" s="127"/>
      <c r="AF27" s="127"/>
      <c r="AG27" s="127"/>
      <c r="AH27" s="127"/>
      <c r="AI27" s="127"/>
      <c r="AJ27" s="127"/>
      <c r="AK27" s="127"/>
      <c r="AL27" s="127"/>
      <c r="AM27" s="127"/>
      <c r="AN27" s="127"/>
      <c r="AO27" s="127"/>
      <c r="AP27" s="127"/>
      <c r="AQ27" s="127"/>
      <c r="AR27" s="127"/>
      <c r="AS27" s="127"/>
      <c r="AT27" s="127"/>
    </row>
    <row r="28" spans="1:46" s="2907" customFormat="1" ht="24" hidden="1" customHeight="1" x14ac:dyDescent="0.25">
      <c r="A28" s="2924" t="s">
        <v>4943</v>
      </c>
      <c r="B28" s="2925">
        <v>5140</v>
      </c>
      <c r="C28" s="2926">
        <v>4667</v>
      </c>
      <c r="D28" s="2926">
        <v>90922</v>
      </c>
      <c r="E28" s="2925">
        <v>100729</v>
      </c>
      <c r="F28" s="2926">
        <v>1717</v>
      </c>
      <c r="G28" s="2927">
        <v>0.1</v>
      </c>
      <c r="H28" s="2922">
        <f t="shared" si="1"/>
        <v>102446.1</v>
      </c>
      <c r="I28" s="2928">
        <f>H28/30.4674</f>
        <v>3362.4825223025268</v>
      </c>
      <c r="J28" s="2923">
        <v>5.4518463987795638</v>
      </c>
      <c r="K28" s="2906"/>
      <c r="L28" s="2048"/>
      <c r="M28" s="2905"/>
      <c r="N28" s="2906"/>
      <c r="O28" s="127"/>
      <c r="P28" s="127"/>
      <c r="Q28" s="2906"/>
      <c r="R28" s="127"/>
      <c r="S28" s="127"/>
      <c r="T28" s="2906"/>
      <c r="U28" s="127"/>
      <c r="V28" s="2048"/>
      <c r="W28" s="2048"/>
      <c r="X28" s="2048"/>
      <c r="Y28" s="2048"/>
      <c r="Z28" s="2048"/>
      <c r="AA28" s="2048"/>
      <c r="AB28" s="127"/>
      <c r="AC28" s="127"/>
      <c r="AD28" s="127"/>
      <c r="AE28" s="127"/>
      <c r="AF28" s="127"/>
      <c r="AG28" s="127"/>
      <c r="AH28" s="127"/>
      <c r="AI28" s="127"/>
      <c r="AJ28" s="127"/>
      <c r="AK28" s="127"/>
      <c r="AL28" s="127"/>
      <c r="AM28" s="127"/>
      <c r="AN28" s="127"/>
      <c r="AO28" s="127"/>
      <c r="AP28" s="127"/>
      <c r="AQ28" s="127"/>
      <c r="AR28" s="127"/>
      <c r="AS28" s="127"/>
      <c r="AT28" s="127"/>
    </row>
    <row r="29" spans="1:46" s="2907" customFormat="1" ht="24" hidden="1" customHeight="1" x14ac:dyDescent="0.25">
      <c r="A29" s="2924" t="s">
        <v>4944</v>
      </c>
      <c r="B29" s="2925">
        <v>5043</v>
      </c>
      <c r="C29" s="2926">
        <v>4671</v>
      </c>
      <c r="D29" s="2926">
        <v>90302</v>
      </c>
      <c r="E29" s="2925">
        <v>100016</v>
      </c>
      <c r="F29" s="2926">
        <v>1698</v>
      </c>
      <c r="G29" s="2927">
        <v>0.1</v>
      </c>
      <c r="H29" s="2922">
        <f t="shared" si="1"/>
        <v>101714.1</v>
      </c>
      <c r="I29" s="2928">
        <f>H29/30.0499</f>
        <v>3384.8398829946191</v>
      </c>
      <c r="J29" s="2923">
        <v>5.4128917527373357</v>
      </c>
      <c r="K29" s="2906"/>
      <c r="L29" s="2048"/>
      <c r="M29" s="2905"/>
      <c r="N29" s="2906"/>
      <c r="O29" s="127"/>
      <c r="P29" s="127"/>
      <c r="Q29" s="2906"/>
      <c r="R29" s="127"/>
      <c r="S29" s="127"/>
      <c r="T29" s="2906"/>
      <c r="U29" s="127"/>
      <c r="V29" s="2048"/>
      <c r="W29" s="2048"/>
      <c r="X29" s="2048"/>
      <c r="Y29" s="2048"/>
      <c r="Z29" s="2048"/>
      <c r="AA29" s="2048"/>
      <c r="AB29" s="127"/>
      <c r="AC29" s="127"/>
      <c r="AD29" s="127"/>
      <c r="AE29" s="127"/>
      <c r="AF29" s="127"/>
      <c r="AG29" s="127"/>
      <c r="AH29" s="127"/>
      <c r="AI29" s="127"/>
      <c r="AJ29" s="127"/>
      <c r="AK29" s="127"/>
      <c r="AL29" s="127"/>
      <c r="AM29" s="127"/>
      <c r="AN29" s="127"/>
      <c r="AO29" s="127"/>
      <c r="AP29" s="127"/>
      <c r="AQ29" s="127"/>
      <c r="AR29" s="127"/>
      <c r="AS29" s="127"/>
      <c r="AT29" s="127"/>
    </row>
    <row r="30" spans="1:46" s="2907" customFormat="1" ht="35.25" hidden="1" customHeight="1" x14ac:dyDescent="0.25">
      <c r="A30" s="2924" t="s">
        <v>4945</v>
      </c>
      <c r="B30" s="2925">
        <v>4757</v>
      </c>
      <c r="C30" s="2926">
        <v>4650</v>
      </c>
      <c r="D30" s="2926">
        <v>89619</v>
      </c>
      <c r="E30" s="2925">
        <v>99026</v>
      </c>
      <c r="F30" s="2926">
        <v>1761</v>
      </c>
      <c r="G30" s="2927">
        <v>0.1</v>
      </c>
      <c r="H30" s="2922">
        <f t="shared" si="1"/>
        <v>100787.1</v>
      </c>
      <c r="I30" s="2928">
        <f>H30/30.2987</f>
        <v>3326.4496496549359</v>
      </c>
      <c r="J30" s="2923">
        <v>5.3635598444297612</v>
      </c>
      <c r="K30" s="2906"/>
      <c r="L30" s="2048"/>
      <c r="M30" s="2905"/>
      <c r="N30" s="2906"/>
      <c r="O30" s="127"/>
      <c r="P30" s="127"/>
      <c r="Q30" s="2906"/>
      <c r="R30" s="127"/>
      <c r="S30" s="127"/>
      <c r="T30" s="2906"/>
      <c r="U30" s="127"/>
      <c r="V30" s="2048"/>
      <c r="W30" s="2048"/>
      <c r="X30" s="2048"/>
      <c r="Y30" s="2048"/>
      <c r="Z30" s="2048"/>
      <c r="AA30" s="2048"/>
      <c r="AB30" s="127"/>
      <c r="AC30" s="127"/>
      <c r="AD30" s="127"/>
      <c r="AE30" s="127"/>
      <c r="AF30" s="127"/>
      <c r="AG30" s="127"/>
      <c r="AH30" s="127"/>
      <c r="AI30" s="127"/>
      <c r="AJ30" s="127"/>
      <c r="AK30" s="127"/>
      <c r="AL30" s="127"/>
      <c r="AM30" s="127"/>
      <c r="AN30" s="127"/>
      <c r="AO30" s="127"/>
      <c r="AP30" s="127"/>
      <c r="AQ30" s="127"/>
      <c r="AR30" s="127"/>
      <c r="AS30" s="127"/>
      <c r="AT30" s="127"/>
    </row>
    <row r="31" spans="1:46" s="2907" customFormat="1" ht="24" hidden="1" customHeight="1" x14ac:dyDescent="0.25">
      <c r="A31" s="2929" t="s">
        <v>4946</v>
      </c>
      <c r="B31" s="2930">
        <v>4536</v>
      </c>
      <c r="C31" s="2930">
        <v>4630</v>
      </c>
      <c r="D31" s="2930">
        <v>94092</v>
      </c>
      <c r="E31" s="2931">
        <v>103258</v>
      </c>
      <c r="F31" s="2930">
        <v>1751</v>
      </c>
      <c r="G31" s="2932">
        <v>0.1</v>
      </c>
      <c r="H31" s="2933">
        <f t="shared" si="1"/>
        <v>105009.1</v>
      </c>
      <c r="I31" s="2934">
        <f>H31/30.0792</f>
        <v>3491.0868640123408</v>
      </c>
      <c r="J31" s="2935">
        <v>5.5882408766569256</v>
      </c>
      <c r="K31" s="2906"/>
      <c r="L31" s="2048"/>
      <c r="M31" s="2905"/>
      <c r="N31" s="2906"/>
      <c r="O31" s="127"/>
      <c r="P31" s="127"/>
      <c r="Q31" s="2906"/>
      <c r="R31" s="127"/>
      <c r="S31" s="127"/>
      <c r="T31" s="2906"/>
      <c r="U31" s="127"/>
      <c r="V31" s="2048"/>
      <c r="W31" s="2048"/>
      <c r="X31" s="2048"/>
      <c r="Y31" s="2048"/>
      <c r="Z31" s="2048"/>
      <c r="AA31" s="2048"/>
      <c r="AB31" s="127"/>
      <c r="AC31" s="127"/>
      <c r="AD31" s="127"/>
      <c r="AE31" s="127"/>
      <c r="AF31" s="127"/>
      <c r="AG31" s="127"/>
      <c r="AH31" s="127"/>
      <c r="AI31" s="127"/>
      <c r="AJ31" s="127"/>
      <c r="AK31" s="127"/>
      <c r="AL31" s="127"/>
      <c r="AM31" s="127"/>
      <c r="AN31" s="127"/>
      <c r="AO31" s="127"/>
      <c r="AP31" s="127"/>
      <c r="AQ31" s="127"/>
      <c r="AR31" s="127"/>
      <c r="AS31" s="127"/>
      <c r="AT31" s="127"/>
    </row>
    <row r="32" spans="1:46" s="2907" customFormat="1" ht="24" hidden="1" customHeight="1" x14ac:dyDescent="0.25">
      <c r="A32" s="2929" t="s">
        <v>4947</v>
      </c>
      <c r="B32" s="2930">
        <v>4776</v>
      </c>
      <c r="C32" s="2930">
        <v>4648</v>
      </c>
      <c r="D32" s="2930">
        <v>93308</v>
      </c>
      <c r="E32" s="2931">
        <v>102732</v>
      </c>
      <c r="F32" s="2930">
        <v>1751</v>
      </c>
      <c r="G32" s="2932">
        <v>0.1</v>
      </c>
      <c r="H32" s="2933">
        <f t="shared" si="1"/>
        <v>104483.1</v>
      </c>
      <c r="I32" s="2934">
        <v>3459.3</v>
      </c>
      <c r="J32" s="2935">
        <v>5.4698182103733952</v>
      </c>
      <c r="K32" s="2936"/>
      <c r="L32" s="2905"/>
      <c r="M32" s="2905"/>
      <c r="N32" s="2905"/>
      <c r="O32" s="127"/>
      <c r="P32" s="2905"/>
      <c r="Q32" s="2905"/>
      <c r="R32" s="2905"/>
      <c r="S32" s="2905"/>
      <c r="T32" s="2906"/>
      <c r="U32" s="127"/>
      <c r="V32" s="2048"/>
      <c r="W32" s="2048"/>
      <c r="X32" s="2048"/>
      <c r="Y32" s="2048"/>
      <c r="Z32" s="2048"/>
      <c r="AA32" s="2048"/>
      <c r="AB32" s="127"/>
      <c r="AC32" s="127"/>
      <c r="AD32" s="127"/>
      <c r="AE32" s="127"/>
      <c r="AF32" s="127"/>
      <c r="AG32" s="127"/>
      <c r="AH32" s="127"/>
      <c r="AI32" s="127"/>
      <c r="AJ32" s="127"/>
      <c r="AK32" s="127"/>
      <c r="AL32" s="127"/>
      <c r="AM32" s="127"/>
      <c r="AN32" s="127"/>
      <c r="AO32" s="127"/>
      <c r="AP32" s="127"/>
      <c r="AQ32" s="127"/>
      <c r="AR32" s="127"/>
      <c r="AS32" s="127"/>
      <c r="AT32" s="127"/>
    </row>
    <row r="33" spans="1:46" s="2907" customFormat="1" ht="24" hidden="1" customHeight="1" x14ac:dyDescent="0.25">
      <c r="A33" s="2929" t="s">
        <v>4948</v>
      </c>
      <c r="B33" s="2930">
        <v>5036</v>
      </c>
      <c r="C33" s="2930">
        <v>4637</v>
      </c>
      <c r="D33" s="2930">
        <v>98772</v>
      </c>
      <c r="E33" s="2931">
        <v>108445</v>
      </c>
      <c r="F33" s="2930">
        <v>1761</v>
      </c>
      <c r="G33" s="2932">
        <v>0.1</v>
      </c>
      <c r="H33" s="2933">
        <f t="shared" si="1"/>
        <v>110206.1</v>
      </c>
      <c r="I33" s="2934">
        <v>3662.5</v>
      </c>
      <c r="J33" s="2935">
        <v>5.769424267410054</v>
      </c>
      <c r="K33" s="2936"/>
      <c r="L33" s="2905"/>
      <c r="M33" s="2905"/>
      <c r="N33" s="2905"/>
      <c r="O33" s="127"/>
      <c r="P33" s="2905"/>
      <c r="Q33" s="2905"/>
      <c r="R33" s="2905"/>
      <c r="S33" s="127"/>
      <c r="T33" s="2906"/>
      <c r="U33" s="127"/>
      <c r="V33" s="2048"/>
      <c r="W33" s="2048"/>
      <c r="X33" s="2048"/>
      <c r="Y33" s="2048"/>
      <c r="Z33" s="2048"/>
      <c r="AA33" s="2048"/>
      <c r="AB33" s="127"/>
      <c r="AC33" s="127"/>
      <c r="AD33" s="127"/>
      <c r="AE33" s="127"/>
      <c r="AF33" s="127"/>
      <c r="AG33" s="127"/>
      <c r="AH33" s="127"/>
      <c r="AI33" s="127"/>
      <c r="AJ33" s="127"/>
      <c r="AK33" s="127"/>
      <c r="AL33" s="127"/>
      <c r="AM33" s="127"/>
      <c r="AN33" s="127"/>
      <c r="AO33" s="127"/>
      <c r="AP33" s="127"/>
      <c r="AQ33" s="127"/>
      <c r="AR33" s="127"/>
      <c r="AS33" s="127"/>
      <c r="AT33" s="127"/>
    </row>
    <row r="34" spans="1:46" s="2907" customFormat="1" ht="24" hidden="1" customHeight="1" x14ac:dyDescent="0.25">
      <c r="A34" s="2929" t="s">
        <v>4949</v>
      </c>
      <c r="B34" s="2930">
        <v>4900</v>
      </c>
      <c r="C34" s="2930">
        <v>4648</v>
      </c>
      <c r="D34" s="2930">
        <v>100713</v>
      </c>
      <c r="E34" s="2931">
        <v>110261</v>
      </c>
      <c r="F34" s="2930">
        <v>1757</v>
      </c>
      <c r="G34" s="2932">
        <v>0.1</v>
      </c>
      <c r="H34" s="2933">
        <f t="shared" si="1"/>
        <v>112018.1</v>
      </c>
      <c r="I34" s="2934">
        <v>3722.9</v>
      </c>
      <c r="J34" s="2935">
        <v>5.8642846859580935</v>
      </c>
      <c r="K34" s="2936"/>
      <c r="L34" s="2905"/>
      <c r="M34" s="2905"/>
      <c r="N34" s="2905"/>
      <c r="O34" s="127"/>
      <c r="P34" s="2905"/>
      <c r="Q34" s="2905"/>
      <c r="R34" s="2905"/>
      <c r="S34" s="127"/>
      <c r="T34" s="2906"/>
      <c r="U34" s="127"/>
      <c r="V34" s="2048"/>
      <c r="W34" s="2048"/>
      <c r="X34" s="2048"/>
      <c r="Y34" s="2048"/>
      <c r="Z34" s="2048"/>
      <c r="AA34" s="2048"/>
      <c r="AB34" s="127"/>
      <c r="AC34" s="127"/>
      <c r="AD34" s="127"/>
      <c r="AE34" s="127"/>
      <c r="AF34" s="127"/>
      <c r="AG34" s="127"/>
      <c r="AH34" s="127"/>
      <c r="AI34" s="127"/>
      <c r="AJ34" s="127"/>
      <c r="AK34" s="127"/>
      <c r="AL34" s="127"/>
      <c r="AM34" s="127"/>
      <c r="AN34" s="127"/>
      <c r="AO34" s="127"/>
      <c r="AP34" s="127"/>
      <c r="AQ34" s="127"/>
      <c r="AR34" s="127"/>
      <c r="AS34" s="127"/>
      <c r="AT34" s="127"/>
    </row>
    <row r="35" spans="1:46" s="2907" customFormat="1" ht="24" hidden="1" customHeight="1" x14ac:dyDescent="0.25">
      <c r="A35" s="2929" t="s">
        <v>4950</v>
      </c>
      <c r="B35" s="2930">
        <v>4867</v>
      </c>
      <c r="C35" s="2930">
        <v>4648</v>
      </c>
      <c r="D35" s="2930">
        <v>105183</v>
      </c>
      <c r="E35" s="2931">
        <v>114698</v>
      </c>
      <c r="F35" s="2930">
        <v>1782</v>
      </c>
      <c r="G35" s="2932">
        <v>0.1</v>
      </c>
      <c r="H35" s="2933">
        <f t="shared" si="1"/>
        <v>116480.1</v>
      </c>
      <c r="I35" s="2934">
        <v>3885.8</v>
      </c>
      <c r="J35" s="2935">
        <v>6.0978758490714213</v>
      </c>
      <c r="K35" s="2936"/>
      <c r="L35" s="2905"/>
      <c r="M35" s="2905"/>
      <c r="N35" s="2905"/>
      <c r="O35" s="127"/>
      <c r="P35" s="2905"/>
      <c r="Q35" s="2905"/>
      <c r="R35" s="2905"/>
      <c r="S35" s="127"/>
      <c r="T35" s="2906"/>
      <c r="U35" s="127"/>
      <c r="V35" s="2048"/>
      <c r="W35" s="2048"/>
      <c r="X35" s="2048"/>
      <c r="Y35" s="2048"/>
      <c r="Z35" s="2048"/>
      <c r="AA35" s="2048"/>
      <c r="AB35" s="127"/>
      <c r="AC35" s="127"/>
      <c r="AD35" s="127"/>
      <c r="AE35" s="127"/>
      <c r="AF35" s="127"/>
      <c r="AG35" s="127"/>
      <c r="AH35" s="127"/>
      <c r="AI35" s="127"/>
      <c r="AJ35" s="127"/>
      <c r="AK35" s="127"/>
      <c r="AL35" s="127"/>
      <c r="AM35" s="127"/>
      <c r="AN35" s="127"/>
      <c r="AO35" s="127"/>
      <c r="AP35" s="127"/>
      <c r="AQ35" s="127"/>
      <c r="AR35" s="127"/>
      <c r="AS35" s="127"/>
      <c r="AT35" s="127"/>
    </row>
    <row r="36" spans="1:46" s="2907" customFormat="1" ht="24" hidden="1" customHeight="1" x14ac:dyDescent="0.25">
      <c r="A36" s="2929" t="s">
        <v>4951</v>
      </c>
      <c r="B36" s="2930">
        <v>4773</v>
      </c>
      <c r="C36" s="2930">
        <v>4666</v>
      </c>
      <c r="D36" s="2930">
        <v>107597</v>
      </c>
      <c r="E36" s="2931">
        <v>117036</v>
      </c>
      <c r="F36" s="2930">
        <v>1788</v>
      </c>
      <c r="G36" s="2932">
        <v>0</v>
      </c>
      <c r="H36" s="2933">
        <f t="shared" si="1"/>
        <v>118824</v>
      </c>
      <c r="I36" s="2934">
        <v>3927.7</v>
      </c>
      <c r="J36" s="2935">
        <v>6.2205818838588085</v>
      </c>
      <c r="K36" s="2936"/>
      <c r="L36" s="2905"/>
      <c r="M36" s="2905"/>
      <c r="N36" s="2905"/>
      <c r="O36" s="127"/>
      <c r="P36" s="2905"/>
      <c r="Q36" s="2905"/>
      <c r="R36" s="2905"/>
      <c r="S36" s="127"/>
      <c r="T36" s="2906"/>
      <c r="U36" s="127"/>
      <c r="V36" s="2048"/>
      <c r="W36" s="2048"/>
      <c r="X36" s="2048"/>
      <c r="Y36" s="2048"/>
      <c r="Z36" s="2048"/>
      <c r="AA36" s="2048"/>
      <c r="AB36" s="127"/>
      <c r="AC36" s="127"/>
      <c r="AD36" s="127"/>
      <c r="AE36" s="127"/>
      <c r="AF36" s="127"/>
      <c r="AG36" s="127"/>
      <c r="AH36" s="127"/>
      <c r="AI36" s="127"/>
      <c r="AJ36" s="127"/>
      <c r="AK36" s="127"/>
      <c r="AL36" s="127"/>
      <c r="AM36" s="127"/>
      <c r="AN36" s="127"/>
      <c r="AO36" s="127"/>
      <c r="AP36" s="127"/>
      <c r="AQ36" s="127"/>
      <c r="AR36" s="127"/>
      <c r="AS36" s="127"/>
      <c r="AT36" s="127"/>
    </row>
    <row r="37" spans="1:46" s="2907" customFormat="1" ht="24" hidden="1" customHeight="1" x14ac:dyDescent="0.25">
      <c r="A37" s="2929" t="s">
        <v>4952</v>
      </c>
      <c r="B37" s="2930">
        <v>5001</v>
      </c>
      <c r="C37" s="2930">
        <v>4669</v>
      </c>
      <c r="D37" s="2930">
        <v>109961</v>
      </c>
      <c r="E37" s="2931">
        <v>119631</v>
      </c>
      <c r="F37" s="2930">
        <v>1793</v>
      </c>
      <c r="G37" s="2932">
        <v>0.1</v>
      </c>
      <c r="H37" s="2933">
        <v>121424.1</v>
      </c>
      <c r="I37" s="2934">
        <v>4015.5</v>
      </c>
      <c r="J37" s="2935">
        <v>6.3567003023283206</v>
      </c>
      <c r="K37" s="2936"/>
      <c r="L37" s="2905"/>
      <c r="M37" s="2905"/>
      <c r="N37" s="2905"/>
      <c r="O37" s="127"/>
      <c r="P37" s="2905"/>
      <c r="Q37" s="2905"/>
      <c r="R37" s="2905"/>
      <c r="S37" s="127"/>
      <c r="T37" s="2906"/>
      <c r="U37" s="127"/>
      <c r="V37" s="2048"/>
      <c r="W37" s="2048"/>
      <c r="X37" s="2048"/>
      <c r="Y37" s="2048"/>
      <c r="Z37" s="2048"/>
      <c r="AA37" s="2048"/>
      <c r="AB37" s="127"/>
      <c r="AC37" s="127"/>
      <c r="AD37" s="127"/>
      <c r="AE37" s="127"/>
      <c r="AF37" s="127"/>
      <c r="AG37" s="127"/>
      <c r="AH37" s="127"/>
      <c r="AI37" s="127"/>
      <c r="AJ37" s="127"/>
      <c r="AK37" s="127"/>
      <c r="AL37" s="127"/>
      <c r="AM37" s="127"/>
      <c r="AN37" s="127"/>
      <c r="AO37" s="127"/>
      <c r="AP37" s="127"/>
      <c r="AQ37" s="127"/>
      <c r="AR37" s="127"/>
      <c r="AS37" s="127"/>
      <c r="AT37" s="127"/>
    </row>
    <row r="38" spans="1:46" s="2907" customFormat="1" ht="24" hidden="1" customHeight="1" x14ac:dyDescent="0.25">
      <c r="A38" s="2929" t="s">
        <v>4953</v>
      </c>
      <c r="B38" s="2930">
        <v>4960</v>
      </c>
      <c r="C38" s="2930">
        <v>4668</v>
      </c>
      <c r="D38" s="2930">
        <v>111415</v>
      </c>
      <c r="E38" s="2931">
        <v>121043</v>
      </c>
      <c r="F38" s="2930">
        <v>1789</v>
      </c>
      <c r="G38" s="2932">
        <v>0.1</v>
      </c>
      <c r="H38" s="2933">
        <v>122832.1</v>
      </c>
      <c r="I38" s="2934">
        <v>4033.5</v>
      </c>
      <c r="J38" s="2935">
        <v>6.4304108262331985</v>
      </c>
      <c r="K38" s="2936"/>
      <c r="L38" s="2905"/>
      <c r="M38" s="2905"/>
      <c r="N38" s="2905"/>
      <c r="O38" s="127"/>
      <c r="P38" s="2905"/>
      <c r="Q38" s="2905"/>
      <c r="R38" s="2905"/>
      <c r="S38" s="127"/>
      <c r="T38" s="2906"/>
      <c r="U38" s="127"/>
      <c r="V38" s="2048"/>
      <c r="W38" s="2048"/>
      <c r="X38" s="2048"/>
      <c r="Y38" s="2048"/>
      <c r="Z38" s="2048"/>
      <c r="AA38" s="2048"/>
      <c r="AB38" s="127"/>
      <c r="AC38" s="127"/>
      <c r="AD38" s="127"/>
      <c r="AE38" s="127"/>
      <c r="AF38" s="127"/>
      <c r="AG38" s="127"/>
      <c r="AH38" s="127"/>
      <c r="AI38" s="127"/>
      <c r="AJ38" s="127"/>
      <c r="AK38" s="127"/>
      <c r="AL38" s="127"/>
      <c r="AM38" s="127"/>
      <c r="AN38" s="127"/>
      <c r="AO38" s="127"/>
      <c r="AP38" s="127"/>
      <c r="AQ38" s="127"/>
      <c r="AR38" s="127"/>
      <c r="AS38" s="127"/>
      <c r="AT38" s="127"/>
    </row>
    <row r="39" spans="1:46" s="2907" customFormat="1" ht="24" hidden="1" customHeight="1" x14ac:dyDescent="0.25">
      <c r="A39" s="2929" t="s">
        <v>4954</v>
      </c>
      <c r="B39" s="2930">
        <v>4999</v>
      </c>
      <c r="C39" s="2930">
        <v>4684</v>
      </c>
      <c r="D39" s="2930">
        <v>113535</v>
      </c>
      <c r="E39" s="2931">
        <v>123218</v>
      </c>
      <c r="F39" s="2930">
        <v>1802</v>
      </c>
      <c r="G39" s="2932">
        <v>0</v>
      </c>
      <c r="H39" s="2933">
        <v>125020</v>
      </c>
      <c r="I39" s="2934">
        <v>4051.9</v>
      </c>
      <c r="J39" s="2935">
        <v>6.5449500700197625</v>
      </c>
      <c r="K39" s="2936"/>
      <c r="L39" s="2905"/>
      <c r="M39" s="2905"/>
      <c r="N39" s="2905"/>
      <c r="O39" s="127"/>
      <c r="P39" s="2905"/>
      <c r="Q39" s="2905"/>
      <c r="R39" s="2905"/>
      <c r="S39" s="127"/>
      <c r="T39" s="2906"/>
      <c r="U39" s="127"/>
      <c r="V39" s="2048"/>
      <c r="W39" s="2048"/>
      <c r="X39" s="2048"/>
      <c r="Y39" s="2048"/>
      <c r="Z39" s="2048"/>
      <c r="AA39" s="2048"/>
      <c r="AB39" s="127"/>
      <c r="AC39" s="127"/>
      <c r="AD39" s="127"/>
      <c r="AE39" s="127"/>
      <c r="AF39" s="127"/>
      <c r="AG39" s="127"/>
      <c r="AH39" s="127"/>
      <c r="AI39" s="127"/>
      <c r="AJ39" s="127"/>
      <c r="AK39" s="127"/>
      <c r="AL39" s="127"/>
      <c r="AM39" s="127"/>
      <c r="AN39" s="127"/>
      <c r="AO39" s="127"/>
      <c r="AP39" s="127"/>
      <c r="AQ39" s="127"/>
      <c r="AR39" s="127"/>
      <c r="AS39" s="127"/>
      <c r="AT39" s="127"/>
    </row>
    <row r="40" spans="1:46" s="2907" customFormat="1" ht="24" hidden="1" customHeight="1" x14ac:dyDescent="0.25">
      <c r="A40" s="2929" t="s">
        <v>4955</v>
      </c>
      <c r="B40" s="2930">
        <v>7235</v>
      </c>
      <c r="C40" s="2930">
        <v>4660</v>
      </c>
      <c r="D40" s="2930">
        <v>108822</v>
      </c>
      <c r="E40" s="2931">
        <v>120717</v>
      </c>
      <c r="F40" s="2930">
        <v>1787</v>
      </c>
      <c r="G40" s="2932">
        <v>0.1</v>
      </c>
      <c r="H40" s="2933">
        <v>122504.1</v>
      </c>
      <c r="I40" s="2934">
        <v>3910.1337699769233</v>
      </c>
      <c r="J40" s="2935">
        <v>6.4132396246417223</v>
      </c>
      <c r="K40" s="2936"/>
      <c r="L40" s="2905"/>
      <c r="M40" s="2905"/>
      <c r="N40" s="2905"/>
      <c r="O40" s="127"/>
      <c r="P40" s="2905"/>
      <c r="Q40" s="2905"/>
      <c r="R40" s="2905"/>
      <c r="S40" s="127"/>
      <c r="T40" s="2906"/>
      <c r="U40" s="127"/>
      <c r="V40" s="2048"/>
      <c r="W40" s="2048"/>
      <c r="X40" s="2048"/>
      <c r="Y40" s="2048"/>
      <c r="Z40" s="2048"/>
      <c r="AA40" s="2048"/>
      <c r="AB40" s="127"/>
      <c r="AC40" s="127"/>
      <c r="AD40" s="127"/>
      <c r="AE40" s="127"/>
      <c r="AF40" s="127"/>
      <c r="AG40" s="127"/>
      <c r="AH40" s="127"/>
      <c r="AI40" s="127"/>
      <c r="AJ40" s="127"/>
      <c r="AK40" s="127"/>
      <c r="AL40" s="127"/>
      <c r="AM40" s="127"/>
      <c r="AN40" s="127"/>
      <c r="AO40" s="127"/>
      <c r="AP40" s="127"/>
      <c r="AQ40" s="127"/>
      <c r="AR40" s="127"/>
      <c r="AS40" s="127"/>
      <c r="AT40" s="127"/>
    </row>
    <row r="41" spans="1:46" s="2907" customFormat="1" ht="24" hidden="1" customHeight="1" x14ac:dyDescent="0.25">
      <c r="A41" s="2929" t="s">
        <v>4956</v>
      </c>
      <c r="B41" s="2930">
        <v>8173</v>
      </c>
      <c r="C41" s="2930">
        <v>4638</v>
      </c>
      <c r="D41" s="2930">
        <v>106738</v>
      </c>
      <c r="E41" s="2931">
        <v>119549</v>
      </c>
      <c r="F41" s="2930">
        <v>1782</v>
      </c>
      <c r="G41" s="2932">
        <v>0</v>
      </c>
      <c r="H41" s="2933">
        <v>121331</v>
      </c>
      <c r="I41" s="2934">
        <v>3872.8</v>
      </c>
      <c r="J41" s="2935">
        <v>6.3518264033400076</v>
      </c>
      <c r="K41" s="2936"/>
      <c r="L41" s="2905"/>
      <c r="M41" s="2905"/>
      <c r="N41" s="2905"/>
      <c r="O41" s="127"/>
      <c r="P41" s="2905"/>
      <c r="Q41" s="2905"/>
      <c r="R41" s="2905"/>
      <c r="S41" s="127"/>
      <c r="T41" s="2906"/>
      <c r="U41" s="127"/>
      <c r="V41" s="2048"/>
      <c r="W41" s="2048"/>
      <c r="X41" s="2048"/>
      <c r="Y41" s="2048"/>
      <c r="Z41" s="2048"/>
      <c r="AA41" s="2048"/>
      <c r="AB41" s="127"/>
      <c r="AC41" s="127"/>
      <c r="AD41" s="127"/>
      <c r="AE41" s="127"/>
      <c r="AF41" s="127"/>
      <c r="AG41" s="127"/>
      <c r="AH41" s="127"/>
      <c r="AI41" s="127"/>
      <c r="AJ41" s="127"/>
      <c r="AK41" s="127"/>
      <c r="AL41" s="127"/>
      <c r="AM41" s="127"/>
      <c r="AN41" s="127"/>
      <c r="AO41" s="127"/>
      <c r="AP41" s="127"/>
      <c r="AQ41" s="127"/>
      <c r="AR41" s="127"/>
      <c r="AS41" s="127"/>
      <c r="AT41" s="127"/>
    </row>
    <row r="42" spans="1:46" s="2907" customFormat="1" ht="24" hidden="1" customHeight="1" x14ac:dyDescent="0.25">
      <c r="A42" s="2929" t="s">
        <v>4957</v>
      </c>
      <c r="B42" s="2930">
        <v>9464</v>
      </c>
      <c r="C42" s="2930">
        <v>4608</v>
      </c>
      <c r="D42" s="2930">
        <v>103608</v>
      </c>
      <c r="E42" s="2931">
        <v>117680</v>
      </c>
      <c r="F42" s="2930">
        <v>1777</v>
      </c>
      <c r="G42" s="2932">
        <v>0.1</v>
      </c>
      <c r="H42" s="2933">
        <v>119457.1</v>
      </c>
      <c r="I42" s="2934">
        <v>3795.9</v>
      </c>
      <c r="J42" s="2935">
        <v>6.2537254440038215</v>
      </c>
      <c r="K42" s="2936"/>
      <c r="L42" s="2905"/>
      <c r="M42" s="2905"/>
      <c r="N42" s="2905"/>
      <c r="O42" s="127"/>
      <c r="P42" s="2905"/>
      <c r="Q42" s="2905"/>
      <c r="R42" s="2905"/>
      <c r="S42" s="127"/>
      <c r="T42" s="2906"/>
      <c r="U42" s="127"/>
      <c r="V42" s="2048"/>
      <c r="W42" s="2048"/>
      <c r="X42" s="2048"/>
      <c r="Y42" s="2048"/>
      <c r="Z42" s="2048"/>
      <c r="AA42" s="2048"/>
      <c r="AB42" s="127"/>
      <c r="AC42" s="127"/>
      <c r="AD42" s="127"/>
      <c r="AE42" s="127"/>
      <c r="AF42" s="127"/>
      <c r="AG42" s="127"/>
      <c r="AH42" s="127"/>
      <c r="AI42" s="127"/>
      <c r="AJ42" s="127"/>
      <c r="AK42" s="127"/>
      <c r="AL42" s="127"/>
      <c r="AM42" s="127"/>
      <c r="AN42" s="127"/>
      <c r="AO42" s="127"/>
      <c r="AP42" s="127"/>
      <c r="AQ42" s="127"/>
      <c r="AR42" s="127"/>
      <c r="AS42" s="127"/>
      <c r="AT42" s="127"/>
    </row>
    <row r="43" spans="1:46" s="2907" customFormat="1" ht="24" hidden="1" customHeight="1" thickBot="1" x14ac:dyDescent="0.3">
      <c r="A43" s="2937" t="s">
        <v>4958</v>
      </c>
      <c r="B43" s="2938">
        <v>9657</v>
      </c>
      <c r="C43" s="2938">
        <v>4596</v>
      </c>
      <c r="D43" s="2938">
        <v>108323</v>
      </c>
      <c r="E43" s="2939">
        <v>122576</v>
      </c>
      <c r="F43" s="2938">
        <v>1768</v>
      </c>
      <c r="G43" s="2940">
        <v>0.2</v>
      </c>
      <c r="H43" s="2941">
        <v>124344.2</v>
      </c>
      <c r="I43" s="2942">
        <v>3919.0528269893248</v>
      </c>
      <c r="J43" s="2943">
        <v>6.5095711125943962</v>
      </c>
      <c r="K43" s="2936"/>
      <c r="L43" s="2905"/>
      <c r="M43" s="2905"/>
      <c r="N43" s="2905"/>
      <c r="O43" s="127"/>
      <c r="P43" s="2905"/>
      <c r="Q43" s="2905"/>
      <c r="R43" s="2905"/>
      <c r="S43" s="127"/>
      <c r="T43" s="2906"/>
      <c r="U43" s="127"/>
      <c r="V43" s="2048"/>
      <c r="W43" s="2048"/>
      <c r="X43" s="2048"/>
      <c r="Y43" s="2048"/>
      <c r="Z43" s="2048"/>
      <c r="AA43" s="2048"/>
      <c r="AB43" s="127"/>
      <c r="AC43" s="127"/>
      <c r="AD43" s="127"/>
      <c r="AE43" s="127"/>
      <c r="AF43" s="127"/>
      <c r="AG43" s="127"/>
      <c r="AH43" s="127"/>
      <c r="AI43" s="127"/>
      <c r="AJ43" s="127"/>
      <c r="AK43" s="127"/>
      <c r="AL43" s="127"/>
      <c r="AM43" s="127"/>
      <c r="AN43" s="127"/>
      <c r="AO43" s="127"/>
      <c r="AP43" s="127"/>
      <c r="AQ43" s="127"/>
      <c r="AR43" s="127"/>
      <c r="AS43" s="127"/>
      <c r="AT43" s="127"/>
    </row>
    <row r="44" spans="1:46" s="2907" customFormat="1" ht="18.75" hidden="1" x14ac:dyDescent="0.25">
      <c r="A44" s="2929" t="s">
        <v>4959</v>
      </c>
      <c r="B44" s="2930">
        <v>11787</v>
      </c>
      <c r="C44" s="2930">
        <v>4600</v>
      </c>
      <c r="D44" s="2930">
        <v>103500</v>
      </c>
      <c r="E44" s="2931">
        <v>119887</v>
      </c>
      <c r="F44" s="2930">
        <v>1775</v>
      </c>
      <c r="G44" s="2932">
        <v>0.1</v>
      </c>
      <c r="H44" s="2933">
        <f>E44+F44+G44</f>
        <v>121662.1</v>
      </c>
      <c r="I44" s="2934">
        <v>3727.0159573327451</v>
      </c>
      <c r="J44" s="2935">
        <v>6.3398146620230849</v>
      </c>
      <c r="K44" s="2936"/>
      <c r="L44" s="2905"/>
      <c r="M44" s="2905"/>
      <c r="N44" s="2905"/>
      <c r="O44" s="127"/>
      <c r="P44" s="2905"/>
      <c r="Q44" s="2905"/>
      <c r="R44" s="2905"/>
      <c r="S44" s="127"/>
      <c r="T44" s="2906"/>
      <c r="U44" s="127"/>
      <c r="V44" s="2048"/>
      <c r="W44" s="2048"/>
      <c r="X44" s="2048"/>
      <c r="Y44" s="2048"/>
      <c r="Z44" s="2048"/>
      <c r="AA44" s="2048"/>
      <c r="AB44" s="127"/>
      <c r="AC44" s="127"/>
      <c r="AD44" s="127"/>
      <c r="AE44" s="127"/>
      <c r="AF44" s="127"/>
      <c r="AG44" s="127"/>
      <c r="AH44" s="127"/>
      <c r="AI44" s="127"/>
      <c r="AJ44" s="127"/>
      <c r="AK44" s="127"/>
      <c r="AL44" s="127"/>
      <c r="AM44" s="127"/>
      <c r="AN44" s="127"/>
      <c r="AO44" s="127"/>
      <c r="AP44" s="127"/>
      <c r="AQ44" s="127"/>
      <c r="AR44" s="127"/>
      <c r="AS44" s="127"/>
      <c r="AT44" s="127"/>
    </row>
    <row r="45" spans="1:46" s="2907" customFormat="1" ht="17.25" hidden="1" x14ac:dyDescent="0.25">
      <c r="A45" s="2929" t="s">
        <v>4960</v>
      </c>
      <c r="B45" s="2944">
        <v>11461</v>
      </c>
      <c r="C45" s="2944">
        <v>4704</v>
      </c>
      <c r="D45" s="2944">
        <v>109650</v>
      </c>
      <c r="E45" s="2945">
        <v>125815</v>
      </c>
      <c r="F45" s="2944">
        <v>1805</v>
      </c>
      <c r="G45" s="2946">
        <v>0.1</v>
      </c>
      <c r="H45" s="2947">
        <f>E45+F45+G45</f>
        <v>127620.1</v>
      </c>
      <c r="I45" s="2948">
        <v>3837.2983179885618</v>
      </c>
      <c r="J45" s="2949">
        <v>6.6502861708687604</v>
      </c>
      <c r="K45" s="2936"/>
      <c r="L45" s="2905"/>
      <c r="M45" s="2905"/>
      <c r="N45" s="2905"/>
      <c r="O45" s="127"/>
      <c r="P45" s="2905"/>
      <c r="Q45" s="2905"/>
      <c r="R45" s="2905"/>
      <c r="S45" s="127"/>
      <c r="T45" s="2906"/>
      <c r="U45" s="127"/>
      <c r="V45" s="2048"/>
      <c r="W45" s="2048"/>
      <c r="X45" s="2048"/>
      <c r="Y45" s="2048"/>
      <c r="Z45" s="2048"/>
      <c r="AA45" s="2048"/>
      <c r="AB45" s="127"/>
      <c r="AC45" s="127"/>
      <c r="AD45" s="127"/>
      <c r="AE45" s="127"/>
      <c r="AF45" s="127"/>
      <c r="AG45" s="127"/>
      <c r="AH45" s="127"/>
      <c r="AI45" s="127"/>
      <c r="AJ45" s="127"/>
      <c r="AK45" s="127"/>
      <c r="AL45" s="127"/>
      <c r="AM45" s="127"/>
      <c r="AN45" s="127"/>
      <c r="AO45" s="127"/>
      <c r="AP45" s="127"/>
      <c r="AQ45" s="127"/>
      <c r="AR45" s="127"/>
      <c r="AS45" s="127"/>
      <c r="AT45" s="127"/>
    </row>
    <row r="46" spans="1:46" s="2907" customFormat="1" ht="17.25" hidden="1" x14ac:dyDescent="0.25">
      <c r="A46" s="2929" t="s">
        <v>4961</v>
      </c>
      <c r="B46" s="2944">
        <v>12284</v>
      </c>
      <c r="C46" s="2944">
        <v>5036</v>
      </c>
      <c r="D46" s="2944">
        <v>121458</v>
      </c>
      <c r="E46" s="2945">
        <v>138778</v>
      </c>
      <c r="F46" s="2944">
        <v>1611</v>
      </c>
      <c r="G46" s="2946">
        <v>0.1</v>
      </c>
      <c r="H46" s="2947">
        <v>140389.1</v>
      </c>
      <c r="I46" s="2948">
        <v>3856.5</v>
      </c>
      <c r="J46" s="2949">
        <v>7.3156790370068006</v>
      </c>
      <c r="K46" s="2936"/>
      <c r="L46" s="2905"/>
      <c r="M46" s="2905"/>
      <c r="N46" s="2905"/>
      <c r="O46" s="127"/>
      <c r="P46" s="2905"/>
      <c r="Q46" s="2905"/>
      <c r="R46" s="2905"/>
      <c r="S46" s="127"/>
      <c r="T46" s="2906"/>
      <c r="U46" s="127"/>
      <c r="V46" s="2048"/>
      <c r="W46" s="2048"/>
      <c r="X46" s="2048"/>
      <c r="Y46" s="2048"/>
      <c r="Z46" s="2048"/>
      <c r="AA46" s="2048"/>
      <c r="AB46" s="127"/>
      <c r="AC46" s="127"/>
      <c r="AD46" s="127"/>
      <c r="AE46" s="127"/>
      <c r="AF46" s="127"/>
      <c r="AG46" s="127"/>
      <c r="AH46" s="127"/>
      <c r="AI46" s="127"/>
      <c r="AJ46" s="127"/>
      <c r="AK46" s="127"/>
      <c r="AL46" s="127"/>
      <c r="AM46" s="127"/>
      <c r="AN46" s="127"/>
      <c r="AO46" s="127"/>
      <c r="AP46" s="127"/>
      <c r="AQ46" s="127"/>
      <c r="AR46" s="127"/>
      <c r="AS46" s="127"/>
      <c r="AT46" s="127"/>
    </row>
    <row r="47" spans="1:46" s="2907" customFormat="1" ht="17.25" hidden="1" x14ac:dyDescent="0.25">
      <c r="A47" s="2929" t="s">
        <v>4962</v>
      </c>
      <c r="B47" s="2944">
        <v>12183</v>
      </c>
      <c r="C47" s="2944">
        <v>4946</v>
      </c>
      <c r="D47" s="2944">
        <v>120126</v>
      </c>
      <c r="E47" s="2945">
        <v>137255</v>
      </c>
      <c r="F47" s="2944">
        <v>1597</v>
      </c>
      <c r="G47" s="2946">
        <v>0.3</v>
      </c>
      <c r="H47" s="2947">
        <v>138852.29999999999</v>
      </c>
      <c r="I47" s="2948">
        <v>3921.8</v>
      </c>
      <c r="J47" s="2949">
        <v>7.2355963557724863</v>
      </c>
      <c r="K47" s="2936"/>
      <c r="L47" s="2905"/>
      <c r="M47" s="2905"/>
      <c r="N47" s="2905"/>
      <c r="O47" s="127"/>
      <c r="P47" s="2905"/>
      <c r="Q47" s="2905"/>
      <c r="R47" s="2905"/>
      <c r="S47" s="127"/>
      <c r="T47" s="2906"/>
      <c r="U47" s="127"/>
      <c r="V47" s="2048"/>
      <c r="W47" s="2048"/>
      <c r="X47" s="2048"/>
      <c r="Y47" s="2048"/>
      <c r="Z47" s="2048"/>
      <c r="AA47" s="2048"/>
      <c r="AB47" s="127"/>
      <c r="AC47" s="127"/>
      <c r="AD47" s="127"/>
      <c r="AE47" s="127"/>
      <c r="AF47" s="127"/>
      <c r="AG47" s="127"/>
      <c r="AH47" s="127"/>
      <c r="AI47" s="127"/>
      <c r="AJ47" s="127"/>
      <c r="AK47" s="127"/>
      <c r="AL47" s="127"/>
      <c r="AM47" s="127"/>
      <c r="AN47" s="127"/>
      <c r="AO47" s="127"/>
      <c r="AP47" s="127"/>
      <c r="AQ47" s="127"/>
      <c r="AR47" s="127"/>
      <c r="AS47" s="127"/>
      <c r="AT47" s="127"/>
    </row>
    <row r="48" spans="1:46" s="2907" customFormat="1" ht="17.25" hidden="1" x14ac:dyDescent="0.25">
      <c r="A48" s="2929" t="s">
        <v>4963</v>
      </c>
      <c r="B48" s="2944">
        <v>12004</v>
      </c>
      <c r="C48" s="2944">
        <v>4914</v>
      </c>
      <c r="D48" s="2944">
        <v>120956</v>
      </c>
      <c r="E48" s="2945">
        <v>137874</v>
      </c>
      <c r="F48" s="2944">
        <v>1581</v>
      </c>
      <c r="G48" s="2946">
        <v>0.2</v>
      </c>
      <c r="H48" s="2947">
        <v>139455.20000000001</v>
      </c>
      <c r="I48" s="2948">
        <v>3943.5</v>
      </c>
      <c r="J48" s="2949">
        <v>7.2670134878105976</v>
      </c>
      <c r="K48" s="2936"/>
      <c r="L48" s="2905"/>
      <c r="M48" s="2905"/>
      <c r="N48" s="2905"/>
      <c r="O48" s="127"/>
      <c r="P48" s="2905"/>
      <c r="Q48" s="2905"/>
      <c r="R48" s="2905"/>
      <c r="S48" s="127"/>
      <c r="T48" s="2906"/>
      <c r="U48" s="127"/>
      <c r="V48" s="2048"/>
      <c r="W48" s="2048"/>
      <c r="X48" s="2048"/>
      <c r="Y48" s="2048"/>
      <c r="Z48" s="2048"/>
      <c r="AA48" s="2048"/>
      <c r="AB48" s="127"/>
      <c r="AC48" s="127"/>
      <c r="AD48" s="127"/>
      <c r="AE48" s="127"/>
      <c r="AF48" s="127"/>
      <c r="AG48" s="127"/>
      <c r="AH48" s="127"/>
      <c r="AI48" s="127"/>
      <c r="AJ48" s="127"/>
      <c r="AK48" s="127"/>
      <c r="AL48" s="127"/>
      <c r="AM48" s="127"/>
      <c r="AN48" s="127"/>
      <c r="AO48" s="127"/>
      <c r="AP48" s="127"/>
      <c r="AQ48" s="127"/>
      <c r="AR48" s="127"/>
      <c r="AS48" s="127"/>
      <c r="AT48" s="127"/>
    </row>
    <row r="49" spans="1:46" s="2907" customFormat="1" ht="17.25" hidden="1" x14ac:dyDescent="0.25">
      <c r="A49" s="2929" t="s">
        <v>4964</v>
      </c>
      <c r="B49" s="2944">
        <v>11821</v>
      </c>
      <c r="C49" s="2944">
        <v>4934</v>
      </c>
      <c r="D49" s="2944">
        <v>121549</v>
      </c>
      <c r="E49" s="2945">
        <v>138304</v>
      </c>
      <c r="F49" s="2944">
        <v>1590</v>
      </c>
      <c r="G49" s="2946">
        <v>0.1</v>
      </c>
      <c r="H49" s="2947">
        <v>139894.1</v>
      </c>
      <c r="I49" s="2948">
        <v>3979.5</v>
      </c>
      <c r="J49" s="2949">
        <v>7.2898845763021001</v>
      </c>
      <c r="K49" s="2936"/>
      <c r="L49" s="2905"/>
      <c r="M49" s="2905"/>
      <c r="N49" s="2905"/>
      <c r="O49" s="127"/>
      <c r="P49" s="2905"/>
      <c r="Q49" s="2905"/>
      <c r="R49" s="2905"/>
      <c r="S49" s="127"/>
      <c r="T49" s="2906"/>
      <c r="U49" s="127"/>
      <c r="V49" s="2048"/>
      <c r="W49" s="2048"/>
      <c r="X49" s="2048"/>
      <c r="Y49" s="2048"/>
      <c r="Z49" s="2048"/>
      <c r="AA49" s="2048"/>
      <c r="AB49" s="127"/>
      <c r="AC49" s="127"/>
      <c r="AD49" s="127"/>
      <c r="AE49" s="127"/>
      <c r="AF49" s="127"/>
      <c r="AG49" s="127"/>
      <c r="AH49" s="127"/>
      <c r="AI49" s="127"/>
      <c r="AJ49" s="127"/>
      <c r="AK49" s="127"/>
      <c r="AL49" s="127"/>
      <c r="AM49" s="127"/>
      <c r="AN49" s="127"/>
      <c r="AO49" s="127"/>
      <c r="AP49" s="127"/>
      <c r="AQ49" s="127"/>
      <c r="AR49" s="127"/>
      <c r="AS49" s="127"/>
      <c r="AT49" s="127"/>
    </row>
    <row r="50" spans="1:46" s="2907" customFormat="1" ht="17.25" hidden="1" x14ac:dyDescent="0.25">
      <c r="A50" s="2929" t="s">
        <v>4965</v>
      </c>
      <c r="B50" s="2944">
        <v>10952</v>
      </c>
      <c r="C50" s="2944">
        <v>4936</v>
      </c>
      <c r="D50" s="2944">
        <v>125854</v>
      </c>
      <c r="E50" s="2945">
        <v>141742</v>
      </c>
      <c r="F50" s="2944">
        <v>1589</v>
      </c>
      <c r="G50" s="2946">
        <v>0.2</v>
      </c>
      <c r="H50" s="2947">
        <v>143331.20000000001</v>
      </c>
      <c r="I50" s="2948">
        <v>4048.6</v>
      </c>
      <c r="J50" s="2949">
        <v>7.4689919316316526</v>
      </c>
      <c r="K50" s="2936"/>
      <c r="L50" s="2905"/>
      <c r="M50" s="2905"/>
      <c r="N50" s="2905"/>
      <c r="O50" s="127"/>
      <c r="P50" s="2905"/>
      <c r="Q50" s="2905"/>
      <c r="R50" s="2905"/>
      <c r="S50" s="127"/>
      <c r="T50" s="2906"/>
      <c r="U50" s="127"/>
      <c r="V50" s="2048"/>
      <c r="W50" s="2048"/>
      <c r="X50" s="2048"/>
      <c r="Y50" s="2048"/>
      <c r="Z50" s="2048"/>
      <c r="AA50" s="2048"/>
      <c r="AB50" s="127"/>
      <c r="AC50" s="127"/>
      <c r="AD50" s="127"/>
      <c r="AE50" s="127"/>
      <c r="AF50" s="127"/>
      <c r="AG50" s="127"/>
      <c r="AH50" s="127"/>
      <c r="AI50" s="127"/>
      <c r="AJ50" s="127"/>
      <c r="AK50" s="127"/>
      <c r="AL50" s="127"/>
      <c r="AM50" s="127"/>
      <c r="AN50" s="127"/>
      <c r="AO50" s="127"/>
      <c r="AP50" s="127"/>
      <c r="AQ50" s="127"/>
      <c r="AR50" s="127"/>
      <c r="AS50" s="127"/>
      <c r="AT50" s="127"/>
    </row>
    <row r="51" spans="1:46" s="2907" customFormat="1" ht="17.25" hidden="1" x14ac:dyDescent="0.25">
      <c r="A51" s="2929" t="s">
        <v>4966</v>
      </c>
      <c r="B51" s="2944">
        <v>11360</v>
      </c>
      <c r="C51" s="2944">
        <v>4949</v>
      </c>
      <c r="D51" s="2944">
        <v>125637</v>
      </c>
      <c r="E51" s="2945">
        <v>141946</v>
      </c>
      <c r="F51" s="2944">
        <v>1587</v>
      </c>
      <c r="G51" s="2946">
        <v>0.2</v>
      </c>
      <c r="H51" s="2947">
        <v>143533.20000000001</v>
      </c>
      <c r="I51" s="2948">
        <v>4085.1</v>
      </c>
      <c r="J51" s="2949">
        <v>7.4795181560000357</v>
      </c>
      <c r="K51" s="2936"/>
      <c r="L51" s="2905"/>
      <c r="M51" s="2905"/>
      <c r="N51" s="2905"/>
      <c r="O51" s="127"/>
      <c r="P51" s="2905"/>
      <c r="Q51" s="2905"/>
      <c r="R51" s="2905"/>
      <c r="S51" s="127"/>
      <c r="T51" s="2906"/>
      <c r="U51" s="127"/>
      <c r="V51" s="2048"/>
      <c r="W51" s="2048"/>
      <c r="X51" s="2048"/>
      <c r="Y51" s="2048"/>
      <c r="Z51" s="2048"/>
      <c r="AA51" s="2048"/>
      <c r="AB51" s="127"/>
      <c r="AC51" s="127"/>
      <c r="AD51" s="127"/>
      <c r="AE51" s="127"/>
      <c r="AF51" s="127"/>
      <c r="AG51" s="127"/>
      <c r="AH51" s="127"/>
      <c r="AI51" s="127"/>
      <c r="AJ51" s="127"/>
      <c r="AK51" s="127"/>
      <c r="AL51" s="127"/>
      <c r="AM51" s="127"/>
      <c r="AN51" s="127"/>
      <c r="AO51" s="127"/>
      <c r="AP51" s="127"/>
      <c r="AQ51" s="127"/>
      <c r="AR51" s="127"/>
      <c r="AS51" s="127"/>
      <c r="AT51" s="127"/>
    </row>
    <row r="52" spans="1:46" s="2907" customFormat="1" ht="17.25" hidden="1" x14ac:dyDescent="0.25">
      <c r="A52" s="2929" t="s">
        <v>4967</v>
      </c>
      <c r="B52" s="2944">
        <v>11417</v>
      </c>
      <c r="C52" s="2944">
        <v>4991</v>
      </c>
      <c r="D52" s="2944">
        <v>127691</v>
      </c>
      <c r="E52" s="2945">
        <v>144099</v>
      </c>
      <c r="F52" s="2944">
        <v>1605</v>
      </c>
      <c r="G52" s="2946">
        <v>0.2</v>
      </c>
      <c r="H52" s="2947">
        <v>145704.20000000001</v>
      </c>
      <c r="I52" s="2948">
        <v>4101.2</v>
      </c>
      <c r="J52" s="2949">
        <v>7.5926490129493409</v>
      </c>
      <c r="K52" s="2936"/>
      <c r="L52" s="2905"/>
      <c r="M52" s="2905"/>
      <c r="N52" s="2905"/>
      <c r="O52" s="127"/>
      <c r="P52" s="2905"/>
      <c r="Q52" s="2905"/>
      <c r="R52" s="2905"/>
      <c r="S52" s="127"/>
      <c r="T52" s="2906"/>
      <c r="U52" s="127"/>
      <c r="V52" s="2048"/>
      <c r="W52" s="2048"/>
      <c r="X52" s="2048"/>
      <c r="Y52" s="2048"/>
      <c r="Z52" s="2048"/>
      <c r="AA52" s="2048"/>
      <c r="AB52" s="127"/>
      <c r="AC52" s="127"/>
      <c r="AD52" s="127"/>
      <c r="AE52" s="127"/>
      <c r="AF52" s="127"/>
      <c r="AG52" s="127"/>
      <c r="AH52" s="127"/>
      <c r="AI52" s="127"/>
      <c r="AJ52" s="127"/>
      <c r="AK52" s="127"/>
      <c r="AL52" s="127"/>
      <c r="AM52" s="127"/>
      <c r="AN52" s="127"/>
      <c r="AO52" s="127"/>
      <c r="AP52" s="127"/>
      <c r="AQ52" s="127"/>
      <c r="AR52" s="127"/>
      <c r="AS52" s="127"/>
      <c r="AT52" s="127"/>
    </row>
    <row r="53" spans="1:46" s="2907" customFormat="1" ht="17.25" hidden="1" x14ac:dyDescent="0.25">
      <c r="A53" s="2929" t="s">
        <v>4968</v>
      </c>
      <c r="B53" s="2944">
        <v>11766</v>
      </c>
      <c r="C53" s="2944">
        <v>4996</v>
      </c>
      <c r="D53" s="2944">
        <v>131340</v>
      </c>
      <c r="E53" s="2945">
        <v>148102</v>
      </c>
      <c r="F53" s="2944">
        <v>1612</v>
      </c>
      <c r="G53" s="2946">
        <v>0.1</v>
      </c>
      <c r="H53" s="2947">
        <v>149714.1</v>
      </c>
      <c r="I53" s="2948">
        <v>4175.3</v>
      </c>
      <c r="J53" s="2949">
        <v>7.801604988666071</v>
      </c>
      <c r="K53" s="2936"/>
      <c r="L53" s="2905"/>
      <c r="M53" s="2905"/>
      <c r="N53" s="2905"/>
      <c r="O53" s="127"/>
      <c r="P53" s="2905"/>
      <c r="Q53" s="2905"/>
      <c r="R53" s="2905"/>
      <c r="S53" s="127"/>
      <c r="T53" s="2906"/>
      <c r="U53" s="127"/>
      <c r="V53" s="2048"/>
      <c r="W53" s="2048"/>
      <c r="X53" s="2048"/>
      <c r="Y53" s="2048"/>
      <c r="Z53" s="2048"/>
      <c r="AA53" s="2048"/>
      <c r="AB53" s="127"/>
      <c r="AC53" s="127"/>
      <c r="AD53" s="127"/>
      <c r="AE53" s="127"/>
      <c r="AF53" s="127"/>
      <c r="AG53" s="127"/>
      <c r="AH53" s="127"/>
      <c r="AI53" s="127"/>
      <c r="AJ53" s="127"/>
      <c r="AK53" s="127"/>
      <c r="AL53" s="127"/>
      <c r="AM53" s="127"/>
      <c r="AN53" s="127"/>
      <c r="AO53" s="127"/>
      <c r="AP53" s="127"/>
      <c r="AQ53" s="127"/>
      <c r="AR53" s="127"/>
      <c r="AS53" s="127"/>
      <c r="AT53" s="127"/>
    </row>
    <row r="54" spans="1:46" s="2907" customFormat="1" ht="17.25" hidden="1" x14ac:dyDescent="0.25">
      <c r="A54" s="2929" t="s">
        <v>4969</v>
      </c>
      <c r="B54" s="2944">
        <v>10932</v>
      </c>
      <c r="C54" s="2944">
        <v>4973</v>
      </c>
      <c r="D54" s="2944">
        <v>134123</v>
      </c>
      <c r="E54" s="2945">
        <v>150028</v>
      </c>
      <c r="F54" s="2944">
        <v>1599</v>
      </c>
      <c r="G54" s="2946">
        <v>0.1</v>
      </c>
      <c r="H54" s="2947">
        <v>151627.1</v>
      </c>
      <c r="I54" s="2948">
        <v>4187.3</v>
      </c>
      <c r="J54" s="2949">
        <v>7.9012914600359565</v>
      </c>
      <c r="K54" s="2936"/>
      <c r="L54" s="2905"/>
      <c r="M54" s="2905"/>
      <c r="N54" s="2905"/>
      <c r="O54" s="127"/>
      <c r="P54" s="2905"/>
      <c r="Q54" s="2905"/>
      <c r="R54" s="2905"/>
      <c r="S54" s="127"/>
      <c r="T54" s="2906"/>
      <c r="U54" s="127"/>
      <c r="V54" s="2048"/>
      <c r="W54" s="2048"/>
      <c r="X54" s="2048"/>
      <c r="Y54" s="2048"/>
      <c r="Z54" s="2048"/>
      <c r="AA54" s="2048"/>
      <c r="AB54" s="127"/>
      <c r="AC54" s="127"/>
      <c r="AD54" s="127"/>
      <c r="AE54" s="127"/>
      <c r="AF54" s="127"/>
      <c r="AG54" s="127"/>
      <c r="AH54" s="127"/>
      <c r="AI54" s="127"/>
      <c r="AJ54" s="127"/>
      <c r="AK54" s="127"/>
      <c r="AL54" s="127"/>
      <c r="AM54" s="127"/>
      <c r="AN54" s="127"/>
      <c r="AO54" s="127"/>
      <c r="AP54" s="127"/>
      <c r="AQ54" s="127"/>
      <c r="AR54" s="127"/>
      <c r="AS54" s="127"/>
      <c r="AT54" s="127"/>
    </row>
    <row r="55" spans="1:46" s="2907" customFormat="1" ht="17.25" hidden="1" x14ac:dyDescent="0.25">
      <c r="A55" s="2929" t="s">
        <v>4970</v>
      </c>
      <c r="B55" s="2944">
        <v>10887</v>
      </c>
      <c r="C55" s="2944">
        <v>4978</v>
      </c>
      <c r="D55" s="2944">
        <v>135437</v>
      </c>
      <c r="E55" s="2945">
        <v>151302</v>
      </c>
      <c r="F55" s="2944">
        <v>1600</v>
      </c>
      <c r="G55" s="2946">
        <v>0.1</v>
      </c>
      <c r="H55" s="2947">
        <v>152902.1</v>
      </c>
      <c r="I55" s="2948">
        <v>4260.4524543937232</v>
      </c>
      <c r="J55" s="2949">
        <v>7.9677317376086716</v>
      </c>
      <c r="K55" s="2936"/>
      <c r="L55" s="2905"/>
      <c r="M55" s="2905"/>
      <c r="N55" s="2905"/>
      <c r="O55" s="127"/>
      <c r="P55" s="2905"/>
      <c r="Q55" s="2905"/>
      <c r="R55" s="2905"/>
      <c r="S55" s="127"/>
      <c r="T55" s="2906"/>
      <c r="U55" s="127"/>
      <c r="V55" s="2048"/>
      <c r="W55" s="2048"/>
      <c r="X55" s="2048"/>
      <c r="Y55" s="2048"/>
      <c r="Z55" s="2048"/>
      <c r="AA55" s="2048"/>
      <c r="AB55" s="127"/>
      <c r="AC55" s="127"/>
      <c r="AD55" s="127"/>
      <c r="AE55" s="127"/>
      <c r="AF55" s="127"/>
      <c r="AG55" s="127"/>
      <c r="AH55" s="127"/>
      <c r="AI55" s="127"/>
      <c r="AJ55" s="127"/>
      <c r="AK55" s="127"/>
      <c r="AL55" s="127"/>
      <c r="AM55" s="127"/>
      <c r="AN55" s="127"/>
      <c r="AO55" s="127"/>
      <c r="AP55" s="127"/>
      <c r="AQ55" s="127"/>
      <c r="AR55" s="127"/>
      <c r="AS55" s="127"/>
      <c r="AT55" s="127"/>
    </row>
    <row r="56" spans="1:46" s="2907" customFormat="1" ht="20.100000000000001" hidden="1" customHeight="1" x14ac:dyDescent="0.25">
      <c r="A56" s="2950" t="s">
        <v>4971</v>
      </c>
      <c r="B56" s="2951">
        <v>11445</v>
      </c>
      <c r="C56" s="2951">
        <v>4978</v>
      </c>
      <c r="D56" s="2951">
        <v>136942</v>
      </c>
      <c r="E56" s="2952">
        <v>153365</v>
      </c>
      <c r="F56" s="2951">
        <v>1604</v>
      </c>
      <c r="G56" s="2953">
        <v>0.1</v>
      </c>
      <c r="H56" s="2954">
        <v>154969.1</v>
      </c>
      <c r="I56" s="2955">
        <v>4303.6000000000004</v>
      </c>
      <c r="J56" s="2956">
        <v>8.1001006180825073</v>
      </c>
      <c r="K56" s="2936"/>
      <c r="L56" s="2905"/>
      <c r="M56" s="2905"/>
      <c r="N56" s="2905"/>
      <c r="O56" s="2905"/>
      <c r="P56" s="2957"/>
      <c r="Q56" s="2905"/>
      <c r="R56" s="2905"/>
      <c r="S56" s="127"/>
      <c r="T56" s="2906"/>
      <c r="U56" s="127"/>
      <c r="V56" s="2048"/>
      <c r="W56" s="2048"/>
      <c r="X56" s="2048"/>
      <c r="Y56" s="2048"/>
      <c r="Z56" s="2048"/>
      <c r="AA56" s="2048"/>
      <c r="AB56" s="127"/>
      <c r="AC56" s="127"/>
      <c r="AD56" s="127"/>
      <c r="AE56" s="127"/>
      <c r="AF56" s="127"/>
      <c r="AG56" s="127"/>
      <c r="AH56" s="127"/>
      <c r="AI56" s="127"/>
      <c r="AJ56" s="127"/>
      <c r="AK56" s="127"/>
      <c r="AL56" s="127"/>
      <c r="AM56" s="127"/>
      <c r="AN56" s="127"/>
      <c r="AO56" s="127"/>
      <c r="AP56" s="127"/>
      <c r="AQ56" s="127"/>
      <c r="AR56" s="127"/>
      <c r="AS56" s="127"/>
      <c r="AT56" s="127"/>
    </row>
    <row r="57" spans="1:46" s="2907" customFormat="1" ht="20.100000000000001" hidden="1" customHeight="1" x14ac:dyDescent="0.25">
      <c r="A57" s="2958" t="s">
        <v>4972</v>
      </c>
      <c r="B57" s="2944">
        <v>14002</v>
      </c>
      <c r="C57" s="2944">
        <v>4462</v>
      </c>
      <c r="D57" s="2944">
        <v>137586</v>
      </c>
      <c r="E57" s="2945">
        <v>156050</v>
      </c>
      <c r="F57" s="2944">
        <v>2095</v>
      </c>
      <c r="G57" s="2946">
        <v>0.1</v>
      </c>
      <c r="H57" s="2947">
        <v>158145.1</v>
      </c>
      <c r="I57" s="2948">
        <v>4422.6494770401032</v>
      </c>
      <c r="J57" s="2949">
        <v>8.2661073869353299</v>
      </c>
      <c r="K57" s="2936"/>
      <c r="L57" s="2905"/>
      <c r="M57" s="2905"/>
      <c r="N57" s="2905"/>
      <c r="O57" s="2905"/>
      <c r="P57" s="2957"/>
      <c r="Q57" s="2905"/>
      <c r="R57" s="2905"/>
      <c r="S57" s="127"/>
      <c r="T57" s="2906"/>
      <c r="U57" s="127"/>
      <c r="V57" s="2048"/>
      <c r="W57" s="2048"/>
      <c r="X57" s="2048"/>
      <c r="Y57" s="2048"/>
      <c r="Z57" s="2048"/>
      <c r="AA57" s="2048"/>
      <c r="AB57" s="127"/>
      <c r="AC57" s="127"/>
      <c r="AD57" s="127"/>
      <c r="AE57" s="127"/>
      <c r="AF57" s="127"/>
      <c r="AG57" s="127"/>
      <c r="AH57" s="127"/>
      <c r="AI57" s="127"/>
      <c r="AJ57" s="127"/>
      <c r="AK57" s="127"/>
      <c r="AL57" s="127"/>
      <c r="AM57" s="127"/>
      <c r="AN57" s="127"/>
      <c r="AO57" s="127"/>
      <c r="AP57" s="127"/>
      <c r="AQ57" s="127"/>
      <c r="AR57" s="127"/>
      <c r="AS57" s="127"/>
      <c r="AT57" s="127"/>
    </row>
    <row r="58" spans="1:46" s="2907" customFormat="1" ht="20.100000000000001" hidden="1" customHeight="1" x14ac:dyDescent="0.25">
      <c r="A58" s="2958" t="s">
        <v>1365</v>
      </c>
      <c r="B58" s="2944">
        <v>13829</v>
      </c>
      <c r="C58" s="2944">
        <v>4473</v>
      </c>
      <c r="D58" s="2944">
        <v>138758</v>
      </c>
      <c r="E58" s="2945">
        <v>157060</v>
      </c>
      <c r="F58" s="2944">
        <v>2115</v>
      </c>
      <c r="G58" s="2946">
        <v>0.1</v>
      </c>
      <c r="H58" s="2947">
        <v>159175.1</v>
      </c>
      <c r="I58" s="2948">
        <v>4497.7931369667922</v>
      </c>
      <c r="J58" s="2949">
        <v>8.3199445947182049</v>
      </c>
      <c r="K58" s="2936"/>
      <c r="L58" s="2905"/>
      <c r="M58" s="2905"/>
      <c r="N58" s="2905"/>
      <c r="O58" s="2905"/>
      <c r="P58" s="2957"/>
      <c r="Q58" s="2905"/>
      <c r="R58" s="2905"/>
      <c r="S58" s="127"/>
      <c r="T58" s="2906"/>
      <c r="U58" s="127"/>
      <c r="V58" s="2048"/>
      <c r="W58" s="2048"/>
      <c r="X58" s="2048"/>
      <c r="Y58" s="2048"/>
      <c r="Z58" s="2048"/>
      <c r="AA58" s="2048"/>
      <c r="AB58" s="127"/>
      <c r="AC58" s="127"/>
      <c r="AD58" s="127"/>
      <c r="AE58" s="127"/>
      <c r="AF58" s="127"/>
      <c r="AG58" s="127"/>
      <c r="AH58" s="127"/>
      <c r="AI58" s="127"/>
      <c r="AJ58" s="127"/>
      <c r="AK58" s="127"/>
      <c r="AL58" s="127"/>
      <c r="AM58" s="127"/>
      <c r="AN58" s="127"/>
      <c r="AO58" s="127"/>
      <c r="AP58" s="127"/>
      <c r="AQ58" s="127"/>
      <c r="AR58" s="127"/>
      <c r="AS58" s="127"/>
      <c r="AT58" s="127"/>
    </row>
    <row r="59" spans="1:46" s="2907" customFormat="1" ht="20.100000000000001" hidden="1" customHeight="1" x14ac:dyDescent="0.25">
      <c r="A59" s="2958" t="s">
        <v>4973</v>
      </c>
      <c r="B59" s="2944">
        <v>14168</v>
      </c>
      <c r="C59" s="2944">
        <v>4444</v>
      </c>
      <c r="D59" s="2944">
        <v>137793</v>
      </c>
      <c r="E59" s="2945">
        <v>156405</v>
      </c>
      <c r="F59" s="2944">
        <v>2046</v>
      </c>
      <c r="G59" s="2946">
        <v>0.2</v>
      </c>
      <c r="H59" s="2947">
        <v>158451.20000000001</v>
      </c>
      <c r="I59" s="2948">
        <v>4529</v>
      </c>
      <c r="J59" s="2949">
        <v>8.2821069687822604</v>
      </c>
      <c r="K59" s="2936"/>
      <c r="L59" s="2905"/>
      <c r="M59" s="2905"/>
      <c r="N59" s="2905"/>
      <c r="O59" s="2905"/>
      <c r="P59" s="2957"/>
      <c r="Q59" s="2905"/>
      <c r="R59" s="2905"/>
      <c r="S59" s="127"/>
      <c r="T59" s="2906"/>
      <c r="U59" s="127"/>
      <c r="V59" s="2048"/>
      <c r="W59" s="2048"/>
      <c r="X59" s="2048"/>
      <c r="Y59" s="2048"/>
      <c r="Z59" s="2048"/>
      <c r="AA59" s="2048"/>
      <c r="AB59" s="127"/>
      <c r="AC59" s="127"/>
      <c r="AD59" s="127"/>
      <c r="AE59" s="127"/>
      <c r="AF59" s="127"/>
      <c r="AG59" s="127"/>
      <c r="AH59" s="127"/>
      <c r="AI59" s="127"/>
      <c r="AJ59" s="127"/>
      <c r="AK59" s="127"/>
      <c r="AL59" s="127"/>
      <c r="AM59" s="127"/>
      <c r="AN59" s="127"/>
      <c r="AO59" s="127"/>
      <c r="AP59" s="127"/>
      <c r="AQ59" s="127"/>
      <c r="AR59" s="127"/>
      <c r="AS59" s="127"/>
      <c r="AT59" s="127"/>
    </row>
    <row r="60" spans="1:46" s="2907" customFormat="1" ht="20.100000000000001" hidden="1" customHeight="1" x14ac:dyDescent="0.25">
      <c r="A60" s="2958" t="s">
        <v>4974</v>
      </c>
      <c r="B60" s="2944">
        <v>13626</v>
      </c>
      <c r="C60" s="2944">
        <v>4475</v>
      </c>
      <c r="D60" s="2944">
        <v>141540</v>
      </c>
      <c r="E60" s="2945">
        <v>159641</v>
      </c>
      <c r="F60" s="2944">
        <v>2050</v>
      </c>
      <c r="G60" s="2946">
        <v>0.1</v>
      </c>
      <c r="H60" s="2947">
        <v>161691.1</v>
      </c>
      <c r="I60" s="2948">
        <v>4565.1000000000004</v>
      </c>
      <c r="J60" s="2949">
        <v>8.4514537352829713</v>
      </c>
      <c r="K60" s="2936"/>
      <c r="L60" s="2905"/>
      <c r="M60" s="2905"/>
      <c r="N60" s="2905"/>
      <c r="O60" s="2905"/>
      <c r="P60" s="2957"/>
      <c r="Q60" s="2905"/>
      <c r="R60" s="2905"/>
      <c r="S60" s="127"/>
      <c r="T60" s="2906"/>
      <c r="U60" s="127"/>
      <c r="V60" s="2048"/>
      <c r="W60" s="2048"/>
      <c r="X60" s="2048"/>
      <c r="Y60" s="2048"/>
      <c r="Z60" s="2048"/>
      <c r="AA60" s="2048"/>
      <c r="AB60" s="127"/>
      <c r="AC60" s="127"/>
      <c r="AD60" s="127"/>
      <c r="AE60" s="127"/>
      <c r="AF60" s="127"/>
      <c r="AG60" s="127"/>
      <c r="AH60" s="127"/>
      <c r="AI60" s="127"/>
      <c r="AJ60" s="127"/>
      <c r="AK60" s="127"/>
      <c r="AL60" s="127"/>
      <c r="AM60" s="127"/>
      <c r="AN60" s="127"/>
      <c r="AO60" s="127"/>
      <c r="AP60" s="127"/>
      <c r="AQ60" s="127"/>
      <c r="AR60" s="127"/>
      <c r="AS60" s="127"/>
      <c r="AT60" s="127"/>
    </row>
    <row r="61" spans="1:46" s="2907" customFormat="1" ht="20.100000000000001" hidden="1" customHeight="1" x14ac:dyDescent="0.25">
      <c r="A61" s="2958" t="s">
        <v>4975</v>
      </c>
      <c r="B61" s="2944">
        <v>17216</v>
      </c>
      <c r="C61" s="2944">
        <v>4460</v>
      </c>
      <c r="D61" s="2944">
        <v>144962</v>
      </c>
      <c r="E61" s="2945">
        <v>166638</v>
      </c>
      <c r="F61" s="2944">
        <v>2041</v>
      </c>
      <c r="G61" s="2946">
        <v>0.1</v>
      </c>
      <c r="H61" s="2947">
        <v>168679.1</v>
      </c>
      <c r="I61" s="2948">
        <v>4745</v>
      </c>
      <c r="J61" s="2949">
        <v>8.8167104420661992</v>
      </c>
      <c r="K61" s="2936"/>
      <c r="L61" s="2905"/>
      <c r="M61" s="2905"/>
      <c r="N61" s="2905"/>
      <c r="O61" s="2905"/>
      <c r="P61" s="2957"/>
      <c r="Q61" s="2905"/>
      <c r="R61" s="2905"/>
      <c r="S61" s="127"/>
      <c r="T61" s="2906"/>
      <c r="U61" s="127"/>
      <c r="V61" s="2048"/>
      <c r="W61" s="2048"/>
      <c r="X61" s="2048"/>
      <c r="Y61" s="2048"/>
      <c r="Z61" s="2048"/>
      <c r="AA61" s="2048"/>
      <c r="AB61" s="127"/>
      <c r="AC61" s="127"/>
      <c r="AD61" s="127"/>
      <c r="AE61" s="127"/>
      <c r="AF61" s="127"/>
      <c r="AG61" s="127"/>
      <c r="AH61" s="127"/>
      <c r="AI61" s="127"/>
      <c r="AJ61" s="127"/>
      <c r="AK61" s="127"/>
      <c r="AL61" s="127"/>
      <c r="AM61" s="127"/>
      <c r="AN61" s="127"/>
      <c r="AO61" s="127"/>
      <c r="AP61" s="127"/>
      <c r="AQ61" s="127"/>
      <c r="AR61" s="127"/>
      <c r="AS61" s="127"/>
      <c r="AT61" s="127"/>
    </row>
    <row r="62" spans="1:46" s="2907" customFormat="1" ht="20.100000000000001" hidden="1" customHeight="1" x14ac:dyDescent="0.25">
      <c r="A62" s="2958" t="s">
        <v>4976</v>
      </c>
      <c r="B62" s="2944">
        <v>17352</v>
      </c>
      <c r="C62" s="2944">
        <v>4429</v>
      </c>
      <c r="D62" s="2944">
        <v>144953</v>
      </c>
      <c r="E62" s="2945">
        <v>166734</v>
      </c>
      <c r="F62" s="2944">
        <v>2018</v>
      </c>
      <c r="G62" s="2946">
        <v>0.1</v>
      </c>
      <c r="H62" s="2947">
        <v>168752.1</v>
      </c>
      <c r="I62" s="2948">
        <v>4770.7</v>
      </c>
      <c r="J62" s="2949">
        <v>8.820526088831393</v>
      </c>
      <c r="K62" s="2936"/>
      <c r="L62" s="2905"/>
      <c r="M62" s="2905"/>
      <c r="N62" s="2905"/>
      <c r="O62" s="2905"/>
      <c r="P62" s="2957"/>
      <c r="Q62" s="2905"/>
      <c r="R62" s="2905"/>
      <c r="S62" s="127"/>
      <c r="T62" s="2906"/>
      <c r="U62" s="127"/>
      <c r="V62" s="2048"/>
      <c r="W62" s="2048"/>
      <c r="X62" s="2048"/>
      <c r="Y62" s="2048"/>
      <c r="Z62" s="2048"/>
      <c r="AA62" s="2048"/>
      <c r="AB62" s="127"/>
      <c r="AC62" s="127"/>
      <c r="AD62" s="127"/>
      <c r="AE62" s="127"/>
      <c r="AF62" s="127"/>
      <c r="AG62" s="127"/>
      <c r="AH62" s="127"/>
      <c r="AI62" s="127"/>
      <c r="AJ62" s="127"/>
      <c r="AK62" s="127"/>
      <c r="AL62" s="127"/>
      <c r="AM62" s="127"/>
      <c r="AN62" s="127"/>
      <c r="AO62" s="127"/>
      <c r="AP62" s="127"/>
      <c r="AQ62" s="127"/>
      <c r="AR62" s="127"/>
      <c r="AS62" s="127"/>
      <c r="AT62" s="127"/>
    </row>
    <row r="63" spans="1:46" s="2907" customFormat="1" ht="20.100000000000001" hidden="1" customHeight="1" x14ac:dyDescent="0.25">
      <c r="A63" s="2958" t="s">
        <v>4977</v>
      </c>
      <c r="B63" s="2944">
        <v>17030</v>
      </c>
      <c r="C63" s="2944">
        <v>4423</v>
      </c>
      <c r="D63" s="2944">
        <v>144771</v>
      </c>
      <c r="E63" s="2945">
        <v>166224</v>
      </c>
      <c r="F63" s="2944">
        <v>2012</v>
      </c>
      <c r="G63" s="2946">
        <v>0.1</v>
      </c>
      <c r="H63" s="2947">
        <v>168236.1</v>
      </c>
      <c r="I63" s="2948">
        <v>4772.6000000000004</v>
      </c>
      <c r="J63" s="2949">
        <v>8.7935552158061867</v>
      </c>
      <c r="K63" s="2936"/>
      <c r="L63" s="2905"/>
      <c r="M63" s="2905"/>
      <c r="N63" s="2905"/>
      <c r="O63" s="2905"/>
      <c r="P63" s="2957"/>
      <c r="Q63" s="2905"/>
      <c r="R63" s="2905"/>
      <c r="S63" s="127"/>
      <c r="T63" s="2906"/>
      <c r="U63" s="127"/>
      <c r="V63" s="2048"/>
      <c r="W63" s="2048"/>
      <c r="X63" s="2048"/>
      <c r="Y63" s="2048"/>
      <c r="Z63" s="2048"/>
      <c r="AA63" s="2048"/>
      <c r="AB63" s="127"/>
      <c r="AC63" s="127"/>
      <c r="AD63" s="127"/>
      <c r="AE63" s="127"/>
      <c r="AF63" s="127"/>
      <c r="AG63" s="127"/>
      <c r="AH63" s="127"/>
      <c r="AI63" s="127"/>
      <c r="AJ63" s="127"/>
      <c r="AK63" s="127"/>
      <c r="AL63" s="127"/>
      <c r="AM63" s="127"/>
      <c r="AN63" s="127"/>
      <c r="AO63" s="127"/>
      <c r="AP63" s="127"/>
      <c r="AQ63" s="127"/>
      <c r="AR63" s="127"/>
      <c r="AS63" s="127"/>
      <c r="AT63" s="127"/>
    </row>
    <row r="64" spans="1:46" s="2907" customFormat="1" ht="20.100000000000001" hidden="1" customHeight="1" x14ac:dyDescent="0.25">
      <c r="A64" s="2958" t="s">
        <v>4978</v>
      </c>
      <c r="B64" s="2944">
        <v>17263</v>
      </c>
      <c r="C64" s="2944">
        <v>4449</v>
      </c>
      <c r="D64" s="2944">
        <v>147828</v>
      </c>
      <c r="E64" s="2945">
        <v>169540</v>
      </c>
      <c r="F64" s="2944">
        <v>2023</v>
      </c>
      <c r="G64" s="2946">
        <v>0.1</v>
      </c>
      <c r="H64" s="2947">
        <v>171563.1</v>
      </c>
      <c r="I64" s="2948">
        <v>4845.1000000000004</v>
      </c>
      <c r="J64" s="2949">
        <v>8.9674546238582469</v>
      </c>
      <c r="K64" s="2936"/>
      <c r="L64" s="2905"/>
      <c r="M64" s="2905"/>
      <c r="N64" s="2905"/>
      <c r="O64" s="2905"/>
      <c r="P64" s="2957"/>
      <c r="Q64" s="2905"/>
      <c r="R64" s="2905"/>
      <c r="S64" s="127"/>
      <c r="T64" s="2906"/>
      <c r="U64" s="127"/>
      <c r="V64" s="2048"/>
      <c r="W64" s="2048"/>
      <c r="X64" s="2048"/>
      <c r="Y64" s="2048"/>
      <c r="Z64" s="2048"/>
      <c r="AA64" s="2048"/>
      <c r="AB64" s="127"/>
      <c r="AC64" s="127"/>
      <c r="AD64" s="127"/>
      <c r="AE64" s="127"/>
      <c r="AF64" s="127"/>
      <c r="AG64" s="127"/>
      <c r="AH64" s="127"/>
      <c r="AI64" s="127"/>
      <c r="AJ64" s="127"/>
      <c r="AK64" s="127"/>
      <c r="AL64" s="127"/>
      <c r="AM64" s="127"/>
      <c r="AN64" s="127"/>
      <c r="AO64" s="127"/>
      <c r="AP64" s="127"/>
      <c r="AQ64" s="127"/>
      <c r="AR64" s="127"/>
      <c r="AS64" s="127"/>
      <c r="AT64" s="127"/>
    </row>
    <row r="65" spans="1:46" s="2907" customFormat="1" ht="20.100000000000001" hidden="1" customHeight="1" x14ac:dyDescent="0.25">
      <c r="A65" s="2958" t="s">
        <v>4979</v>
      </c>
      <c r="B65" s="2944">
        <v>18280</v>
      </c>
      <c r="C65" s="2944">
        <v>4425</v>
      </c>
      <c r="D65" s="2944">
        <v>148355</v>
      </c>
      <c r="E65" s="2945">
        <v>171060</v>
      </c>
      <c r="F65" s="2944">
        <v>1489</v>
      </c>
      <c r="G65" s="2946">
        <v>0.2</v>
      </c>
      <c r="H65" s="2947">
        <v>172549.2</v>
      </c>
      <c r="I65" s="2948">
        <v>4807.4021241265564</v>
      </c>
      <c r="J65" s="2949">
        <v>9.0189971762603012</v>
      </c>
      <c r="K65" s="2936"/>
      <c r="L65" s="2905"/>
      <c r="M65" s="2905"/>
      <c r="N65" s="2905"/>
      <c r="O65" s="2905"/>
      <c r="P65" s="2957"/>
      <c r="Q65" s="2905"/>
      <c r="R65" s="2905"/>
      <c r="S65" s="127"/>
      <c r="T65" s="2906"/>
      <c r="U65" s="127"/>
      <c r="V65" s="2048"/>
      <c r="W65" s="2048"/>
      <c r="X65" s="2048"/>
      <c r="Y65" s="2048"/>
      <c r="Z65" s="2048"/>
      <c r="AA65" s="2048"/>
      <c r="AB65" s="127"/>
      <c r="AC65" s="127"/>
      <c r="AD65" s="127"/>
      <c r="AE65" s="127"/>
      <c r="AF65" s="127"/>
      <c r="AG65" s="127"/>
      <c r="AH65" s="127"/>
      <c r="AI65" s="127"/>
      <c r="AJ65" s="127"/>
      <c r="AK65" s="127"/>
      <c r="AL65" s="127"/>
      <c r="AM65" s="127"/>
      <c r="AN65" s="127"/>
      <c r="AO65" s="127"/>
      <c r="AP65" s="127"/>
      <c r="AQ65" s="127"/>
      <c r="AR65" s="127"/>
      <c r="AS65" s="127"/>
      <c r="AT65" s="127"/>
    </row>
    <row r="66" spans="1:46" s="2907" customFormat="1" ht="20.100000000000001" hidden="1" customHeight="1" x14ac:dyDescent="0.25">
      <c r="A66" s="2958" t="s">
        <v>4980</v>
      </c>
      <c r="B66" s="2944">
        <v>17104</v>
      </c>
      <c r="C66" s="2944">
        <v>4374</v>
      </c>
      <c r="D66" s="2944">
        <v>152085</v>
      </c>
      <c r="E66" s="2945">
        <v>173563</v>
      </c>
      <c r="F66" s="2944">
        <v>1471</v>
      </c>
      <c r="G66" s="2946">
        <v>0.1</v>
      </c>
      <c r="H66" s="2947">
        <v>175034.1</v>
      </c>
      <c r="I66" s="2948">
        <v>4862.6121308260108</v>
      </c>
      <c r="J66" s="2949">
        <v>9.1488807871731552</v>
      </c>
      <c r="K66" s="2936"/>
      <c r="L66" s="2905"/>
      <c r="M66" s="2905"/>
      <c r="N66" s="2905"/>
      <c r="O66" s="2905"/>
      <c r="P66" s="2957"/>
      <c r="Q66" s="2905"/>
      <c r="R66" s="2905"/>
      <c r="S66" s="127"/>
      <c r="T66" s="2906"/>
      <c r="U66" s="127"/>
      <c r="V66" s="2048"/>
      <c r="W66" s="2048"/>
      <c r="X66" s="2048"/>
      <c r="Y66" s="2048"/>
      <c r="Z66" s="2048"/>
      <c r="AA66" s="2048"/>
      <c r="AB66" s="127"/>
      <c r="AC66" s="127"/>
      <c r="AD66" s="127"/>
      <c r="AE66" s="127"/>
      <c r="AF66" s="127"/>
      <c r="AG66" s="127"/>
      <c r="AH66" s="127"/>
      <c r="AI66" s="127"/>
      <c r="AJ66" s="127"/>
      <c r="AK66" s="127"/>
      <c r="AL66" s="127"/>
      <c r="AM66" s="127"/>
      <c r="AN66" s="127"/>
      <c r="AO66" s="127"/>
      <c r="AP66" s="127"/>
      <c r="AQ66" s="127"/>
      <c r="AR66" s="127"/>
      <c r="AS66" s="127"/>
      <c r="AT66" s="127"/>
    </row>
    <row r="67" spans="1:46" s="2907" customFormat="1" ht="20.100000000000001" hidden="1" customHeight="1" thickBot="1" x14ac:dyDescent="0.3">
      <c r="A67" s="2959" t="s">
        <v>4981</v>
      </c>
      <c r="B67" s="2960">
        <v>16675</v>
      </c>
      <c r="C67" s="2960">
        <v>4338</v>
      </c>
      <c r="D67" s="2960">
        <v>156390</v>
      </c>
      <c r="E67" s="2961">
        <v>177403</v>
      </c>
      <c r="F67" s="2960">
        <v>1455</v>
      </c>
      <c r="G67" s="2962">
        <v>0.1</v>
      </c>
      <c r="H67" s="2963">
        <v>178858.1</v>
      </c>
      <c r="I67" s="2964">
        <v>4966.8999999999996</v>
      </c>
      <c r="J67" s="2965">
        <v>9.3487579547087947</v>
      </c>
      <c r="K67" s="2936"/>
      <c r="L67" s="2905"/>
      <c r="M67" s="2905"/>
      <c r="N67" s="2905"/>
      <c r="O67" s="2905"/>
      <c r="P67" s="2957"/>
      <c r="Q67" s="2905"/>
      <c r="R67" s="2905"/>
      <c r="S67" s="127"/>
      <c r="T67" s="2906"/>
      <c r="U67" s="127"/>
      <c r="V67" s="2048"/>
      <c r="W67" s="2048"/>
      <c r="X67" s="2048"/>
      <c r="Y67" s="2048"/>
      <c r="Z67" s="2048"/>
      <c r="AA67" s="2048"/>
      <c r="AB67" s="127"/>
      <c r="AC67" s="127"/>
      <c r="AD67" s="127"/>
      <c r="AE67" s="127"/>
      <c r="AF67" s="127"/>
      <c r="AG67" s="127"/>
      <c r="AH67" s="127"/>
      <c r="AI67" s="127"/>
      <c r="AJ67" s="127"/>
      <c r="AK67" s="127"/>
      <c r="AL67" s="127"/>
      <c r="AM67" s="127"/>
      <c r="AN67" s="127"/>
      <c r="AO67" s="127"/>
      <c r="AP67" s="127"/>
      <c r="AQ67" s="127"/>
      <c r="AR67" s="127"/>
      <c r="AS67" s="127"/>
      <c r="AT67" s="127"/>
    </row>
    <row r="68" spans="1:46" s="2907" customFormat="1" ht="20.100000000000001" hidden="1" customHeight="1" x14ac:dyDescent="0.25">
      <c r="A68" s="2958" t="s">
        <v>4982</v>
      </c>
      <c r="B68" s="2944">
        <v>17082</v>
      </c>
      <c r="C68" s="2944">
        <v>4338</v>
      </c>
      <c r="D68" s="2944">
        <v>152678</v>
      </c>
      <c r="E68" s="2945">
        <v>174098</v>
      </c>
      <c r="F68" s="2944">
        <v>1455</v>
      </c>
      <c r="G68" s="2946">
        <v>0.1</v>
      </c>
      <c r="H68" s="2947">
        <v>175553.1</v>
      </c>
      <c r="I68" s="2948">
        <v>4925.5</v>
      </c>
      <c r="J68" s="2966">
        <v>8.5339398996977973</v>
      </c>
      <c r="K68" s="2936"/>
      <c r="L68" s="2905"/>
      <c r="M68" s="2905"/>
      <c r="N68" s="2905"/>
      <c r="O68" s="2905"/>
      <c r="P68" s="2957"/>
      <c r="Q68" s="2905"/>
      <c r="R68" s="2905"/>
      <c r="S68" s="127"/>
      <c r="T68" s="2906"/>
      <c r="U68" s="127"/>
      <c r="V68" s="2048"/>
      <c r="W68" s="2048"/>
      <c r="X68" s="2048"/>
      <c r="Y68" s="2048"/>
      <c r="Z68" s="2048"/>
      <c r="AA68" s="2048"/>
      <c r="AB68" s="127"/>
      <c r="AC68" s="127"/>
      <c r="AD68" s="127"/>
      <c r="AE68" s="127"/>
      <c r="AF68" s="127"/>
      <c r="AG68" s="127"/>
      <c r="AH68" s="127"/>
      <c r="AI68" s="127"/>
      <c r="AJ68" s="127"/>
      <c r="AK68" s="127"/>
      <c r="AL68" s="127"/>
      <c r="AM68" s="127"/>
      <c r="AN68" s="127"/>
      <c r="AO68" s="127"/>
      <c r="AP68" s="127"/>
      <c r="AQ68" s="127"/>
      <c r="AR68" s="127"/>
      <c r="AS68" s="127"/>
      <c r="AT68" s="127"/>
    </row>
    <row r="69" spans="1:46" s="2907" customFormat="1" ht="20.100000000000001" hidden="1" customHeight="1" x14ac:dyDescent="0.25">
      <c r="A69" s="2958" t="s">
        <v>4983</v>
      </c>
      <c r="B69" s="2944">
        <v>17793</v>
      </c>
      <c r="C69" s="2944">
        <v>4326</v>
      </c>
      <c r="D69" s="2944">
        <v>152521</v>
      </c>
      <c r="E69" s="2945">
        <v>174640</v>
      </c>
      <c r="F69" s="2944">
        <v>1206</v>
      </c>
      <c r="G69" s="2946">
        <v>0.2</v>
      </c>
      <c r="H69" s="2947">
        <v>175846.2</v>
      </c>
      <c r="I69" s="2948">
        <v>4943.7</v>
      </c>
      <c r="J69" s="2966">
        <v>8.5481879977638613</v>
      </c>
      <c r="K69" s="2936"/>
      <c r="L69" s="2905"/>
      <c r="M69" s="2905"/>
      <c r="N69" s="2905"/>
      <c r="O69" s="2905"/>
      <c r="P69" s="2957"/>
      <c r="Q69" s="2905"/>
      <c r="R69" s="2905"/>
      <c r="S69" s="127"/>
      <c r="T69" s="2906"/>
      <c r="U69" s="127"/>
      <c r="V69" s="2048"/>
      <c r="W69" s="2048"/>
      <c r="X69" s="2048"/>
      <c r="Y69" s="2048"/>
      <c r="Z69" s="2048"/>
      <c r="AA69" s="2048"/>
      <c r="AB69" s="127"/>
      <c r="AC69" s="127"/>
      <c r="AD69" s="127"/>
      <c r="AE69" s="127"/>
      <c r="AF69" s="127"/>
      <c r="AG69" s="127"/>
      <c r="AH69" s="127"/>
      <c r="AI69" s="127"/>
      <c r="AJ69" s="127"/>
      <c r="AK69" s="127"/>
      <c r="AL69" s="127"/>
      <c r="AM69" s="127"/>
      <c r="AN69" s="127"/>
      <c r="AO69" s="127"/>
      <c r="AP69" s="127"/>
      <c r="AQ69" s="127"/>
      <c r="AR69" s="127"/>
      <c r="AS69" s="127"/>
      <c r="AT69" s="127"/>
    </row>
    <row r="70" spans="1:46" s="2907" customFormat="1" ht="20.100000000000001" hidden="1" customHeight="1" x14ac:dyDescent="0.25">
      <c r="A70" s="2958" t="s">
        <v>4984</v>
      </c>
      <c r="B70" s="2944">
        <v>17530</v>
      </c>
      <c r="C70" s="2944">
        <v>4315</v>
      </c>
      <c r="D70" s="2944">
        <v>153525</v>
      </c>
      <c r="E70" s="2945">
        <v>175370</v>
      </c>
      <c r="F70" s="2944">
        <v>1200</v>
      </c>
      <c r="G70" s="2946">
        <v>0.1</v>
      </c>
      <c r="H70" s="2947">
        <v>176570.1</v>
      </c>
      <c r="I70" s="2948">
        <v>5001.8999999999996</v>
      </c>
      <c r="J70" s="2966">
        <v>8.5833777922365133</v>
      </c>
      <c r="K70" s="2936"/>
      <c r="L70" s="2905"/>
      <c r="M70" s="2905"/>
      <c r="N70" s="2905"/>
      <c r="O70" s="2905"/>
      <c r="P70" s="2957"/>
      <c r="Q70" s="2905"/>
      <c r="R70" s="2905"/>
      <c r="S70" s="127"/>
      <c r="T70" s="2906"/>
      <c r="U70" s="127"/>
      <c r="V70" s="2048"/>
      <c r="W70" s="2048"/>
      <c r="X70" s="2048"/>
      <c r="Y70" s="2048"/>
      <c r="Z70" s="2048"/>
      <c r="AA70" s="2048"/>
      <c r="AB70" s="127"/>
      <c r="AC70" s="127"/>
      <c r="AD70" s="127"/>
      <c r="AE70" s="127"/>
      <c r="AF70" s="127"/>
      <c r="AG70" s="127"/>
      <c r="AH70" s="127"/>
      <c r="AI70" s="127"/>
      <c r="AJ70" s="127"/>
      <c r="AK70" s="127"/>
      <c r="AL70" s="127"/>
      <c r="AM70" s="127"/>
      <c r="AN70" s="127"/>
      <c r="AO70" s="127"/>
      <c r="AP70" s="127"/>
      <c r="AQ70" s="127"/>
      <c r="AR70" s="127"/>
      <c r="AS70" s="127"/>
      <c r="AT70" s="127"/>
    </row>
    <row r="71" spans="1:46" s="2907" customFormat="1" ht="20.100000000000001" hidden="1" customHeight="1" x14ac:dyDescent="0.25">
      <c r="A71" s="2958" t="s">
        <v>4985</v>
      </c>
      <c r="B71" s="2944">
        <v>17706</v>
      </c>
      <c r="C71" s="2944">
        <v>4307</v>
      </c>
      <c r="D71" s="2944">
        <v>156854</v>
      </c>
      <c r="E71" s="2945">
        <v>178867</v>
      </c>
      <c r="F71" s="2944">
        <v>1207</v>
      </c>
      <c r="G71" s="2967">
        <v>0.03</v>
      </c>
      <c r="H71" s="2947">
        <v>180074</v>
      </c>
      <c r="I71" s="2948">
        <v>5144.8999999999996</v>
      </c>
      <c r="J71" s="2966">
        <v>8.7537101282539478</v>
      </c>
      <c r="K71" s="2936"/>
      <c r="L71" s="2905"/>
      <c r="M71" s="2905"/>
      <c r="N71" s="2905"/>
      <c r="O71" s="2905"/>
      <c r="P71" s="2957"/>
      <c r="Q71" s="2905"/>
      <c r="R71" s="2905"/>
      <c r="S71" s="127"/>
      <c r="T71" s="2906"/>
      <c r="U71" s="127"/>
      <c r="V71" s="2048"/>
      <c r="W71" s="2048"/>
      <c r="X71" s="2048"/>
      <c r="Y71" s="2048"/>
      <c r="Z71" s="2048"/>
      <c r="AA71" s="2048"/>
      <c r="AB71" s="127"/>
      <c r="AC71" s="127"/>
      <c r="AD71" s="127"/>
      <c r="AE71" s="127"/>
      <c r="AF71" s="127"/>
      <c r="AG71" s="127"/>
      <c r="AH71" s="127"/>
      <c r="AI71" s="127"/>
      <c r="AJ71" s="127"/>
      <c r="AK71" s="127"/>
      <c r="AL71" s="127"/>
      <c r="AM71" s="127"/>
      <c r="AN71" s="127"/>
      <c r="AO71" s="127"/>
      <c r="AP71" s="127"/>
      <c r="AQ71" s="127"/>
      <c r="AR71" s="127"/>
      <c r="AS71" s="127"/>
      <c r="AT71" s="127"/>
    </row>
    <row r="72" spans="1:46" s="2907" customFormat="1" ht="20.100000000000001" hidden="1" customHeight="1" x14ac:dyDescent="0.25">
      <c r="A72" s="2958" t="s">
        <v>4986</v>
      </c>
      <c r="B72" s="2944">
        <v>17567</v>
      </c>
      <c r="C72" s="2944">
        <v>4316</v>
      </c>
      <c r="D72" s="2944">
        <v>156291</v>
      </c>
      <c r="E72" s="2945">
        <v>178174</v>
      </c>
      <c r="F72" s="2944">
        <v>1211</v>
      </c>
      <c r="G72" s="2946">
        <v>0.1</v>
      </c>
      <c r="H72" s="2947">
        <v>179385.1</v>
      </c>
      <c r="I72" s="2948">
        <v>5158</v>
      </c>
      <c r="J72" s="2966">
        <v>8.720220049097847</v>
      </c>
      <c r="K72" s="2936"/>
      <c r="L72" s="2905"/>
      <c r="M72" s="2905"/>
      <c r="N72" s="2905"/>
      <c r="O72" s="2905"/>
      <c r="P72" s="2038"/>
      <c r="Q72" s="2905"/>
      <c r="R72" s="2905"/>
      <c r="S72" s="127"/>
      <c r="T72" s="2906"/>
      <c r="U72" s="127"/>
      <c r="V72" s="2048"/>
      <c r="W72" s="2048"/>
      <c r="X72" s="2048"/>
      <c r="Y72" s="2048"/>
      <c r="Z72" s="2048"/>
      <c r="AA72" s="2048"/>
      <c r="AB72" s="127"/>
      <c r="AC72" s="127"/>
      <c r="AD72" s="127"/>
      <c r="AE72" s="127"/>
      <c r="AF72" s="127"/>
      <c r="AG72" s="127"/>
      <c r="AH72" s="127"/>
      <c r="AI72" s="127"/>
      <c r="AJ72" s="127"/>
      <c r="AK72" s="127"/>
      <c r="AL72" s="127"/>
      <c r="AM72" s="127"/>
      <c r="AN72" s="127"/>
      <c r="AO72" s="127"/>
      <c r="AP72" s="127"/>
      <c r="AQ72" s="127"/>
      <c r="AR72" s="127"/>
      <c r="AS72" s="127"/>
      <c r="AT72" s="127"/>
    </row>
    <row r="73" spans="1:46" s="2907" customFormat="1" ht="20.100000000000001" hidden="1" customHeight="1" x14ac:dyDescent="0.25">
      <c r="A73" s="2958" t="s">
        <v>4987</v>
      </c>
      <c r="B73" s="2944">
        <v>17125</v>
      </c>
      <c r="C73" s="2944">
        <v>4313</v>
      </c>
      <c r="D73" s="2944">
        <v>158695</v>
      </c>
      <c r="E73" s="2945">
        <v>180133</v>
      </c>
      <c r="F73" s="2944">
        <v>1206</v>
      </c>
      <c r="G73" s="2946">
        <v>0.1</v>
      </c>
      <c r="H73" s="2947">
        <v>181339.1</v>
      </c>
      <c r="I73" s="2948">
        <v>5261.4</v>
      </c>
      <c r="J73" s="2966">
        <v>8.8152073695382693</v>
      </c>
      <c r="K73" s="2936"/>
      <c r="L73" s="2905"/>
      <c r="M73" s="2905"/>
      <c r="N73" s="2905"/>
      <c r="O73" s="2905"/>
      <c r="P73" s="2038"/>
      <c r="Q73" s="2905"/>
      <c r="R73" s="2905"/>
      <c r="S73" s="127"/>
      <c r="T73" s="2906"/>
      <c r="U73" s="127"/>
      <c r="V73" s="2048"/>
      <c r="W73" s="2048"/>
      <c r="X73" s="2048"/>
      <c r="Y73" s="2048"/>
      <c r="Z73" s="2048"/>
      <c r="AA73" s="2048"/>
      <c r="AB73" s="127"/>
      <c r="AC73" s="127"/>
      <c r="AD73" s="127"/>
      <c r="AE73" s="127"/>
      <c r="AF73" s="127"/>
      <c r="AG73" s="127"/>
      <c r="AH73" s="127"/>
      <c r="AI73" s="127"/>
      <c r="AJ73" s="127"/>
      <c r="AK73" s="127"/>
      <c r="AL73" s="127"/>
      <c r="AM73" s="127"/>
      <c r="AN73" s="127"/>
      <c r="AO73" s="127"/>
      <c r="AP73" s="127"/>
      <c r="AQ73" s="127"/>
      <c r="AR73" s="127"/>
      <c r="AS73" s="127"/>
      <c r="AT73" s="127"/>
    </row>
    <row r="74" spans="1:46" s="2907" customFormat="1" ht="20.100000000000001" hidden="1" customHeight="1" x14ac:dyDescent="0.25">
      <c r="A74" s="2958" t="s">
        <v>4988</v>
      </c>
      <c r="B74" s="2944">
        <v>16926</v>
      </c>
      <c r="C74" s="2944">
        <v>4226</v>
      </c>
      <c r="D74" s="2944">
        <v>154708</v>
      </c>
      <c r="E74" s="2945">
        <v>175860</v>
      </c>
      <c r="F74" s="2944">
        <v>1184</v>
      </c>
      <c r="G74" s="2967">
        <v>0.01</v>
      </c>
      <c r="H74" s="2947">
        <v>177044</v>
      </c>
      <c r="I74" s="2948">
        <v>5293</v>
      </c>
      <c r="J74" s="2966">
        <v>8.6064157354968582</v>
      </c>
      <c r="K74" s="2936"/>
      <c r="L74" s="2905"/>
      <c r="M74" s="2905"/>
      <c r="N74" s="2905"/>
      <c r="O74" s="2905"/>
      <c r="P74" s="2038"/>
      <c r="Q74" s="2905"/>
      <c r="R74" s="2905"/>
      <c r="S74" s="127"/>
      <c r="T74" s="2906"/>
      <c r="U74" s="127"/>
      <c r="V74" s="2048"/>
      <c r="W74" s="2048"/>
      <c r="X74" s="2048"/>
      <c r="Y74" s="2048"/>
      <c r="Z74" s="2048"/>
      <c r="AA74" s="2048"/>
      <c r="AB74" s="127"/>
      <c r="AC74" s="127"/>
      <c r="AD74" s="127"/>
      <c r="AE74" s="127"/>
      <c r="AF74" s="127"/>
      <c r="AG74" s="127"/>
      <c r="AH74" s="127"/>
      <c r="AI74" s="127"/>
      <c r="AJ74" s="127"/>
      <c r="AK74" s="127"/>
      <c r="AL74" s="127"/>
      <c r="AM74" s="127"/>
      <c r="AN74" s="127"/>
      <c r="AO74" s="127"/>
      <c r="AP74" s="127"/>
      <c r="AQ74" s="127"/>
      <c r="AR74" s="127"/>
      <c r="AS74" s="127"/>
      <c r="AT74" s="127"/>
    </row>
    <row r="75" spans="1:46" s="2907" customFormat="1" ht="20.100000000000001" hidden="1" customHeight="1" x14ac:dyDescent="0.25">
      <c r="A75" s="2958" t="s">
        <v>4989</v>
      </c>
      <c r="B75" s="2944">
        <v>17070</v>
      </c>
      <c r="C75" s="2944">
        <v>4165</v>
      </c>
      <c r="D75" s="2944">
        <v>153909</v>
      </c>
      <c r="E75" s="2945">
        <v>175144</v>
      </c>
      <c r="F75" s="2944">
        <v>1161</v>
      </c>
      <c r="G75" s="2967">
        <v>0.03</v>
      </c>
      <c r="H75" s="2947">
        <v>176305</v>
      </c>
      <c r="I75" s="2948">
        <v>5397.7</v>
      </c>
      <c r="J75" s="2966">
        <v>8.5704925178445563</v>
      </c>
      <c r="K75" s="2936"/>
      <c r="L75" s="2905"/>
      <c r="M75" s="2905"/>
      <c r="N75" s="2905"/>
      <c r="O75" s="2905"/>
      <c r="P75" s="2038"/>
      <c r="Q75" s="2905"/>
      <c r="R75" s="2905"/>
      <c r="S75" s="127"/>
      <c r="T75" s="2906"/>
      <c r="U75" s="127"/>
      <c r="V75" s="2048"/>
      <c r="W75" s="2048"/>
      <c r="X75" s="2048"/>
      <c r="Y75" s="2048"/>
      <c r="Z75" s="2048"/>
      <c r="AA75" s="2048"/>
      <c r="AB75" s="127"/>
      <c r="AC75" s="127"/>
      <c r="AD75" s="127"/>
      <c r="AE75" s="127"/>
      <c r="AF75" s="127"/>
      <c r="AG75" s="127"/>
      <c r="AH75" s="127"/>
      <c r="AI75" s="127"/>
      <c r="AJ75" s="127"/>
      <c r="AK75" s="127"/>
      <c r="AL75" s="127"/>
      <c r="AM75" s="127"/>
      <c r="AN75" s="127"/>
      <c r="AO75" s="127"/>
      <c r="AP75" s="127"/>
      <c r="AQ75" s="127"/>
      <c r="AR75" s="127"/>
      <c r="AS75" s="127"/>
      <c r="AT75" s="127"/>
    </row>
    <row r="76" spans="1:46" s="2907" customFormat="1" ht="20.100000000000001" hidden="1" customHeight="1" x14ac:dyDescent="0.25">
      <c r="A76" s="2958" t="s">
        <v>4990</v>
      </c>
      <c r="B76" s="2944">
        <v>17422</v>
      </c>
      <c r="C76" s="2944">
        <v>4294</v>
      </c>
      <c r="D76" s="2944">
        <v>162630</v>
      </c>
      <c r="E76" s="2945">
        <v>184346</v>
      </c>
      <c r="F76" s="2944">
        <v>1206</v>
      </c>
      <c r="G76" s="2968">
        <v>0.1</v>
      </c>
      <c r="H76" s="2947">
        <v>185552.1</v>
      </c>
      <c r="I76" s="2948">
        <v>5485.7</v>
      </c>
      <c r="J76" s="2966">
        <v>9.0200061574858008</v>
      </c>
      <c r="K76" s="2936"/>
      <c r="L76" s="2905"/>
      <c r="M76" s="2905"/>
      <c r="N76" s="2905"/>
      <c r="O76" s="2905"/>
      <c r="P76" s="2038"/>
      <c r="Q76" s="2905"/>
      <c r="R76" s="2905"/>
      <c r="S76" s="127"/>
      <c r="T76" s="2906"/>
      <c r="U76" s="127"/>
      <c r="V76" s="2048"/>
      <c r="W76" s="2048"/>
      <c r="X76" s="2048"/>
      <c r="Y76" s="2048"/>
      <c r="Z76" s="2048"/>
      <c r="AA76" s="2048"/>
      <c r="AB76" s="127"/>
      <c r="AC76" s="127"/>
      <c r="AD76" s="127"/>
      <c r="AE76" s="127"/>
      <c r="AF76" s="127"/>
      <c r="AG76" s="127"/>
      <c r="AH76" s="127"/>
      <c r="AI76" s="127"/>
      <c r="AJ76" s="127"/>
      <c r="AK76" s="127"/>
      <c r="AL76" s="127"/>
      <c r="AM76" s="127"/>
      <c r="AN76" s="127"/>
      <c r="AO76" s="127"/>
      <c r="AP76" s="127"/>
      <c r="AQ76" s="127"/>
      <c r="AR76" s="127"/>
      <c r="AS76" s="127"/>
      <c r="AT76" s="127"/>
    </row>
    <row r="77" spans="1:46" s="2907" customFormat="1" ht="20.100000000000001" hidden="1" customHeight="1" x14ac:dyDescent="0.25">
      <c r="A77" s="2958" t="s">
        <v>4991</v>
      </c>
      <c r="B77" s="2944">
        <v>17507</v>
      </c>
      <c r="C77" s="2944">
        <v>4327</v>
      </c>
      <c r="D77" s="2944">
        <v>165866</v>
      </c>
      <c r="E77" s="2945">
        <v>187700</v>
      </c>
      <c r="F77" s="2944">
        <v>1212</v>
      </c>
      <c r="G77" s="2968">
        <v>0.2</v>
      </c>
      <c r="H77" s="2947">
        <v>188912.2</v>
      </c>
      <c r="I77" s="2948">
        <v>5509.4</v>
      </c>
      <c r="J77" s="2966">
        <v>9.1833464314939199</v>
      </c>
      <c r="K77" s="2936"/>
      <c r="L77" s="2905"/>
      <c r="M77" s="2905"/>
      <c r="N77" s="2905"/>
      <c r="O77" s="2905"/>
      <c r="P77" s="2038"/>
      <c r="Q77" s="2905"/>
      <c r="R77" s="2905"/>
      <c r="S77" s="127"/>
      <c r="T77" s="2906"/>
      <c r="U77" s="127"/>
      <c r="V77" s="2048"/>
      <c r="W77" s="2048"/>
      <c r="X77" s="2048"/>
      <c r="Y77" s="2048"/>
      <c r="Z77" s="2048"/>
      <c r="AA77" s="2048"/>
      <c r="AB77" s="127"/>
      <c r="AC77" s="127"/>
      <c r="AD77" s="127"/>
      <c r="AE77" s="127"/>
      <c r="AF77" s="127"/>
      <c r="AG77" s="127"/>
      <c r="AH77" s="127"/>
      <c r="AI77" s="127"/>
      <c r="AJ77" s="127"/>
      <c r="AK77" s="127"/>
      <c r="AL77" s="127"/>
      <c r="AM77" s="127"/>
      <c r="AN77" s="127"/>
      <c r="AO77" s="127"/>
      <c r="AP77" s="127"/>
      <c r="AQ77" s="127"/>
      <c r="AR77" s="127"/>
      <c r="AS77" s="127"/>
      <c r="AT77" s="127"/>
    </row>
    <row r="78" spans="1:46" s="2907" customFormat="1" ht="20.100000000000001" hidden="1" customHeight="1" x14ac:dyDescent="0.25">
      <c r="A78" s="2958" t="s">
        <v>4992</v>
      </c>
      <c r="B78" s="2944">
        <v>17214</v>
      </c>
      <c r="C78" s="2944">
        <v>4280</v>
      </c>
      <c r="D78" s="2944">
        <v>169181</v>
      </c>
      <c r="E78" s="2945">
        <v>190675</v>
      </c>
      <c r="F78" s="2944">
        <v>1201</v>
      </c>
      <c r="G78" s="2968">
        <v>0.1</v>
      </c>
      <c r="H78" s="2947">
        <v>191876.1</v>
      </c>
      <c r="I78" s="2948">
        <v>5711.2</v>
      </c>
      <c r="J78" s="2966">
        <v>9.3274291686583979</v>
      </c>
      <c r="K78" s="2936"/>
      <c r="L78" s="2905"/>
      <c r="M78" s="2905"/>
      <c r="N78" s="2905"/>
      <c r="O78" s="2905"/>
      <c r="P78" s="2038"/>
      <c r="Q78" s="2905"/>
      <c r="R78" s="2905"/>
      <c r="S78" s="127"/>
      <c r="T78" s="2906"/>
      <c r="U78" s="127"/>
      <c r="V78" s="2048"/>
      <c r="W78" s="2048"/>
      <c r="X78" s="2048"/>
      <c r="Y78" s="2048"/>
      <c r="Z78" s="2048"/>
      <c r="AA78" s="2048"/>
      <c r="AB78" s="127"/>
      <c r="AC78" s="127"/>
      <c r="AD78" s="127"/>
      <c r="AE78" s="127"/>
      <c r="AF78" s="127"/>
      <c r="AG78" s="127"/>
      <c r="AH78" s="127"/>
      <c r="AI78" s="127"/>
      <c r="AJ78" s="127"/>
      <c r="AK78" s="127"/>
      <c r="AL78" s="127"/>
      <c r="AM78" s="127"/>
      <c r="AN78" s="127"/>
      <c r="AO78" s="127"/>
      <c r="AP78" s="127"/>
      <c r="AQ78" s="127"/>
      <c r="AR78" s="127"/>
      <c r="AS78" s="127"/>
      <c r="AT78" s="127"/>
    </row>
    <row r="79" spans="1:46" s="2907" customFormat="1" ht="20.100000000000001" hidden="1" customHeight="1" thickBot="1" x14ac:dyDescent="0.3">
      <c r="A79" s="2959" t="s">
        <v>4993</v>
      </c>
      <c r="B79" s="2960">
        <v>17358</v>
      </c>
      <c r="C79" s="2960">
        <v>4278</v>
      </c>
      <c r="D79" s="2960">
        <v>177724</v>
      </c>
      <c r="E79" s="2961">
        <v>199360</v>
      </c>
      <c r="F79" s="2960">
        <v>1008</v>
      </c>
      <c r="G79" s="2962">
        <v>0.2</v>
      </c>
      <c r="H79" s="2963">
        <v>200368.2</v>
      </c>
      <c r="I79" s="2964">
        <v>5984</v>
      </c>
      <c r="J79" s="2969">
        <v>9.7402448410801519</v>
      </c>
      <c r="K79" s="2936"/>
      <c r="L79" s="2905"/>
      <c r="M79" s="2905"/>
      <c r="N79" s="2905"/>
      <c r="O79" s="2905"/>
      <c r="P79" s="2038"/>
      <c r="Q79" s="2905"/>
      <c r="R79" s="2905"/>
      <c r="S79" s="127"/>
      <c r="T79" s="2906"/>
      <c r="U79" s="127"/>
      <c r="V79" s="2048"/>
      <c r="W79" s="2048"/>
      <c r="X79" s="2048"/>
      <c r="Y79" s="2048"/>
      <c r="Z79" s="2048"/>
      <c r="AA79" s="2048"/>
      <c r="AB79" s="127"/>
      <c r="AC79" s="127"/>
      <c r="AD79" s="127"/>
      <c r="AE79" s="127"/>
      <c r="AF79" s="127"/>
      <c r="AG79" s="127"/>
      <c r="AH79" s="127"/>
      <c r="AI79" s="127"/>
      <c r="AJ79" s="127"/>
      <c r="AK79" s="127"/>
      <c r="AL79" s="127"/>
      <c r="AM79" s="127"/>
      <c r="AN79" s="127"/>
      <c r="AO79" s="127"/>
      <c r="AP79" s="127"/>
      <c r="AQ79" s="127"/>
      <c r="AR79" s="127"/>
      <c r="AS79" s="127"/>
      <c r="AT79" s="127"/>
    </row>
    <row r="80" spans="1:46" s="2907" customFormat="1" ht="20.100000000000001" hidden="1" customHeight="1" x14ac:dyDescent="0.25">
      <c r="A80" s="2958" t="s">
        <v>4994</v>
      </c>
      <c r="B80" s="2944">
        <v>17259</v>
      </c>
      <c r="C80" s="2944">
        <v>4222</v>
      </c>
      <c r="D80" s="2944">
        <v>174745</v>
      </c>
      <c r="E80" s="2945">
        <v>196226</v>
      </c>
      <c r="F80" s="2944">
        <v>998</v>
      </c>
      <c r="G80" s="2946">
        <v>0.2</v>
      </c>
      <c r="H80" s="2947">
        <v>197224.2</v>
      </c>
      <c r="I80" s="2948">
        <v>6103.4</v>
      </c>
      <c r="J80" s="2966">
        <v>9.255043231046578</v>
      </c>
      <c r="K80" s="2936"/>
      <c r="L80" s="2905"/>
      <c r="M80" s="2905"/>
      <c r="N80" s="2038"/>
      <c r="O80" s="2905"/>
      <c r="P80" s="2038"/>
      <c r="Q80" s="2905"/>
      <c r="R80" s="2905"/>
      <c r="S80" s="127"/>
      <c r="T80" s="2906"/>
      <c r="U80" s="2906"/>
      <c r="V80" s="2048"/>
      <c r="W80" s="2048"/>
      <c r="X80" s="2048"/>
      <c r="Y80" s="2048"/>
      <c r="Z80" s="2048"/>
      <c r="AA80" s="2048"/>
      <c r="AB80" s="2048"/>
      <c r="AC80" s="127"/>
      <c r="AD80" s="127"/>
      <c r="AE80" s="127"/>
      <c r="AF80" s="127"/>
      <c r="AG80" s="127"/>
      <c r="AH80" s="127"/>
      <c r="AI80" s="127"/>
      <c r="AJ80" s="127"/>
      <c r="AK80" s="127"/>
      <c r="AL80" s="127"/>
      <c r="AM80" s="127"/>
      <c r="AN80" s="127"/>
      <c r="AO80" s="127"/>
      <c r="AP80" s="127"/>
      <c r="AQ80" s="127"/>
      <c r="AR80" s="127"/>
      <c r="AS80" s="127"/>
      <c r="AT80" s="127"/>
    </row>
    <row r="81" spans="1:46" s="2907" customFormat="1" ht="20.100000000000001" hidden="1" customHeight="1" x14ac:dyDescent="0.3">
      <c r="A81" s="2958" t="s">
        <v>4995</v>
      </c>
      <c r="B81" s="2944">
        <v>17304</v>
      </c>
      <c r="C81" s="2944">
        <v>4287</v>
      </c>
      <c r="D81" s="2944">
        <v>180977</v>
      </c>
      <c r="E81" s="2945">
        <v>202568</v>
      </c>
      <c r="F81" s="2944">
        <v>1008</v>
      </c>
      <c r="G81" s="2967">
        <v>0.03</v>
      </c>
      <c r="H81" s="2947">
        <v>203576</v>
      </c>
      <c r="I81" s="2948">
        <v>6198.6</v>
      </c>
      <c r="J81" s="2966">
        <v>9.5531124398265277</v>
      </c>
      <c r="K81" s="2936"/>
      <c r="L81" s="2905"/>
      <c r="M81" s="2905"/>
      <c r="N81" s="2038"/>
      <c r="O81" s="2905"/>
      <c r="P81" s="2038"/>
      <c r="Q81" s="2905"/>
      <c r="R81" s="2905"/>
      <c r="S81" s="1501"/>
      <c r="T81" s="2970"/>
      <c r="U81" s="2906"/>
      <c r="V81" s="2048"/>
      <c r="W81" s="2048"/>
      <c r="X81" s="2048"/>
      <c r="Y81" s="2048"/>
      <c r="Z81" s="2048"/>
      <c r="AA81" s="2048"/>
      <c r="AB81" s="2048"/>
      <c r="AC81" s="127"/>
      <c r="AD81" s="127"/>
      <c r="AE81" s="127"/>
      <c r="AF81" s="127"/>
      <c r="AG81" s="127"/>
      <c r="AH81" s="127"/>
      <c r="AI81" s="127"/>
      <c r="AJ81" s="127"/>
      <c r="AK81" s="127"/>
      <c r="AL81" s="127"/>
      <c r="AM81" s="127"/>
      <c r="AN81" s="127"/>
      <c r="AO81" s="127"/>
      <c r="AP81" s="127"/>
      <c r="AQ81" s="127"/>
      <c r="AR81" s="127"/>
      <c r="AS81" s="127"/>
      <c r="AT81" s="127"/>
    </row>
    <row r="82" spans="1:46" s="2907" customFormat="1" ht="20.100000000000001" hidden="1" customHeight="1" x14ac:dyDescent="0.3">
      <c r="A82" s="2958" t="s">
        <v>4996</v>
      </c>
      <c r="B82" s="2944">
        <v>17609</v>
      </c>
      <c r="C82" s="2944">
        <v>4345</v>
      </c>
      <c r="D82" s="2944">
        <v>184536</v>
      </c>
      <c r="E82" s="2945">
        <v>206490</v>
      </c>
      <c r="F82" s="2944">
        <v>1026</v>
      </c>
      <c r="G82" s="2946">
        <v>0.2</v>
      </c>
      <c r="H82" s="2947">
        <v>207516.2</v>
      </c>
      <c r="I82" s="2948">
        <v>6243.4</v>
      </c>
      <c r="J82" s="2966">
        <v>9.7380108634868758</v>
      </c>
      <c r="K82" s="2936"/>
      <c r="L82" s="2905"/>
      <c r="M82" s="2905"/>
      <c r="N82" s="2038"/>
      <c r="O82" s="2905"/>
      <c r="P82" s="2038"/>
      <c r="Q82" s="2905"/>
      <c r="R82" s="2905"/>
      <c r="S82" s="1501"/>
      <c r="T82" s="2970"/>
      <c r="U82" s="2906"/>
      <c r="V82" s="2048"/>
      <c r="W82" s="2048"/>
      <c r="X82" s="2048"/>
      <c r="Y82" s="2048"/>
      <c r="Z82" s="2048"/>
      <c r="AA82" s="2048"/>
      <c r="AB82" s="2048"/>
      <c r="AC82" s="127"/>
      <c r="AD82" s="127"/>
      <c r="AE82" s="127"/>
      <c r="AF82" s="127"/>
      <c r="AG82" s="127"/>
      <c r="AH82" s="127"/>
      <c r="AI82" s="127"/>
      <c r="AJ82" s="127"/>
      <c r="AK82" s="127"/>
      <c r="AL82" s="127"/>
      <c r="AM82" s="127"/>
      <c r="AN82" s="127"/>
      <c r="AO82" s="127"/>
      <c r="AP82" s="127"/>
      <c r="AQ82" s="127"/>
      <c r="AR82" s="127"/>
      <c r="AS82" s="127"/>
      <c r="AT82" s="127"/>
    </row>
    <row r="83" spans="1:46" s="2907" customFormat="1" ht="20.100000000000001" hidden="1" customHeight="1" x14ac:dyDescent="0.3">
      <c r="A83" s="2958" t="s">
        <v>4997</v>
      </c>
      <c r="B83" s="2944">
        <v>18026</v>
      </c>
      <c r="C83" s="2944">
        <v>4425</v>
      </c>
      <c r="D83" s="2944">
        <v>191062</v>
      </c>
      <c r="E83" s="2945">
        <v>213513</v>
      </c>
      <c r="F83" s="2944">
        <v>1045</v>
      </c>
      <c r="G83" s="2946">
        <v>0.1</v>
      </c>
      <c r="H83" s="2947">
        <v>214558.1</v>
      </c>
      <c r="I83" s="2948">
        <v>6270.3</v>
      </c>
      <c r="J83" s="2966">
        <v>10.068462648453966</v>
      </c>
      <c r="K83" s="2936"/>
      <c r="L83" s="2905"/>
      <c r="M83" s="2905"/>
      <c r="N83" s="2038"/>
      <c r="O83" s="2905"/>
      <c r="P83" s="2038"/>
      <c r="Q83" s="2905"/>
      <c r="R83" s="2905"/>
      <c r="S83" s="1501"/>
      <c r="T83" s="2970"/>
      <c r="U83" s="2906"/>
      <c r="V83" s="2048"/>
      <c r="W83" s="2048"/>
      <c r="X83" s="2048"/>
      <c r="Y83" s="2048"/>
      <c r="Z83" s="2048"/>
      <c r="AA83" s="2048"/>
      <c r="AB83" s="2048"/>
      <c r="AC83" s="127"/>
      <c r="AD83" s="127"/>
      <c r="AE83" s="127"/>
      <c r="AF83" s="127"/>
      <c r="AG83" s="127"/>
      <c r="AH83" s="127"/>
      <c r="AI83" s="127"/>
      <c r="AJ83" s="127"/>
      <c r="AK83" s="127"/>
      <c r="AL83" s="127"/>
      <c r="AM83" s="127"/>
      <c r="AN83" s="127"/>
      <c r="AO83" s="127"/>
      <c r="AP83" s="127"/>
      <c r="AQ83" s="127"/>
      <c r="AR83" s="127"/>
      <c r="AS83" s="127"/>
      <c r="AT83" s="127"/>
    </row>
    <row r="84" spans="1:46" s="2907" customFormat="1" ht="20.100000000000001" hidden="1" customHeight="1" x14ac:dyDescent="0.25">
      <c r="A84" s="2958" t="s">
        <v>4998</v>
      </c>
      <c r="B84" s="2944">
        <v>17979</v>
      </c>
      <c r="C84" s="2944">
        <v>4382</v>
      </c>
      <c r="D84" s="2944">
        <v>198730</v>
      </c>
      <c r="E84" s="2945">
        <v>221091</v>
      </c>
      <c r="F84" s="2944">
        <v>1036</v>
      </c>
      <c r="G84" s="2946">
        <v>0.1</v>
      </c>
      <c r="H84" s="2947">
        <v>222127.1</v>
      </c>
      <c r="I84" s="2948">
        <v>6447.9</v>
      </c>
      <c r="J84" s="2966">
        <v>10.423647050082316</v>
      </c>
      <c r="K84" s="2936"/>
      <c r="L84" s="2905"/>
      <c r="M84" s="2905"/>
      <c r="N84" s="2038"/>
      <c r="O84" s="2905"/>
      <c r="P84" s="2038"/>
      <c r="Q84" s="2905"/>
      <c r="R84" s="2905"/>
      <c r="S84" s="104"/>
      <c r="T84" s="2902"/>
      <c r="U84" s="2906"/>
      <c r="V84" s="2048"/>
      <c r="W84" s="2048"/>
      <c r="X84" s="2048"/>
      <c r="Y84" s="2048"/>
      <c r="Z84" s="2048"/>
      <c r="AA84" s="2048"/>
      <c r="AB84" s="2048"/>
      <c r="AC84" s="127"/>
      <c r="AD84" s="127"/>
      <c r="AE84" s="127"/>
      <c r="AF84" s="127"/>
      <c r="AG84" s="127"/>
      <c r="AH84" s="127"/>
      <c r="AI84" s="127"/>
      <c r="AJ84" s="127"/>
      <c r="AK84" s="127"/>
      <c r="AL84" s="127"/>
      <c r="AM84" s="127"/>
      <c r="AN84" s="127"/>
      <c r="AO84" s="127"/>
      <c r="AP84" s="127"/>
      <c r="AQ84" s="127"/>
      <c r="AR84" s="127"/>
      <c r="AS84" s="127"/>
      <c r="AT84" s="127"/>
    </row>
    <row r="85" spans="1:46" s="2907" customFormat="1" ht="20.100000000000001" hidden="1" customHeight="1" x14ac:dyDescent="0.25">
      <c r="A85" s="2958" t="s">
        <v>925</v>
      </c>
      <c r="B85" s="2944">
        <v>17280</v>
      </c>
      <c r="C85" s="2944">
        <v>4376</v>
      </c>
      <c r="D85" s="2944">
        <v>207808</v>
      </c>
      <c r="E85" s="2945">
        <v>229464</v>
      </c>
      <c r="F85" s="2944">
        <v>1032</v>
      </c>
      <c r="G85" s="2946">
        <v>0.2</v>
      </c>
      <c r="H85" s="2947">
        <v>230496.2</v>
      </c>
      <c r="I85" s="2948">
        <v>6668.5</v>
      </c>
      <c r="J85" s="2966">
        <v>10.816382044353373</v>
      </c>
      <c r="K85" s="2936"/>
      <c r="L85" s="2905"/>
      <c r="M85" s="2905"/>
      <c r="N85" s="2038"/>
      <c r="O85" s="2905"/>
      <c r="P85" s="2038"/>
      <c r="Q85" s="2905"/>
      <c r="R85" s="2905"/>
      <c r="S85" s="104"/>
      <c r="T85" s="2902"/>
      <c r="U85" s="2906"/>
      <c r="V85" s="2048"/>
      <c r="W85" s="2048"/>
      <c r="X85" s="2048"/>
      <c r="Y85" s="2048"/>
      <c r="Z85" s="2048"/>
      <c r="AA85" s="2048"/>
      <c r="AB85" s="2048"/>
      <c r="AC85" s="127"/>
      <c r="AD85" s="127"/>
      <c r="AE85" s="127"/>
      <c r="AF85" s="127"/>
      <c r="AG85" s="127"/>
      <c r="AH85" s="127"/>
      <c r="AI85" s="127"/>
      <c r="AJ85" s="127"/>
      <c r="AK85" s="127"/>
      <c r="AL85" s="127"/>
      <c r="AM85" s="127"/>
      <c r="AN85" s="127"/>
      <c r="AO85" s="127"/>
      <c r="AP85" s="127"/>
      <c r="AQ85" s="127"/>
      <c r="AR85" s="127"/>
      <c r="AS85" s="127"/>
      <c r="AT85" s="127"/>
    </row>
    <row r="86" spans="1:46" s="2907" customFormat="1" ht="20.100000000000001" customHeight="1" x14ac:dyDescent="0.25">
      <c r="A86" s="2958" t="s">
        <v>4999</v>
      </c>
      <c r="B86" s="2944">
        <v>16641</v>
      </c>
      <c r="C86" s="2944">
        <v>4309</v>
      </c>
      <c r="D86" s="2944">
        <v>200130</v>
      </c>
      <c r="E86" s="2945">
        <v>221080</v>
      </c>
      <c r="F86" s="2944">
        <v>1018</v>
      </c>
      <c r="G86" s="2946">
        <v>0.1</v>
      </c>
      <c r="H86" s="2947">
        <v>222098.1</v>
      </c>
      <c r="I86" s="2948">
        <v>6506.8</v>
      </c>
      <c r="J86" s="2966">
        <v>10.422288527641669</v>
      </c>
      <c r="K86" s="2936"/>
      <c r="L86" s="2905"/>
      <c r="M86" s="2905"/>
      <c r="N86" s="2038"/>
      <c r="O86" s="2905"/>
      <c r="P86" s="2038"/>
      <c r="Q86" s="2905"/>
      <c r="R86" s="2905"/>
      <c r="S86" s="104"/>
      <c r="T86" s="2902"/>
      <c r="U86" s="2906"/>
      <c r="V86" s="2048"/>
      <c r="W86" s="2048"/>
      <c r="X86" s="2048"/>
      <c r="Y86" s="2048"/>
      <c r="Z86" s="2048"/>
      <c r="AA86" s="2048"/>
      <c r="AB86" s="2048"/>
      <c r="AC86" s="127"/>
      <c r="AD86" s="127"/>
      <c r="AE86" s="127"/>
      <c r="AF86" s="127"/>
      <c r="AG86" s="127"/>
      <c r="AH86" s="127"/>
      <c r="AI86" s="127"/>
      <c r="AJ86" s="127"/>
      <c r="AK86" s="127"/>
      <c r="AL86" s="127"/>
      <c r="AM86" s="127"/>
      <c r="AN86" s="127"/>
      <c r="AO86" s="127"/>
      <c r="AP86" s="127"/>
      <c r="AQ86" s="127"/>
      <c r="AR86" s="127"/>
      <c r="AS86" s="127"/>
      <c r="AT86" s="127"/>
    </row>
    <row r="87" spans="1:46" s="2907" customFormat="1" ht="20.100000000000001" customHeight="1" x14ac:dyDescent="0.25">
      <c r="A87" s="2958" t="s">
        <v>5000</v>
      </c>
      <c r="B87" s="2944">
        <v>16518</v>
      </c>
      <c r="C87" s="2944">
        <v>4318</v>
      </c>
      <c r="D87" s="2944">
        <v>204307</v>
      </c>
      <c r="E87" s="2945">
        <v>225143</v>
      </c>
      <c r="F87" s="2944">
        <v>1024</v>
      </c>
      <c r="G87" s="2946">
        <v>0.1</v>
      </c>
      <c r="H87" s="2947">
        <v>226167.1</v>
      </c>
      <c r="I87" s="2948">
        <v>6607.9</v>
      </c>
      <c r="J87" s="2966">
        <v>10.61323249347917</v>
      </c>
      <c r="K87" s="2936"/>
      <c r="L87" s="2905"/>
      <c r="M87" s="2905"/>
      <c r="N87" s="2038"/>
      <c r="O87" s="2905"/>
      <c r="P87" s="2038"/>
      <c r="Q87" s="2905"/>
      <c r="R87" s="2905"/>
      <c r="S87" s="104"/>
      <c r="T87" s="2902"/>
      <c r="U87" s="2906"/>
      <c r="V87" s="2048"/>
      <c r="W87" s="2048"/>
      <c r="X87" s="2048"/>
      <c r="Y87" s="2048"/>
      <c r="Z87" s="2048"/>
      <c r="AA87" s="2048"/>
      <c r="AB87" s="2048"/>
      <c r="AC87" s="127"/>
      <c r="AD87" s="127"/>
      <c r="AE87" s="127"/>
      <c r="AF87" s="127"/>
      <c r="AG87" s="127"/>
      <c r="AH87" s="127"/>
      <c r="AI87" s="127"/>
      <c r="AJ87" s="127"/>
      <c r="AK87" s="127"/>
      <c r="AL87" s="127"/>
      <c r="AM87" s="127"/>
      <c r="AN87" s="127"/>
      <c r="AO87" s="127"/>
      <c r="AP87" s="127"/>
      <c r="AQ87" s="127"/>
      <c r="AR87" s="127"/>
      <c r="AS87" s="127"/>
      <c r="AT87" s="127"/>
    </row>
    <row r="88" spans="1:46" s="2907" customFormat="1" ht="20.100000000000001" customHeight="1" x14ac:dyDescent="0.25">
      <c r="A88" s="2958" t="s">
        <v>5001</v>
      </c>
      <c r="B88" s="2944">
        <v>16198</v>
      </c>
      <c r="C88" s="2944">
        <v>4316</v>
      </c>
      <c r="D88" s="2944">
        <v>198366</v>
      </c>
      <c r="E88" s="2945">
        <v>218880</v>
      </c>
      <c r="F88" s="2944">
        <v>1019</v>
      </c>
      <c r="G88" s="2946">
        <v>0.2</v>
      </c>
      <c r="H88" s="2947">
        <v>219899.2</v>
      </c>
      <c r="I88" s="2948">
        <v>6427.3</v>
      </c>
      <c r="J88" s="2966">
        <v>10.31910182661437</v>
      </c>
      <c r="K88" s="2936"/>
      <c r="L88" s="2905"/>
      <c r="M88" s="2905"/>
      <c r="N88" s="2038"/>
      <c r="O88" s="2905"/>
      <c r="P88" s="2038"/>
      <c r="Q88" s="2905"/>
      <c r="R88" s="2905"/>
      <c r="S88" s="104"/>
      <c r="T88" s="2902"/>
      <c r="U88" s="2906"/>
      <c r="V88" s="2048"/>
      <c r="W88" s="2048"/>
      <c r="X88" s="2048"/>
      <c r="Y88" s="2048"/>
      <c r="Z88" s="2048"/>
      <c r="AA88" s="2048"/>
      <c r="AB88" s="2048"/>
      <c r="AC88" s="127"/>
      <c r="AD88" s="127"/>
      <c r="AE88" s="127"/>
      <c r="AF88" s="127"/>
      <c r="AG88" s="127"/>
      <c r="AH88" s="127"/>
      <c r="AI88" s="127"/>
      <c r="AJ88" s="127"/>
      <c r="AK88" s="127"/>
      <c r="AL88" s="127"/>
      <c r="AM88" s="127"/>
      <c r="AN88" s="127"/>
      <c r="AO88" s="127"/>
      <c r="AP88" s="127"/>
      <c r="AQ88" s="127"/>
      <c r="AR88" s="127"/>
      <c r="AS88" s="127"/>
      <c r="AT88" s="127"/>
    </row>
    <row r="89" spans="1:46" s="2907" customFormat="1" ht="20.100000000000001" customHeight="1" x14ac:dyDescent="0.25">
      <c r="A89" s="2958" t="s">
        <v>5002</v>
      </c>
      <c r="B89" s="2944">
        <v>16772</v>
      </c>
      <c r="C89" s="2944">
        <v>4287</v>
      </c>
      <c r="D89" s="2944">
        <v>195510</v>
      </c>
      <c r="E89" s="2945">
        <v>216569</v>
      </c>
      <c r="F89" s="2944">
        <v>1017</v>
      </c>
      <c r="G89" s="2946">
        <v>0.2</v>
      </c>
      <c r="H89" s="2947">
        <v>217586.2</v>
      </c>
      <c r="I89" s="2948">
        <v>6312.5</v>
      </c>
      <c r="J89" s="2966">
        <v>10.21056081089008</v>
      </c>
      <c r="K89" s="2936"/>
      <c r="L89" s="2905"/>
      <c r="M89" s="2905"/>
      <c r="N89" s="2038"/>
      <c r="O89" s="2905"/>
      <c r="P89" s="2038"/>
      <c r="Q89" s="2905"/>
      <c r="R89" s="2905"/>
      <c r="S89" s="104"/>
      <c r="T89" s="2902"/>
      <c r="U89" s="2906"/>
      <c r="V89" s="2048"/>
      <c r="W89" s="2048"/>
      <c r="X89" s="2048"/>
      <c r="Y89" s="2048"/>
      <c r="Z89" s="2048"/>
      <c r="AA89" s="2048"/>
      <c r="AB89" s="2048"/>
      <c r="AC89" s="127"/>
      <c r="AD89" s="127"/>
      <c r="AE89" s="127"/>
      <c r="AF89" s="127"/>
      <c r="AG89" s="127"/>
      <c r="AH89" s="127"/>
      <c r="AI89" s="127"/>
      <c r="AJ89" s="127"/>
      <c r="AK89" s="127"/>
      <c r="AL89" s="127"/>
      <c r="AM89" s="127"/>
      <c r="AN89" s="127"/>
      <c r="AO89" s="127"/>
      <c r="AP89" s="127"/>
      <c r="AQ89" s="127"/>
      <c r="AR89" s="127"/>
      <c r="AS89" s="127"/>
      <c r="AT89" s="127"/>
    </row>
    <row r="90" spans="1:46" s="2907" customFormat="1" ht="20.100000000000001" customHeight="1" x14ac:dyDescent="0.25">
      <c r="A90" s="2958" t="s">
        <v>5003</v>
      </c>
      <c r="B90" s="2944">
        <v>16806</v>
      </c>
      <c r="C90" s="2944">
        <v>4276</v>
      </c>
      <c r="D90" s="2944">
        <v>193667</v>
      </c>
      <c r="E90" s="2945">
        <v>214749</v>
      </c>
      <c r="F90" s="2944">
        <v>1014</v>
      </c>
      <c r="G90" s="2946">
        <v>0.1</v>
      </c>
      <c r="H90" s="2947">
        <v>215763.1</v>
      </c>
      <c r="I90" s="2948">
        <v>6283.3</v>
      </c>
      <c r="J90" s="2966">
        <v>10.125009092011153</v>
      </c>
      <c r="K90" s="2936"/>
      <c r="L90" s="2905"/>
      <c r="M90" s="2905"/>
      <c r="N90" s="2038"/>
      <c r="O90" s="2905"/>
      <c r="P90" s="2038"/>
      <c r="Q90" s="2905"/>
      <c r="R90" s="2905"/>
      <c r="S90" s="104"/>
      <c r="T90" s="2902"/>
      <c r="U90" s="2906"/>
      <c r="V90" s="2048"/>
      <c r="W90" s="2048"/>
      <c r="X90" s="2048"/>
      <c r="Y90" s="2048"/>
      <c r="Z90" s="2048"/>
      <c r="AA90" s="2048"/>
      <c r="AB90" s="2048"/>
      <c r="AC90" s="127"/>
      <c r="AD90" s="127"/>
      <c r="AE90" s="127"/>
      <c r="AF90" s="127"/>
      <c r="AG90" s="127"/>
      <c r="AH90" s="127"/>
      <c r="AI90" s="127"/>
      <c r="AJ90" s="127"/>
      <c r="AK90" s="127"/>
      <c r="AL90" s="127"/>
      <c r="AM90" s="127"/>
      <c r="AN90" s="127"/>
      <c r="AO90" s="127"/>
      <c r="AP90" s="127"/>
      <c r="AQ90" s="127"/>
      <c r="AR90" s="127"/>
      <c r="AS90" s="127"/>
      <c r="AT90" s="127"/>
    </row>
    <row r="91" spans="1:46" s="2907" customFormat="1" ht="20.100000000000001" customHeight="1" thickBot="1" x14ac:dyDescent="0.3">
      <c r="A91" s="2959" t="s">
        <v>5004</v>
      </c>
      <c r="B91" s="2960">
        <v>17549</v>
      </c>
      <c r="C91" s="2960">
        <v>4288</v>
      </c>
      <c r="D91" s="2960">
        <v>194722</v>
      </c>
      <c r="E91" s="2961">
        <v>216559</v>
      </c>
      <c r="F91" s="2960">
        <v>1026</v>
      </c>
      <c r="G91" s="2962">
        <v>0.1</v>
      </c>
      <c r="H91" s="2963">
        <v>217585.1</v>
      </c>
      <c r="I91" s="2964">
        <v>6353.1</v>
      </c>
      <c r="J91" s="2969">
        <v>10.210509191729987</v>
      </c>
      <c r="K91" s="2936"/>
      <c r="L91" s="2905"/>
      <c r="M91" s="2905"/>
      <c r="N91" s="2038"/>
      <c r="O91" s="2905"/>
      <c r="P91" s="2038"/>
      <c r="Q91" s="2905"/>
      <c r="R91" s="2905"/>
      <c r="S91" s="104"/>
      <c r="T91" s="2902"/>
      <c r="U91" s="2906"/>
      <c r="V91" s="2048"/>
      <c r="W91" s="2048"/>
      <c r="X91" s="2048"/>
      <c r="Y91" s="2048"/>
      <c r="Z91" s="2048"/>
      <c r="AA91" s="2048"/>
      <c r="AB91" s="2048"/>
      <c r="AC91" s="127"/>
      <c r="AD91" s="127"/>
      <c r="AE91" s="127"/>
      <c r="AF91" s="127"/>
      <c r="AG91" s="127"/>
      <c r="AH91" s="127"/>
      <c r="AI91" s="127"/>
      <c r="AJ91" s="127"/>
      <c r="AK91" s="127"/>
      <c r="AL91" s="127"/>
      <c r="AM91" s="127"/>
      <c r="AN91" s="127"/>
      <c r="AO91" s="127"/>
      <c r="AP91" s="127"/>
      <c r="AQ91" s="127"/>
      <c r="AR91" s="127"/>
      <c r="AS91" s="127"/>
      <c r="AT91" s="127"/>
    </row>
    <row r="92" spans="1:46" s="2907" customFormat="1" ht="20.100000000000001" customHeight="1" x14ac:dyDescent="0.25">
      <c r="A92" s="2958" t="s">
        <v>5005</v>
      </c>
      <c r="B92" s="2944">
        <v>18005</v>
      </c>
      <c r="C92" s="2944">
        <v>4286</v>
      </c>
      <c r="D92" s="2944">
        <v>198473</v>
      </c>
      <c r="E92" s="2945">
        <v>220764</v>
      </c>
      <c r="F92" s="2944">
        <v>1028</v>
      </c>
      <c r="G92" s="2946">
        <v>0.2</v>
      </c>
      <c r="H92" s="2947">
        <v>221792.2</v>
      </c>
      <c r="I92" s="2948">
        <v>6508.5</v>
      </c>
      <c r="J92" s="2966">
        <v>10.12229790632666</v>
      </c>
      <c r="K92" s="2936"/>
      <c r="L92" s="2905"/>
      <c r="M92" s="2905"/>
      <c r="N92" s="2038"/>
      <c r="O92" s="2905"/>
      <c r="P92" s="2038"/>
      <c r="Q92" s="2905"/>
      <c r="R92" s="2905"/>
      <c r="S92" s="104"/>
      <c r="T92" s="2902"/>
      <c r="U92" s="2906"/>
      <c r="V92" s="2048"/>
      <c r="W92" s="2048"/>
      <c r="X92" s="2048"/>
      <c r="Y92" s="2048"/>
      <c r="Z92" s="2048"/>
      <c r="AA92" s="2048"/>
      <c r="AB92" s="2048"/>
      <c r="AC92" s="127"/>
      <c r="AD92" s="127"/>
      <c r="AE92" s="127"/>
      <c r="AF92" s="127"/>
      <c r="AG92" s="127"/>
      <c r="AH92" s="127"/>
      <c r="AI92" s="127"/>
      <c r="AJ92" s="127"/>
      <c r="AK92" s="127"/>
      <c r="AL92" s="127"/>
      <c r="AM92" s="127"/>
      <c r="AN92" s="127"/>
      <c r="AO92" s="127"/>
      <c r="AP92" s="127"/>
      <c r="AQ92" s="127"/>
      <c r="AR92" s="127"/>
      <c r="AS92" s="127"/>
      <c r="AT92" s="127"/>
    </row>
    <row r="93" spans="1:46" s="2907" customFormat="1" ht="20.100000000000001" customHeight="1" x14ac:dyDescent="0.25">
      <c r="A93" s="2958" t="s">
        <v>5006</v>
      </c>
      <c r="B93" s="2944">
        <v>18014</v>
      </c>
      <c r="C93" s="2944">
        <v>4283</v>
      </c>
      <c r="D93" s="2944">
        <v>197823</v>
      </c>
      <c r="E93" s="2945">
        <v>220120</v>
      </c>
      <c r="F93" s="2944">
        <v>1025</v>
      </c>
      <c r="G93" s="2946">
        <v>0.1</v>
      </c>
      <c r="H93" s="2947">
        <v>221145.1</v>
      </c>
      <c r="I93" s="2948">
        <v>6497.9</v>
      </c>
      <c r="J93" s="2966">
        <v>10.092765132066862</v>
      </c>
      <c r="K93" s="2936"/>
      <c r="L93" s="2905"/>
      <c r="M93" s="2905"/>
      <c r="N93" s="2038"/>
      <c r="O93" s="2905"/>
      <c r="P93" s="2038"/>
      <c r="Q93" s="2905"/>
      <c r="R93" s="2905"/>
      <c r="S93" s="104"/>
      <c r="T93" s="2902"/>
      <c r="U93" s="2906"/>
      <c r="V93" s="2048"/>
      <c r="W93" s="2048"/>
      <c r="X93" s="2048"/>
      <c r="Y93" s="2048"/>
      <c r="Z93" s="2048"/>
      <c r="AA93" s="2048"/>
      <c r="AB93" s="2048"/>
      <c r="AC93" s="127"/>
      <c r="AD93" s="127"/>
      <c r="AE93" s="127"/>
      <c r="AF93" s="127"/>
      <c r="AG93" s="127"/>
      <c r="AH93" s="127"/>
      <c r="AI93" s="127"/>
      <c r="AJ93" s="127"/>
      <c r="AK93" s="127"/>
      <c r="AL93" s="127"/>
      <c r="AM93" s="127"/>
      <c r="AN93" s="127"/>
      <c r="AO93" s="127"/>
      <c r="AP93" s="127"/>
      <c r="AQ93" s="127"/>
      <c r="AR93" s="127"/>
      <c r="AS93" s="127"/>
      <c r="AT93" s="127"/>
    </row>
    <row r="94" spans="1:46" s="2907" customFormat="1" ht="20.100000000000001" customHeight="1" x14ac:dyDescent="0.25">
      <c r="A94" s="2958" t="s">
        <v>5007</v>
      </c>
      <c r="B94" s="2944">
        <v>17912</v>
      </c>
      <c r="C94" s="2944">
        <v>4345</v>
      </c>
      <c r="D94" s="2944">
        <v>204520</v>
      </c>
      <c r="E94" s="2945">
        <v>226777</v>
      </c>
      <c r="F94" s="2944">
        <v>1049</v>
      </c>
      <c r="G94" s="2946">
        <v>0.2</v>
      </c>
      <c r="H94" s="2947">
        <v>227826.2</v>
      </c>
      <c r="I94" s="2948">
        <v>6553.7</v>
      </c>
      <c r="J94" s="2966">
        <v>10.397681556278167</v>
      </c>
      <c r="K94" s="2936"/>
      <c r="L94" s="2905"/>
      <c r="M94" s="2905"/>
      <c r="N94" s="2038"/>
      <c r="O94" s="2905"/>
      <c r="P94" s="2038"/>
      <c r="Q94" s="2905"/>
      <c r="R94" s="2905"/>
      <c r="S94" s="104"/>
      <c r="T94" s="2902"/>
      <c r="U94" s="2906"/>
      <c r="V94" s="2048"/>
      <c r="W94" s="2048"/>
      <c r="X94" s="2048"/>
      <c r="Y94" s="2048"/>
      <c r="Z94" s="2048"/>
      <c r="AA94" s="2048"/>
      <c r="AB94" s="2048"/>
      <c r="AC94" s="127"/>
      <c r="AD94" s="127"/>
      <c r="AE94" s="127"/>
      <c r="AF94" s="127"/>
      <c r="AG94" s="127"/>
      <c r="AH94" s="127"/>
      <c r="AI94" s="127"/>
      <c r="AJ94" s="127"/>
      <c r="AK94" s="127"/>
      <c r="AL94" s="127"/>
      <c r="AM94" s="127"/>
      <c r="AN94" s="127"/>
      <c r="AO94" s="127"/>
      <c r="AP94" s="127"/>
      <c r="AQ94" s="127"/>
      <c r="AR94" s="127"/>
      <c r="AS94" s="127"/>
      <c r="AT94" s="127"/>
    </row>
    <row r="95" spans="1:46" s="2907" customFormat="1" ht="20.100000000000001" customHeight="1" x14ac:dyDescent="0.25">
      <c r="A95" s="2958" t="s">
        <v>5008</v>
      </c>
      <c r="B95" s="2944">
        <v>17935</v>
      </c>
      <c r="C95" s="2944">
        <v>4347</v>
      </c>
      <c r="D95" s="2944">
        <v>207083</v>
      </c>
      <c r="E95" s="2945">
        <v>229365</v>
      </c>
      <c r="F95" s="2944">
        <v>1052</v>
      </c>
      <c r="G95" s="2946">
        <v>0.1</v>
      </c>
      <c r="H95" s="2947">
        <v>230417.1</v>
      </c>
      <c r="I95" s="2948">
        <v>6597.8</v>
      </c>
      <c r="J95" s="2966">
        <v>10.515926749957213</v>
      </c>
      <c r="K95" s="2936"/>
      <c r="L95" s="2905"/>
      <c r="M95" s="2905"/>
      <c r="N95" s="2038"/>
      <c r="O95" s="2905"/>
      <c r="P95" s="2038"/>
      <c r="Q95" s="2905"/>
      <c r="R95" s="2905"/>
      <c r="S95" s="104"/>
      <c r="T95" s="2902"/>
      <c r="U95" s="2906"/>
      <c r="V95" s="2048"/>
      <c r="W95" s="2048"/>
      <c r="X95" s="2048"/>
      <c r="Y95" s="2048"/>
      <c r="Z95" s="2048"/>
      <c r="AA95" s="2048"/>
      <c r="AB95" s="2048"/>
      <c r="AC95" s="127"/>
      <c r="AD95" s="127"/>
      <c r="AE95" s="127"/>
      <c r="AF95" s="127"/>
      <c r="AG95" s="127"/>
      <c r="AH95" s="127"/>
      <c r="AI95" s="127"/>
      <c r="AJ95" s="127"/>
      <c r="AK95" s="127"/>
      <c r="AL95" s="127"/>
      <c r="AM95" s="127"/>
      <c r="AN95" s="127"/>
      <c r="AO95" s="127"/>
      <c r="AP95" s="127"/>
      <c r="AQ95" s="127"/>
      <c r="AR95" s="127"/>
      <c r="AS95" s="127"/>
      <c r="AT95" s="127"/>
    </row>
    <row r="96" spans="1:46" s="2907" customFormat="1" ht="20.100000000000001" customHeight="1" x14ac:dyDescent="0.25">
      <c r="A96" s="2958" t="s">
        <v>5009</v>
      </c>
      <c r="B96" s="2944">
        <v>18362</v>
      </c>
      <c r="C96" s="2944">
        <v>4400</v>
      </c>
      <c r="D96" s="2944">
        <v>217223</v>
      </c>
      <c r="E96" s="2945">
        <v>239985</v>
      </c>
      <c r="F96" s="2944">
        <v>1063</v>
      </c>
      <c r="G96" s="2946">
        <v>0.2</v>
      </c>
      <c r="H96" s="2947">
        <v>241048.2</v>
      </c>
      <c r="I96" s="2948">
        <v>6794.5</v>
      </c>
      <c r="J96" s="2966">
        <v>11.001115865137772</v>
      </c>
      <c r="K96" s="2936"/>
      <c r="L96" s="2905"/>
      <c r="M96" s="2905"/>
      <c r="N96" s="2038"/>
      <c r="O96" s="2905"/>
      <c r="P96" s="2038"/>
      <c r="Q96" s="2905"/>
      <c r="R96" s="2905"/>
      <c r="S96" s="104"/>
      <c r="T96" s="2902"/>
      <c r="U96" s="2906"/>
      <c r="V96" s="2048"/>
      <c r="W96" s="2048"/>
      <c r="X96" s="2048"/>
      <c r="Y96" s="2048"/>
      <c r="Z96" s="2048"/>
      <c r="AA96" s="2048"/>
      <c r="AB96" s="2048"/>
      <c r="AC96" s="127"/>
      <c r="AD96" s="127"/>
      <c r="AE96" s="127"/>
      <c r="AF96" s="127"/>
      <c r="AG96" s="127"/>
      <c r="AH96" s="127"/>
      <c r="AI96" s="127"/>
      <c r="AJ96" s="127"/>
      <c r="AK96" s="127"/>
      <c r="AL96" s="127"/>
      <c r="AM96" s="127"/>
      <c r="AN96" s="127"/>
      <c r="AO96" s="127"/>
      <c r="AP96" s="127"/>
      <c r="AQ96" s="127"/>
      <c r="AR96" s="127"/>
      <c r="AS96" s="127"/>
      <c r="AT96" s="127"/>
    </row>
    <row r="97" spans="1:46" s="2907" customFormat="1" ht="20.100000000000001" customHeight="1" x14ac:dyDescent="0.25">
      <c r="A97" s="2958" t="s">
        <v>886</v>
      </c>
      <c r="B97" s="2944">
        <v>20005</v>
      </c>
      <c r="C97" s="2944">
        <v>4430</v>
      </c>
      <c r="D97" s="2944">
        <v>227924</v>
      </c>
      <c r="E97" s="2945">
        <v>252359</v>
      </c>
      <c r="F97" s="2944">
        <v>1069</v>
      </c>
      <c r="G97" s="2946">
        <v>0.1</v>
      </c>
      <c r="H97" s="2947">
        <v>253428.1</v>
      </c>
      <c r="I97" s="2948">
        <v>7161.4</v>
      </c>
      <c r="J97" s="2966">
        <v>11.566117861828969</v>
      </c>
      <c r="K97" s="2936"/>
      <c r="L97" s="2905"/>
      <c r="M97" s="2905"/>
      <c r="N97" s="2038"/>
      <c r="O97" s="2905"/>
      <c r="P97" s="2038"/>
      <c r="Q97" s="2905"/>
      <c r="R97" s="2905"/>
      <c r="S97" s="104"/>
      <c r="T97" s="2902"/>
      <c r="U97" s="2906"/>
      <c r="V97" s="2048"/>
      <c r="W97" s="2048"/>
      <c r="X97" s="2048"/>
      <c r="Y97" s="2048"/>
      <c r="Z97" s="2048"/>
      <c r="AA97" s="2048"/>
      <c r="AB97" s="2048"/>
      <c r="AC97" s="127"/>
      <c r="AD97" s="127"/>
      <c r="AE97" s="127"/>
      <c r="AF97" s="127"/>
      <c r="AG97" s="127"/>
      <c r="AH97" s="127"/>
      <c r="AI97" s="127"/>
      <c r="AJ97" s="127"/>
      <c r="AK97" s="127"/>
      <c r="AL97" s="127"/>
      <c r="AM97" s="127"/>
      <c r="AN97" s="127"/>
      <c r="AO97" s="127"/>
      <c r="AP97" s="127"/>
      <c r="AQ97" s="127"/>
      <c r="AR97" s="127"/>
      <c r="AS97" s="127"/>
      <c r="AT97" s="127"/>
    </row>
    <row r="98" spans="1:46" s="2907" customFormat="1" ht="20.100000000000001" customHeight="1" x14ac:dyDescent="0.25">
      <c r="A98" s="2958" t="s">
        <v>5010</v>
      </c>
      <c r="B98" s="2944">
        <v>20524</v>
      </c>
      <c r="C98" s="2944">
        <v>4447</v>
      </c>
      <c r="D98" s="2944">
        <v>233087</v>
      </c>
      <c r="E98" s="2945">
        <v>258058</v>
      </c>
      <c r="F98" s="2944">
        <v>1222</v>
      </c>
      <c r="G98" s="2946">
        <v>0.1</v>
      </c>
      <c r="H98" s="2947">
        <v>259280.1</v>
      </c>
      <c r="I98" s="2948">
        <v>7222.8</v>
      </c>
      <c r="J98" s="2966">
        <v>11.83319527639911</v>
      </c>
      <c r="K98" s="2936"/>
      <c r="L98" s="2905"/>
      <c r="M98" s="2905"/>
      <c r="N98" s="2038"/>
      <c r="O98" s="2905"/>
      <c r="P98" s="2038"/>
      <c r="Q98" s="2905"/>
      <c r="R98" s="2905"/>
      <c r="S98" s="104"/>
      <c r="T98" s="2902"/>
      <c r="U98" s="2906"/>
      <c r="V98" s="2048"/>
      <c r="W98" s="2048"/>
      <c r="X98" s="2048"/>
      <c r="Y98" s="2048"/>
      <c r="Z98" s="2048"/>
      <c r="AA98" s="2048"/>
      <c r="AB98" s="2048"/>
      <c r="AC98" s="127"/>
      <c r="AD98" s="127"/>
      <c r="AE98" s="127"/>
      <c r="AF98" s="127"/>
      <c r="AG98" s="127"/>
      <c r="AH98" s="127"/>
      <c r="AI98" s="127"/>
      <c r="AJ98" s="127"/>
      <c r="AK98" s="127"/>
      <c r="AL98" s="127"/>
      <c r="AM98" s="127"/>
      <c r="AN98" s="127"/>
      <c r="AO98" s="127"/>
      <c r="AP98" s="127"/>
      <c r="AQ98" s="127"/>
      <c r="AR98" s="127"/>
      <c r="AS98" s="127"/>
      <c r="AT98" s="127"/>
    </row>
    <row r="99" spans="1:46" s="2907" customFormat="1" ht="20.100000000000001" customHeight="1" x14ac:dyDescent="0.25">
      <c r="A99" s="2958" t="s">
        <v>5011</v>
      </c>
      <c r="B99" s="2944">
        <v>21979</v>
      </c>
      <c r="C99" s="2944">
        <v>4449</v>
      </c>
      <c r="D99" s="2944">
        <v>232127</v>
      </c>
      <c r="E99" s="2945">
        <v>258555</v>
      </c>
      <c r="F99" s="2944">
        <v>1229</v>
      </c>
      <c r="G99" s="2946">
        <v>0.1</v>
      </c>
      <c r="H99" s="2947">
        <v>259784.1</v>
      </c>
      <c r="I99" s="2948">
        <v>7206.7</v>
      </c>
      <c r="J99" s="2966">
        <v>11.856195779486056</v>
      </c>
      <c r="K99" s="2936"/>
      <c r="L99" s="2905"/>
      <c r="M99" s="2905"/>
      <c r="N99" s="2038"/>
      <c r="O99" s="2905"/>
      <c r="P99" s="2038"/>
      <c r="Q99" s="2905"/>
      <c r="R99" s="2905"/>
      <c r="S99" s="104"/>
      <c r="T99" s="2902"/>
      <c r="U99" s="2906"/>
      <c r="V99" s="2048"/>
      <c r="W99" s="2048"/>
      <c r="X99" s="2048"/>
      <c r="Y99" s="2048"/>
      <c r="Z99" s="2048"/>
      <c r="AA99" s="2048"/>
      <c r="AB99" s="2048"/>
      <c r="AC99" s="127"/>
      <c r="AD99" s="127"/>
      <c r="AE99" s="127"/>
      <c r="AF99" s="127"/>
      <c r="AG99" s="127"/>
      <c r="AH99" s="127"/>
      <c r="AI99" s="127"/>
      <c r="AJ99" s="127"/>
      <c r="AK99" s="127"/>
      <c r="AL99" s="127"/>
      <c r="AM99" s="127"/>
      <c r="AN99" s="127"/>
      <c r="AO99" s="127"/>
      <c r="AP99" s="127"/>
      <c r="AQ99" s="127"/>
      <c r="AR99" s="127"/>
      <c r="AS99" s="127"/>
      <c r="AT99" s="127"/>
    </row>
    <row r="100" spans="1:46" s="2907" customFormat="1" ht="20.100000000000001" customHeight="1" x14ac:dyDescent="0.25">
      <c r="A100" s="2958" t="s">
        <v>5012</v>
      </c>
      <c r="B100" s="2944">
        <v>21687</v>
      </c>
      <c r="C100" s="2944">
        <v>4480</v>
      </c>
      <c r="D100" s="2944">
        <v>235667</v>
      </c>
      <c r="E100" s="2945">
        <v>261834</v>
      </c>
      <c r="F100" s="2944">
        <v>1239</v>
      </c>
      <c r="G100" s="2946">
        <v>0.05</v>
      </c>
      <c r="H100" s="2947">
        <v>263073.05</v>
      </c>
      <c r="I100" s="2948">
        <v>7216.5</v>
      </c>
      <c r="J100" s="2966">
        <v>12.006302698385532</v>
      </c>
      <c r="K100" s="2936"/>
      <c r="L100" s="2905"/>
      <c r="M100" s="2905"/>
      <c r="N100" s="2038"/>
      <c r="O100" s="2905"/>
      <c r="P100" s="2038"/>
      <c r="Q100" s="2905"/>
      <c r="R100" s="2905"/>
      <c r="S100" s="104"/>
      <c r="T100" s="2902"/>
      <c r="U100" s="2906"/>
      <c r="V100" s="2048"/>
      <c r="W100" s="2048"/>
      <c r="X100" s="2048"/>
      <c r="Y100" s="2048"/>
      <c r="Z100" s="2048"/>
      <c r="AA100" s="2048"/>
      <c r="AB100" s="2048"/>
      <c r="AC100" s="127"/>
      <c r="AD100" s="127"/>
      <c r="AE100" s="127"/>
      <c r="AF100" s="127"/>
      <c r="AG100" s="127"/>
      <c r="AH100" s="127"/>
      <c r="AI100" s="127"/>
      <c r="AJ100" s="127"/>
      <c r="AK100" s="127"/>
      <c r="AL100" s="127"/>
      <c r="AM100" s="127"/>
      <c r="AN100" s="127"/>
      <c r="AO100" s="127"/>
      <c r="AP100" s="127"/>
      <c r="AQ100" s="127"/>
      <c r="AR100" s="127"/>
      <c r="AS100" s="127"/>
      <c r="AT100" s="127"/>
    </row>
    <row r="101" spans="1:46" s="2907" customFormat="1" ht="20.100000000000001" customHeight="1" x14ac:dyDescent="0.25">
      <c r="A101" s="2958" t="s">
        <v>5013</v>
      </c>
      <c r="B101" s="2944">
        <v>21783</v>
      </c>
      <c r="C101" s="2944">
        <v>4507</v>
      </c>
      <c r="D101" s="2944">
        <v>236254</v>
      </c>
      <c r="E101" s="2945">
        <v>262544</v>
      </c>
      <c r="F101" s="2944">
        <v>1249</v>
      </c>
      <c r="G101" s="2946">
        <v>0.1</v>
      </c>
      <c r="H101" s="2947">
        <v>263793.09999999998</v>
      </c>
      <c r="I101" s="2948">
        <v>7260.1</v>
      </c>
      <c r="J101" s="2966">
        <v>12.039162530663472</v>
      </c>
      <c r="K101" s="2936"/>
      <c r="L101" s="2905"/>
      <c r="M101" s="2905"/>
      <c r="N101" s="2038"/>
      <c r="O101" s="2905"/>
      <c r="P101" s="2038"/>
      <c r="Q101" s="2905"/>
      <c r="R101" s="2905"/>
      <c r="S101" s="104"/>
      <c r="T101" s="2902"/>
      <c r="U101" s="2906"/>
      <c r="V101" s="2048"/>
      <c r="W101" s="2048"/>
      <c r="X101" s="2048"/>
      <c r="Y101" s="2048"/>
      <c r="Z101" s="2048"/>
      <c r="AA101" s="2048"/>
      <c r="AB101" s="2048"/>
      <c r="AC101" s="127"/>
      <c r="AD101" s="127"/>
      <c r="AE101" s="127"/>
      <c r="AF101" s="127"/>
      <c r="AG101" s="127"/>
      <c r="AH101" s="127"/>
      <c r="AI101" s="127"/>
      <c r="AJ101" s="127"/>
      <c r="AK101" s="127"/>
      <c r="AL101" s="127"/>
      <c r="AM101" s="127"/>
      <c r="AN101" s="127"/>
      <c r="AO101" s="127"/>
      <c r="AP101" s="127"/>
      <c r="AQ101" s="127"/>
      <c r="AR101" s="127"/>
      <c r="AS101" s="127"/>
      <c r="AT101" s="127"/>
    </row>
    <row r="102" spans="1:46" s="2907" customFormat="1" ht="20.100000000000001" customHeight="1" x14ac:dyDescent="0.25">
      <c r="A102" s="2958" t="s">
        <v>5014</v>
      </c>
      <c r="B102" s="2944">
        <v>21392</v>
      </c>
      <c r="C102" s="2944">
        <v>4540</v>
      </c>
      <c r="D102" s="2944">
        <v>241957</v>
      </c>
      <c r="E102" s="2945">
        <v>267889</v>
      </c>
      <c r="F102" s="2944">
        <v>1255</v>
      </c>
      <c r="G102" s="2946">
        <v>0.1</v>
      </c>
      <c r="H102" s="2947">
        <v>269144.09999999998</v>
      </c>
      <c r="I102" s="2948">
        <v>7333.5</v>
      </c>
      <c r="J102" s="2966">
        <v>12.283374978606879</v>
      </c>
      <c r="K102" s="2936"/>
      <c r="L102" s="2905"/>
      <c r="M102" s="2905"/>
      <c r="N102" s="2038"/>
      <c r="O102" s="2905"/>
      <c r="P102" s="2038"/>
      <c r="Q102" s="2905"/>
      <c r="R102" s="2905"/>
      <c r="S102" s="104"/>
      <c r="T102" s="2902"/>
      <c r="U102" s="2906"/>
      <c r="V102" s="2048"/>
      <c r="W102" s="2048"/>
      <c r="X102" s="2048"/>
      <c r="Y102" s="2048"/>
      <c r="Z102" s="2048"/>
      <c r="AA102" s="2048"/>
      <c r="AB102" s="2048"/>
      <c r="AC102" s="127"/>
      <c r="AD102" s="127"/>
      <c r="AE102" s="127"/>
      <c r="AF102" s="127"/>
      <c r="AG102" s="127"/>
      <c r="AH102" s="127"/>
      <c r="AI102" s="127"/>
      <c r="AJ102" s="127"/>
      <c r="AK102" s="127"/>
      <c r="AL102" s="127"/>
      <c r="AM102" s="127"/>
      <c r="AN102" s="127"/>
      <c r="AO102" s="127"/>
      <c r="AP102" s="127"/>
      <c r="AQ102" s="127"/>
      <c r="AR102" s="127"/>
      <c r="AS102" s="127"/>
      <c r="AT102" s="127"/>
    </row>
    <row r="103" spans="1:46" s="2907" customFormat="1" ht="20.100000000000001" customHeight="1" thickBot="1" x14ac:dyDescent="0.3">
      <c r="A103" s="2959" t="s">
        <v>5015</v>
      </c>
      <c r="B103" s="2960">
        <v>22322</v>
      </c>
      <c r="C103" s="2960">
        <v>4560</v>
      </c>
      <c r="D103" s="2960">
        <v>241353</v>
      </c>
      <c r="E103" s="2961">
        <v>268235</v>
      </c>
      <c r="F103" s="2960">
        <v>1259</v>
      </c>
      <c r="G103" s="2962">
        <v>0.1</v>
      </c>
      <c r="H103" s="2963">
        <v>269494.09999999998</v>
      </c>
      <c r="I103" s="2964">
        <v>7363.2</v>
      </c>
      <c r="J103" s="2969">
        <v>12.299348508186434</v>
      </c>
      <c r="K103" s="2936"/>
      <c r="L103" s="2905"/>
      <c r="M103" s="2905"/>
      <c r="N103" s="2038"/>
      <c r="O103" s="2905"/>
      <c r="P103" s="2038"/>
      <c r="Q103" s="2905"/>
      <c r="R103" s="2905"/>
      <c r="S103" s="104"/>
      <c r="T103" s="2902"/>
      <c r="U103" s="2906"/>
      <c r="V103" s="2048"/>
      <c r="W103" s="2048"/>
      <c r="X103" s="2048"/>
      <c r="Y103" s="2048"/>
      <c r="Z103" s="2048"/>
      <c r="AA103" s="2048"/>
      <c r="AB103" s="2048"/>
      <c r="AC103" s="127"/>
      <c r="AD103" s="127"/>
      <c r="AE103" s="127"/>
      <c r="AF103" s="127"/>
      <c r="AG103" s="127"/>
      <c r="AH103" s="127"/>
      <c r="AI103" s="127"/>
      <c r="AJ103" s="127"/>
      <c r="AK103" s="127"/>
      <c r="AL103" s="127"/>
      <c r="AM103" s="127"/>
      <c r="AN103" s="127"/>
      <c r="AO103" s="127"/>
      <c r="AP103" s="127"/>
      <c r="AQ103" s="127"/>
      <c r="AR103" s="127"/>
      <c r="AS103" s="127"/>
      <c r="AT103" s="127"/>
    </row>
    <row r="104" spans="1:46" s="2907" customFormat="1" ht="20.100000000000001" customHeight="1" x14ac:dyDescent="0.25">
      <c r="A104" s="2958" t="s">
        <v>5016</v>
      </c>
      <c r="B104" s="2944">
        <v>23258</v>
      </c>
      <c r="C104" s="2944">
        <v>4572</v>
      </c>
      <c r="D104" s="2944">
        <v>250016</v>
      </c>
      <c r="E104" s="2945">
        <v>277846</v>
      </c>
      <c r="F104" s="2944">
        <v>1265</v>
      </c>
      <c r="G104" s="2946">
        <v>0.1</v>
      </c>
      <c r="H104" s="2947">
        <v>279111.09999999998</v>
      </c>
      <c r="I104" s="2948">
        <v>7569.4</v>
      </c>
      <c r="J104" s="2966">
        <v>16.314001699357334</v>
      </c>
      <c r="K104" s="2936"/>
      <c r="L104" s="2905"/>
      <c r="M104" s="2905"/>
      <c r="N104" s="2038"/>
      <c r="O104" s="2905"/>
      <c r="P104" s="2038"/>
      <c r="Q104" s="2905"/>
      <c r="R104" s="2905"/>
      <c r="S104" s="104"/>
      <c r="T104" s="2902"/>
      <c r="U104" s="2906"/>
      <c r="V104" s="2048"/>
      <c r="W104" s="2048"/>
      <c r="X104" s="2048"/>
      <c r="Y104" s="2048"/>
      <c r="Z104" s="2048"/>
      <c r="AA104" s="2048"/>
      <c r="AB104" s="2048"/>
      <c r="AC104" s="127"/>
      <c r="AD104" s="127"/>
      <c r="AE104" s="127"/>
      <c r="AF104" s="127"/>
      <c r="AG104" s="127"/>
      <c r="AH104" s="127"/>
      <c r="AI104" s="127"/>
      <c r="AJ104" s="127"/>
      <c r="AK104" s="127"/>
      <c r="AL104" s="127"/>
      <c r="AM104" s="127"/>
      <c r="AN104" s="127"/>
      <c r="AO104" s="127"/>
      <c r="AP104" s="127"/>
      <c r="AQ104" s="127"/>
      <c r="AR104" s="127"/>
      <c r="AS104" s="127"/>
      <c r="AT104" s="127"/>
    </row>
    <row r="105" spans="1:46" s="2907" customFormat="1" ht="20.100000000000001" customHeight="1" x14ac:dyDescent="0.25">
      <c r="A105" s="2958" t="s">
        <v>5017</v>
      </c>
      <c r="B105" s="2944">
        <v>24619</v>
      </c>
      <c r="C105" s="2944">
        <v>4642</v>
      </c>
      <c r="D105" s="2944">
        <v>243679</v>
      </c>
      <c r="E105" s="2945">
        <v>272940</v>
      </c>
      <c r="F105" s="2944">
        <v>1287</v>
      </c>
      <c r="G105" s="2946">
        <v>0.1</v>
      </c>
      <c r="H105" s="2947">
        <v>274227.09999999998</v>
      </c>
      <c r="I105" s="2948">
        <v>7294.8</v>
      </c>
      <c r="J105" s="2966">
        <v>16.02853263596408</v>
      </c>
      <c r="K105" s="2936"/>
      <c r="L105" s="2905"/>
      <c r="M105" s="2905"/>
      <c r="N105" s="2038"/>
      <c r="O105" s="2905"/>
      <c r="P105" s="2038"/>
      <c r="Q105" s="2905"/>
      <c r="R105" s="2905"/>
      <c r="S105" s="104"/>
      <c r="T105" s="2902"/>
      <c r="U105" s="2906"/>
      <c r="V105" s="2048"/>
      <c r="W105" s="2048"/>
      <c r="X105" s="2048"/>
      <c r="Y105" s="2048"/>
      <c r="Z105" s="2048"/>
      <c r="AA105" s="2048"/>
      <c r="AB105" s="2048"/>
      <c r="AC105" s="127"/>
      <c r="AD105" s="127"/>
      <c r="AE105" s="127"/>
      <c r="AF105" s="127"/>
      <c r="AG105" s="127"/>
      <c r="AH105" s="127"/>
      <c r="AI105" s="127"/>
      <c r="AJ105" s="127"/>
      <c r="AK105" s="127"/>
      <c r="AL105" s="127"/>
      <c r="AM105" s="127"/>
      <c r="AN105" s="127"/>
      <c r="AO105" s="127"/>
      <c r="AP105" s="127"/>
      <c r="AQ105" s="127"/>
      <c r="AR105" s="127"/>
      <c r="AS105" s="127"/>
      <c r="AT105" s="127"/>
    </row>
    <row r="106" spans="1:46" s="2907" customFormat="1" ht="20.100000000000001" customHeight="1" x14ac:dyDescent="0.25">
      <c r="A106" s="2958" t="s">
        <v>140</v>
      </c>
      <c r="B106" s="2944">
        <v>25449</v>
      </c>
      <c r="C106" s="2944">
        <v>4867</v>
      </c>
      <c r="D106" s="2944">
        <v>245052</v>
      </c>
      <c r="E106" s="2945">
        <v>275368</v>
      </c>
      <c r="F106" s="2944">
        <v>1340</v>
      </c>
      <c r="G106" s="2946">
        <v>0</v>
      </c>
      <c r="H106" s="2947">
        <v>276708</v>
      </c>
      <c r="I106" s="2948">
        <v>7023.1704624193835</v>
      </c>
      <c r="J106" s="2966">
        <v>16.173540866793793</v>
      </c>
      <c r="K106" s="2936"/>
      <c r="L106" s="2905"/>
      <c r="M106" s="2905"/>
      <c r="N106" s="2038"/>
      <c r="O106" s="2905"/>
      <c r="P106" s="2038"/>
      <c r="Q106" s="2905"/>
      <c r="R106" s="2905"/>
      <c r="S106" s="104"/>
      <c r="T106" s="2902"/>
      <c r="U106" s="2906"/>
      <c r="V106" s="2048"/>
      <c r="W106" s="2048"/>
      <c r="X106" s="2048"/>
      <c r="Y106" s="2048"/>
      <c r="Z106" s="2048"/>
      <c r="AA106" s="2048"/>
      <c r="AB106" s="2048"/>
      <c r="AC106" s="127"/>
      <c r="AD106" s="127"/>
      <c r="AE106" s="127"/>
      <c r="AF106" s="127"/>
      <c r="AG106" s="127"/>
      <c r="AH106" s="127"/>
      <c r="AI106" s="127"/>
      <c r="AJ106" s="127"/>
      <c r="AK106" s="127"/>
      <c r="AL106" s="127"/>
      <c r="AM106" s="127"/>
      <c r="AN106" s="127"/>
      <c r="AO106" s="127"/>
      <c r="AP106" s="127"/>
      <c r="AQ106" s="127"/>
      <c r="AR106" s="127"/>
      <c r="AS106" s="127"/>
      <c r="AT106" s="127"/>
    </row>
    <row r="107" spans="1:46" s="2907" customFormat="1" ht="20.100000000000001" customHeight="1" x14ac:dyDescent="0.25">
      <c r="A107" s="2958" t="s">
        <v>5018</v>
      </c>
      <c r="B107" s="2944">
        <v>27658</v>
      </c>
      <c r="C107" s="2944">
        <v>4953</v>
      </c>
      <c r="D107" s="2944">
        <v>246632</v>
      </c>
      <c r="E107" s="2945">
        <v>279243</v>
      </c>
      <c r="F107" s="2944">
        <v>1372</v>
      </c>
      <c r="G107" s="2946">
        <v>0</v>
      </c>
      <c r="H107" s="2947">
        <v>280615</v>
      </c>
      <c r="I107" s="2948">
        <v>6966.4357885851896</v>
      </c>
      <c r="J107" s="2966">
        <v>16.401904427538565</v>
      </c>
      <c r="K107" s="2936"/>
      <c r="L107" s="2905"/>
      <c r="M107" s="2905"/>
      <c r="N107" s="2038"/>
      <c r="O107" s="2905"/>
      <c r="P107" s="2038"/>
      <c r="Q107" s="2905"/>
      <c r="R107" s="2905"/>
      <c r="S107" s="104"/>
      <c r="T107" s="2902"/>
      <c r="U107" s="2906"/>
      <c r="V107" s="2048"/>
      <c r="W107" s="2048"/>
      <c r="X107" s="2048"/>
      <c r="Y107" s="2048"/>
      <c r="Z107" s="2048"/>
      <c r="AA107" s="2048"/>
      <c r="AB107" s="2048"/>
      <c r="AC107" s="127"/>
      <c r="AD107" s="127"/>
      <c r="AE107" s="127"/>
      <c r="AF107" s="127"/>
      <c r="AG107" s="127"/>
      <c r="AH107" s="127"/>
      <c r="AI107" s="127"/>
      <c r="AJ107" s="127"/>
      <c r="AK107" s="127"/>
      <c r="AL107" s="127"/>
      <c r="AM107" s="127"/>
      <c r="AN107" s="127"/>
      <c r="AO107" s="127"/>
      <c r="AP107" s="127"/>
      <c r="AQ107" s="127"/>
      <c r="AR107" s="127"/>
      <c r="AS107" s="127"/>
      <c r="AT107" s="127"/>
    </row>
    <row r="108" spans="1:46" s="2907" customFormat="1" ht="20.100000000000001" customHeight="1" x14ac:dyDescent="0.25">
      <c r="A108" s="2958" t="s">
        <v>503</v>
      </c>
      <c r="B108" s="2944">
        <v>27705</v>
      </c>
      <c r="C108" s="2944">
        <v>4945</v>
      </c>
      <c r="D108" s="2944">
        <v>241873</v>
      </c>
      <c r="E108" s="2945">
        <v>274523</v>
      </c>
      <c r="F108" s="2944">
        <v>1897</v>
      </c>
      <c r="G108" s="2946">
        <v>0</v>
      </c>
      <c r="H108" s="2947">
        <v>276420</v>
      </c>
      <c r="I108" s="2948">
        <v>6880.8</v>
      </c>
      <c r="J108" s="2966">
        <v>16.156707310230068</v>
      </c>
      <c r="K108" s="2936"/>
      <c r="L108" s="2905"/>
      <c r="M108" s="2905"/>
      <c r="N108" s="2038"/>
      <c r="O108" s="2905"/>
      <c r="P108" s="2038"/>
      <c r="Q108" s="2905"/>
      <c r="R108" s="2905"/>
      <c r="S108" s="104"/>
      <c r="T108" s="2902"/>
      <c r="U108" s="2906"/>
      <c r="V108" s="2048"/>
      <c r="W108" s="2048"/>
      <c r="X108" s="2048"/>
      <c r="Y108" s="2048"/>
      <c r="Z108" s="2048"/>
      <c r="AA108" s="2048"/>
      <c r="AB108" s="2048"/>
      <c r="AC108" s="127"/>
      <c r="AD108" s="127"/>
      <c r="AE108" s="127"/>
      <c r="AF108" s="127"/>
      <c r="AG108" s="127"/>
      <c r="AH108" s="127"/>
      <c r="AI108" s="127"/>
      <c r="AJ108" s="127"/>
      <c r="AK108" s="127"/>
      <c r="AL108" s="127"/>
      <c r="AM108" s="127"/>
      <c r="AN108" s="127"/>
      <c r="AO108" s="127"/>
      <c r="AP108" s="127"/>
      <c r="AQ108" s="127"/>
      <c r="AR108" s="127"/>
      <c r="AS108" s="127"/>
      <c r="AT108" s="127"/>
    </row>
    <row r="109" spans="1:46" s="2907" customFormat="1" ht="20.100000000000001" customHeight="1" x14ac:dyDescent="0.25">
      <c r="A109" s="2958" t="s">
        <v>927</v>
      </c>
      <c r="B109" s="2944">
        <v>28533</v>
      </c>
      <c r="C109" s="2944">
        <v>5006</v>
      </c>
      <c r="D109" s="2944">
        <v>254049</v>
      </c>
      <c r="E109" s="2945">
        <v>287588</v>
      </c>
      <c r="F109" s="2944">
        <v>1915</v>
      </c>
      <c r="G109" s="2946">
        <v>0</v>
      </c>
      <c r="H109" s="2947">
        <v>289503</v>
      </c>
      <c r="I109" s="2948">
        <v>7194.2</v>
      </c>
      <c r="J109" s="2966">
        <v>16.921406687047011</v>
      </c>
      <c r="K109" s="2936"/>
      <c r="L109" s="2905"/>
      <c r="M109" s="2905"/>
      <c r="N109" s="2038"/>
      <c r="O109" s="2905"/>
      <c r="P109" s="2038"/>
      <c r="Q109" s="2905"/>
      <c r="R109" s="2905"/>
      <c r="S109" s="104"/>
      <c r="T109" s="2902"/>
      <c r="U109" s="2906"/>
      <c r="V109" s="2048"/>
      <c r="W109" s="2048"/>
      <c r="X109" s="2048"/>
      <c r="Y109" s="2048"/>
      <c r="Z109" s="2048"/>
      <c r="AA109" s="2048"/>
      <c r="AB109" s="2048"/>
      <c r="AC109" s="127"/>
      <c r="AD109" s="127"/>
      <c r="AE109" s="127"/>
      <c r="AF109" s="127"/>
      <c r="AG109" s="127"/>
      <c r="AH109" s="127"/>
      <c r="AI109" s="127"/>
      <c r="AJ109" s="127"/>
      <c r="AK109" s="127"/>
      <c r="AL109" s="127"/>
      <c r="AM109" s="127"/>
      <c r="AN109" s="127"/>
      <c r="AO109" s="127"/>
      <c r="AP109" s="127"/>
      <c r="AQ109" s="127"/>
      <c r="AR109" s="127"/>
      <c r="AS109" s="127"/>
      <c r="AT109" s="127"/>
    </row>
    <row r="110" spans="1:46" s="2907" customFormat="1" ht="20.100000000000001" customHeight="1" x14ac:dyDescent="0.25">
      <c r="A110" s="2958" t="s">
        <v>5019</v>
      </c>
      <c r="B110" s="2944">
        <v>31601</v>
      </c>
      <c r="C110" s="2944">
        <v>5074</v>
      </c>
      <c r="D110" s="2944">
        <v>267570</v>
      </c>
      <c r="E110" s="2945">
        <v>304245</v>
      </c>
      <c r="F110" s="2944">
        <v>1954</v>
      </c>
      <c r="G110" s="2946">
        <v>0</v>
      </c>
      <c r="H110" s="2947">
        <v>306199</v>
      </c>
      <c r="I110" s="2948">
        <v>7655.9</v>
      </c>
      <c r="J110" s="2966">
        <v>17.897285368949916</v>
      </c>
      <c r="K110" s="2936"/>
      <c r="L110" s="2905"/>
      <c r="M110" s="2905"/>
      <c r="N110" s="2038"/>
      <c r="O110" s="2905"/>
      <c r="P110" s="2038"/>
      <c r="Q110" s="2905"/>
      <c r="R110" s="2905"/>
      <c r="S110" s="104"/>
      <c r="T110" s="2902"/>
      <c r="U110" s="2906"/>
      <c r="V110" s="2048"/>
      <c r="W110" s="2048"/>
      <c r="X110" s="2048"/>
      <c r="Y110" s="2048"/>
      <c r="Z110" s="2048"/>
      <c r="AA110" s="2048"/>
      <c r="AB110" s="2048"/>
      <c r="AC110" s="127"/>
      <c r="AD110" s="127"/>
      <c r="AE110" s="127"/>
      <c r="AF110" s="127"/>
      <c r="AG110" s="127"/>
      <c r="AH110" s="127"/>
      <c r="AI110" s="127"/>
      <c r="AJ110" s="127"/>
      <c r="AK110" s="127"/>
      <c r="AL110" s="127"/>
      <c r="AM110" s="127"/>
      <c r="AN110" s="127"/>
      <c r="AO110" s="127"/>
      <c r="AP110" s="127"/>
      <c r="AQ110" s="127"/>
      <c r="AR110" s="127"/>
      <c r="AS110" s="127"/>
      <c r="AT110" s="127"/>
    </row>
    <row r="111" spans="1:46" s="2907" customFormat="1" ht="20.100000000000001" customHeight="1" x14ac:dyDescent="0.25">
      <c r="A111" s="2958" t="s">
        <v>5020</v>
      </c>
      <c r="B111" s="2944">
        <v>31186</v>
      </c>
      <c r="C111" s="2944">
        <v>5094</v>
      </c>
      <c r="D111" s="2944">
        <v>251227</v>
      </c>
      <c r="E111" s="2945">
        <v>287507</v>
      </c>
      <c r="F111" s="2944">
        <v>1954</v>
      </c>
      <c r="G111" s="2946">
        <v>0</v>
      </c>
      <c r="H111" s="2947">
        <v>289461</v>
      </c>
      <c r="I111" s="2948">
        <v>7268.6</v>
      </c>
      <c r="J111" s="2966">
        <v>16.918951793381467</v>
      </c>
      <c r="K111" s="2936"/>
      <c r="L111" s="2905"/>
      <c r="M111" s="2905"/>
      <c r="N111" s="2038"/>
      <c r="O111" s="2905"/>
      <c r="P111" s="2038"/>
      <c r="Q111" s="2905"/>
      <c r="R111" s="2905"/>
      <c r="S111" s="104"/>
      <c r="T111" s="2902"/>
      <c r="U111" s="2906"/>
      <c r="V111" s="2048"/>
      <c r="W111" s="2048"/>
      <c r="X111" s="2048"/>
      <c r="Y111" s="2048"/>
      <c r="Z111" s="2048"/>
      <c r="AA111" s="2048"/>
      <c r="AB111" s="2048"/>
      <c r="AC111" s="127"/>
      <c r="AD111" s="127"/>
      <c r="AE111" s="127"/>
      <c r="AF111" s="127"/>
      <c r="AG111" s="127"/>
      <c r="AH111" s="127"/>
      <c r="AI111" s="127"/>
      <c r="AJ111" s="127"/>
      <c r="AK111" s="127"/>
      <c r="AL111" s="127"/>
      <c r="AM111" s="127"/>
      <c r="AN111" s="127"/>
      <c r="AO111" s="127"/>
      <c r="AP111" s="127"/>
      <c r="AQ111" s="127"/>
      <c r="AR111" s="127"/>
      <c r="AS111" s="127"/>
      <c r="AT111" s="127"/>
    </row>
    <row r="112" spans="1:46" s="2907" customFormat="1" ht="20.100000000000001" customHeight="1" x14ac:dyDescent="0.25">
      <c r="A112" s="2958" t="s">
        <v>5021</v>
      </c>
      <c r="B112" s="2944">
        <v>30229</v>
      </c>
      <c r="C112" s="2944">
        <v>5082</v>
      </c>
      <c r="D112" s="2944">
        <v>251409</v>
      </c>
      <c r="E112" s="2945">
        <v>286720</v>
      </c>
      <c r="F112" s="2944">
        <v>1950</v>
      </c>
      <c r="G112" s="2946">
        <v>0</v>
      </c>
      <c r="H112" s="2947">
        <v>288670</v>
      </c>
      <c r="I112" s="2948">
        <v>7206</v>
      </c>
      <c r="J112" s="2966">
        <v>16.87271796268039</v>
      </c>
      <c r="K112" s="2936"/>
      <c r="L112" s="2905"/>
      <c r="M112" s="2905"/>
      <c r="N112" s="2038"/>
      <c r="O112" s="2905"/>
      <c r="P112" s="2038"/>
      <c r="Q112" s="2905"/>
      <c r="R112" s="2905"/>
      <c r="S112" s="104"/>
      <c r="T112" s="2902"/>
      <c r="U112" s="2906"/>
      <c r="V112" s="2048"/>
      <c r="W112" s="2048"/>
      <c r="X112" s="2048"/>
      <c r="Y112" s="2048"/>
      <c r="Z112" s="2048"/>
      <c r="AA112" s="2048"/>
      <c r="AB112" s="2048"/>
      <c r="AC112" s="127"/>
      <c r="AD112" s="127"/>
      <c r="AE112" s="127"/>
      <c r="AF112" s="127"/>
      <c r="AG112" s="127"/>
      <c r="AH112" s="127"/>
      <c r="AI112" s="127"/>
      <c r="AJ112" s="127"/>
      <c r="AK112" s="127"/>
      <c r="AL112" s="127"/>
      <c r="AM112" s="127"/>
      <c r="AN112" s="127"/>
      <c r="AO112" s="127"/>
      <c r="AP112" s="127"/>
      <c r="AQ112" s="127"/>
      <c r="AR112" s="127"/>
      <c r="AS112" s="127"/>
      <c r="AT112" s="127"/>
    </row>
    <row r="113" spans="1:46" s="2907" customFormat="1" ht="20.100000000000001" customHeight="1" x14ac:dyDescent="0.25">
      <c r="A113" s="2958" t="s">
        <v>145</v>
      </c>
      <c r="B113" s="2944">
        <v>30029</v>
      </c>
      <c r="C113" s="2944">
        <v>5109</v>
      </c>
      <c r="D113" s="2944">
        <v>242766</v>
      </c>
      <c r="E113" s="2945">
        <v>277905</v>
      </c>
      <c r="F113" s="2944">
        <v>1967</v>
      </c>
      <c r="G113" s="2946">
        <v>0</v>
      </c>
      <c r="H113" s="2947">
        <v>279872</v>
      </c>
      <c r="I113" s="2948">
        <v>6973.6127376473223</v>
      </c>
      <c r="J113" s="2966">
        <v>16.358476189598107</v>
      </c>
      <c r="K113" s="2936"/>
      <c r="L113" s="2905"/>
      <c r="M113" s="2905"/>
      <c r="N113" s="2038"/>
      <c r="O113" s="2905"/>
      <c r="P113" s="2038"/>
      <c r="Q113" s="2905"/>
      <c r="R113" s="2905"/>
      <c r="S113" s="104"/>
      <c r="T113" s="2902"/>
      <c r="U113" s="2906"/>
      <c r="V113" s="2048"/>
      <c r="W113" s="2048"/>
      <c r="X113" s="2048"/>
      <c r="Y113" s="2048"/>
      <c r="Z113" s="2048"/>
      <c r="AA113" s="2048"/>
      <c r="AB113" s="2048"/>
      <c r="AC113" s="127"/>
      <c r="AD113" s="127"/>
      <c r="AE113" s="127"/>
      <c r="AF113" s="127"/>
      <c r="AG113" s="127"/>
      <c r="AH113" s="127"/>
      <c r="AI113" s="127"/>
      <c r="AJ113" s="127"/>
      <c r="AK113" s="127"/>
      <c r="AL113" s="127"/>
      <c r="AM113" s="127"/>
      <c r="AN113" s="127"/>
      <c r="AO113" s="127"/>
      <c r="AP113" s="127"/>
      <c r="AQ113" s="127"/>
      <c r="AR113" s="127"/>
      <c r="AS113" s="127"/>
      <c r="AT113" s="127"/>
    </row>
    <row r="114" spans="1:46" s="2907" customFormat="1" ht="20.100000000000001" customHeight="1" x14ac:dyDescent="0.25">
      <c r="A114" s="2958" t="s">
        <v>146</v>
      </c>
      <c r="B114" s="2944">
        <v>28491</v>
      </c>
      <c r="C114" s="2944">
        <v>5149</v>
      </c>
      <c r="D114" s="2944">
        <v>243513</v>
      </c>
      <c r="E114" s="2945">
        <v>277153</v>
      </c>
      <c r="F114" s="2944">
        <v>1989</v>
      </c>
      <c r="G114" s="2946">
        <v>0</v>
      </c>
      <c r="H114" s="2947">
        <v>279142</v>
      </c>
      <c r="I114" s="2948">
        <v>6967.5238934386334</v>
      </c>
      <c r="J114" s="2966">
        <v>16.315807799696987</v>
      </c>
      <c r="K114" s="2936"/>
      <c r="L114" s="2905"/>
      <c r="M114" s="2905"/>
      <c r="N114" s="2038"/>
      <c r="O114" s="2905"/>
      <c r="P114" s="2038"/>
      <c r="Q114" s="2905"/>
      <c r="R114" s="2905"/>
      <c r="S114" s="104"/>
      <c r="T114" s="2902"/>
      <c r="U114" s="2906"/>
      <c r="V114" s="2048"/>
      <c r="W114" s="2048"/>
      <c r="X114" s="2048"/>
      <c r="Y114" s="2048"/>
      <c r="Z114" s="2048"/>
      <c r="AA114" s="2048"/>
      <c r="AB114" s="2048"/>
      <c r="AC114" s="127"/>
      <c r="AD114" s="127"/>
      <c r="AE114" s="127"/>
      <c r="AF114" s="127"/>
      <c r="AG114" s="127"/>
      <c r="AH114" s="127"/>
      <c r="AI114" s="127"/>
      <c r="AJ114" s="127"/>
      <c r="AK114" s="127"/>
      <c r="AL114" s="127"/>
      <c r="AM114" s="127"/>
      <c r="AN114" s="127"/>
      <c r="AO114" s="127"/>
      <c r="AP114" s="127"/>
      <c r="AQ114" s="127"/>
      <c r="AR114" s="127"/>
      <c r="AS114" s="127"/>
      <c r="AT114" s="127"/>
    </row>
    <row r="115" spans="1:46" s="2907" customFormat="1" ht="20.100000000000001" customHeight="1" thickBot="1" x14ac:dyDescent="0.3">
      <c r="A115" s="2959" t="s">
        <v>5022</v>
      </c>
      <c r="B115" s="2960">
        <v>29918</v>
      </c>
      <c r="C115" s="2960">
        <v>5135</v>
      </c>
      <c r="D115" s="2960">
        <v>251210</v>
      </c>
      <c r="E115" s="2961">
        <v>286263</v>
      </c>
      <c r="F115" s="2960">
        <v>1977</v>
      </c>
      <c r="G115" s="2962">
        <v>0</v>
      </c>
      <c r="H115" s="2963">
        <v>288240</v>
      </c>
      <c r="I115" s="2964">
        <v>7291.9</v>
      </c>
      <c r="J115" s="2969">
        <v>16.847584527533151</v>
      </c>
      <c r="K115" s="2936"/>
      <c r="L115" s="2905"/>
      <c r="M115" s="2905"/>
      <c r="N115" s="2038"/>
      <c r="O115" s="2905"/>
      <c r="P115" s="2038"/>
      <c r="Q115" s="2905"/>
      <c r="R115" s="2905"/>
      <c r="S115" s="104"/>
      <c r="T115" s="2902"/>
      <c r="U115" s="2906"/>
      <c r="V115" s="2048"/>
      <c r="W115" s="2048"/>
      <c r="X115" s="2048"/>
      <c r="Y115" s="2048"/>
      <c r="Z115" s="2048"/>
      <c r="AA115" s="2048"/>
      <c r="AB115" s="2048"/>
      <c r="AC115" s="127"/>
      <c r="AD115" s="127"/>
      <c r="AE115" s="127"/>
      <c r="AF115" s="127"/>
      <c r="AG115" s="127"/>
      <c r="AH115" s="127"/>
      <c r="AI115" s="127"/>
      <c r="AJ115" s="127"/>
      <c r="AK115" s="127"/>
      <c r="AL115" s="127"/>
      <c r="AM115" s="127"/>
      <c r="AN115" s="127"/>
      <c r="AO115" s="127"/>
      <c r="AP115" s="127"/>
      <c r="AQ115" s="127"/>
      <c r="AR115" s="127"/>
      <c r="AS115" s="127"/>
      <c r="AT115" s="127"/>
    </row>
    <row r="116" spans="1:46" s="2907" customFormat="1" ht="20.100000000000001" customHeight="1" x14ac:dyDescent="0.25">
      <c r="A116" s="2958" t="s">
        <v>148</v>
      </c>
      <c r="B116" s="2944">
        <v>29308</v>
      </c>
      <c r="C116" s="2944">
        <v>5159</v>
      </c>
      <c r="D116" s="2944">
        <v>272259</v>
      </c>
      <c r="E116" s="2945">
        <v>306726</v>
      </c>
      <c r="F116" s="2944">
        <v>1989</v>
      </c>
      <c r="G116" s="2946">
        <v>0</v>
      </c>
      <c r="H116" s="2947">
        <v>308715</v>
      </c>
      <c r="I116" s="2948">
        <v>7763.3292930105772</v>
      </c>
      <c r="J116" s="2966">
        <v>18.044345189485835</v>
      </c>
      <c r="K116" s="2936"/>
      <c r="L116" s="2905"/>
      <c r="M116" s="2905"/>
      <c r="N116" s="2038"/>
      <c r="O116" s="2905"/>
      <c r="P116" s="2038"/>
      <c r="Q116" s="2905"/>
      <c r="R116" s="2905"/>
      <c r="S116" s="104"/>
      <c r="T116" s="2902"/>
      <c r="U116" s="2906"/>
      <c r="V116" s="2048"/>
      <c r="W116" s="2048"/>
      <c r="X116" s="2048"/>
      <c r="Y116" s="2048"/>
      <c r="Z116" s="2048"/>
      <c r="AA116" s="2048"/>
      <c r="AB116" s="2048"/>
      <c r="AC116" s="127"/>
      <c r="AD116" s="127"/>
      <c r="AE116" s="127"/>
      <c r="AF116" s="127"/>
      <c r="AG116" s="127"/>
      <c r="AH116" s="127"/>
      <c r="AI116" s="127"/>
      <c r="AJ116" s="127"/>
      <c r="AK116" s="127"/>
      <c r="AL116" s="127"/>
      <c r="AM116" s="127"/>
      <c r="AN116" s="127"/>
      <c r="AO116" s="127"/>
      <c r="AP116" s="127"/>
      <c r="AQ116" s="127"/>
      <c r="AR116" s="127"/>
      <c r="AS116" s="127"/>
      <c r="AT116" s="127"/>
    </row>
    <row r="117" spans="1:46" s="2907" customFormat="1" ht="20.100000000000001" customHeight="1" x14ac:dyDescent="0.25">
      <c r="A117" s="2958" t="s">
        <v>928</v>
      </c>
      <c r="B117" s="2944">
        <v>28165</v>
      </c>
      <c r="C117" s="2944">
        <v>5215</v>
      </c>
      <c r="D117" s="2944">
        <v>258439</v>
      </c>
      <c r="E117" s="2945">
        <v>291819</v>
      </c>
      <c r="F117" s="2944">
        <v>1998</v>
      </c>
      <c r="G117" s="2946">
        <v>0</v>
      </c>
      <c r="H117" s="2947">
        <v>293817</v>
      </c>
      <c r="I117" s="2948">
        <v>7347.2</v>
      </c>
      <c r="J117" s="2966">
        <v>17.173559336407884</v>
      </c>
      <c r="K117" s="2936"/>
      <c r="L117" s="2905"/>
      <c r="M117" s="2905"/>
      <c r="N117" s="2038"/>
      <c r="O117" s="2905"/>
      <c r="P117" s="2038"/>
      <c r="Q117" s="2905"/>
      <c r="R117" s="2905"/>
      <c r="S117" s="104"/>
      <c r="T117" s="2902"/>
      <c r="U117" s="2906"/>
      <c r="V117" s="2048"/>
      <c r="W117" s="2048"/>
      <c r="X117" s="2048"/>
      <c r="Y117" s="2048"/>
      <c r="Z117" s="2048"/>
      <c r="AA117" s="2048"/>
      <c r="AB117" s="2048"/>
      <c r="AC117" s="127"/>
      <c r="AD117" s="127"/>
      <c r="AE117" s="127"/>
      <c r="AF117" s="127"/>
      <c r="AG117" s="127"/>
      <c r="AH117" s="127"/>
      <c r="AI117" s="127"/>
      <c r="AJ117" s="127"/>
      <c r="AK117" s="127"/>
      <c r="AL117" s="127"/>
      <c r="AM117" s="127"/>
      <c r="AN117" s="127"/>
      <c r="AO117" s="127"/>
      <c r="AP117" s="127"/>
      <c r="AQ117" s="127"/>
      <c r="AR117" s="127"/>
      <c r="AS117" s="127"/>
      <c r="AT117" s="127"/>
    </row>
    <row r="118" spans="1:46" s="2978" customFormat="1" ht="16.5" x14ac:dyDescent="0.25">
      <c r="A118" s="2958" t="s">
        <v>929</v>
      </c>
      <c r="B118" s="2944">
        <v>27403</v>
      </c>
      <c r="C118" s="2944">
        <v>5197</v>
      </c>
      <c r="D118" s="2944">
        <v>263470</v>
      </c>
      <c r="E118" s="2945">
        <v>296070</v>
      </c>
      <c r="F118" s="2944">
        <v>2001</v>
      </c>
      <c r="G118" s="2946">
        <v>0</v>
      </c>
      <c r="H118" s="2947">
        <v>298071</v>
      </c>
      <c r="I118" s="2948">
        <v>7328.9959946004565</v>
      </c>
      <c r="J118" s="2966">
        <v>17.422204994817978</v>
      </c>
      <c r="K118" s="2936"/>
      <c r="L118" s="2971"/>
      <c r="M118" s="2971"/>
      <c r="N118" s="2972"/>
      <c r="O118" s="2971"/>
      <c r="P118" s="2972"/>
      <c r="Q118" s="2971"/>
      <c r="R118" s="2971"/>
      <c r="S118" s="2973"/>
      <c r="T118" s="2974"/>
      <c r="U118" s="2975"/>
      <c r="V118" s="2976"/>
      <c r="W118" s="2048"/>
      <c r="X118" s="2048"/>
      <c r="Y118" s="2048"/>
      <c r="Z118" s="2048"/>
      <c r="AA118" s="2048"/>
      <c r="AB118" s="2048"/>
      <c r="AC118" s="2977"/>
      <c r="AD118" s="2977"/>
      <c r="AE118" s="2977"/>
      <c r="AF118" s="2977"/>
      <c r="AG118" s="2977"/>
      <c r="AH118" s="2977"/>
      <c r="AI118" s="2977"/>
      <c r="AJ118" s="2977"/>
      <c r="AK118" s="2977"/>
      <c r="AL118" s="2977"/>
      <c r="AM118" s="2977"/>
      <c r="AN118" s="2977"/>
      <c r="AO118" s="2977"/>
      <c r="AP118" s="2977"/>
      <c r="AQ118" s="2977"/>
      <c r="AR118" s="2977"/>
      <c r="AS118" s="2977"/>
      <c r="AT118" s="2977"/>
    </row>
    <row r="119" spans="1:46" s="2978" customFormat="1" ht="16.5" x14ac:dyDescent="0.25">
      <c r="A119" s="2958" t="s">
        <v>3273</v>
      </c>
      <c r="B119" s="2944">
        <v>28696</v>
      </c>
      <c r="C119" s="2944">
        <v>5252</v>
      </c>
      <c r="D119" s="2944">
        <v>266301</v>
      </c>
      <c r="E119" s="2945">
        <v>300249</v>
      </c>
      <c r="F119" s="2944">
        <v>2020</v>
      </c>
      <c r="G119" s="2946">
        <v>0</v>
      </c>
      <c r="H119" s="2947">
        <v>302269</v>
      </c>
      <c r="I119" s="2948">
        <v>7461.3</v>
      </c>
      <c r="J119" s="2966">
        <v>17.7</v>
      </c>
      <c r="K119" s="2936"/>
      <c r="L119" s="2971"/>
      <c r="M119" s="2971"/>
      <c r="N119" s="2972"/>
      <c r="O119" s="2971"/>
      <c r="P119" s="2972"/>
      <c r="Q119" s="2971"/>
      <c r="R119" s="2971"/>
      <c r="S119" s="2973"/>
      <c r="T119" s="2974"/>
      <c r="U119" s="2975"/>
      <c r="V119" s="2976"/>
      <c r="W119" s="2048"/>
      <c r="X119" s="2048"/>
      <c r="Y119" s="2048"/>
      <c r="Z119" s="2048"/>
      <c r="AA119" s="2048"/>
      <c r="AB119" s="2048"/>
      <c r="AC119" s="2977"/>
      <c r="AD119" s="2977"/>
      <c r="AE119" s="2977"/>
      <c r="AF119" s="2977"/>
      <c r="AG119" s="2977"/>
      <c r="AH119" s="2977"/>
      <c r="AI119" s="2977"/>
      <c r="AJ119" s="2977"/>
      <c r="AK119" s="2977"/>
      <c r="AL119" s="2977"/>
      <c r="AM119" s="2977"/>
      <c r="AN119" s="2977"/>
      <c r="AO119" s="2977"/>
      <c r="AP119" s="2977"/>
      <c r="AQ119" s="2977"/>
      <c r="AR119" s="2977"/>
      <c r="AS119" s="2977"/>
      <c r="AT119" s="2977"/>
    </row>
    <row r="120" spans="1:46" s="2978" customFormat="1" ht="16.5" x14ac:dyDescent="0.25">
      <c r="A120" s="2958" t="s">
        <v>3251</v>
      </c>
      <c r="B120" s="2944">
        <v>31057</v>
      </c>
      <c r="C120" s="2944">
        <v>5307</v>
      </c>
      <c r="D120" s="2944">
        <v>270781</v>
      </c>
      <c r="E120" s="2945">
        <v>307145</v>
      </c>
      <c r="F120" s="2944">
        <v>2051</v>
      </c>
      <c r="G120" s="2946">
        <v>0</v>
      </c>
      <c r="H120" s="2947">
        <v>309196</v>
      </c>
      <c r="I120" s="2948">
        <v>7587.8</v>
      </c>
      <c r="J120" s="2966">
        <v>18.100000000000001</v>
      </c>
      <c r="K120" s="2936"/>
      <c r="L120" s="2971"/>
      <c r="M120" s="2971"/>
      <c r="N120" s="2972"/>
      <c r="O120" s="2971"/>
      <c r="P120" s="2972"/>
      <c r="Q120" s="2971"/>
      <c r="R120" s="2971"/>
      <c r="S120" s="2973"/>
      <c r="T120" s="2974"/>
      <c r="U120" s="2975"/>
      <c r="V120" s="2976"/>
      <c r="W120" s="2048"/>
      <c r="X120" s="2048"/>
      <c r="Y120" s="2048"/>
      <c r="Z120" s="2048"/>
      <c r="AA120" s="2048"/>
      <c r="AB120" s="2048"/>
      <c r="AC120" s="2977"/>
      <c r="AD120" s="2977"/>
      <c r="AE120" s="2977"/>
      <c r="AF120" s="2977"/>
      <c r="AG120" s="2977"/>
      <c r="AH120" s="2977"/>
      <c r="AI120" s="2977"/>
      <c r="AJ120" s="2977"/>
      <c r="AK120" s="2977"/>
      <c r="AL120" s="2977"/>
      <c r="AM120" s="2977"/>
      <c r="AN120" s="2977"/>
      <c r="AO120" s="2977"/>
      <c r="AP120" s="2977"/>
      <c r="AQ120" s="2977"/>
      <c r="AR120" s="2977"/>
      <c r="AS120" s="2977"/>
      <c r="AT120" s="2977"/>
    </row>
    <row r="121" spans="1:46" s="2978" customFormat="1" ht="16.5" x14ac:dyDescent="0.25">
      <c r="A121" s="2958" t="s">
        <v>3252</v>
      </c>
      <c r="B121" s="2944">
        <v>29951</v>
      </c>
      <c r="C121" s="2944">
        <v>5485</v>
      </c>
      <c r="D121" s="2944">
        <v>272359</v>
      </c>
      <c r="E121" s="2945">
        <v>307795</v>
      </c>
      <c r="F121" s="2944">
        <v>2123</v>
      </c>
      <c r="G121" s="2946">
        <v>0</v>
      </c>
      <c r="H121" s="2947">
        <v>309918</v>
      </c>
      <c r="I121" s="2948">
        <v>7269.5</v>
      </c>
      <c r="J121" s="2966">
        <v>18.100000000000001</v>
      </c>
      <c r="K121" s="2936"/>
      <c r="L121" s="2971"/>
      <c r="M121" s="2971"/>
      <c r="N121" s="2972"/>
      <c r="O121" s="2971"/>
      <c r="P121" s="2972"/>
      <c r="Q121" s="2971"/>
      <c r="R121" s="2971"/>
      <c r="S121" s="2973"/>
      <c r="T121" s="2974"/>
      <c r="U121" s="2975"/>
      <c r="V121" s="2976"/>
      <c r="W121" s="2048"/>
      <c r="X121" s="2048"/>
      <c r="Y121" s="2048"/>
      <c r="Z121" s="2048"/>
      <c r="AA121" s="2048"/>
      <c r="AB121" s="2048"/>
      <c r="AC121" s="2977"/>
      <c r="AD121" s="2977"/>
      <c r="AE121" s="2977"/>
      <c r="AF121" s="2977"/>
      <c r="AG121" s="2977"/>
      <c r="AH121" s="2977"/>
      <c r="AI121" s="2977"/>
      <c r="AJ121" s="2977"/>
      <c r="AK121" s="2977"/>
      <c r="AL121" s="2977"/>
      <c r="AM121" s="2977"/>
      <c r="AN121" s="2977"/>
      <c r="AO121" s="2977"/>
      <c r="AP121" s="2977"/>
      <c r="AQ121" s="2977"/>
      <c r="AR121" s="2977"/>
      <c r="AS121" s="2977"/>
      <c r="AT121" s="2977"/>
    </row>
    <row r="122" spans="1:46" s="2978" customFormat="1" ht="18" thickBot="1" x14ac:dyDescent="0.3">
      <c r="A122" s="2979" t="s">
        <v>5023</v>
      </c>
      <c r="B122" s="2980">
        <v>31349</v>
      </c>
      <c r="C122" s="2980">
        <v>5519</v>
      </c>
      <c r="D122" s="2980">
        <v>272261</v>
      </c>
      <c r="E122" s="2981">
        <v>309129</v>
      </c>
      <c r="F122" s="2980">
        <v>2139</v>
      </c>
      <c r="G122" s="2982">
        <v>0</v>
      </c>
      <c r="H122" s="2983">
        <v>311268</v>
      </c>
      <c r="I122" s="2984">
        <v>7261</v>
      </c>
      <c r="J122" s="2985">
        <v>18.2</v>
      </c>
      <c r="K122" s="2936"/>
      <c r="L122" s="2971"/>
      <c r="M122" s="2971"/>
      <c r="N122" s="2972"/>
      <c r="O122" s="2971"/>
      <c r="P122" s="2972"/>
      <c r="Q122" s="2971"/>
      <c r="R122" s="2971"/>
      <c r="S122" s="2973"/>
      <c r="T122" s="2974"/>
      <c r="U122" s="2975"/>
      <c r="V122" s="2976"/>
      <c r="W122" s="2048"/>
      <c r="X122" s="2048"/>
      <c r="Y122" s="2048"/>
      <c r="Z122" s="2048"/>
      <c r="AA122" s="2048"/>
      <c r="AB122" s="2048"/>
      <c r="AC122" s="2977"/>
      <c r="AD122" s="2977"/>
      <c r="AE122" s="2977"/>
      <c r="AF122" s="2977"/>
      <c r="AG122" s="2977"/>
      <c r="AH122" s="2977"/>
      <c r="AI122" s="2977"/>
      <c r="AJ122" s="2977"/>
      <c r="AK122" s="2977"/>
      <c r="AL122" s="2977"/>
      <c r="AM122" s="2977"/>
      <c r="AN122" s="2977"/>
      <c r="AO122" s="2977"/>
      <c r="AP122" s="2977"/>
      <c r="AQ122" s="2977"/>
      <c r="AR122" s="2977"/>
      <c r="AS122" s="2977"/>
      <c r="AT122" s="2977"/>
    </row>
    <row r="123" spans="1:46" s="2986" customFormat="1" ht="15" hidden="1" thickTop="1" x14ac:dyDescent="0.25">
      <c r="A123" s="2936"/>
      <c r="B123" s="2936"/>
      <c r="C123" s="2936"/>
      <c r="D123" s="2936"/>
      <c r="E123" s="2936"/>
      <c r="F123" s="2936"/>
      <c r="G123" s="2936"/>
      <c r="H123" s="2936"/>
      <c r="I123" s="2936"/>
      <c r="J123" s="2936"/>
      <c r="L123" s="2987"/>
      <c r="M123" s="2987"/>
      <c r="P123" s="2988"/>
      <c r="V123" s="2989"/>
      <c r="W123" s="2048"/>
      <c r="X123" s="2048"/>
      <c r="Y123" s="2048"/>
      <c r="Z123" s="2048"/>
      <c r="AA123" s="2048"/>
      <c r="AB123" s="2048"/>
    </row>
    <row r="124" spans="1:46" s="2986" customFormat="1" ht="18" customHeight="1" thickTop="1" x14ac:dyDescent="0.25">
      <c r="A124" s="2990" t="s">
        <v>5024</v>
      </c>
      <c r="B124" s="2991"/>
      <c r="C124" s="2991"/>
      <c r="D124" s="2991"/>
      <c r="E124" s="2992" t="s">
        <v>5025</v>
      </c>
      <c r="F124" s="2993"/>
      <c r="H124" s="2987"/>
      <c r="J124" s="2991"/>
      <c r="L124" s="2987"/>
      <c r="M124" s="2987"/>
      <c r="P124" s="2988"/>
      <c r="V124" s="2989"/>
      <c r="W124" s="2989"/>
      <c r="X124" s="2989"/>
      <c r="Y124" s="2989"/>
      <c r="Z124" s="2989"/>
      <c r="AA124" s="2989"/>
    </row>
    <row r="125" spans="1:46" s="2986" customFormat="1" ht="27" customHeight="1" x14ac:dyDescent="0.25">
      <c r="A125" s="3947" t="s">
        <v>5026</v>
      </c>
      <c r="B125" s="3947"/>
      <c r="C125" s="3947"/>
      <c r="D125" s="3947"/>
      <c r="E125" s="3947"/>
      <c r="F125" s="3947"/>
      <c r="G125" s="3947"/>
      <c r="H125" s="3947"/>
      <c r="I125" s="3947"/>
      <c r="J125" s="3947"/>
      <c r="L125" s="2987"/>
      <c r="M125" s="2987"/>
      <c r="P125" s="2988"/>
      <c r="V125" s="2989"/>
      <c r="W125" s="2989"/>
      <c r="X125" s="2989"/>
      <c r="Y125" s="2989"/>
      <c r="Z125" s="2989"/>
      <c r="AA125" s="2989"/>
    </row>
    <row r="126" spans="1:46" s="127" customFormat="1" ht="17.25" customHeight="1" x14ac:dyDescent="0.25">
      <c r="A126" s="2994" t="s">
        <v>134</v>
      </c>
      <c r="B126" s="2994"/>
      <c r="C126" s="2994"/>
      <c r="D126" s="2994"/>
      <c r="E126" s="2990"/>
      <c r="F126" s="2990"/>
      <c r="G126" s="2990"/>
      <c r="H126" s="2990"/>
      <c r="I126" s="2990"/>
      <c r="J126" s="2990"/>
      <c r="L126" s="2905"/>
      <c r="Q126" s="2906"/>
      <c r="V126" s="2048"/>
      <c r="W126" s="2048"/>
      <c r="X126" s="2048"/>
      <c r="Y126" s="2048"/>
      <c r="Z126" s="2048"/>
      <c r="AA126" s="2048"/>
    </row>
    <row r="127" spans="1:46" ht="21.75" customHeight="1" x14ac:dyDescent="0.25">
      <c r="B127" s="185"/>
      <c r="C127" s="185"/>
      <c r="D127" s="185"/>
      <c r="E127" s="185"/>
      <c r="F127" s="185"/>
      <c r="G127" s="185"/>
      <c r="H127" s="185"/>
      <c r="I127" s="185"/>
      <c r="J127" s="185"/>
      <c r="V127" s="2048"/>
      <c r="W127" s="2048"/>
      <c r="X127" s="2048"/>
      <c r="Y127" s="2048"/>
      <c r="Z127" s="2048"/>
      <c r="AA127" s="2048"/>
    </row>
    <row r="128" spans="1:46" x14ac:dyDescent="0.25">
      <c r="B128" s="185"/>
      <c r="C128" s="185"/>
      <c r="D128" s="185"/>
      <c r="E128" s="185"/>
      <c r="F128" s="185"/>
      <c r="G128" s="185"/>
      <c r="H128" s="185"/>
      <c r="I128" s="185"/>
      <c r="J128" s="185"/>
      <c r="V128" s="2048"/>
      <c r="W128" s="2048"/>
      <c r="X128" s="2048"/>
      <c r="Y128" s="2048"/>
      <c r="Z128" s="2048"/>
      <c r="AA128" s="2048"/>
    </row>
    <row r="129" spans="2:27" x14ac:dyDescent="0.25">
      <c r="V129" s="2048"/>
      <c r="W129" s="2048"/>
      <c r="X129" s="2048"/>
      <c r="Y129" s="2048"/>
      <c r="Z129" s="2048"/>
      <c r="AA129" s="2048"/>
    </row>
    <row r="130" spans="2:27" x14ac:dyDescent="0.25">
      <c r="B130" s="2995"/>
      <c r="C130" s="2995"/>
      <c r="D130" s="2995"/>
      <c r="E130" s="2995"/>
      <c r="F130" s="2995"/>
      <c r="G130" s="2995"/>
      <c r="H130" s="2995"/>
      <c r="I130" s="2995"/>
      <c r="J130" s="2995"/>
      <c r="V130" s="2048"/>
      <c r="W130" s="2048"/>
      <c r="X130" s="2048"/>
      <c r="Y130" s="2048"/>
      <c r="Z130" s="2048"/>
      <c r="AA130" s="2048"/>
    </row>
    <row r="131" spans="2:27" x14ac:dyDescent="0.25">
      <c r="V131" s="2048"/>
      <c r="W131" s="2048"/>
      <c r="X131" s="2048"/>
      <c r="Y131" s="2048"/>
      <c r="Z131" s="2048"/>
      <c r="AA131" s="2048"/>
    </row>
    <row r="132" spans="2:27" x14ac:dyDescent="0.25">
      <c r="V132" s="2048"/>
      <c r="W132" s="2048"/>
      <c r="X132" s="2048"/>
      <c r="Y132" s="2048"/>
      <c r="Z132" s="2048"/>
      <c r="AA132" s="2048"/>
    </row>
    <row r="135" spans="2:27" x14ac:dyDescent="0.25">
      <c r="B135" s="2995"/>
      <c r="C135" s="2995"/>
      <c r="D135" s="2995"/>
      <c r="E135" s="2995"/>
      <c r="F135" s="2995"/>
      <c r="G135" s="2995"/>
      <c r="H135" s="2995"/>
      <c r="I135" s="2995"/>
      <c r="J135" s="2995"/>
    </row>
    <row r="136" spans="2:27" x14ac:dyDescent="0.25">
      <c r="B136" s="2995"/>
      <c r="C136" s="2995"/>
      <c r="D136" s="2995"/>
      <c r="E136" s="2995"/>
      <c r="F136" s="2995"/>
      <c r="G136" s="2995"/>
      <c r="H136" s="2995"/>
      <c r="I136" s="2995"/>
      <c r="J136" s="2995"/>
    </row>
    <row r="139" spans="2:27" x14ac:dyDescent="0.25">
      <c r="L139" s="104"/>
      <c r="Q139" s="104"/>
    </row>
  </sheetData>
  <mergeCells count="10">
    <mergeCell ref="B7:H7"/>
    <mergeCell ref="A125:J125"/>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AF76"/>
  <sheetViews>
    <sheetView showGridLines="0" zoomScale="90" zoomScaleNormal="90" workbookViewId="0">
      <pane xSplit="7" ySplit="3" topLeftCell="J4" activePane="bottomRight" state="frozen"/>
      <selection activeCell="A150" sqref="A150"/>
      <selection pane="topRight" activeCell="A150" sqref="A150"/>
      <selection pane="bottomLeft" activeCell="A150" sqref="A150"/>
      <selection pane="bottomRight" activeCell="A31" sqref="A31:Q31"/>
    </sheetView>
  </sheetViews>
  <sheetFormatPr defaultRowHeight="16.5" x14ac:dyDescent="0.25"/>
  <cols>
    <col min="1" max="1" width="8.85546875" style="2863" customWidth="1"/>
    <col min="2" max="2" width="46.7109375" style="2863" customWidth="1"/>
    <col min="3" max="6" width="8.7109375" style="2863" hidden="1" customWidth="1"/>
    <col min="7" max="7" width="10.28515625" style="2863" hidden="1" customWidth="1"/>
    <col min="8" max="8" width="11.28515625" style="2863" hidden="1" customWidth="1"/>
    <col min="9" max="9" width="11.5703125" style="2863" hidden="1" customWidth="1"/>
    <col min="10" max="17" width="11.5703125" style="2863" customWidth="1"/>
    <col min="18" max="18" width="15.28515625" style="2863" customWidth="1"/>
    <col min="19" max="16384" width="9.140625" style="2863"/>
  </cols>
  <sheetData>
    <row r="1" spans="1:32" x14ac:dyDescent="0.3">
      <c r="A1" s="3958" t="s">
        <v>5027</v>
      </c>
      <c r="B1" s="3958"/>
      <c r="C1" s="3958"/>
      <c r="D1" s="3958"/>
      <c r="E1" s="3958"/>
      <c r="F1" s="3958"/>
      <c r="G1" s="3958"/>
      <c r="H1" s="3958"/>
      <c r="I1" s="3958"/>
      <c r="J1" s="3958"/>
      <c r="K1" s="3958"/>
      <c r="L1" s="3958"/>
      <c r="M1" s="3958"/>
      <c r="N1" s="3958"/>
      <c r="O1" s="3958"/>
      <c r="P1" s="3958"/>
      <c r="Q1" s="3958"/>
      <c r="R1" s="3958"/>
    </row>
    <row r="2" spans="1:32" ht="14.25" customHeight="1" thickBot="1" x14ac:dyDescent="0.35">
      <c r="D2" s="2996"/>
      <c r="E2" s="2996"/>
      <c r="I2" s="2996"/>
      <c r="J2" s="2996"/>
      <c r="K2" s="2996"/>
      <c r="L2" s="2996"/>
      <c r="M2" s="2996"/>
      <c r="Q2" s="2997"/>
      <c r="R2" s="2997" t="s">
        <v>8</v>
      </c>
    </row>
    <row r="3" spans="1:32" s="3004" customFormat="1" ht="36.75" customHeight="1" thickTop="1" thickBot="1" x14ac:dyDescent="0.3">
      <c r="A3" s="2998" t="s">
        <v>4854</v>
      </c>
      <c r="B3" s="2999" t="s">
        <v>4815</v>
      </c>
      <c r="C3" s="3000" t="s">
        <v>5028</v>
      </c>
      <c r="D3" s="3000" t="s">
        <v>5029</v>
      </c>
      <c r="E3" s="3000" t="s">
        <v>5030</v>
      </c>
      <c r="F3" s="3000" t="s">
        <v>5031</v>
      </c>
      <c r="G3" s="3000" t="s">
        <v>5032</v>
      </c>
      <c r="H3" s="3000" t="s">
        <v>5033</v>
      </c>
      <c r="I3" s="3000" t="s">
        <v>5034</v>
      </c>
      <c r="J3" s="3000" t="s">
        <v>5035</v>
      </c>
      <c r="K3" s="3000" t="s">
        <v>1282</v>
      </c>
      <c r="L3" s="3000" t="s">
        <v>1294</v>
      </c>
      <c r="M3" s="3000" t="s">
        <v>1295</v>
      </c>
      <c r="N3" s="3001" t="s">
        <v>1296</v>
      </c>
      <c r="O3" s="3001" t="s">
        <v>5036</v>
      </c>
      <c r="P3" s="3002" t="s">
        <v>5037</v>
      </c>
      <c r="Q3" s="3002" t="s">
        <v>5038</v>
      </c>
      <c r="R3" s="3003" t="s">
        <v>5039</v>
      </c>
    </row>
    <row r="4" spans="1:32" s="3013" customFormat="1" ht="22.5" customHeight="1" x14ac:dyDescent="0.25">
      <c r="A4" s="3005" t="s">
        <v>4816</v>
      </c>
      <c r="B4" s="3006" t="s">
        <v>3528</v>
      </c>
      <c r="C4" s="3007">
        <v>25.5</v>
      </c>
      <c r="D4" s="3007">
        <v>18.399999999999999</v>
      </c>
      <c r="E4" s="3007">
        <v>447.4</v>
      </c>
      <c r="F4" s="3008" t="s">
        <v>5040</v>
      </c>
      <c r="G4" s="3008" t="s">
        <v>5040</v>
      </c>
      <c r="H4" s="3009">
        <v>215</v>
      </c>
      <c r="I4" s="3009">
        <v>127</v>
      </c>
      <c r="J4" s="3009">
        <v>723</v>
      </c>
      <c r="K4" s="3009">
        <v>114</v>
      </c>
      <c r="L4" s="3009">
        <v>4</v>
      </c>
      <c r="M4" s="3009">
        <v>36.700000000000003</v>
      </c>
      <c r="N4" s="3009">
        <v>18</v>
      </c>
      <c r="O4" s="3010">
        <v>22</v>
      </c>
      <c r="P4" s="3009">
        <v>10</v>
      </c>
      <c r="Q4" s="3009">
        <v>152</v>
      </c>
      <c r="R4" s="3011">
        <v>0</v>
      </c>
      <c r="S4" s="2863"/>
      <c r="T4" s="3012"/>
      <c r="U4" s="2863"/>
      <c r="V4" s="2863"/>
      <c r="W4" s="2863"/>
      <c r="X4" s="2863"/>
      <c r="Y4" s="2863"/>
      <c r="Z4" s="2863"/>
      <c r="AA4" s="2863"/>
      <c r="AB4" s="2863"/>
      <c r="AC4" s="2863"/>
      <c r="AD4" s="2863"/>
      <c r="AE4" s="2863"/>
      <c r="AF4" s="2863"/>
    </row>
    <row r="5" spans="1:32" s="3013" customFormat="1" ht="22.5" customHeight="1" x14ac:dyDescent="0.25">
      <c r="A5" s="3014" t="s">
        <v>4818</v>
      </c>
      <c r="B5" s="3015" t="s">
        <v>1149</v>
      </c>
      <c r="C5" s="3016">
        <v>180.9</v>
      </c>
      <c r="D5" s="3016">
        <v>270.7</v>
      </c>
      <c r="E5" s="3016">
        <v>148.6</v>
      </c>
      <c r="F5" s="3016">
        <v>485.4</v>
      </c>
      <c r="G5" s="3016">
        <v>63.3</v>
      </c>
      <c r="H5" s="3017">
        <v>669</v>
      </c>
      <c r="I5" s="3018">
        <v>1597</v>
      </c>
      <c r="J5" s="3018">
        <v>1020</v>
      </c>
      <c r="K5" s="3018">
        <v>991</v>
      </c>
      <c r="L5" s="3018">
        <v>792</v>
      </c>
      <c r="M5" s="3018">
        <v>1608.7</v>
      </c>
      <c r="N5" s="3017">
        <v>929</v>
      </c>
      <c r="O5" s="3019">
        <v>683</v>
      </c>
      <c r="P5" s="3017">
        <v>793</v>
      </c>
      <c r="Q5" s="3017">
        <v>1645</v>
      </c>
      <c r="R5" s="3020">
        <v>45</v>
      </c>
      <c r="S5" s="2863"/>
      <c r="T5" s="3012"/>
      <c r="U5" s="2863"/>
      <c r="V5" s="2863"/>
      <c r="W5" s="2863"/>
      <c r="X5" s="2863"/>
      <c r="Y5" s="2863"/>
      <c r="Z5" s="2863"/>
      <c r="AA5" s="2863"/>
      <c r="AB5" s="2863"/>
      <c r="AC5" s="2863"/>
      <c r="AD5" s="2863"/>
      <c r="AE5" s="2863"/>
      <c r="AF5" s="2863"/>
    </row>
    <row r="6" spans="1:32" s="3013" customFormat="1" ht="22.5" customHeight="1" x14ac:dyDescent="0.25">
      <c r="A6" s="3014" t="s">
        <v>4819</v>
      </c>
      <c r="B6" s="3015" t="s">
        <v>3530</v>
      </c>
      <c r="C6" s="3016">
        <v>17.2</v>
      </c>
      <c r="D6" s="3021" t="s">
        <v>5040</v>
      </c>
      <c r="E6" s="3021" t="s">
        <v>5040</v>
      </c>
      <c r="F6" s="3021" t="s">
        <v>5040</v>
      </c>
      <c r="G6" s="3021">
        <v>2</v>
      </c>
      <c r="H6" s="3017">
        <v>18</v>
      </c>
      <c r="I6" s="3017">
        <v>8</v>
      </c>
      <c r="J6" s="3017">
        <v>831</v>
      </c>
      <c r="K6" s="3017">
        <v>979</v>
      </c>
      <c r="L6" s="3017">
        <v>134</v>
      </c>
      <c r="M6" s="3017">
        <v>90.8</v>
      </c>
      <c r="N6" s="3017">
        <v>218</v>
      </c>
      <c r="O6" s="3019">
        <v>107</v>
      </c>
      <c r="P6" s="3017">
        <v>50</v>
      </c>
      <c r="Q6" s="3017">
        <v>0</v>
      </c>
      <c r="R6" s="3022">
        <v>0</v>
      </c>
      <c r="S6" s="2863"/>
      <c r="T6" s="3012"/>
      <c r="U6" s="2863"/>
      <c r="V6" s="2863"/>
      <c r="W6" s="2863"/>
      <c r="X6" s="2863"/>
      <c r="Y6" s="2863"/>
      <c r="Z6" s="2863"/>
      <c r="AA6" s="2863"/>
      <c r="AB6" s="2863"/>
      <c r="AC6" s="2863"/>
      <c r="AD6" s="2863"/>
      <c r="AE6" s="2863"/>
      <c r="AF6" s="2863"/>
    </row>
    <row r="7" spans="1:32" s="3013" customFormat="1" ht="29.25" customHeight="1" x14ac:dyDescent="0.25">
      <c r="A7" s="3014" t="s">
        <v>4820</v>
      </c>
      <c r="B7" s="3015" t="s">
        <v>5041</v>
      </c>
      <c r="C7" s="3016"/>
      <c r="D7" s="3021"/>
      <c r="E7" s="3021"/>
      <c r="F7" s="3021"/>
      <c r="G7" s="3021"/>
      <c r="H7" s="3017"/>
      <c r="I7" s="3017">
        <v>0</v>
      </c>
      <c r="J7" s="3017">
        <v>0</v>
      </c>
      <c r="K7" s="3017">
        <v>0</v>
      </c>
      <c r="L7" s="3017">
        <v>0</v>
      </c>
      <c r="M7" s="3017">
        <v>0</v>
      </c>
      <c r="N7" s="3017">
        <v>0</v>
      </c>
      <c r="O7" s="3019">
        <v>0</v>
      </c>
      <c r="P7" s="3017">
        <v>23</v>
      </c>
      <c r="Q7" s="3017">
        <v>0</v>
      </c>
      <c r="R7" s="3022">
        <v>53</v>
      </c>
      <c r="S7" s="2863"/>
      <c r="T7" s="3012"/>
      <c r="U7" s="2863"/>
      <c r="V7" s="2863"/>
      <c r="W7" s="2863"/>
      <c r="X7" s="2863"/>
      <c r="Y7" s="2863"/>
      <c r="Z7" s="2863"/>
      <c r="AA7" s="2863"/>
      <c r="AB7" s="2863"/>
      <c r="AC7" s="2863"/>
      <c r="AD7" s="2863"/>
      <c r="AE7" s="2863"/>
      <c r="AF7" s="2863"/>
    </row>
    <row r="8" spans="1:32" s="3013" customFormat="1" ht="22.5" customHeight="1" x14ac:dyDescent="0.25">
      <c r="A8" s="3014" t="s">
        <v>4821</v>
      </c>
      <c r="B8" s="3015" t="s">
        <v>1150</v>
      </c>
      <c r="C8" s="3016">
        <v>11.5</v>
      </c>
      <c r="D8" s="3016">
        <v>44.9</v>
      </c>
      <c r="E8" s="3016">
        <v>67.8</v>
      </c>
      <c r="F8" s="3016">
        <v>211.2</v>
      </c>
      <c r="G8" s="3016">
        <v>1292.3</v>
      </c>
      <c r="H8" s="3018">
        <v>2117</v>
      </c>
      <c r="I8" s="3018">
        <v>2305</v>
      </c>
      <c r="J8" s="3017">
        <v>865</v>
      </c>
      <c r="K8" s="3017">
        <v>602</v>
      </c>
      <c r="L8" s="3018">
        <v>1246</v>
      </c>
      <c r="M8" s="3018">
        <v>700.1</v>
      </c>
      <c r="N8" s="3018">
        <v>1234</v>
      </c>
      <c r="O8" s="3023">
        <v>257</v>
      </c>
      <c r="P8" s="3018">
        <v>279</v>
      </c>
      <c r="Q8" s="3018">
        <v>2</v>
      </c>
      <c r="R8" s="3022">
        <v>0</v>
      </c>
      <c r="S8" s="2863"/>
      <c r="T8" s="3012"/>
      <c r="U8" s="2863"/>
      <c r="V8" s="2863"/>
      <c r="W8" s="2863"/>
      <c r="X8" s="2863"/>
      <c r="Y8" s="2863"/>
      <c r="Z8" s="2863"/>
      <c r="AA8" s="2863"/>
      <c r="AB8" s="2863"/>
      <c r="AC8" s="2863"/>
      <c r="AD8" s="2863"/>
      <c r="AE8" s="2863"/>
      <c r="AF8" s="2863"/>
    </row>
    <row r="9" spans="1:32" s="3013" customFormat="1" ht="30" customHeight="1" x14ac:dyDescent="0.25">
      <c r="A9" s="3014" t="s">
        <v>4822</v>
      </c>
      <c r="B9" s="3015" t="s">
        <v>5042</v>
      </c>
      <c r="C9" s="3016">
        <v>198</v>
      </c>
      <c r="D9" s="3016">
        <v>38.299999999999997</v>
      </c>
      <c r="E9" s="3016">
        <v>103.3</v>
      </c>
      <c r="F9" s="3016">
        <v>290.89999999999998</v>
      </c>
      <c r="G9" s="3016">
        <v>125</v>
      </c>
      <c r="H9" s="3017">
        <v>600</v>
      </c>
      <c r="I9" s="3017">
        <v>746</v>
      </c>
      <c r="J9" s="3018">
        <v>1237</v>
      </c>
      <c r="K9" s="3018">
        <v>685</v>
      </c>
      <c r="L9" s="3018">
        <v>333</v>
      </c>
      <c r="M9" s="3018">
        <v>596.9</v>
      </c>
      <c r="N9" s="3017">
        <v>506</v>
      </c>
      <c r="O9" s="3019">
        <v>947</v>
      </c>
      <c r="P9" s="3017">
        <v>516</v>
      </c>
      <c r="Q9" s="3017">
        <v>100.6</v>
      </c>
      <c r="R9" s="3022">
        <v>79.599999999999994</v>
      </c>
      <c r="S9" s="2863"/>
      <c r="T9" s="3012"/>
      <c r="U9" s="2863"/>
      <c r="V9" s="2863"/>
      <c r="W9" s="2863"/>
      <c r="X9" s="2863"/>
      <c r="Y9" s="2863"/>
      <c r="Z9" s="2863"/>
      <c r="AA9" s="2863"/>
      <c r="AB9" s="2863"/>
      <c r="AC9" s="2863"/>
      <c r="AD9" s="2863"/>
      <c r="AE9" s="2863"/>
      <c r="AF9" s="2863"/>
    </row>
    <row r="10" spans="1:32" s="3013" customFormat="1" ht="22.5" customHeight="1" x14ac:dyDescent="0.25">
      <c r="A10" s="3014" t="s">
        <v>4824</v>
      </c>
      <c r="B10" s="3015" t="s">
        <v>3533</v>
      </c>
      <c r="C10" s="3016">
        <v>13.1</v>
      </c>
      <c r="D10" s="3021" t="s">
        <v>5040</v>
      </c>
      <c r="E10" s="3016">
        <v>14.2</v>
      </c>
      <c r="F10" s="3016">
        <v>9.5</v>
      </c>
      <c r="G10" s="3021">
        <v>110</v>
      </c>
      <c r="H10" s="3017">
        <v>204</v>
      </c>
      <c r="I10" s="3017">
        <v>43</v>
      </c>
      <c r="J10" s="3017">
        <v>76</v>
      </c>
      <c r="K10" s="3017">
        <v>82</v>
      </c>
      <c r="L10" s="3017">
        <v>35</v>
      </c>
      <c r="M10" s="3017">
        <v>203.7</v>
      </c>
      <c r="N10" s="3017">
        <v>101</v>
      </c>
      <c r="O10" s="3019">
        <v>91</v>
      </c>
      <c r="P10" s="3017">
        <v>242</v>
      </c>
      <c r="Q10" s="3017">
        <v>248</v>
      </c>
      <c r="R10" s="3022">
        <v>4.0999999999999996</v>
      </c>
      <c r="S10" s="2863"/>
      <c r="T10" s="3012"/>
      <c r="U10" s="2863"/>
      <c r="V10" s="2863"/>
      <c r="W10" s="2863"/>
      <c r="X10" s="2863"/>
      <c r="Y10" s="2863"/>
      <c r="Z10" s="2863"/>
      <c r="AA10" s="2863"/>
      <c r="AB10" s="2863"/>
      <c r="AC10" s="2863"/>
      <c r="AD10" s="2863"/>
      <c r="AE10" s="2863"/>
      <c r="AF10" s="2863"/>
    </row>
    <row r="11" spans="1:32" s="3013" customFormat="1" ht="22.5" customHeight="1" x14ac:dyDescent="0.25">
      <c r="A11" s="3014" t="s">
        <v>4825</v>
      </c>
      <c r="B11" s="3015" t="s">
        <v>3534</v>
      </c>
      <c r="C11" s="3016">
        <v>1381.9</v>
      </c>
      <c r="D11" s="3016">
        <v>3188.6</v>
      </c>
      <c r="E11" s="3016">
        <v>1347.8</v>
      </c>
      <c r="F11" s="3016">
        <v>1849.7</v>
      </c>
      <c r="G11" s="3016">
        <v>836.3</v>
      </c>
      <c r="H11" s="3017">
        <v>999</v>
      </c>
      <c r="I11" s="3018">
        <v>1839</v>
      </c>
      <c r="J11" s="3017">
        <v>756</v>
      </c>
      <c r="K11" s="3018">
        <v>5986</v>
      </c>
      <c r="L11" s="3018">
        <v>1939</v>
      </c>
      <c r="M11" s="3018">
        <v>1478.4</v>
      </c>
      <c r="N11" s="3018">
        <v>1867</v>
      </c>
      <c r="O11" s="3023">
        <v>1211</v>
      </c>
      <c r="P11" s="3018">
        <v>1498</v>
      </c>
      <c r="Q11" s="3018">
        <v>192</v>
      </c>
      <c r="R11" s="3020">
        <v>234</v>
      </c>
      <c r="S11" s="3024"/>
      <c r="T11" s="3012"/>
      <c r="U11" s="2863"/>
      <c r="V11" s="2863"/>
      <c r="W11" s="2863"/>
      <c r="X11" s="2863"/>
      <c r="Y11" s="2863"/>
      <c r="Z11" s="2863"/>
      <c r="AA11" s="2863"/>
      <c r="AB11" s="2863"/>
      <c r="AC11" s="2863"/>
      <c r="AD11" s="2863"/>
      <c r="AE11" s="2863"/>
      <c r="AF11" s="2863"/>
    </row>
    <row r="12" spans="1:32" s="3013" customFormat="1" ht="22.5" customHeight="1" x14ac:dyDescent="0.25">
      <c r="A12" s="3014" t="s">
        <v>4826</v>
      </c>
      <c r="B12" s="3015" t="s">
        <v>3535</v>
      </c>
      <c r="C12" s="3016">
        <v>42.7</v>
      </c>
      <c r="D12" s="3016">
        <v>18.2</v>
      </c>
      <c r="E12" s="3016">
        <v>7.8</v>
      </c>
      <c r="F12" s="3021" t="s">
        <v>5040</v>
      </c>
      <c r="G12" s="3021">
        <v>235.47</v>
      </c>
      <c r="H12" s="3017">
        <v>462</v>
      </c>
      <c r="I12" s="3017">
        <v>373</v>
      </c>
      <c r="J12" s="3017">
        <v>274</v>
      </c>
      <c r="K12" s="3017">
        <v>235</v>
      </c>
      <c r="L12" s="3017">
        <v>158</v>
      </c>
      <c r="M12" s="3017">
        <v>466.9</v>
      </c>
      <c r="N12" s="3017">
        <v>482</v>
      </c>
      <c r="O12" s="3019">
        <v>773</v>
      </c>
      <c r="P12" s="3017">
        <v>741</v>
      </c>
      <c r="Q12" s="3017">
        <v>52</v>
      </c>
      <c r="R12" s="3022">
        <v>7</v>
      </c>
      <c r="S12" s="3024"/>
      <c r="T12" s="3012"/>
      <c r="U12" s="2863"/>
      <c r="V12" s="2863"/>
      <c r="W12" s="2863"/>
      <c r="X12" s="2863"/>
      <c r="Y12" s="2863"/>
      <c r="Z12" s="2863"/>
      <c r="AA12" s="2863"/>
      <c r="AB12" s="2863"/>
      <c r="AC12" s="2863"/>
      <c r="AD12" s="2863"/>
      <c r="AE12" s="2863"/>
      <c r="AF12" s="2863"/>
    </row>
    <row r="13" spans="1:32" s="3013" customFormat="1" ht="22.5" customHeight="1" x14ac:dyDescent="0.25">
      <c r="A13" s="3014" t="s">
        <v>4827</v>
      </c>
      <c r="B13" s="3015" t="s">
        <v>5043</v>
      </c>
      <c r="C13" s="3016">
        <v>3592.9</v>
      </c>
      <c r="D13" s="3016">
        <v>4055.6</v>
      </c>
      <c r="E13" s="3016">
        <v>4563.8999999999996</v>
      </c>
      <c r="F13" s="3016">
        <v>1371.4</v>
      </c>
      <c r="G13" s="3016">
        <f>2160.2+157.809+91.28+1131.944+1104.059</f>
        <v>4645.2920000000004</v>
      </c>
      <c r="H13" s="3018">
        <v>1972</v>
      </c>
      <c r="I13" s="3018">
        <v>5512</v>
      </c>
      <c r="J13" s="3018">
        <v>1386</v>
      </c>
      <c r="K13" s="3018">
        <v>1978</v>
      </c>
      <c r="L13" s="3018">
        <v>494</v>
      </c>
      <c r="M13" s="3018">
        <v>2268.9</v>
      </c>
      <c r="N13" s="3018">
        <v>7467</v>
      </c>
      <c r="O13" s="3023">
        <v>6045</v>
      </c>
      <c r="P13" s="3018">
        <v>1044</v>
      </c>
      <c r="Q13" s="3018">
        <v>607</v>
      </c>
      <c r="R13" s="3020">
        <v>7.2</v>
      </c>
      <c r="S13" s="3024"/>
      <c r="T13" s="3012"/>
      <c r="U13" s="2863"/>
      <c r="V13" s="2863"/>
      <c r="W13" s="2863"/>
      <c r="X13" s="2863"/>
      <c r="Y13" s="2863"/>
      <c r="Z13" s="2863"/>
      <c r="AA13" s="2863"/>
      <c r="AB13" s="2863"/>
      <c r="AC13" s="2863"/>
      <c r="AD13" s="2863"/>
      <c r="AE13" s="2863"/>
      <c r="AF13" s="2863"/>
    </row>
    <row r="14" spans="1:32" s="3013" customFormat="1" ht="22.5" customHeight="1" x14ac:dyDescent="0.25">
      <c r="A14" s="3014" t="s">
        <v>4828</v>
      </c>
      <c r="B14" s="3015" t="s">
        <v>1156</v>
      </c>
      <c r="C14" s="3016">
        <v>1701.1</v>
      </c>
      <c r="D14" s="3016">
        <v>3820</v>
      </c>
      <c r="E14" s="3016">
        <v>4524.5</v>
      </c>
      <c r="F14" s="3016">
        <v>4304.9799999999996</v>
      </c>
      <c r="G14" s="3016">
        <v>3422.2</v>
      </c>
      <c r="H14" s="3018">
        <v>5236</v>
      </c>
      <c r="I14" s="3018">
        <v>7553</v>
      </c>
      <c r="J14" s="3018">
        <v>6124</v>
      </c>
      <c r="K14" s="3018">
        <v>6177</v>
      </c>
      <c r="L14" s="3018">
        <v>8498</v>
      </c>
      <c r="M14" s="3018">
        <v>9975.5</v>
      </c>
      <c r="N14" s="3018">
        <v>8800</v>
      </c>
      <c r="O14" s="3023">
        <v>9631</v>
      </c>
      <c r="P14" s="3018">
        <v>16180</v>
      </c>
      <c r="Q14" s="3018">
        <v>8530.7000000000007</v>
      </c>
      <c r="R14" s="3020">
        <v>1583.7</v>
      </c>
      <c r="S14" s="3024"/>
      <c r="T14" s="3012"/>
      <c r="U14" s="2863"/>
      <c r="V14" s="2863"/>
      <c r="W14" s="2863"/>
      <c r="X14" s="2863"/>
      <c r="Y14" s="2863"/>
      <c r="Z14" s="2863"/>
      <c r="AA14" s="2863"/>
      <c r="AB14" s="2863"/>
      <c r="AC14" s="2863"/>
      <c r="AD14" s="2863"/>
      <c r="AE14" s="2863"/>
      <c r="AF14" s="2863"/>
    </row>
    <row r="15" spans="1:32" s="3035" customFormat="1" ht="22.5" customHeight="1" x14ac:dyDescent="0.25">
      <c r="A15" s="3025"/>
      <c r="B15" s="3026" t="s">
        <v>5044</v>
      </c>
      <c r="C15" s="3027">
        <v>1227.8</v>
      </c>
      <c r="D15" s="3027">
        <v>2790.5</v>
      </c>
      <c r="E15" s="3027">
        <v>2636.8</v>
      </c>
      <c r="F15" s="3028">
        <v>2073.69</v>
      </c>
      <c r="G15" s="3028">
        <v>2033</v>
      </c>
      <c r="H15" s="3029">
        <v>3352</v>
      </c>
      <c r="I15" s="3029">
        <v>4228</v>
      </c>
      <c r="J15" s="3029">
        <v>4598</v>
      </c>
      <c r="K15" s="3029">
        <v>4038</v>
      </c>
      <c r="L15" s="3029">
        <v>6842</v>
      </c>
      <c r="M15" s="3029">
        <v>7935.9</v>
      </c>
      <c r="N15" s="3029">
        <v>5775</v>
      </c>
      <c r="O15" s="3030">
        <v>8064</v>
      </c>
      <c r="P15" s="3029">
        <v>14030</v>
      </c>
      <c r="Q15" s="3029">
        <v>6308</v>
      </c>
      <c r="R15" s="3031">
        <v>1057</v>
      </c>
      <c r="S15" s="3032"/>
      <c r="T15" s="3033"/>
      <c r="U15" s="3034"/>
      <c r="V15" s="3034"/>
      <c r="W15" s="3034"/>
      <c r="X15" s="3034"/>
      <c r="Y15" s="3034"/>
      <c r="Z15" s="3034"/>
      <c r="AA15" s="3034"/>
      <c r="AB15" s="3034"/>
      <c r="AC15" s="3034"/>
      <c r="AD15" s="3034"/>
      <c r="AE15" s="3034"/>
      <c r="AF15" s="3034"/>
    </row>
    <row r="16" spans="1:32" s="3038" customFormat="1" ht="22.5" customHeight="1" x14ac:dyDescent="0.25">
      <c r="A16" s="3014" t="s">
        <v>4829</v>
      </c>
      <c r="B16" s="3036" t="s">
        <v>3536</v>
      </c>
      <c r="C16" s="3021" t="s">
        <v>5040</v>
      </c>
      <c r="D16" s="3021" t="s">
        <v>5040</v>
      </c>
      <c r="E16" s="3021" t="s">
        <v>5040</v>
      </c>
      <c r="F16" s="3021" t="s">
        <v>5040</v>
      </c>
      <c r="G16" s="3016">
        <v>404.2</v>
      </c>
      <c r="H16" s="3017">
        <v>266</v>
      </c>
      <c r="I16" s="3017">
        <v>52</v>
      </c>
      <c r="J16" s="3017">
        <v>33</v>
      </c>
      <c r="K16" s="3017">
        <v>18</v>
      </c>
      <c r="L16" s="3017">
        <v>19</v>
      </c>
      <c r="M16" s="3017">
        <v>62.6</v>
      </c>
      <c r="N16" s="3017">
        <v>103</v>
      </c>
      <c r="O16" s="3019">
        <v>24</v>
      </c>
      <c r="P16" s="3017">
        <v>38</v>
      </c>
      <c r="Q16" s="3017">
        <v>24</v>
      </c>
      <c r="R16" s="3022">
        <v>2.4</v>
      </c>
      <c r="S16" s="3024"/>
      <c r="T16" s="3012"/>
      <c r="U16" s="3037"/>
      <c r="V16" s="3037"/>
      <c r="W16" s="3037"/>
      <c r="X16" s="3037"/>
      <c r="Y16" s="3037"/>
      <c r="Z16" s="3037"/>
      <c r="AA16" s="3037"/>
      <c r="AB16" s="3037"/>
      <c r="AC16" s="3037"/>
      <c r="AD16" s="3037"/>
      <c r="AE16" s="3037"/>
      <c r="AF16" s="3037"/>
    </row>
    <row r="17" spans="1:32" s="3038" customFormat="1" ht="22.5" customHeight="1" x14ac:dyDescent="0.25">
      <c r="A17" s="3014" t="s">
        <v>4830</v>
      </c>
      <c r="B17" s="3015" t="s">
        <v>3537</v>
      </c>
      <c r="C17" s="3021"/>
      <c r="D17" s="3021" t="s">
        <v>5040</v>
      </c>
      <c r="E17" s="3021" t="s">
        <v>5040</v>
      </c>
      <c r="F17" s="3021" t="s">
        <v>5040</v>
      </c>
      <c r="G17" s="3021" t="s">
        <v>5040</v>
      </c>
      <c r="H17" s="3017">
        <v>38</v>
      </c>
      <c r="I17" s="3017">
        <v>8</v>
      </c>
      <c r="J17" s="3017">
        <v>217</v>
      </c>
      <c r="K17" s="3017">
        <v>4</v>
      </c>
      <c r="L17" s="3017">
        <v>23</v>
      </c>
      <c r="M17" s="3017">
        <v>31.5</v>
      </c>
      <c r="N17" s="3017">
        <v>56</v>
      </c>
      <c r="O17" s="3019">
        <v>65</v>
      </c>
      <c r="P17" s="3017">
        <v>23</v>
      </c>
      <c r="Q17" s="3017">
        <v>0</v>
      </c>
      <c r="R17" s="3022">
        <v>2</v>
      </c>
      <c r="S17" s="3024"/>
      <c r="T17" s="3012"/>
      <c r="U17" s="3037"/>
      <c r="V17" s="3037"/>
      <c r="W17" s="3037"/>
      <c r="X17" s="3037"/>
      <c r="Y17" s="3037"/>
      <c r="Z17" s="3037"/>
      <c r="AA17" s="3037"/>
      <c r="AB17" s="3037"/>
      <c r="AC17" s="3037"/>
      <c r="AD17" s="3037"/>
      <c r="AE17" s="3037"/>
      <c r="AF17" s="3037"/>
    </row>
    <row r="18" spans="1:32" s="3038" customFormat="1" ht="22.5" customHeight="1" x14ac:dyDescent="0.25">
      <c r="A18" s="3014" t="s">
        <v>4833</v>
      </c>
      <c r="B18" s="3015" t="s">
        <v>3538</v>
      </c>
      <c r="C18" s="3016">
        <v>54.6</v>
      </c>
      <c r="D18" s="3016">
        <v>30.033999999999999</v>
      </c>
      <c r="E18" s="3016">
        <v>74.054000000000002</v>
      </c>
      <c r="F18" s="3016">
        <v>125</v>
      </c>
      <c r="G18" s="3021">
        <v>18</v>
      </c>
      <c r="H18" s="3017">
        <v>4</v>
      </c>
      <c r="I18" s="3017">
        <v>0</v>
      </c>
      <c r="J18" s="3017">
        <v>32</v>
      </c>
      <c r="K18" s="3017">
        <v>32</v>
      </c>
      <c r="L18" s="3017">
        <v>32</v>
      </c>
      <c r="M18" s="3017">
        <v>14.9</v>
      </c>
      <c r="N18" s="3017">
        <v>279</v>
      </c>
      <c r="O18" s="3019">
        <v>46</v>
      </c>
      <c r="P18" s="3017">
        <v>489</v>
      </c>
      <c r="Q18" s="3017">
        <v>24</v>
      </c>
      <c r="R18" s="3022">
        <v>9</v>
      </c>
      <c r="S18" s="3024"/>
      <c r="T18" s="3012"/>
      <c r="U18" s="3037"/>
      <c r="V18" s="3037"/>
      <c r="W18" s="3037"/>
      <c r="X18" s="3037"/>
      <c r="Y18" s="3037"/>
      <c r="Z18" s="3037"/>
      <c r="AA18" s="3037"/>
      <c r="AB18" s="3037"/>
      <c r="AC18" s="3037"/>
      <c r="AD18" s="3037"/>
      <c r="AE18" s="3037"/>
      <c r="AF18" s="3037"/>
    </row>
    <row r="19" spans="1:32" s="3038" customFormat="1" ht="22.5" customHeight="1" x14ac:dyDescent="0.25">
      <c r="A19" s="3014" t="s">
        <v>4834</v>
      </c>
      <c r="B19" s="3015" t="s">
        <v>3539</v>
      </c>
      <c r="C19" s="3016">
        <v>2.2000000000000002</v>
      </c>
      <c r="D19" s="3016">
        <v>28.952000000000002</v>
      </c>
      <c r="E19" s="3016">
        <v>119.7</v>
      </c>
      <c r="F19" s="3016">
        <v>145.1</v>
      </c>
      <c r="G19" s="3016">
        <v>2732.2</v>
      </c>
      <c r="H19" s="3017">
        <v>91</v>
      </c>
      <c r="I19" s="3017">
        <v>210</v>
      </c>
      <c r="J19" s="3017">
        <v>184</v>
      </c>
      <c r="K19" s="3017">
        <v>592</v>
      </c>
      <c r="L19" s="3017">
        <v>18</v>
      </c>
      <c r="M19" s="3017">
        <v>614.70000000000005</v>
      </c>
      <c r="N19" s="3017">
        <v>126</v>
      </c>
      <c r="O19" s="3019">
        <v>74</v>
      </c>
      <c r="P19" s="3017">
        <v>48</v>
      </c>
      <c r="Q19" s="3017">
        <v>94</v>
      </c>
      <c r="R19" s="3022">
        <v>0</v>
      </c>
      <c r="S19" s="3024"/>
      <c r="T19" s="3012"/>
      <c r="U19" s="3037"/>
      <c r="V19" s="3037"/>
      <c r="W19" s="3037"/>
      <c r="X19" s="3037"/>
      <c r="Y19" s="3037"/>
      <c r="Z19" s="3037"/>
      <c r="AA19" s="3037"/>
      <c r="AB19" s="3037"/>
      <c r="AC19" s="3037"/>
      <c r="AD19" s="3037"/>
      <c r="AE19" s="3037"/>
      <c r="AF19" s="3037"/>
    </row>
    <row r="20" spans="1:32" s="3038" customFormat="1" ht="22.5" customHeight="1" x14ac:dyDescent="0.25">
      <c r="A20" s="3014" t="s">
        <v>4835</v>
      </c>
      <c r="B20" s="3015" t="s">
        <v>3540</v>
      </c>
      <c r="C20" s="3021" t="s">
        <v>5040</v>
      </c>
      <c r="D20" s="3021" t="s">
        <v>5040</v>
      </c>
      <c r="E20" s="3021" t="s">
        <v>5040</v>
      </c>
      <c r="F20" s="3021" t="s">
        <v>5040</v>
      </c>
      <c r="G20" s="3016">
        <v>61.8</v>
      </c>
      <c r="H20" s="3017">
        <v>3</v>
      </c>
      <c r="I20" s="3017">
        <v>0</v>
      </c>
      <c r="J20" s="3017">
        <v>8</v>
      </c>
      <c r="K20" s="3017">
        <v>0</v>
      </c>
      <c r="L20" s="3017">
        <v>0</v>
      </c>
      <c r="M20" s="3017">
        <v>0</v>
      </c>
      <c r="N20" s="3017">
        <v>52</v>
      </c>
      <c r="O20" s="3019">
        <v>35</v>
      </c>
      <c r="P20" s="3017">
        <v>55</v>
      </c>
      <c r="Q20" s="3017">
        <v>17</v>
      </c>
      <c r="R20" s="3022">
        <v>0</v>
      </c>
      <c r="S20" s="3024"/>
      <c r="T20" s="3012"/>
      <c r="U20" s="3037"/>
      <c r="V20" s="3037"/>
      <c r="W20" s="3037"/>
      <c r="X20" s="3037"/>
      <c r="Y20" s="3037"/>
      <c r="Z20" s="3037"/>
      <c r="AA20" s="3037"/>
      <c r="AB20" s="3037"/>
      <c r="AC20" s="3037"/>
      <c r="AD20" s="3037"/>
      <c r="AE20" s="3037"/>
      <c r="AF20" s="3037"/>
    </row>
    <row r="21" spans="1:32" s="3038" customFormat="1" ht="22.5" customHeight="1" x14ac:dyDescent="0.25">
      <c r="A21" s="3014" t="s">
        <v>4836</v>
      </c>
      <c r="B21" s="3015" t="s">
        <v>3541</v>
      </c>
      <c r="C21" s="3021"/>
      <c r="D21" s="3021"/>
      <c r="E21" s="3021"/>
      <c r="F21" s="3021"/>
      <c r="G21" s="3016"/>
      <c r="H21" s="3017">
        <v>0</v>
      </c>
      <c r="I21" s="3017">
        <v>0</v>
      </c>
      <c r="J21" s="3017">
        <v>0</v>
      </c>
      <c r="K21" s="3017">
        <v>22</v>
      </c>
      <c r="L21" s="3017">
        <v>1</v>
      </c>
      <c r="M21" s="3017">
        <v>10.6</v>
      </c>
      <c r="N21" s="3017">
        <v>104</v>
      </c>
      <c r="O21" s="3019">
        <v>34</v>
      </c>
      <c r="P21" s="3017">
        <v>260</v>
      </c>
      <c r="Q21" s="3017">
        <v>5</v>
      </c>
      <c r="R21" s="3022">
        <v>5.4</v>
      </c>
      <c r="S21" s="3024"/>
      <c r="T21" s="3012"/>
      <c r="U21" s="3037"/>
      <c r="V21" s="3037"/>
      <c r="W21" s="3037"/>
      <c r="X21" s="3037"/>
      <c r="Y21" s="3037"/>
      <c r="Z21" s="3037"/>
      <c r="AA21" s="3037"/>
      <c r="AB21" s="3037"/>
      <c r="AC21" s="3037"/>
      <c r="AD21" s="3037"/>
      <c r="AE21" s="3037"/>
      <c r="AF21" s="3037"/>
    </row>
    <row r="22" spans="1:32" s="3038" customFormat="1" ht="22.5" customHeight="1" thickBot="1" x14ac:dyDescent="0.3">
      <c r="A22" s="3039"/>
      <c r="B22" s="3040" t="s">
        <v>5045</v>
      </c>
      <c r="C22" s="3041"/>
      <c r="D22" s="3041"/>
      <c r="E22" s="3041"/>
      <c r="F22" s="3041"/>
      <c r="G22" s="3042"/>
      <c r="H22" s="3043"/>
      <c r="I22" s="3017">
        <v>0</v>
      </c>
      <c r="J22" s="3017">
        <v>0</v>
      </c>
      <c r="K22" s="3017">
        <v>0</v>
      </c>
      <c r="L22" s="3017">
        <v>0</v>
      </c>
      <c r="M22" s="3017">
        <v>0</v>
      </c>
      <c r="N22" s="3017">
        <v>0</v>
      </c>
      <c r="O22" s="3044">
        <v>0</v>
      </c>
      <c r="P22" s="3043">
        <v>0</v>
      </c>
      <c r="Q22" s="3043">
        <v>2500</v>
      </c>
      <c r="R22" s="3045">
        <v>0</v>
      </c>
      <c r="S22" s="3024"/>
      <c r="T22" s="3012"/>
      <c r="U22" s="3037"/>
      <c r="V22" s="3037"/>
      <c r="W22" s="3037"/>
      <c r="X22" s="3037"/>
      <c r="Y22" s="3037"/>
      <c r="Z22" s="3037"/>
      <c r="AA22" s="3037"/>
      <c r="AB22" s="3037"/>
      <c r="AC22" s="3037"/>
      <c r="AD22" s="3037"/>
      <c r="AE22" s="3037"/>
      <c r="AF22" s="3037"/>
    </row>
    <row r="23" spans="1:32" s="3038" customFormat="1" ht="21" customHeight="1" thickBot="1" x14ac:dyDescent="0.3">
      <c r="A23" s="3959" t="s">
        <v>114</v>
      </c>
      <c r="B23" s="3960"/>
      <c r="C23" s="3046">
        <f>SUM(C4:C19)-C15</f>
        <v>7221.6000000000013</v>
      </c>
      <c r="D23" s="3046">
        <f>SUM(D4:D19)-D15</f>
        <v>11513.685999999998</v>
      </c>
      <c r="E23" s="3046">
        <f>SUM(E4:E19)-E15</f>
        <v>11419.054</v>
      </c>
      <c r="F23" s="3046">
        <f>SUM(F4:F19)-F15</f>
        <v>8793.18</v>
      </c>
      <c r="G23" s="3046">
        <f t="shared" ref="G23:O23" si="0">SUM(G4:G22)-G15</f>
        <v>13948.062000000002</v>
      </c>
      <c r="H23" s="3046">
        <f t="shared" si="0"/>
        <v>12894</v>
      </c>
      <c r="I23" s="3047">
        <f t="shared" si="0"/>
        <v>20373</v>
      </c>
      <c r="J23" s="3047">
        <f t="shared" si="0"/>
        <v>13766</v>
      </c>
      <c r="K23" s="3047">
        <f t="shared" si="0"/>
        <v>18497</v>
      </c>
      <c r="L23" s="3047">
        <f t="shared" si="0"/>
        <v>13726</v>
      </c>
      <c r="M23" s="3047">
        <f t="shared" si="0"/>
        <v>18160.900000000001</v>
      </c>
      <c r="N23" s="3047">
        <f t="shared" si="0"/>
        <v>22342</v>
      </c>
      <c r="O23" s="3048">
        <f t="shared" si="0"/>
        <v>20045</v>
      </c>
      <c r="P23" s="3046">
        <f>SUM(P4:P22)-P15</f>
        <v>22289</v>
      </c>
      <c r="Q23" s="3046">
        <f>SUM(Q4:Q22)-Q15</f>
        <v>14193.300000000003</v>
      </c>
      <c r="R23" s="3049">
        <f>SUM(R4:R22)-R15</f>
        <v>2032.4</v>
      </c>
      <c r="S23" s="3024"/>
      <c r="T23" s="3012"/>
      <c r="U23" s="3037"/>
      <c r="V23" s="3037"/>
      <c r="W23" s="3037"/>
      <c r="X23" s="3037"/>
      <c r="Y23" s="3037"/>
      <c r="Z23" s="3037"/>
      <c r="AA23" s="3037"/>
      <c r="AB23" s="3037"/>
      <c r="AC23" s="3037"/>
      <c r="AD23" s="3037"/>
      <c r="AE23" s="3037"/>
      <c r="AF23" s="3037"/>
    </row>
    <row r="24" spans="1:32" s="3051" customFormat="1" ht="15" thickTop="1" x14ac:dyDescent="0.25">
      <c r="A24" s="3961" t="s">
        <v>5046</v>
      </c>
      <c r="B24" s="3961"/>
      <c r="C24" s="3961"/>
      <c r="D24" s="3961"/>
      <c r="E24" s="3961"/>
      <c r="F24" s="3961"/>
      <c r="G24" s="3961"/>
      <c r="H24" s="3961"/>
      <c r="I24" s="3961"/>
      <c r="J24" s="3961"/>
      <c r="K24" s="3961"/>
      <c r="L24" s="3961"/>
      <c r="M24" s="3961"/>
      <c r="N24" s="3961"/>
      <c r="O24" s="3961"/>
      <c r="P24" s="3050"/>
      <c r="Q24" s="2728"/>
      <c r="R24" s="2728"/>
      <c r="S24" s="2896"/>
      <c r="T24" s="2728"/>
      <c r="U24" s="2728"/>
      <c r="V24" s="2728"/>
      <c r="W24" s="2728"/>
      <c r="X24" s="2728"/>
      <c r="Y24" s="2728"/>
      <c r="Z24" s="2728"/>
      <c r="AA24" s="2728"/>
      <c r="AB24" s="2728"/>
      <c r="AC24" s="2728"/>
      <c r="AD24" s="2728"/>
      <c r="AE24" s="2728"/>
      <c r="AF24" s="2728"/>
    </row>
    <row r="25" spans="1:32" s="3051" customFormat="1" ht="39.75" customHeight="1" x14ac:dyDescent="0.25">
      <c r="A25" s="3962" t="s">
        <v>5047</v>
      </c>
      <c r="B25" s="3962"/>
      <c r="C25" s="3962"/>
      <c r="D25" s="3962"/>
      <c r="E25" s="3962"/>
      <c r="F25" s="3962"/>
      <c r="G25" s="3962"/>
      <c r="H25" s="3962"/>
      <c r="I25" s="3962"/>
      <c r="J25" s="3962"/>
      <c r="K25" s="3962"/>
      <c r="L25" s="3962"/>
      <c r="M25" s="3962"/>
      <c r="N25" s="3962"/>
      <c r="O25" s="3962"/>
      <c r="P25" s="3962"/>
      <c r="Q25" s="3962"/>
      <c r="R25" s="3962"/>
      <c r="S25" s="2896"/>
      <c r="T25" s="2728"/>
      <c r="U25" s="2728"/>
      <c r="V25" s="2728"/>
      <c r="W25" s="2728"/>
      <c r="X25" s="2728"/>
      <c r="Y25" s="2728"/>
      <c r="Z25" s="2728"/>
      <c r="AA25" s="2728"/>
      <c r="AB25" s="2728"/>
      <c r="AC25" s="2728"/>
      <c r="AD25" s="2728"/>
      <c r="AE25" s="2728"/>
      <c r="AF25" s="2728"/>
    </row>
    <row r="26" spans="1:32" s="3052" customFormat="1" ht="29.25" customHeight="1" x14ac:dyDescent="0.25">
      <c r="A26" s="3963" t="s">
        <v>5048</v>
      </c>
      <c r="B26" s="3963"/>
      <c r="C26" s="3963"/>
      <c r="D26" s="3963"/>
      <c r="E26" s="3963"/>
      <c r="F26" s="3963"/>
      <c r="G26" s="3963"/>
      <c r="H26" s="3963"/>
      <c r="I26" s="3963"/>
      <c r="J26" s="3963"/>
      <c r="K26" s="3963"/>
      <c r="L26" s="3963"/>
      <c r="M26" s="3963"/>
      <c r="N26" s="3963"/>
      <c r="O26" s="3963"/>
      <c r="P26" s="3963"/>
      <c r="Q26" s="3963"/>
      <c r="R26" s="3963"/>
    </row>
    <row r="27" spans="1:32" s="3052" customFormat="1" ht="17.25" customHeight="1" x14ac:dyDescent="0.25">
      <c r="A27" s="3964" t="s">
        <v>5049</v>
      </c>
      <c r="B27" s="3964"/>
      <c r="C27" s="3964"/>
      <c r="D27" s="3964"/>
      <c r="E27" s="3964"/>
      <c r="F27" s="3964"/>
      <c r="G27" s="3964"/>
      <c r="H27" s="3964"/>
      <c r="I27" s="3964"/>
      <c r="J27" s="3964"/>
      <c r="K27" s="3964"/>
      <c r="L27" s="3964"/>
      <c r="M27" s="3964"/>
      <c r="N27" s="3964"/>
      <c r="O27" s="3964"/>
      <c r="P27" s="3964"/>
      <c r="Q27" s="3964"/>
      <c r="R27" s="3964"/>
    </row>
    <row r="28" spans="1:32" s="3052" customFormat="1" ht="18" customHeight="1" x14ac:dyDescent="0.25">
      <c r="A28" s="3965" t="s">
        <v>5050</v>
      </c>
      <c r="B28" s="3965"/>
      <c r="C28" s="3965"/>
      <c r="D28" s="3965"/>
      <c r="E28" s="3965"/>
      <c r="F28" s="3965"/>
      <c r="G28" s="3965"/>
      <c r="H28" s="3965"/>
      <c r="I28" s="3965"/>
      <c r="J28" s="3965"/>
      <c r="K28" s="3965"/>
      <c r="L28" s="3965"/>
      <c r="M28" s="3965"/>
      <c r="N28" s="3965"/>
      <c r="O28" s="3965"/>
      <c r="P28" s="3965"/>
      <c r="Q28" s="3965"/>
      <c r="R28" s="3965"/>
    </row>
    <row r="29" spans="1:32" s="3052" customFormat="1" ht="18.75" customHeight="1" x14ac:dyDescent="0.25">
      <c r="A29" s="3964" t="s">
        <v>5051</v>
      </c>
      <c r="B29" s="3964"/>
      <c r="C29" s="3964"/>
      <c r="D29" s="3964"/>
      <c r="E29" s="3964"/>
      <c r="F29" s="3964"/>
      <c r="G29" s="3964"/>
      <c r="H29" s="3964"/>
      <c r="I29" s="3964"/>
      <c r="J29" s="3964"/>
      <c r="K29" s="3964"/>
      <c r="L29" s="3964"/>
      <c r="M29" s="3964"/>
      <c r="N29" s="3964"/>
      <c r="O29" s="3964"/>
      <c r="P29" s="3964"/>
      <c r="Q29" s="3964"/>
      <c r="R29" s="3964"/>
    </row>
    <row r="30" spans="1:32" s="2861" customFormat="1" ht="14.25" customHeight="1" x14ac:dyDescent="0.25">
      <c r="A30" s="3966" t="s">
        <v>5052</v>
      </c>
      <c r="B30" s="3966"/>
      <c r="C30" s="3966"/>
      <c r="D30" s="3966"/>
      <c r="E30" s="3966"/>
      <c r="F30" s="3966"/>
      <c r="G30" s="3966"/>
      <c r="H30" s="3966"/>
      <c r="I30" s="3966"/>
      <c r="J30" s="3966"/>
      <c r="K30" s="3966"/>
      <c r="L30" s="3966"/>
      <c r="M30" s="3966"/>
      <c r="N30" s="3966"/>
      <c r="O30" s="3966"/>
      <c r="P30" s="3966"/>
      <c r="Q30" s="3966"/>
      <c r="R30" s="3966"/>
    </row>
    <row r="31" spans="1:32" s="3053" customFormat="1" ht="33" customHeight="1" x14ac:dyDescent="0.3">
      <c r="A31" s="3958"/>
      <c r="B31" s="3958"/>
      <c r="C31" s="3958"/>
      <c r="D31" s="3958"/>
      <c r="E31" s="3958"/>
      <c r="F31" s="3958"/>
      <c r="G31" s="3958"/>
      <c r="H31" s="3958"/>
      <c r="I31" s="3958"/>
      <c r="J31" s="3958"/>
      <c r="K31" s="3958"/>
      <c r="L31" s="3958"/>
      <c r="M31" s="3958"/>
      <c r="N31" s="3958"/>
      <c r="O31" s="3958"/>
      <c r="P31" s="3958"/>
      <c r="Q31" s="3967"/>
    </row>
    <row r="32" spans="1:32" s="3054" customFormat="1" ht="15.75" customHeight="1" x14ac:dyDescent="0.3">
      <c r="A32" s="3958" t="s">
        <v>5053</v>
      </c>
      <c r="B32" s="3958"/>
      <c r="C32" s="3958"/>
      <c r="D32" s="3958"/>
      <c r="E32" s="3958"/>
      <c r="F32" s="3958"/>
      <c r="G32" s="3958"/>
      <c r="H32" s="3958"/>
      <c r="I32" s="3958"/>
      <c r="J32" s="3958"/>
      <c r="K32" s="3958"/>
      <c r="L32" s="3958"/>
      <c r="M32" s="3958"/>
      <c r="N32" s="3958"/>
      <c r="O32" s="3958"/>
      <c r="P32" s="3958"/>
      <c r="Q32" s="3958"/>
      <c r="R32" s="3958"/>
    </row>
    <row r="33" spans="1:32" s="3055" customFormat="1" ht="17.25" thickBot="1" x14ac:dyDescent="0.35">
      <c r="A33" s="2863"/>
      <c r="B33" s="2863"/>
      <c r="C33" s="2863"/>
      <c r="D33" s="2996"/>
      <c r="E33" s="2996"/>
      <c r="F33" s="2863"/>
      <c r="G33" s="3054"/>
      <c r="H33" s="3054"/>
      <c r="I33" s="2996"/>
      <c r="J33" s="2996"/>
      <c r="K33" s="2996"/>
      <c r="L33" s="2996"/>
      <c r="M33" s="2996"/>
      <c r="N33" s="3054"/>
      <c r="O33" s="3054"/>
      <c r="P33" s="3054"/>
      <c r="Q33" s="2997"/>
      <c r="R33" s="2997" t="s">
        <v>8</v>
      </c>
    </row>
    <row r="34" spans="1:32" s="3060" customFormat="1" ht="38.25" customHeight="1" thickTop="1" thickBot="1" x14ac:dyDescent="0.3">
      <c r="A34" s="3956" t="s">
        <v>5054</v>
      </c>
      <c r="B34" s="3957"/>
      <c r="C34" s="3056" t="s">
        <v>5028</v>
      </c>
      <c r="D34" s="3056" t="s">
        <v>5029</v>
      </c>
      <c r="E34" s="3056" t="s">
        <v>5030</v>
      </c>
      <c r="F34" s="3056" t="s">
        <v>5031</v>
      </c>
      <c r="G34" s="3056" t="s">
        <v>5032</v>
      </c>
      <c r="H34" s="3056" t="s">
        <v>5033</v>
      </c>
      <c r="I34" s="3056" t="s">
        <v>5034</v>
      </c>
      <c r="J34" s="3056" t="s">
        <v>5035</v>
      </c>
      <c r="K34" s="3056" t="s">
        <v>1282</v>
      </c>
      <c r="L34" s="3056" t="s">
        <v>1294</v>
      </c>
      <c r="M34" s="3056" t="s">
        <v>1295</v>
      </c>
      <c r="N34" s="3056" t="s">
        <v>5055</v>
      </c>
      <c r="O34" s="3057" t="s">
        <v>5036</v>
      </c>
      <c r="P34" s="3057" t="s">
        <v>5037</v>
      </c>
      <c r="Q34" s="3058" t="s">
        <v>5038</v>
      </c>
      <c r="R34" s="3059" t="s">
        <v>5039</v>
      </c>
      <c r="S34" s="2863"/>
      <c r="T34" s="3024"/>
      <c r="U34" s="2863"/>
      <c r="V34" s="2863"/>
      <c r="W34" s="2863"/>
      <c r="X34" s="2863"/>
      <c r="Y34" s="2863"/>
      <c r="Z34" s="2863"/>
      <c r="AA34" s="2863"/>
      <c r="AB34" s="2863"/>
      <c r="AC34" s="2863"/>
      <c r="AD34" s="2863"/>
      <c r="AE34" s="2863"/>
      <c r="AF34" s="2863"/>
    </row>
    <row r="35" spans="1:32" s="3060" customFormat="1" ht="17.25" customHeight="1" x14ac:dyDescent="0.25">
      <c r="A35" s="3061" t="s">
        <v>5056</v>
      </c>
      <c r="B35" s="3062"/>
      <c r="C35" s="3063">
        <f>C36+C48+C67</f>
        <v>7222.4856000000009</v>
      </c>
      <c r="D35" s="3063">
        <f>D36+D48+D67</f>
        <v>11513.725</v>
      </c>
      <c r="E35" s="3063">
        <f>E36+E48+E67</f>
        <v>11419.01</v>
      </c>
      <c r="F35" s="3063">
        <f>F36+F48+F67</f>
        <v>8792.7000000000007</v>
      </c>
      <c r="G35" s="3063">
        <f>G36+G48+G67-1</f>
        <v>13947.599999999999</v>
      </c>
      <c r="H35" s="3064">
        <f t="shared" ref="H35:K35" si="1">H36+H48+H67</f>
        <v>12894</v>
      </c>
      <c r="I35" s="3064">
        <f t="shared" si="1"/>
        <v>20373</v>
      </c>
      <c r="J35" s="3064">
        <f t="shared" si="1"/>
        <v>13766</v>
      </c>
      <c r="K35" s="3064">
        <f t="shared" si="1"/>
        <v>18497</v>
      </c>
      <c r="L35" s="3064">
        <f>L36+L48+L67</f>
        <v>13726</v>
      </c>
      <c r="M35" s="3064">
        <f>M36+M48+M67</f>
        <v>18161</v>
      </c>
      <c r="N35" s="3064">
        <f>N36+N48+N67</f>
        <v>22342</v>
      </c>
      <c r="O35" s="3065">
        <f>O36+O48+O67</f>
        <v>20045</v>
      </c>
      <c r="P35" s="3065">
        <v>22289</v>
      </c>
      <c r="Q35" s="3066">
        <v>14193.3</v>
      </c>
      <c r="R35" s="3067">
        <v>2032.3999999999999</v>
      </c>
      <c r="S35" s="2863"/>
      <c r="T35" s="3024"/>
      <c r="U35" s="2863"/>
      <c r="V35" s="2863"/>
      <c r="W35" s="2863"/>
      <c r="X35" s="2863"/>
      <c r="Y35" s="2863"/>
      <c r="Z35" s="2863"/>
      <c r="AA35" s="2863"/>
      <c r="AB35" s="2863"/>
      <c r="AC35" s="2863"/>
      <c r="AD35" s="2863"/>
      <c r="AE35" s="2863"/>
      <c r="AF35" s="2863"/>
    </row>
    <row r="36" spans="1:32" s="3060" customFormat="1" ht="17.25" customHeight="1" x14ac:dyDescent="0.25">
      <c r="A36" s="3068" t="s">
        <v>5057</v>
      </c>
      <c r="B36" s="3069"/>
      <c r="C36" s="3063">
        <f>C37+C46</f>
        <v>5504.7936000000009</v>
      </c>
      <c r="D36" s="3063">
        <f>D37+D46</f>
        <v>8315.7540000000008</v>
      </c>
      <c r="E36" s="3063">
        <f>E37+E46</f>
        <v>5739.54</v>
      </c>
      <c r="F36" s="3063">
        <f>F37+F46</f>
        <v>6187.2000000000007</v>
      </c>
      <c r="G36" s="3063">
        <f>G37+G46+1</f>
        <v>7952.28</v>
      </c>
      <c r="H36" s="3063">
        <f t="shared" ref="H36:M36" si="2">H37+H46</f>
        <v>7637</v>
      </c>
      <c r="I36" s="3063">
        <f t="shared" si="2"/>
        <v>10493</v>
      </c>
      <c r="J36" s="3063">
        <f t="shared" si="2"/>
        <v>7429</v>
      </c>
      <c r="K36" s="3063">
        <f t="shared" si="2"/>
        <v>11841</v>
      </c>
      <c r="L36" s="3063">
        <f t="shared" si="2"/>
        <v>8512</v>
      </c>
      <c r="M36" s="3063">
        <f t="shared" si="2"/>
        <v>9340</v>
      </c>
      <c r="N36" s="3063">
        <v>15553</v>
      </c>
      <c r="O36" s="3070">
        <f t="shared" ref="O36" si="3">O37+O46</f>
        <v>12367</v>
      </c>
      <c r="P36" s="3070">
        <v>13211</v>
      </c>
      <c r="Q36" s="3071">
        <v>8268</v>
      </c>
      <c r="R36" s="3072">
        <v>1207.5999999999999</v>
      </c>
      <c r="S36" s="2863"/>
      <c r="T36" s="3024"/>
      <c r="U36" s="2863"/>
      <c r="V36" s="2863"/>
      <c r="W36" s="2863"/>
      <c r="X36" s="2863"/>
      <c r="Y36" s="2863"/>
      <c r="Z36" s="2863"/>
      <c r="AA36" s="2863"/>
      <c r="AB36" s="2863"/>
      <c r="AC36" s="2863"/>
      <c r="AD36" s="2863"/>
      <c r="AE36" s="2863"/>
      <c r="AF36" s="2863"/>
    </row>
    <row r="37" spans="1:32" s="3060" customFormat="1" ht="17.25" customHeight="1" x14ac:dyDescent="0.25">
      <c r="A37" s="3968" t="s">
        <v>5058</v>
      </c>
      <c r="B37" s="3969"/>
      <c r="C37" s="3073">
        <f t="shared" ref="C37:G37" si="4">C38+C44+C45</f>
        <v>5338.2786000000006</v>
      </c>
      <c r="D37" s="3073">
        <f t="shared" si="4"/>
        <v>5936.2070000000012</v>
      </c>
      <c r="E37" s="3073">
        <f t="shared" si="4"/>
        <v>4676.33</v>
      </c>
      <c r="F37" s="3073">
        <f t="shared" si="4"/>
        <v>5500.1</v>
      </c>
      <c r="G37" s="3073">
        <f t="shared" si="4"/>
        <v>7819.28</v>
      </c>
      <c r="H37" s="3073">
        <f>H38+H44+H45</f>
        <v>7382</v>
      </c>
      <c r="I37" s="3073">
        <f>I38+I44+I45</f>
        <v>10311</v>
      </c>
      <c r="J37" s="3073">
        <f>J38+J44+J45</f>
        <v>7206</v>
      </c>
      <c r="K37" s="3073">
        <v>9709</v>
      </c>
      <c r="L37" s="3073">
        <v>8386</v>
      </c>
      <c r="M37" s="3073">
        <v>8947</v>
      </c>
      <c r="N37" s="3073">
        <v>15382</v>
      </c>
      <c r="O37" s="3074">
        <v>12149</v>
      </c>
      <c r="P37" s="3074">
        <v>12934</v>
      </c>
      <c r="Q37" s="3075">
        <v>7699</v>
      </c>
      <c r="R37" s="3076">
        <v>1093.5999999999999</v>
      </c>
      <c r="S37" s="2863"/>
      <c r="T37" s="3024"/>
      <c r="U37" s="2863"/>
      <c r="V37" s="2863"/>
      <c r="W37" s="2863"/>
      <c r="X37" s="2863"/>
      <c r="Y37" s="2863"/>
      <c r="Z37" s="2863"/>
      <c r="AA37" s="2863"/>
      <c r="AB37" s="2863"/>
      <c r="AC37" s="2863"/>
      <c r="AD37" s="2863"/>
      <c r="AE37" s="2863"/>
      <c r="AF37" s="2863"/>
    </row>
    <row r="38" spans="1:32" s="3060" customFormat="1" ht="17.25" customHeight="1" x14ac:dyDescent="0.25">
      <c r="A38" s="3968" t="s">
        <v>5059</v>
      </c>
      <c r="B38" s="3969"/>
      <c r="C38" s="3073">
        <v>4680.8676000000005</v>
      </c>
      <c r="D38" s="3073">
        <v>4596.8270000000011</v>
      </c>
      <c r="E38" s="3073">
        <v>3747.21</v>
      </c>
      <c r="F38" s="3073">
        <v>4886.7</v>
      </c>
      <c r="G38" s="3073">
        <v>7169.5300000000007</v>
      </c>
      <c r="H38" s="3073">
        <v>7317</v>
      </c>
      <c r="I38" s="3073">
        <v>9884</v>
      </c>
      <c r="J38" s="3073">
        <v>6318</v>
      </c>
      <c r="K38" s="3073">
        <v>9011</v>
      </c>
      <c r="L38" s="3073">
        <v>7498</v>
      </c>
      <c r="M38" s="3073">
        <v>8026</v>
      </c>
      <c r="N38" s="3073">
        <v>14787</v>
      </c>
      <c r="O38" s="3074">
        <v>7877</v>
      </c>
      <c r="P38" s="3074">
        <v>11697</v>
      </c>
      <c r="Q38" s="3075">
        <v>6889</v>
      </c>
      <c r="R38" s="3076">
        <v>973</v>
      </c>
      <c r="S38" s="2863"/>
      <c r="T38" s="3024"/>
      <c r="U38" s="2863"/>
      <c r="V38" s="2863"/>
      <c r="W38" s="2863"/>
      <c r="X38" s="2863"/>
      <c r="Y38" s="2863"/>
      <c r="Z38" s="2863"/>
      <c r="AA38" s="2863"/>
      <c r="AB38" s="2863"/>
      <c r="AC38" s="2863"/>
      <c r="AD38" s="2863"/>
      <c r="AE38" s="2863"/>
      <c r="AF38" s="2863"/>
    </row>
    <row r="39" spans="1:32" s="3060" customFormat="1" ht="17.25" customHeight="1" x14ac:dyDescent="0.25">
      <c r="A39" s="3077" t="s">
        <v>5060</v>
      </c>
      <c r="B39" s="3069"/>
      <c r="C39" s="3073">
        <v>47.320000000000007</v>
      </c>
      <c r="D39" s="3073">
        <v>377.83799999999997</v>
      </c>
      <c r="E39" s="3073">
        <v>75.650000000000006</v>
      </c>
      <c r="F39" s="3073">
        <v>38.099999999999994</v>
      </c>
      <c r="G39" s="3073">
        <v>91.699999999999989</v>
      </c>
      <c r="H39" s="3073">
        <v>93</v>
      </c>
      <c r="I39" s="3073">
        <v>598</v>
      </c>
      <c r="J39" s="3073">
        <v>204</v>
      </c>
      <c r="K39" s="3073">
        <v>77</v>
      </c>
      <c r="L39" s="3073">
        <v>135</v>
      </c>
      <c r="M39" s="3073">
        <v>436</v>
      </c>
      <c r="N39" s="3073">
        <v>318</v>
      </c>
      <c r="O39" s="3074">
        <v>252</v>
      </c>
      <c r="P39" s="3074">
        <v>320</v>
      </c>
      <c r="Q39" s="3075">
        <v>56</v>
      </c>
      <c r="R39" s="3076">
        <v>21</v>
      </c>
      <c r="S39" s="2863"/>
      <c r="T39" s="3024"/>
      <c r="U39" s="2863"/>
      <c r="V39" s="2863"/>
      <c r="W39" s="2863"/>
      <c r="X39" s="2863"/>
      <c r="Y39" s="2863"/>
      <c r="Z39" s="2863"/>
      <c r="AA39" s="2863"/>
      <c r="AB39" s="2863"/>
      <c r="AC39" s="2863"/>
      <c r="AD39" s="2863"/>
      <c r="AE39" s="2863"/>
      <c r="AF39" s="2863"/>
    </row>
    <row r="40" spans="1:32" s="3060" customFormat="1" ht="17.25" customHeight="1" x14ac:dyDescent="0.25">
      <c r="A40" s="3968" t="s">
        <v>5061</v>
      </c>
      <c r="B40" s="3969"/>
      <c r="C40" s="3073">
        <v>34.097999999999999</v>
      </c>
      <c r="D40" s="3073">
        <v>69.441999999999993</v>
      </c>
      <c r="E40" s="3016">
        <v>208.98</v>
      </c>
      <c r="F40" s="3016">
        <v>64.7</v>
      </c>
      <c r="G40" s="3016">
        <v>256.01</v>
      </c>
      <c r="H40" s="3016">
        <v>185</v>
      </c>
      <c r="I40" s="3016">
        <v>365</v>
      </c>
      <c r="J40" s="3016">
        <v>322</v>
      </c>
      <c r="K40" s="3016">
        <v>764</v>
      </c>
      <c r="L40" s="3016">
        <v>855</v>
      </c>
      <c r="M40" s="3016">
        <v>223</v>
      </c>
      <c r="N40" s="3016">
        <v>3329</v>
      </c>
      <c r="O40" s="3019">
        <v>34</v>
      </c>
      <c r="P40" s="3019">
        <v>221</v>
      </c>
      <c r="Q40" s="3078">
        <v>123</v>
      </c>
      <c r="R40" s="3022">
        <v>2</v>
      </c>
      <c r="S40" s="2863"/>
      <c r="T40" s="3024"/>
      <c r="U40" s="2863"/>
      <c r="V40" s="2863"/>
      <c r="W40" s="2863"/>
      <c r="X40" s="2863"/>
      <c r="Y40" s="2863"/>
      <c r="Z40" s="2863"/>
      <c r="AA40" s="2863"/>
      <c r="AB40" s="2863"/>
      <c r="AC40" s="2863"/>
      <c r="AD40" s="2863"/>
      <c r="AE40" s="2863"/>
      <c r="AF40" s="2863"/>
    </row>
    <row r="41" spans="1:32" s="3060" customFormat="1" ht="17.25" customHeight="1" x14ac:dyDescent="0.25">
      <c r="A41" s="3968" t="s">
        <v>5062</v>
      </c>
      <c r="B41" s="3969"/>
      <c r="C41" s="3073">
        <v>522.51099999999997</v>
      </c>
      <c r="D41" s="3073">
        <v>1175.7850000000001</v>
      </c>
      <c r="E41" s="3016">
        <v>1166.77</v>
      </c>
      <c r="F41" s="3016">
        <v>2332.9</v>
      </c>
      <c r="G41" s="3016">
        <v>1598.38</v>
      </c>
      <c r="H41" s="3016">
        <v>4018</v>
      </c>
      <c r="I41" s="3016">
        <v>4282</v>
      </c>
      <c r="J41" s="3016">
        <v>3434</v>
      </c>
      <c r="K41" s="3016">
        <v>3811</v>
      </c>
      <c r="L41" s="3016">
        <v>4099</v>
      </c>
      <c r="M41" s="3016">
        <v>5419</v>
      </c>
      <c r="N41" s="3016">
        <v>5752</v>
      </c>
      <c r="O41" s="3079">
        <v>4077</v>
      </c>
      <c r="P41" s="3079">
        <v>8557</v>
      </c>
      <c r="Q41" s="3080">
        <v>4173</v>
      </c>
      <c r="R41" s="3081">
        <v>668</v>
      </c>
      <c r="S41" s="2863"/>
      <c r="T41" s="3024"/>
      <c r="U41" s="2863"/>
      <c r="V41" s="2863"/>
      <c r="W41" s="2863"/>
      <c r="X41" s="2863"/>
      <c r="Y41" s="2863"/>
      <c r="Z41" s="2863"/>
      <c r="AA41" s="2863"/>
      <c r="AB41" s="2863"/>
      <c r="AC41" s="2863"/>
      <c r="AD41" s="2863"/>
      <c r="AE41" s="2863"/>
      <c r="AF41" s="2863"/>
    </row>
    <row r="42" spans="1:32" s="3060" customFormat="1" ht="17.25" customHeight="1" x14ac:dyDescent="0.25">
      <c r="A42" s="3968" t="s">
        <v>5063</v>
      </c>
      <c r="B42" s="3969"/>
      <c r="C42" s="3073">
        <v>177.024</v>
      </c>
      <c r="D42" s="3073">
        <v>58.642000000000003</v>
      </c>
      <c r="E42" s="3016">
        <v>172.48</v>
      </c>
      <c r="F42" s="3016">
        <v>26.7</v>
      </c>
      <c r="G42" s="3016">
        <v>3</v>
      </c>
      <c r="H42" s="3016">
        <v>11</v>
      </c>
      <c r="I42" s="3016">
        <v>2</v>
      </c>
      <c r="J42" s="3016">
        <v>856</v>
      </c>
      <c r="K42" s="3016">
        <v>1053</v>
      </c>
      <c r="L42" s="3016">
        <v>167</v>
      </c>
      <c r="M42" s="3016">
        <v>177</v>
      </c>
      <c r="N42" s="3016">
        <v>281</v>
      </c>
      <c r="O42" s="3079">
        <v>250</v>
      </c>
      <c r="P42" s="3079">
        <v>467</v>
      </c>
      <c r="Q42" s="3080">
        <v>252</v>
      </c>
      <c r="R42" s="3081">
        <v>36</v>
      </c>
      <c r="S42" s="2863"/>
      <c r="T42" s="3024"/>
      <c r="U42" s="2863"/>
      <c r="V42" s="2863"/>
      <c r="W42" s="2863"/>
      <c r="X42" s="2863"/>
      <c r="Y42" s="2863"/>
      <c r="Z42" s="2863"/>
      <c r="AA42" s="2863"/>
      <c r="AB42" s="2863"/>
      <c r="AC42" s="2863"/>
      <c r="AD42" s="2863"/>
      <c r="AE42" s="2863"/>
      <c r="AF42" s="2863"/>
    </row>
    <row r="43" spans="1:32" s="3060" customFormat="1" ht="17.25" customHeight="1" x14ac:dyDescent="0.25">
      <c r="A43" s="3968" t="s">
        <v>5064</v>
      </c>
      <c r="B43" s="3969"/>
      <c r="C43" s="3073">
        <v>3821.4270000000001</v>
      </c>
      <c r="D43" s="3073">
        <v>2801.83</v>
      </c>
      <c r="E43" s="3016">
        <f>1740.46+260.64+43.01</f>
        <v>2044.11</v>
      </c>
      <c r="F43" s="3016">
        <f>1492.6</f>
        <v>1492.6</v>
      </c>
      <c r="G43" s="3016">
        <f>2396+1131.944+1104.059</f>
        <v>4632.0029999999997</v>
      </c>
      <c r="H43" s="3016">
        <v>2312</v>
      </c>
      <c r="I43" s="3016">
        <v>4076</v>
      </c>
      <c r="J43" s="3016">
        <v>620</v>
      </c>
      <c r="K43" s="3016">
        <v>1106</v>
      </c>
      <c r="L43" s="3016">
        <v>1478</v>
      </c>
      <c r="M43" s="3016">
        <v>825</v>
      </c>
      <c r="N43" s="3016">
        <v>4427</v>
      </c>
      <c r="O43" s="3079">
        <v>2663</v>
      </c>
      <c r="P43" s="3079">
        <v>1172</v>
      </c>
      <c r="Q43" s="3080">
        <v>504</v>
      </c>
      <c r="R43" s="3081">
        <v>128</v>
      </c>
      <c r="S43" s="2863"/>
      <c r="T43" s="3024"/>
      <c r="U43" s="2863"/>
      <c r="V43" s="2863"/>
      <c r="W43" s="2863"/>
      <c r="X43" s="2863"/>
      <c r="Y43" s="2863"/>
      <c r="Z43" s="2863"/>
      <c r="AA43" s="2863"/>
      <c r="AB43" s="2863"/>
      <c r="AC43" s="2863"/>
      <c r="AD43" s="2863"/>
      <c r="AE43" s="2863"/>
      <c r="AF43" s="2863"/>
    </row>
    <row r="44" spans="1:32" s="3060" customFormat="1" ht="17.25" customHeight="1" x14ac:dyDescent="0.25">
      <c r="A44" s="3968" t="s">
        <v>5065</v>
      </c>
      <c r="B44" s="3969"/>
      <c r="C44" s="3073">
        <v>586.03899999999999</v>
      </c>
      <c r="D44" s="3073">
        <v>1286.931</v>
      </c>
      <c r="E44" s="3016">
        <v>606.26</v>
      </c>
      <c r="F44" s="3016">
        <v>448.1</v>
      </c>
      <c r="G44" s="3016">
        <v>590.49</v>
      </c>
      <c r="H44" s="3016">
        <v>56</v>
      </c>
      <c r="I44" s="3016">
        <v>159</v>
      </c>
      <c r="J44" s="3016">
        <v>610</v>
      </c>
      <c r="K44" s="3016">
        <v>573</v>
      </c>
      <c r="L44" s="3016">
        <v>754</v>
      </c>
      <c r="M44" s="3016">
        <v>667</v>
      </c>
      <c r="N44" s="3016">
        <v>336</v>
      </c>
      <c r="O44" s="3079">
        <v>507</v>
      </c>
      <c r="P44" s="3079">
        <v>1034</v>
      </c>
      <c r="Q44" s="3080">
        <v>638</v>
      </c>
      <c r="R44" s="3081">
        <v>111</v>
      </c>
      <c r="S44" s="2863"/>
      <c r="T44" s="3024"/>
      <c r="U44" s="2863"/>
      <c r="V44" s="2863"/>
      <c r="W44" s="2863"/>
      <c r="X44" s="2863"/>
      <c r="Y44" s="2863"/>
      <c r="Z44" s="2863"/>
      <c r="AA44" s="2863"/>
      <c r="AB44" s="2863"/>
      <c r="AC44" s="2863"/>
      <c r="AD44" s="2863"/>
      <c r="AE44" s="2863"/>
      <c r="AF44" s="2863"/>
    </row>
    <row r="45" spans="1:32" s="3060" customFormat="1" ht="17.25" customHeight="1" x14ac:dyDescent="0.25">
      <c r="A45" s="3968" t="s">
        <v>5066</v>
      </c>
      <c r="B45" s="3969"/>
      <c r="C45" s="3073">
        <v>71.372000000000298</v>
      </c>
      <c r="D45" s="3073">
        <v>52.448999999999614</v>
      </c>
      <c r="E45" s="3016">
        <v>322.85999999999967</v>
      </c>
      <c r="F45" s="3016">
        <v>165.30000000000018</v>
      </c>
      <c r="G45" s="3016">
        <v>59.259999999999309</v>
      </c>
      <c r="H45" s="3016">
        <v>9</v>
      </c>
      <c r="I45" s="3016">
        <v>268</v>
      </c>
      <c r="J45" s="3016">
        <v>278</v>
      </c>
      <c r="K45" s="3016">
        <v>125</v>
      </c>
      <c r="L45" s="3016">
        <v>134</v>
      </c>
      <c r="M45" s="3016">
        <v>254</v>
      </c>
      <c r="N45" s="3016">
        <v>259</v>
      </c>
      <c r="O45" s="3082">
        <v>3675</v>
      </c>
      <c r="P45" s="3082">
        <v>202</v>
      </c>
      <c r="Q45" s="3083">
        <v>172</v>
      </c>
      <c r="R45" s="3084">
        <v>9.6</v>
      </c>
      <c r="S45" s="2863"/>
      <c r="T45" s="3024"/>
      <c r="U45" s="2863"/>
      <c r="V45" s="2863"/>
      <c r="W45" s="2863"/>
      <c r="X45" s="2863"/>
      <c r="Y45" s="2863"/>
      <c r="Z45" s="2863"/>
      <c r="AA45" s="2863"/>
      <c r="AB45" s="2863"/>
      <c r="AC45" s="2863"/>
      <c r="AD45" s="2863"/>
      <c r="AE45" s="2863"/>
      <c r="AF45" s="2863"/>
    </row>
    <row r="46" spans="1:32" s="3060" customFormat="1" ht="17.25" customHeight="1" x14ac:dyDescent="0.25">
      <c r="A46" s="3968" t="s">
        <v>5067</v>
      </c>
      <c r="B46" s="3969"/>
      <c r="C46" s="3073">
        <v>166.51499999999999</v>
      </c>
      <c r="D46" s="3073">
        <v>2379.547</v>
      </c>
      <c r="E46" s="3016">
        <f>E47</f>
        <v>1063.21</v>
      </c>
      <c r="F46" s="3016">
        <f>F47+10.6</f>
        <v>687.1</v>
      </c>
      <c r="G46" s="3016">
        <v>132</v>
      </c>
      <c r="H46" s="3016">
        <v>255</v>
      </c>
      <c r="I46" s="3016">
        <v>182</v>
      </c>
      <c r="J46" s="3016">
        <f>J47+4</f>
        <v>223</v>
      </c>
      <c r="K46" s="3016">
        <v>2132</v>
      </c>
      <c r="L46" s="3016">
        <v>126</v>
      </c>
      <c r="M46" s="3016">
        <v>393</v>
      </c>
      <c r="N46" s="3016">
        <v>171</v>
      </c>
      <c r="O46" s="3079">
        <v>218</v>
      </c>
      <c r="P46" s="3079">
        <v>277</v>
      </c>
      <c r="Q46" s="3080">
        <v>569</v>
      </c>
      <c r="R46" s="3081">
        <v>114</v>
      </c>
      <c r="S46" s="2863"/>
      <c r="T46" s="3024"/>
      <c r="U46" s="2863"/>
      <c r="V46" s="2863"/>
      <c r="W46" s="2863"/>
      <c r="X46" s="2863"/>
      <c r="Y46" s="2863"/>
      <c r="Z46" s="2863"/>
      <c r="AA46" s="2863"/>
      <c r="AB46" s="2863"/>
      <c r="AC46" s="2863"/>
      <c r="AD46" s="2863"/>
      <c r="AE46" s="2863"/>
      <c r="AF46" s="2863"/>
    </row>
    <row r="47" spans="1:32" s="3060" customFormat="1" ht="17.25" customHeight="1" x14ac:dyDescent="0.25">
      <c r="A47" s="3968" t="s">
        <v>5068</v>
      </c>
      <c r="B47" s="3969"/>
      <c r="C47" s="3073">
        <v>163.309</v>
      </c>
      <c r="D47" s="3073">
        <v>2379.547</v>
      </c>
      <c r="E47" s="3016">
        <v>1063.21</v>
      </c>
      <c r="F47" s="3016">
        <v>676.5</v>
      </c>
      <c r="G47" s="3016">
        <v>132</v>
      </c>
      <c r="H47" s="3016">
        <v>230</v>
      </c>
      <c r="I47" s="3016">
        <v>175</v>
      </c>
      <c r="J47" s="3016">
        <v>219</v>
      </c>
      <c r="K47" s="3016">
        <v>1732</v>
      </c>
      <c r="L47" s="3016">
        <v>123</v>
      </c>
      <c r="M47" s="3016">
        <v>340</v>
      </c>
      <c r="N47" s="3016">
        <v>140</v>
      </c>
      <c r="O47" s="3079">
        <v>204</v>
      </c>
      <c r="P47" s="3079">
        <v>205</v>
      </c>
      <c r="Q47" s="3080">
        <v>549</v>
      </c>
      <c r="R47" s="3081">
        <v>105</v>
      </c>
      <c r="S47" s="2863"/>
      <c r="T47" s="3024"/>
      <c r="U47" s="2863"/>
      <c r="V47" s="2863"/>
      <c r="W47" s="2863"/>
      <c r="X47" s="2863"/>
      <c r="Y47" s="2863"/>
      <c r="Z47" s="2863"/>
      <c r="AA47" s="2863"/>
      <c r="AB47" s="2863"/>
      <c r="AC47" s="2863"/>
      <c r="AD47" s="2863"/>
      <c r="AE47" s="2863"/>
      <c r="AF47" s="2863"/>
    </row>
    <row r="48" spans="1:32" s="3060" customFormat="1" ht="17.25" customHeight="1" x14ac:dyDescent="0.25">
      <c r="A48" s="3068" t="s">
        <v>5069</v>
      </c>
      <c r="B48" s="3069"/>
      <c r="C48" s="3063">
        <f>C49+C53+C56</f>
        <v>1685.3969999999999</v>
      </c>
      <c r="D48" s="3063">
        <f>D49+D53+D56</f>
        <v>3196.002</v>
      </c>
      <c r="E48" s="3063">
        <f>E49+E53+E56</f>
        <v>5679.47</v>
      </c>
      <c r="F48" s="3063">
        <f>F49+F53+F56-1</f>
        <v>2605.5</v>
      </c>
      <c r="G48" s="3063">
        <f t="shared" ref="G48:J48" si="5">G49+G53+G56</f>
        <v>5996.32</v>
      </c>
      <c r="H48" s="3063">
        <f t="shared" si="5"/>
        <v>5257</v>
      </c>
      <c r="I48" s="3063">
        <f>I49+I53+I56</f>
        <v>9854</v>
      </c>
      <c r="J48" s="3063">
        <f t="shared" si="5"/>
        <v>6274</v>
      </c>
      <c r="K48" s="3063">
        <f>K49+K53+K56</f>
        <v>6656</v>
      </c>
      <c r="L48" s="3063">
        <f>L49+L53+L56</f>
        <v>5211</v>
      </c>
      <c r="M48" s="3063">
        <f>M49+M53+M56</f>
        <v>8817</v>
      </c>
      <c r="N48" s="3063">
        <v>6789</v>
      </c>
      <c r="O48" s="3070">
        <f t="shared" ref="O48" si="6">O49+O53+O56</f>
        <v>7678</v>
      </c>
      <c r="P48" s="3070">
        <v>9016</v>
      </c>
      <c r="Q48" s="3071">
        <v>3425.3</v>
      </c>
      <c r="R48" s="3072">
        <v>823.5</v>
      </c>
      <c r="S48" s="2863"/>
      <c r="T48" s="3024"/>
      <c r="U48" s="2863"/>
      <c r="V48" s="2863"/>
      <c r="W48" s="2863"/>
      <c r="X48" s="2863"/>
      <c r="Y48" s="2863"/>
      <c r="Z48" s="2863"/>
      <c r="AA48" s="2863"/>
      <c r="AB48" s="2863"/>
      <c r="AC48" s="2863"/>
      <c r="AD48" s="2863"/>
      <c r="AE48" s="2863"/>
      <c r="AF48" s="2863"/>
    </row>
    <row r="49" spans="1:32" s="3060" customFormat="1" ht="17.25" customHeight="1" x14ac:dyDescent="0.25">
      <c r="A49" s="3968" t="s">
        <v>5070</v>
      </c>
      <c r="B49" s="3969"/>
      <c r="C49" s="3073">
        <f t="shared" ref="C49:G49" si="7">C50+C51+C52</f>
        <v>295.935</v>
      </c>
      <c r="D49" s="3073">
        <f t="shared" si="7"/>
        <v>1123.9349999999999</v>
      </c>
      <c r="E49" s="3073">
        <f t="shared" si="7"/>
        <v>1929.06</v>
      </c>
      <c r="F49" s="3073">
        <f t="shared" si="7"/>
        <v>1056.0999999999999</v>
      </c>
      <c r="G49" s="3073">
        <f t="shared" si="7"/>
        <v>2019.2</v>
      </c>
      <c r="H49" s="3016">
        <f>H50+H51+H52</f>
        <v>3570</v>
      </c>
      <c r="I49" s="3016">
        <f>I50+I51+I52</f>
        <v>5802</v>
      </c>
      <c r="J49" s="3016">
        <v>2456</v>
      </c>
      <c r="K49" s="3016">
        <f>K50+K51+K52</f>
        <v>2269</v>
      </c>
      <c r="L49" s="3016">
        <f>L50+L51+L52</f>
        <v>3160</v>
      </c>
      <c r="M49" s="3016">
        <f>M50+M51+M52</f>
        <v>3294</v>
      </c>
      <c r="N49" s="3016">
        <v>2766</v>
      </c>
      <c r="O49" s="3079">
        <f t="shared" ref="O49" si="8">O50+O51+O52</f>
        <v>3532</v>
      </c>
      <c r="P49" s="3079">
        <v>5616</v>
      </c>
      <c r="Q49" s="3080">
        <v>1970.3</v>
      </c>
      <c r="R49" s="3081">
        <v>547.30000000000007</v>
      </c>
      <c r="S49" s="2863"/>
      <c r="T49" s="3024"/>
      <c r="U49" s="2863"/>
      <c r="V49" s="2863"/>
      <c r="W49" s="2863"/>
      <c r="X49" s="2863"/>
      <c r="Y49" s="2863"/>
      <c r="Z49" s="2863"/>
      <c r="AA49" s="2863"/>
      <c r="AB49" s="2863"/>
      <c r="AC49" s="2863"/>
      <c r="AD49" s="2863"/>
      <c r="AE49" s="2863"/>
      <c r="AF49" s="2863"/>
    </row>
    <row r="50" spans="1:32" s="3060" customFormat="1" ht="17.25" customHeight="1" x14ac:dyDescent="0.25">
      <c r="A50" s="3968" t="s">
        <v>5071</v>
      </c>
      <c r="B50" s="3969"/>
      <c r="C50" s="3073">
        <v>126.605</v>
      </c>
      <c r="D50" s="3073">
        <v>577.41300000000001</v>
      </c>
      <c r="E50" s="3016">
        <v>48.98</v>
      </c>
      <c r="F50" s="3016">
        <v>196.3</v>
      </c>
      <c r="G50" s="3016">
        <v>135.30000000000001</v>
      </c>
      <c r="H50" s="3016">
        <v>246</v>
      </c>
      <c r="I50" s="3016">
        <v>146</v>
      </c>
      <c r="J50" s="3016">
        <v>168</v>
      </c>
      <c r="K50" s="3016">
        <v>141</v>
      </c>
      <c r="L50" s="3016">
        <v>185</v>
      </c>
      <c r="M50" s="3016">
        <v>200</v>
      </c>
      <c r="N50" s="3016">
        <v>172</v>
      </c>
      <c r="O50" s="3079">
        <v>142</v>
      </c>
      <c r="P50" s="3079">
        <v>143</v>
      </c>
      <c r="Q50" s="3080">
        <v>10.7</v>
      </c>
      <c r="R50" s="3022">
        <v>1</v>
      </c>
      <c r="S50" s="2863"/>
      <c r="T50" s="3024"/>
      <c r="U50" s="2863"/>
      <c r="V50" s="2863"/>
      <c r="W50" s="2863"/>
      <c r="X50" s="2863"/>
      <c r="Y50" s="2863"/>
      <c r="Z50" s="2863"/>
      <c r="AA50" s="2863"/>
      <c r="AB50" s="2863"/>
      <c r="AC50" s="2863"/>
      <c r="AD50" s="2863"/>
      <c r="AE50" s="2863"/>
      <c r="AF50" s="2863"/>
    </row>
    <row r="51" spans="1:32" s="3060" customFormat="1" ht="17.25" customHeight="1" x14ac:dyDescent="0.25">
      <c r="A51" s="3968" t="s">
        <v>5072</v>
      </c>
      <c r="B51" s="3969"/>
      <c r="C51" s="3073">
        <v>38.293999999999997</v>
      </c>
      <c r="D51" s="3073">
        <v>497.54300000000001</v>
      </c>
      <c r="E51" s="3016">
        <v>1414.77</v>
      </c>
      <c r="F51" s="3016">
        <v>509.7</v>
      </c>
      <c r="G51" s="3016">
        <v>1468.47</v>
      </c>
      <c r="H51" s="3016">
        <v>3006</v>
      </c>
      <c r="I51" s="3016">
        <v>5343</v>
      </c>
      <c r="J51" s="3016">
        <v>1851</v>
      </c>
      <c r="K51" s="3016">
        <v>1530</v>
      </c>
      <c r="L51" s="3016">
        <v>1999</v>
      </c>
      <c r="M51" s="3016">
        <v>2453</v>
      </c>
      <c r="N51" s="3016">
        <v>2122</v>
      </c>
      <c r="O51" s="3079">
        <v>2562</v>
      </c>
      <c r="P51" s="3079">
        <v>4527</v>
      </c>
      <c r="Q51" s="3080">
        <v>1539.6</v>
      </c>
      <c r="R51" s="3081">
        <v>498.6</v>
      </c>
      <c r="S51" s="2863"/>
      <c r="T51" s="3024"/>
      <c r="U51" s="2863"/>
      <c r="V51" s="2863"/>
      <c r="W51" s="2863"/>
      <c r="X51" s="2863"/>
      <c r="Y51" s="2863"/>
      <c r="Z51" s="2863"/>
      <c r="AA51" s="2863"/>
      <c r="AB51" s="2863"/>
      <c r="AC51" s="2863"/>
      <c r="AD51" s="2863"/>
      <c r="AE51" s="2863"/>
      <c r="AF51" s="2863"/>
    </row>
    <row r="52" spans="1:32" s="3060" customFormat="1" ht="17.25" customHeight="1" x14ac:dyDescent="0.25">
      <c r="A52" s="3968" t="s">
        <v>5073</v>
      </c>
      <c r="B52" s="3969"/>
      <c r="C52" s="3073">
        <v>131.036</v>
      </c>
      <c r="D52" s="3073">
        <v>48.978999999999928</v>
      </c>
      <c r="E52" s="3073">
        <v>465.30999999999995</v>
      </c>
      <c r="F52" s="3073">
        <v>350.09999999999997</v>
      </c>
      <c r="G52" s="3073">
        <v>415.43000000000006</v>
      </c>
      <c r="H52" s="3016">
        <v>318</v>
      </c>
      <c r="I52" s="3016">
        <v>313</v>
      </c>
      <c r="J52" s="3016">
        <v>435</v>
      </c>
      <c r="K52" s="3016">
        <v>598</v>
      </c>
      <c r="L52" s="3016">
        <v>976</v>
      </c>
      <c r="M52" s="3016">
        <v>641</v>
      </c>
      <c r="N52" s="3016">
        <v>472</v>
      </c>
      <c r="O52" s="3079">
        <v>828</v>
      </c>
      <c r="P52" s="3079">
        <v>946</v>
      </c>
      <c r="Q52" s="3080">
        <v>420</v>
      </c>
      <c r="R52" s="3081">
        <v>47.7</v>
      </c>
      <c r="S52" s="2863"/>
      <c r="T52" s="3024"/>
      <c r="U52" s="2863"/>
      <c r="V52" s="2863"/>
      <c r="W52" s="2863"/>
      <c r="X52" s="2863"/>
      <c r="Y52" s="2863"/>
      <c r="Z52" s="2863"/>
      <c r="AA52" s="2863"/>
      <c r="AB52" s="2863"/>
      <c r="AC52" s="2863"/>
      <c r="AD52" s="2863"/>
      <c r="AE52" s="2863"/>
      <c r="AF52" s="2863"/>
    </row>
    <row r="53" spans="1:32" s="3060" customFormat="1" ht="17.25" customHeight="1" x14ac:dyDescent="0.25">
      <c r="A53" s="3968" t="s">
        <v>5074</v>
      </c>
      <c r="B53" s="3969"/>
      <c r="C53" s="3073">
        <v>45.253</v>
      </c>
      <c r="D53" s="3073">
        <v>25.31</v>
      </c>
      <c r="E53" s="3016">
        <f>E54+43.56+52.26+E55</f>
        <v>553.04000000000008</v>
      </c>
      <c r="F53" s="3016">
        <f>F54+85.6+F55</f>
        <v>121.4</v>
      </c>
      <c r="G53" s="3016">
        <v>69</v>
      </c>
      <c r="H53" s="3016">
        <f t="shared" ref="H53:M53" si="9">H54+H55</f>
        <v>189</v>
      </c>
      <c r="I53" s="3016">
        <f t="shared" si="9"/>
        <v>19</v>
      </c>
      <c r="J53" s="3016">
        <f t="shared" si="9"/>
        <v>97</v>
      </c>
      <c r="K53" s="3016">
        <f t="shared" si="9"/>
        <v>913</v>
      </c>
      <c r="L53" s="3016">
        <f t="shared" si="9"/>
        <v>108</v>
      </c>
      <c r="M53" s="3016">
        <f t="shared" si="9"/>
        <v>443</v>
      </c>
      <c r="N53" s="3016">
        <v>511</v>
      </c>
      <c r="O53" s="3079">
        <v>226</v>
      </c>
      <c r="P53" s="3079">
        <v>276</v>
      </c>
      <c r="Q53" s="3080">
        <v>78</v>
      </c>
      <c r="R53" s="3081">
        <v>6.9</v>
      </c>
      <c r="S53" s="2863"/>
      <c r="T53" s="3024"/>
      <c r="U53" s="2863"/>
      <c r="V53" s="2863"/>
      <c r="W53" s="2863"/>
      <c r="X53" s="2863"/>
      <c r="Y53" s="2863"/>
      <c r="Z53" s="2863"/>
      <c r="AA53" s="2863"/>
      <c r="AB53" s="2863"/>
      <c r="AC53" s="2863"/>
      <c r="AD53" s="2863"/>
      <c r="AE53" s="2863"/>
      <c r="AF53" s="2863"/>
    </row>
    <row r="54" spans="1:32" s="3060" customFormat="1" ht="17.25" customHeight="1" x14ac:dyDescent="0.25">
      <c r="A54" s="3968" t="s">
        <v>5075</v>
      </c>
      <c r="B54" s="3969"/>
      <c r="C54" s="3073" t="s">
        <v>5040</v>
      </c>
      <c r="D54" s="3073" t="s">
        <v>5040</v>
      </c>
      <c r="E54" s="3016">
        <v>448</v>
      </c>
      <c r="F54" s="3016">
        <v>3</v>
      </c>
      <c r="G54" s="3073" t="s">
        <v>5040</v>
      </c>
      <c r="H54" s="3016">
        <v>176</v>
      </c>
      <c r="I54" s="3017">
        <v>0</v>
      </c>
      <c r="J54" s="3016">
        <v>1</v>
      </c>
      <c r="K54" s="3016">
        <v>12</v>
      </c>
      <c r="L54" s="3017">
        <v>0</v>
      </c>
      <c r="M54" s="3017">
        <v>1</v>
      </c>
      <c r="N54" s="3017">
        <v>0</v>
      </c>
      <c r="O54" s="3019">
        <v>0</v>
      </c>
      <c r="P54" s="3019">
        <v>0</v>
      </c>
      <c r="Q54" s="3078">
        <v>0</v>
      </c>
      <c r="R54" s="3022">
        <v>0</v>
      </c>
      <c r="S54" s="2863"/>
      <c r="T54" s="3024"/>
      <c r="U54" s="2863"/>
      <c r="V54" s="2863"/>
      <c r="W54" s="2863"/>
      <c r="X54" s="2863"/>
      <c r="Y54" s="2863"/>
      <c r="Z54" s="2863"/>
      <c r="AA54" s="2863"/>
      <c r="AB54" s="2863"/>
      <c r="AC54" s="2863"/>
      <c r="AD54" s="2863"/>
      <c r="AE54" s="2863"/>
      <c r="AF54" s="2863"/>
    </row>
    <row r="55" spans="1:32" s="3060" customFormat="1" ht="17.25" customHeight="1" x14ac:dyDescent="0.25">
      <c r="A55" s="3968" t="s">
        <v>5076</v>
      </c>
      <c r="B55" s="3969"/>
      <c r="C55" s="3073">
        <v>12.635999999999999</v>
      </c>
      <c r="D55" s="3073" t="s">
        <v>5040</v>
      </c>
      <c r="E55" s="3016">
        <v>9.2200000000000006</v>
      </c>
      <c r="F55" s="3016">
        <v>32.800000000000004</v>
      </c>
      <c r="G55" s="3016">
        <v>5</v>
      </c>
      <c r="H55" s="3016">
        <v>13</v>
      </c>
      <c r="I55" s="3016">
        <v>19</v>
      </c>
      <c r="J55" s="3016">
        <v>96</v>
      </c>
      <c r="K55" s="3016">
        <v>901</v>
      </c>
      <c r="L55" s="3016">
        <v>108</v>
      </c>
      <c r="M55" s="3016">
        <v>442</v>
      </c>
      <c r="N55" s="3016">
        <v>511</v>
      </c>
      <c r="O55" s="3019">
        <v>226</v>
      </c>
      <c r="P55" s="3019">
        <v>276</v>
      </c>
      <c r="Q55" s="3078">
        <v>78</v>
      </c>
      <c r="R55" s="3022">
        <v>6.9</v>
      </c>
      <c r="S55" s="2863"/>
      <c r="T55" s="3024"/>
      <c r="U55" s="2863"/>
      <c r="V55" s="2863"/>
      <c r="W55" s="2863"/>
      <c r="X55" s="2863"/>
      <c r="Y55" s="2863"/>
      <c r="Z55" s="2863"/>
      <c r="AA55" s="2863"/>
      <c r="AB55" s="2863"/>
      <c r="AC55" s="2863"/>
      <c r="AD55" s="2863"/>
      <c r="AE55" s="2863"/>
      <c r="AF55" s="2863"/>
    </row>
    <row r="56" spans="1:32" s="3086" customFormat="1" ht="17.25" customHeight="1" x14ac:dyDescent="0.25">
      <c r="A56" s="3968" t="s">
        <v>5077</v>
      </c>
      <c r="B56" s="3969"/>
      <c r="C56" s="3073">
        <v>1344.2090000000001</v>
      </c>
      <c r="D56" s="3073">
        <v>2046.7570000000001</v>
      </c>
      <c r="E56" s="3016">
        <f>E57+14.36+4.01</f>
        <v>3197.3700000000003</v>
      </c>
      <c r="F56" s="3016">
        <f>F57+2</f>
        <v>1429</v>
      </c>
      <c r="G56" s="3016">
        <v>3908.12</v>
      </c>
      <c r="H56" s="3016">
        <f t="shared" ref="H56:M56" si="10">H57+H66</f>
        <v>1498</v>
      </c>
      <c r="I56" s="3016">
        <f t="shared" si="10"/>
        <v>4033</v>
      </c>
      <c r="J56" s="3016">
        <f t="shared" si="10"/>
        <v>3721</v>
      </c>
      <c r="K56" s="3016">
        <f t="shared" si="10"/>
        <v>3474</v>
      </c>
      <c r="L56" s="3016">
        <f t="shared" si="10"/>
        <v>1943</v>
      </c>
      <c r="M56" s="3016">
        <f t="shared" si="10"/>
        <v>5080</v>
      </c>
      <c r="N56" s="3016">
        <v>3512</v>
      </c>
      <c r="O56" s="3079">
        <v>3920</v>
      </c>
      <c r="P56" s="3079">
        <v>3124</v>
      </c>
      <c r="Q56" s="3080">
        <v>1377</v>
      </c>
      <c r="R56" s="3081">
        <v>269</v>
      </c>
      <c r="S56" s="3085"/>
      <c r="T56" s="3024"/>
      <c r="U56" s="3085"/>
      <c r="V56" s="3085"/>
      <c r="W56" s="3085"/>
      <c r="X56" s="3085"/>
      <c r="Y56" s="3085"/>
      <c r="Z56" s="3085"/>
      <c r="AA56" s="3085"/>
      <c r="AB56" s="3085"/>
      <c r="AC56" s="3085"/>
      <c r="AD56" s="3085"/>
      <c r="AE56" s="3085"/>
      <c r="AF56" s="3085"/>
    </row>
    <row r="57" spans="1:32" s="3060" customFormat="1" ht="17.25" customHeight="1" x14ac:dyDescent="0.25">
      <c r="A57" s="3968" t="s">
        <v>5078</v>
      </c>
      <c r="B57" s="3969"/>
      <c r="C57" s="3073">
        <v>1322</v>
      </c>
      <c r="D57" s="3073">
        <v>1971</v>
      </c>
      <c r="E57" s="3073">
        <v>3179</v>
      </c>
      <c r="F57" s="3073">
        <v>1427</v>
      </c>
      <c r="G57" s="3073">
        <v>3905</v>
      </c>
      <c r="H57" s="3073">
        <f t="shared" ref="H57:M57" si="11">H58+H60</f>
        <v>1347</v>
      </c>
      <c r="I57" s="3073">
        <f t="shared" si="11"/>
        <v>4030</v>
      </c>
      <c r="J57" s="3073">
        <f t="shared" si="11"/>
        <v>3586</v>
      </c>
      <c r="K57" s="3073">
        <f t="shared" si="11"/>
        <v>3455</v>
      </c>
      <c r="L57" s="3073">
        <f t="shared" si="11"/>
        <v>1913</v>
      </c>
      <c r="M57" s="3073">
        <f t="shared" si="11"/>
        <v>5009</v>
      </c>
      <c r="N57" s="3073">
        <v>3486</v>
      </c>
      <c r="O57" s="3074">
        <v>3876</v>
      </c>
      <c r="P57" s="3074">
        <v>2923</v>
      </c>
      <c r="Q57" s="3075">
        <v>1367</v>
      </c>
      <c r="R57" s="3076">
        <v>266</v>
      </c>
      <c r="S57" s="2863"/>
      <c r="T57" s="3024"/>
      <c r="U57" s="2863"/>
      <c r="V57" s="2863"/>
      <c r="W57" s="2863"/>
      <c r="X57" s="2863"/>
      <c r="Y57" s="2863"/>
      <c r="Z57" s="2863"/>
      <c r="AA57" s="2863"/>
      <c r="AB57" s="2863"/>
      <c r="AC57" s="2863"/>
      <c r="AD57" s="2863"/>
      <c r="AE57" s="2863"/>
      <c r="AF57" s="2863"/>
    </row>
    <row r="58" spans="1:32" s="3086" customFormat="1" ht="17.25" customHeight="1" x14ac:dyDescent="0.25">
      <c r="A58" s="3968" t="s">
        <v>5079</v>
      </c>
      <c r="B58" s="3969"/>
      <c r="C58" s="3073">
        <v>998.47400000000005</v>
      </c>
      <c r="D58" s="3073">
        <v>1284.694</v>
      </c>
      <c r="E58" s="3016">
        <f>E59+90.33</f>
        <v>937.30000000000007</v>
      </c>
      <c r="F58" s="3016">
        <f>F59</f>
        <v>382.1</v>
      </c>
      <c r="G58" s="3016">
        <v>338</v>
      </c>
      <c r="H58" s="3016">
        <v>393</v>
      </c>
      <c r="I58" s="3016">
        <v>361</v>
      </c>
      <c r="J58" s="3016">
        <v>555</v>
      </c>
      <c r="K58" s="3016">
        <v>636</v>
      </c>
      <c r="L58" s="3016">
        <v>296</v>
      </c>
      <c r="M58" s="3016">
        <v>1478</v>
      </c>
      <c r="N58" s="3016">
        <v>853</v>
      </c>
      <c r="O58" s="3079">
        <v>781</v>
      </c>
      <c r="P58" s="3079">
        <v>743</v>
      </c>
      <c r="Q58" s="3080">
        <v>290</v>
      </c>
      <c r="R58" s="3081">
        <v>210</v>
      </c>
      <c r="S58" s="3085"/>
      <c r="T58" s="3024"/>
      <c r="U58" s="3085"/>
      <c r="V58" s="3085"/>
      <c r="W58" s="3085"/>
      <c r="X58" s="3085"/>
      <c r="Y58" s="3085"/>
      <c r="Z58" s="3085"/>
      <c r="AA58" s="3085"/>
      <c r="AB58" s="3085"/>
      <c r="AC58" s="3085"/>
      <c r="AD58" s="3085"/>
      <c r="AE58" s="3085"/>
      <c r="AF58" s="3085"/>
    </row>
    <row r="59" spans="1:32" s="3060" customFormat="1" ht="17.25" customHeight="1" x14ac:dyDescent="0.25">
      <c r="A59" s="3968" t="s">
        <v>5080</v>
      </c>
      <c r="B59" s="3969"/>
      <c r="C59" s="3073">
        <v>113.974</v>
      </c>
      <c r="D59" s="3073">
        <v>1284.694</v>
      </c>
      <c r="E59" s="3016">
        <v>846.97</v>
      </c>
      <c r="F59" s="3016">
        <v>382.1</v>
      </c>
      <c r="G59" s="3016">
        <v>338</v>
      </c>
      <c r="H59" s="3016">
        <v>393</v>
      </c>
      <c r="I59" s="3016">
        <v>336</v>
      </c>
      <c r="J59" s="3016">
        <v>488</v>
      </c>
      <c r="K59" s="3016">
        <v>617</v>
      </c>
      <c r="L59" s="3016">
        <v>159</v>
      </c>
      <c r="M59" s="3016">
        <v>1382</v>
      </c>
      <c r="N59" s="3016">
        <v>808</v>
      </c>
      <c r="O59" s="3074">
        <v>703</v>
      </c>
      <c r="P59" s="3074">
        <v>649</v>
      </c>
      <c r="Q59" s="3075">
        <v>278</v>
      </c>
      <c r="R59" s="3076">
        <v>209</v>
      </c>
      <c r="S59" s="2863"/>
      <c r="T59" s="3024"/>
      <c r="U59" s="2863"/>
      <c r="V59" s="2863"/>
      <c r="W59" s="2863"/>
      <c r="X59" s="2863"/>
      <c r="Y59" s="2863"/>
      <c r="Z59" s="2863"/>
      <c r="AA59" s="2863"/>
      <c r="AB59" s="2863"/>
      <c r="AC59" s="2863"/>
      <c r="AD59" s="2863"/>
      <c r="AE59" s="2863"/>
      <c r="AF59" s="2863"/>
    </row>
    <row r="60" spans="1:32" s="3060" customFormat="1" ht="17.25" customHeight="1" x14ac:dyDescent="0.25">
      <c r="A60" s="3968" t="s">
        <v>5081</v>
      </c>
      <c r="B60" s="3969"/>
      <c r="C60" s="3073">
        <f t="shared" ref="C60:M60" si="12">C61+C63</f>
        <v>246</v>
      </c>
      <c r="D60" s="3073">
        <f t="shared" si="12"/>
        <v>669</v>
      </c>
      <c r="E60" s="3073">
        <f t="shared" si="12"/>
        <v>2126</v>
      </c>
      <c r="F60" s="3073">
        <f t="shared" si="12"/>
        <v>974</v>
      </c>
      <c r="G60" s="3073">
        <f t="shared" si="12"/>
        <v>3518</v>
      </c>
      <c r="H60" s="3073">
        <f t="shared" si="12"/>
        <v>954</v>
      </c>
      <c r="I60" s="3073">
        <f t="shared" si="12"/>
        <v>3669</v>
      </c>
      <c r="J60" s="3073">
        <f t="shared" si="12"/>
        <v>3031</v>
      </c>
      <c r="K60" s="3073">
        <f t="shared" si="12"/>
        <v>2819</v>
      </c>
      <c r="L60" s="3073">
        <f t="shared" si="12"/>
        <v>1617</v>
      </c>
      <c r="M60" s="3073">
        <f t="shared" si="12"/>
        <v>3531</v>
      </c>
      <c r="N60" s="3073">
        <v>2633</v>
      </c>
      <c r="O60" s="3074">
        <v>3095</v>
      </c>
      <c r="P60" s="3074">
        <v>2180</v>
      </c>
      <c r="Q60" s="3075">
        <v>1077</v>
      </c>
      <c r="R60" s="3076">
        <v>56</v>
      </c>
      <c r="S60" s="2863"/>
      <c r="T60" s="3024"/>
      <c r="U60" s="2863"/>
      <c r="V60" s="2863"/>
      <c r="W60" s="2863"/>
      <c r="X60" s="2863"/>
      <c r="Y60" s="2863"/>
      <c r="Z60" s="2863"/>
      <c r="AA60" s="2863"/>
      <c r="AB60" s="2863"/>
      <c r="AC60" s="2863"/>
      <c r="AD60" s="2863"/>
      <c r="AE60" s="2863"/>
      <c r="AF60" s="2863"/>
    </row>
    <row r="61" spans="1:32" s="3060" customFormat="1" ht="17.25" customHeight="1" x14ac:dyDescent="0.25">
      <c r="A61" s="3968" t="s">
        <v>5082</v>
      </c>
      <c r="B61" s="3969"/>
      <c r="C61" s="3073">
        <f>50+160</f>
        <v>210</v>
      </c>
      <c r="D61" s="3073">
        <v>610</v>
      </c>
      <c r="E61" s="3018">
        <v>1921</v>
      </c>
      <c r="F61" s="3018">
        <v>320</v>
      </c>
      <c r="G61" s="3018">
        <v>2887</v>
      </c>
      <c r="H61" s="3016">
        <v>518</v>
      </c>
      <c r="I61" s="3016">
        <v>728</v>
      </c>
      <c r="J61" s="3016">
        <v>363</v>
      </c>
      <c r="K61" s="3016">
        <v>448</v>
      </c>
      <c r="L61" s="3016">
        <v>385</v>
      </c>
      <c r="M61" s="3016">
        <v>533</v>
      </c>
      <c r="N61" s="3016">
        <v>468</v>
      </c>
      <c r="O61" s="3019">
        <v>545</v>
      </c>
      <c r="P61" s="3019">
        <v>912</v>
      </c>
      <c r="Q61" s="3078">
        <v>318</v>
      </c>
      <c r="R61" s="3022">
        <v>19</v>
      </c>
      <c r="S61" s="2863"/>
      <c r="T61" s="3024"/>
      <c r="U61" s="2863"/>
      <c r="V61" s="2863"/>
      <c r="W61" s="2863"/>
      <c r="X61" s="2863"/>
      <c r="Y61" s="2863"/>
      <c r="Z61" s="2863"/>
      <c r="AA61" s="2863"/>
      <c r="AB61" s="2863"/>
      <c r="AC61" s="2863"/>
      <c r="AD61" s="2863"/>
      <c r="AE61" s="2863"/>
      <c r="AF61" s="2863"/>
    </row>
    <row r="62" spans="1:32" s="3060" customFormat="1" ht="17.25" customHeight="1" x14ac:dyDescent="0.25">
      <c r="A62" s="3087"/>
      <c r="B62" s="3088" t="s">
        <v>1244</v>
      </c>
      <c r="C62" s="3073"/>
      <c r="D62" s="3073">
        <v>610</v>
      </c>
      <c r="E62" s="3016">
        <v>1921</v>
      </c>
      <c r="F62" s="3016">
        <v>320</v>
      </c>
      <c r="G62" s="3016">
        <v>2887</v>
      </c>
      <c r="H62" s="3016">
        <v>510</v>
      </c>
      <c r="I62" s="3016">
        <v>691</v>
      </c>
      <c r="J62" s="3016">
        <v>353</v>
      </c>
      <c r="K62" s="3016">
        <v>421</v>
      </c>
      <c r="L62" s="3016">
        <v>377</v>
      </c>
      <c r="M62" s="3016">
        <v>526</v>
      </c>
      <c r="N62" s="3016">
        <v>442</v>
      </c>
      <c r="O62" s="3019">
        <v>545</v>
      </c>
      <c r="P62" s="3019">
        <v>794</v>
      </c>
      <c r="Q62" s="3078">
        <v>199</v>
      </c>
      <c r="R62" s="3022">
        <v>19</v>
      </c>
      <c r="S62" s="2863"/>
      <c r="T62" s="3024"/>
      <c r="U62" s="2863"/>
      <c r="V62" s="2863"/>
      <c r="W62" s="2863"/>
      <c r="X62" s="2863"/>
      <c r="Y62" s="2863"/>
      <c r="Z62" s="2863"/>
      <c r="AA62" s="2863"/>
      <c r="AB62" s="2863"/>
      <c r="AC62" s="2863"/>
      <c r="AD62" s="2863"/>
      <c r="AE62" s="2863"/>
      <c r="AF62" s="2863"/>
    </row>
    <row r="63" spans="1:32" s="3060" customFormat="1" ht="17.25" customHeight="1" x14ac:dyDescent="0.25">
      <c r="A63" s="3968" t="s">
        <v>5083</v>
      </c>
      <c r="B63" s="3969"/>
      <c r="C63" s="3073">
        <f>6+30</f>
        <v>36</v>
      </c>
      <c r="D63" s="3073">
        <f>18+17+23+1</f>
        <v>59</v>
      </c>
      <c r="E63" s="3016">
        <f>78+8+119</f>
        <v>205</v>
      </c>
      <c r="F63" s="3016">
        <f>348+2+304</f>
        <v>654</v>
      </c>
      <c r="G63" s="3016">
        <f>280+24+2+285+40</f>
        <v>631</v>
      </c>
      <c r="H63" s="3016">
        <f t="shared" ref="H63:M63" si="13">H64+H65</f>
        <v>436</v>
      </c>
      <c r="I63" s="3016">
        <f t="shared" si="13"/>
        <v>2941</v>
      </c>
      <c r="J63" s="3016">
        <f t="shared" si="13"/>
        <v>2668</v>
      </c>
      <c r="K63" s="3016">
        <f t="shared" si="13"/>
        <v>2371</v>
      </c>
      <c r="L63" s="3016">
        <f t="shared" si="13"/>
        <v>1232</v>
      </c>
      <c r="M63" s="3016">
        <f t="shared" si="13"/>
        <v>2998</v>
      </c>
      <c r="N63" s="3016">
        <v>2165</v>
      </c>
      <c r="O63" s="3079">
        <v>2550</v>
      </c>
      <c r="P63" s="3079">
        <v>1268</v>
      </c>
      <c r="Q63" s="3080">
        <v>759</v>
      </c>
      <c r="R63" s="3081">
        <v>37</v>
      </c>
      <c r="S63" s="2863"/>
      <c r="T63" s="3024"/>
      <c r="U63" s="2863"/>
      <c r="V63" s="2863"/>
      <c r="W63" s="2863"/>
      <c r="X63" s="2863"/>
      <c r="Y63" s="2863"/>
      <c r="Z63" s="2863"/>
      <c r="AA63" s="2863"/>
      <c r="AB63" s="2863"/>
      <c r="AC63" s="2863"/>
      <c r="AD63" s="2863"/>
      <c r="AE63" s="2863"/>
      <c r="AF63" s="2863"/>
    </row>
    <row r="64" spans="1:32" s="3060" customFormat="1" ht="17.25" customHeight="1" x14ac:dyDescent="0.25">
      <c r="A64" s="3089"/>
      <c r="B64" s="3088" t="s">
        <v>1245</v>
      </c>
      <c r="C64" s="3073"/>
      <c r="D64" s="3090">
        <v>0</v>
      </c>
      <c r="E64" s="3073">
        <v>78</v>
      </c>
      <c r="F64" s="3073">
        <v>305</v>
      </c>
      <c r="G64" s="3073">
        <v>279</v>
      </c>
      <c r="H64" s="3073">
        <v>245</v>
      </c>
      <c r="I64" s="3073">
        <v>2558</v>
      </c>
      <c r="J64" s="3073">
        <v>1894</v>
      </c>
      <c r="K64" s="3073">
        <v>618</v>
      </c>
      <c r="L64" s="3073">
        <v>570</v>
      </c>
      <c r="M64" s="3073">
        <v>2543</v>
      </c>
      <c r="N64" s="3073">
        <v>1255</v>
      </c>
      <c r="O64" s="3079">
        <v>2342</v>
      </c>
      <c r="P64" s="3079">
        <v>964</v>
      </c>
      <c r="Q64" s="3080">
        <v>228</v>
      </c>
      <c r="R64" s="3081">
        <v>6</v>
      </c>
      <c r="S64" s="2863"/>
      <c r="T64" s="3024"/>
      <c r="U64" s="2863"/>
      <c r="V64" s="2863"/>
      <c r="W64" s="2863"/>
      <c r="X64" s="2863"/>
      <c r="Y64" s="2863"/>
      <c r="Z64" s="2863"/>
      <c r="AA64" s="2863"/>
      <c r="AB64" s="2863"/>
      <c r="AC64" s="2863"/>
      <c r="AD64" s="2863"/>
      <c r="AE64" s="2863"/>
      <c r="AF64" s="2863"/>
    </row>
    <row r="65" spans="1:32" s="3060" customFormat="1" ht="17.25" customHeight="1" x14ac:dyDescent="0.25">
      <c r="A65" s="3089"/>
      <c r="B65" s="3088" t="s">
        <v>5084</v>
      </c>
      <c r="C65" s="3073"/>
      <c r="D65" s="3073">
        <f t="shared" ref="D65:G65" si="14">D63-D64</f>
        <v>59</v>
      </c>
      <c r="E65" s="3018">
        <f t="shared" si="14"/>
        <v>127</v>
      </c>
      <c r="F65" s="3018">
        <f t="shared" si="14"/>
        <v>349</v>
      </c>
      <c r="G65" s="3018">
        <f t="shared" si="14"/>
        <v>352</v>
      </c>
      <c r="H65" s="3073">
        <v>191</v>
      </c>
      <c r="I65" s="3073">
        <v>383</v>
      </c>
      <c r="J65" s="3073">
        <v>774</v>
      </c>
      <c r="K65" s="3073">
        <v>1753</v>
      </c>
      <c r="L65" s="3073">
        <v>662</v>
      </c>
      <c r="M65" s="3073">
        <v>455</v>
      </c>
      <c r="N65" s="3073">
        <v>910</v>
      </c>
      <c r="O65" s="3079">
        <v>204</v>
      </c>
      <c r="P65" s="3079">
        <v>304</v>
      </c>
      <c r="Q65" s="3080">
        <v>531</v>
      </c>
      <c r="R65" s="3081">
        <v>31</v>
      </c>
      <c r="S65" s="2863"/>
      <c r="T65" s="3024"/>
      <c r="U65" s="2863"/>
      <c r="V65" s="2863"/>
      <c r="W65" s="2863"/>
      <c r="X65" s="2863"/>
      <c r="Y65" s="2863"/>
      <c r="Z65" s="2863"/>
      <c r="AA65" s="2863"/>
      <c r="AB65" s="2863"/>
      <c r="AC65" s="2863"/>
      <c r="AD65" s="2863"/>
      <c r="AE65" s="2863"/>
      <c r="AF65" s="2863"/>
    </row>
    <row r="66" spans="1:32" s="3093" customFormat="1" ht="17.25" customHeight="1" x14ac:dyDescent="0.25">
      <c r="A66" s="3968" t="s">
        <v>5085</v>
      </c>
      <c r="B66" s="3969"/>
      <c r="C66" s="3073"/>
      <c r="D66" s="3090">
        <v>0</v>
      </c>
      <c r="E66" s="3090">
        <v>0</v>
      </c>
      <c r="F66" s="3090">
        <v>0</v>
      </c>
      <c r="G66" s="3016">
        <v>3</v>
      </c>
      <c r="H66" s="3016">
        <v>151</v>
      </c>
      <c r="I66" s="3016">
        <v>3</v>
      </c>
      <c r="J66" s="3016">
        <f>91+12+32</f>
        <v>135</v>
      </c>
      <c r="K66" s="3016">
        <v>19</v>
      </c>
      <c r="L66" s="3016">
        <v>30</v>
      </c>
      <c r="M66" s="3016">
        <v>71</v>
      </c>
      <c r="N66" s="3016">
        <v>26</v>
      </c>
      <c r="O66" s="3091">
        <v>44</v>
      </c>
      <c r="P66" s="3091">
        <v>201</v>
      </c>
      <c r="Q66" s="3092">
        <v>10</v>
      </c>
      <c r="R66" s="3022">
        <v>3</v>
      </c>
      <c r="T66" s="3024"/>
    </row>
    <row r="67" spans="1:32" s="3052" customFormat="1" ht="15.75" customHeight="1" thickBot="1" x14ac:dyDescent="0.3">
      <c r="A67" s="3971" t="s">
        <v>5086</v>
      </c>
      <c r="B67" s="3972"/>
      <c r="C67" s="3094">
        <v>32.295000000000002</v>
      </c>
      <c r="D67" s="3094">
        <v>1.9690000000000001</v>
      </c>
      <c r="E67" s="3095">
        <v>0</v>
      </c>
      <c r="F67" s="3095">
        <v>0</v>
      </c>
      <c r="G67" s="3095">
        <v>0</v>
      </c>
      <c r="H67" s="3096">
        <v>0</v>
      </c>
      <c r="I67" s="3094">
        <v>26</v>
      </c>
      <c r="J67" s="3094">
        <v>63</v>
      </c>
      <c r="K67" s="3096">
        <v>0</v>
      </c>
      <c r="L67" s="3094">
        <v>3</v>
      </c>
      <c r="M67" s="3094">
        <v>4</v>
      </c>
      <c r="N67" s="3096">
        <v>0</v>
      </c>
      <c r="O67" s="3096">
        <v>0</v>
      </c>
      <c r="P67" s="3097">
        <v>62</v>
      </c>
      <c r="Q67" s="3098">
        <v>2500</v>
      </c>
      <c r="R67" s="3099">
        <v>1.6</v>
      </c>
    </row>
    <row r="68" spans="1:32" s="3052" customFormat="1" ht="40.5" customHeight="1" thickTop="1" x14ac:dyDescent="0.25">
      <c r="A68" s="3973" t="s">
        <v>5087</v>
      </c>
      <c r="B68" s="3973"/>
      <c r="C68" s="3973"/>
      <c r="D68" s="3973"/>
      <c r="E68" s="3973"/>
      <c r="F68" s="3973"/>
      <c r="G68" s="3973"/>
      <c r="H68" s="3973"/>
      <c r="I68" s="3973"/>
      <c r="J68" s="3973"/>
      <c r="K68" s="3973"/>
      <c r="L68" s="3973"/>
      <c r="M68" s="3973"/>
      <c r="N68" s="3973"/>
      <c r="O68" s="3973"/>
      <c r="P68" s="3973"/>
      <c r="Q68" s="3973"/>
      <c r="R68" s="3973"/>
    </row>
    <row r="69" spans="1:32" s="3052" customFormat="1" ht="15.75" customHeight="1" x14ac:dyDescent="0.25">
      <c r="A69" s="3965" t="s">
        <v>5049</v>
      </c>
      <c r="B69" s="3965"/>
      <c r="C69" s="3965"/>
      <c r="D69" s="3965"/>
      <c r="E69" s="3965"/>
      <c r="F69" s="3965"/>
      <c r="G69" s="3965"/>
      <c r="H69" s="3965"/>
      <c r="I69" s="3965"/>
      <c r="J69" s="3965"/>
      <c r="K69" s="3965"/>
      <c r="L69" s="3965"/>
      <c r="M69" s="3965"/>
      <c r="N69" s="3965"/>
      <c r="O69" s="3965"/>
      <c r="P69" s="3965"/>
      <c r="Q69" s="3965"/>
      <c r="R69" s="3965"/>
    </row>
    <row r="70" spans="1:32" s="3052" customFormat="1" ht="15.75" customHeight="1" x14ac:dyDescent="0.25">
      <c r="A70" s="3965" t="s">
        <v>5050</v>
      </c>
      <c r="B70" s="3965"/>
      <c r="C70" s="3965"/>
      <c r="D70" s="3965"/>
      <c r="E70" s="3965"/>
      <c r="F70" s="3965"/>
      <c r="G70" s="3965"/>
      <c r="H70" s="3965"/>
      <c r="I70" s="3965"/>
      <c r="J70" s="3965"/>
      <c r="K70" s="3965"/>
      <c r="L70" s="3965"/>
      <c r="M70" s="3965"/>
      <c r="N70" s="3965"/>
      <c r="O70" s="3965"/>
      <c r="P70" s="3965"/>
      <c r="Q70" s="3965"/>
      <c r="R70" s="3965"/>
    </row>
    <row r="71" spans="1:32" s="3100" customFormat="1" ht="15.75" customHeight="1" x14ac:dyDescent="0.25">
      <c r="A71" s="3970" t="s">
        <v>5088</v>
      </c>
      <c r="B71" s="3970"/>
      <c r="C71" s="3970"/>
      <c r="D71" s="3970"/>
      <c r="E71" s="3970"/>
      <c r="F71" s="3970"/>
      <c r="G71" s="3970"/>
      <c r="H71" s="3970"/>
      <c r="I71" s="3970"/>
      <c r="J71" s="3970"/>
      <c r="K71" s="3970"/>
      <c r="L71" s="3970"/>
      <c r="M71" s="3970"/>
      <c r="N71" s="3970"/>
      <c r="O71" s="3970"/>
      <c r="P71" s="3970"/>
      <c r="Q71" s="3970"/>
      <c r="R71" s="3970"/>
    </row>
    <row r="72" spans="1:32" s="2861" customFormat="1" ht="14.25" x14ac:dyDescent="0.25">
      <c r="A72" s="3970" t="s">
        <v>172</v>
      </c>
      <c r="B72" s="3970"/>
      <c r="C72" s="3970"/>
      <c r="D72" s="3970"/>
      <c r="E72" s="3970"/>
      <c r="F72" s="3970"/>
      <c r="G72" s="3970"/>
      <c r="H72" s="3970"/>
      <c r="I72" s="3970"/>
      <c r="J72" s="3970"/>
      <c r="K72" s="3970"/>
      <c r="L72" s="3970"/>
      <c r="M72" s="3970"/>
      <c r="N72" s="3970"/>
      <c r="O72" s="3970"/>
      <c r="P72" s="3970"/>
      <c r="Q72" s="3970"/>
      <c r="R72" s="3970"/>
    </row>
    <row r="73" spans="1:32" ht="16.5" customHeight="1" x14ac:dyDescent="0.25">
      <c r="A73" s="3970" t="s">
        <v>134</v>
      </c>
      <c r="B73" s="3970"/>
      <c r="C73" s="3970"/>
      <c r="D73" s="3970"/>
      <c r="E73" s="3970"/>
      <c r="F73" s="3970"/>
      <c r="G73" s="3970"/>
      <c r="H73" s="3970"/>
      <c r="I73" s="3970"/>
      <c r="J73" s="3970"/>
      <c r="K73" s="3970"/>
      <c r="L73" s="3970"/>
      <c r="M73" s="3970"/>
      <c r="N73" s="3970"/>
      <c r="O73" s="3970"/>
      <c r="P73" s="3970"/>
      <c r="Q73" s="3970"/>
      <c r="R73" s="3970"/>
    </row>
    <row r="74" spans="1:32" x14ac:dyDescent="0.25">
      <c r="E74" s="3101"/>
      <c r="F74" s="3101"/>
    </row>
    <row r="75" spans="1:32" x14ac:dyDescent="0.25">
      <c r="E75" s="3101"/>
      <c r="F75" s="3101"/>
    </row>
    <row r="76" spans="1:32" x14ac:dyDescent="0.25">
      <c r="E76" s="3101"/>
      <c r="F76" s="3101"/>
    </row>
  </sheetData>
  <mergeCells count="44">
    <mergeCell ref="A72:R72"/>
    <mergeCell ref="A73:R73"/>
    <mergeCell ref="A66:B66"/>
    <mergeCell ref="A67:B67"/>
    <mergeCell ref="A68:R68"/>
    <mergeCell ref="A69:R69"/>
    <mergeCell ref="A70:R70"/>
    <mergeCell ref="A71:R71"/>
    <mergeCell ref="A63:B63"/>
    <mergeCell ref="A51:B51"/>
    <mergeCell ref="A52:B52"/>
    <mergeCell ref="A53:B53"/>
    <mergeCell ref="A54:B54"/>
    <mergeCell ref="A55:B55"/>
    <mergeCell ref="A56:B56"/>
    <mergeCell ref="A57:B57"/>
    <mergeCell ref="A58:B58"/>
    <mergeCell ref="A59:B59"/>
    <mergeCell ref="A60:B60"/>
    <mergeCell ref="A61:B61"/>
    <mergeCell ref="A50:B50"/>
    <mergeCell ref="A37:B37"/>
    <mergeCell ref="A38:B38"/>
    <mergeCell ref="A40:B40"/>
    <mergeCell ref="A41:B41"/>
    <mergeCell ref="A42:B42"/>
    <mergeCell ref="A43:B43"/>
    <mergeCell ref="A44:B44"/>
    <mergeCell ref="A45:B45"/>
    <mergeCell ref="A46:B46"/>
    <mergeCell ref="A47:B47"/>
    <mergeCell ref="A49:B49"/>
    <mergeCell ref="A34:B34"/>
    <mergeCell ref="A1:R1"/>
    <mergeCell ref="A23:B23"/>
    <mergeCell ref="A24:O24"/>
    <mergeCell ref="A25:R25"/>
    <mergeCell ref="A26:R26"/>
    <mergeCell ref="A27:R27"/>
    <mergeCell ref="A28:R28"/>
    <mergeCell ref="A29:R29"/>
    <mergeCell ref="A30:R30"/>
    <mergeCell ref="A31:Q31"/>
    <mergeCell ref="A32:R32"/>
  </mergeCells>
  <printOptions horizontalCentered="1" verticalCentered="1"/>
  <pageMargins left="0.7" right="0" top="0.5" bottom="0.25" header="0" footer="0"/>
  <pageSetup paperSize="9" scale="55" fitToWidth="0"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H75"/>
  <sheetViews>
    <sheetView zoomScale="85" zoomScaleNormal="85" workbookViewId="0">
      <pane xSplit="7" ySplit="3" topLeftCell="H4" activePane="bottomRight" state="frozen"/>
      <selection activeCell="A150" sqref="A150"/>
      <selection pane="topRight" activeCell="A150" sqref="A150"/>
      <selection pane="bottomLeft" activeCell="A150" sqref="A150"/>
      <selection pane="bottomRight" activeCell="A29" sqref="A29"/>
    </sheetView>
  </sheetViews>
  <sheetFormatPr defaultRowHeight="16.5" x14ac:dyDescent="0.25"/>
  <cols>
    <col min="1" max="1" width="8.85546875" style="173" customWidth="1"/>
    <col min="2" max="2" width="44.7109375" style="173" customWidth="1"/>
    <col min="3" max="4" width="8.28515625" style="3102" hidden="1" customWidth="1"/>
    <col min="5" max="6" width="8.28515625" style="173" hidden="1" customWidth="1"/>
    <col min="7" max="7" width="2.42578125" style="173" hidden="1" customWidth="1"/>
    <col min="8" max="8" width="13.28515625" style="173" hidden="1" customWidth="1"/>
    <col min="9" max="9" width="14.42578125" style="173" hidden="1" customWidth="1"/>
    <col min="10" max="17" width="10.85546875" style="173" customWidth="1"/>
    <col min="18" max="18" width="12.42578125" style="173" customWidth="1"/>
    <col min="19" max="19" width="3.28515625" style="173" customWidth="1"/>
    <col min="20" max="16384" width="9.140625" style="173"/>
  </cols>
  <sheetData>
    <row r="1" spans="1:32" x14ac:dyDescent="0.25">
      <c r="A1" s="3976" t="s">
        <v>5089</v>
      </c>
      <c r="B1" s="3976"/>
      <c r="C1" s="3976"/>
      <c r="D1" s="3976"/>
      <c r="E1" s="3976"/>
      <c r="F1" s="3976"/>
      <c r="G1" s="3976"/>
      <c r="H1" s="3976"/>
      <c r="I1" s="3976"/>
      <c r="J1" s="3976"/>
      <c r="K1" s="3976"/>
      <c r="L1" s="3976"/>
      <c r="M1" s="3976"/>
      <c r="N1" s="3976"/>
      <c r="O1" s="3977"/>
      <c r="P1" s="3977"/>
      <c r="Q1" s="3977"/>
      <c r="R1" s="3977"/>
    </row>
    <row r="2" spans="1:32" ht="17.25" customHeight="1" thickBot="1" x14ac:dyDescent="0.3">
      <c r="D2" s="3103"/>
      <c r="E2" s="3103"/>
      <c r="I2" s="3103"/>
      <c r="J2" s="3103"/>
      <c r="K2" s="3103"/>
      <c r="L2" s="3103"/>
      <c r="M2" s="3103"/>
      <c r="O2" s="3103"/>
      <c r="P2" s="3103"/>
      <c r="Q2" s="3103"/>
      <c r="R2" s="3103" t="s">
        <v>8</v>
      </c>
    </row>
    <row r="3" spans="1:32" s="3004" customFormat="1" ht="36" customHeight="1" thickTop="1" thickBot="1" x14ac:dyDescent="0.3">
      <c r="A3" s="3104" t="s">
        <v>5090</v>
      </c>
      <c r="B3" s="3105" t="s">
        <v>4815</v>
      </c>
      <c r="C3" s="3106" t="s">
        <v>5028</v>
      </c>
      <c r="D3" s="3106" t="s">
        <v>5029</v>
      </c>
      <c r="E3" s="3106" t="s">
        <v>5030</v>
      </c>
      <c r="F3" s="3106" t="s">
        <v>5031</v>
      </c>
      <c r="G3" s="3106" t="s">
        <v>5032</v>
      </c>
      <c r="H3" s="3106" t="s">
        <v>5033</v>
      </c>
      <c r="I3" s="3106" t="s">
        <v>5034</v>
      </c>
      <c r="J3" s="3106" t="s">
        <v>5035</v>
      </c>
      <c r="K3" s="3106" t="s">
        <v>1282</v>
      </c>
      <c r="L3" s="3106" t="s">
        <v>1294</v>
      </c>
      <c r="M3" s="3106" t="s">
        <v>1295</v>
      </c>
      <c r="N3" s="3056" t="s">
        <v>5055</v>
      </c>
      <c r="O3" s="3107" t="s">
        <v>5036</v>
      </c>
      <c r="P3" s="3056" t="s">
        <v>1119</v>
      </c>
      <c r="Q3" s="3108" t="s">
        <v>5091</v>
      </c>
      <c r="R3" s="3059" t="s">
        <v>5092</v>
      </c>
    </row>
    <row r="4" spans="1:32" s="3116" customFormat="1" ht="21" customHeight="1" x14ac:dyDescent="0.25">
      <c r="A4" s="3109" t="s">
        <v>4816</v>
      </c>
      <c r="B4" s="3110" t="s">
        <v>3528</v>
      </c>
      <c r="C4" s="3111">
        <v>270.8</v>
      </c>
      <c r="D4" s="3017">
        <v>112.9</v>
      </c>
      <c r="E4" s="3017">
        <f>2.8+6.98</f>
        <v>9.7800000000000011</v>
      </c>
      <c r="F4" s="3017">
        <v>0.90500000000000003</v>
      </c>
      <c r="G4" s="3017">
        <v>10.1</v>
      </c>
      <c r="H4" s="3018">
        <v>535</v>
      </c>
      <c r="I4" s="3018">
        <v>696</v>
      </c>
      <c r="J4" s="3018">
        <v>527</v>
      </c>
      <c r="K4" s="3018">
        <v>254</v>
      </c>
      <c r="L4" s="3018">
        <v>799</v>
      </c>
      <c r="M4" s="3018">
        <v>284.8</v>
      </c>
      <c r="N4" s="3018">
        <v>284</v>
      </c>
      <c r="O4" s="3112">
        <v>34</v>
      </c>
      <c r="P4" s="3113">
        <v>81</v>
      </c>
      <c r="Q4" s="3114">
        <v>10.85384035</v>
      </c>
      <c r="R4" s="3115">
        <v>0</v>
      </c>
    </row>
    <row r="5" spans="1:32" s="3116" customFormat="1" ht="21" customHeight="1" x14ac:dyDescent="0.25">
      <c r="A5" s="3109" t="s">
        <v>4818</v>
      </c>
      <c r="B5" s="3110" t="s">
        <v>1149</v>
      </c>
      <c r="C5" s="3111">
        <v>335.3</v>
      </c>
      <c r="D5" s="3017">
        <v>235.3</v>
      </c>
      <c r="E5" s="3017">
        <f>14.3+190.9</f>
        <v>205.20000000000002</v>
      </c>
      <c r="F5" s="3017">
        <v>114.2</v>
      </c>
      <c r="G5" s="3017">
        <v>347.4</v>
      </c>
      <c r="H5" s="3018">
        <v>991</v>
      </c>
      <c r="I5" s="3018">
        <v>449</v>
      </c>
      <c r="J5" s="3018">
        <v>213</v>
      </c>
      <c r="K5" s="3018">
        <v>503</v>
      </c>
      <c r="L5" s="3018">
        <v>330</v>
      </c>
      <c r="M5" s="3018">
        <v>1380.6</v>
      </c>
      <c r="N5" s="3018">
        <v>1555</v>
      </c>
      <c r="O5" s="3023">
        <v>2881</v>
      </c>
      <c r="P5" s="3018">
        <v>1365</v>
      </c>
      <c r="Q5" s="3117">
        <v>336.00868384000006</v>
      </c>
      <c r="R5" s="3020">
        <v>173</v>
      </c>
    </row>
    <row r="6" spans="1:32" s="3116" customFormat="1" ht="21" customHeight="1" x14ac:dyDescent="0.25">
      <c r="A6" s="3109" t="s">
        <v>4819</v>
      </c>
      <c r="B6" s="3110" t="s">
        <v>3530</v>
      </c>
      <c r="C6" s="3111">
        <v>0</v>
      </c>
      <c r="D6" s="3017">
        <v>0</v>
      </c>
      <c r="E6" s="3017">
        <v>0</v>
      </c>
      <c r="F6" s="3017">
        <v>0</v>
      </c>
      <c r="G6" s="3017">
        <v>15.56</v>
      </c>
      <c r="H6" s="3118">
        <v>0</v>
      </c>
      <c r="I6" s="3113">
        <v>0</v>
      </c>
      <c r="J6" s="3113">
        <v>0</v>
      </c>
      <c r="K6" s="3113">
        <v>0</v>
      </c>
      <c r="L6" s="3113">
        <v>0</v>
      </c>
      <c r="M6" s="3113">
        <v>53.4</v>
      </c>
      <c r="N6" s="3113">
        <v>0</v>
      </c>
      <c r="O6" s="3112">
        <v>273</v>
      </c>
      <c r="P6" s="3113">
        <v>150</v>
      </c>
      <c r="Q6" s="3114">
        <v>0</v>
      </c>
      <c r="R6" s="3115">
        <v>0</v>
      </c>
    </row>
    <row r="7" spans="1:32" s="3116" customFormat="1" ht="33.75" customHeight="1" x14ac:dyDescent="0.25">
      <c r="A7" s="3119" t="s">
        <v>4820</v>
      </c>
      <c r="B7" s="3120" t="s">
        <v>3531</v>
      </c>
      <c r="C7" s="3111">
        <v>0</v>
      </c>
      <c r="D7" s="3017">
        <v>0</v>
      </c>
      <c r="E7" s="3017">
        <v>0</v>
      </c>
      <c r="F7" s="3017">
        <v>0</v>
      </c>
      <c r="G7" s="3017">
        <v>0</v>
      </c>
      <c r="H7" s="3121">
        <v>1</v>
      </c>
      <c r="I7" s="3121">
        <v>6</v>
      </c>
      <c r="J7" s="3122">
        <v>0</v>
      </c>
      <c r="K7" s="3122">
        <v>0</v>
      </c>
      <c r="L7" s="3122">
        <v>12</v>
      </c>
      <c r="M7" s="3122">
        <v>0</v>
      </c>
      <c r="N7" s="3122">
        <v>0</v>
      </c>
      <c r="O7" s="3112">
        <v>0</v>
      </c>
      <c r="P7" s="3113">
        <v>0</v>
      </c>
      <c r="Q7" s="3114">
        <v>0</v>
      </c>
      <c r="R7" s="3115">
        <v>0</v>
      </c>
    </row>
    <row r="8" spans="1:32" s="3116" customFormat="1" ht="21" customHeight="1" x14ac:dyDescent="0.25">
      <c r="A8" s="3109" t="s">
        <v>4821</v>
      </c>
      <c r="B8" s="3110" t="s">
        <v>1150</v>
      </c>
      <c r="C8" s="3111">
        <v>26</v>
      </c>
      <c r="D8" s="3017">
        <v>29.968</v>
      </c>
      <c r="E8" s="3017">
        <v>2.4710000000000001</v>
      </c>
      <c r="F8" s="3017">
        <v>3.8</v>
      </c>
      <c r="G8" s="3017">
        <v>0</v>
      </c>
      <c r="H8" s="3018">
        <v>308</v>
      </c>
      <c r="I8" s="3018">
        <v>114</v>
      </c>
      <c r="J8" s="3018">
        <v>425</v>
      </c>
      <c r="K8" s="3018">
        <v>98</v>
      </c>
      <c r="L8" s="3018">
        <v>242</v>
      </c>
      <c r="M8" s="3018">
        <v>137.9</v>
      </c>
      <c r="N8" s="3113">
        <v>0</v>
      </c>
      <c r="O8" s="3112">
        <v>41</v>
      </c>
      <c r="P8" s="3113">
        <v>19</v>
      </c>
      <c r="Q8" s="3114">
        <v>0</v>
      </c>
      <c r="R8" s="3115">
        <v>0</v>
      </c>
    </row>
    <row r="9" spans="1:32" s="3116" customFormat="1" ht="36" customHeight="1" x14ac:dyDescent="0.25">
      <c r="A9" s="3119" t="s">
        <v>4822</v>
      </c>
      <c r="B9" s="3120" t="s">
        <v>5042</v>
      </c>
      <c r="C9" s="3111">
        <v>5.508</v>
      </c>
      <c r="D9" s="3017">
        <v>17.231999999999999</v>
      </c>
      <c r="E9" s="3017">
        <f>3.388+18.834</f>
        <v>22.222000000000001</v>
      </c>
      <c r="F9" s="3017">
        <v>33.9</v>
      </c>
      <c r="G9" s="3017">
        <v>0.89</v>
      </c>
      <c r="H9" s="3121">
        <v>78</v>
      </c>
      <c r="I9" s="3121">
        <v>90</v>
      </c>
      <c r="J9" s="3121">
        <v>108</v>
      </c>
      <c r="K9" s="3121">
        <v>656</v>
      </c>
      <c r="L9" s="3121">
        <v>145</v>
      </c>
      <c r="M9" s="3121">
        <v>68.599999999999994</v>
      </c>
      <c r="N9" s="3121">
        <v>31</v>
      </c>
      <c r="O9" s="3023">
        <v>82</v>
      </c>
      <c r="P9" s="3018">
        <v>99</v>
      </c>
      <c r="Q9" s="3114">
        <v>4.09671904</v>
      </c>
      <c r="R9" s="3115">
        <v>1</v>
      </c>
      <c r="S9" s="3978"/>
      <c r="T9" s="3976"/>
      <c r="U9" s="3976"/>
      <c r="V9" s="3976"/>
      <c r="W9" s="3976"/>
      <c r="X9" s="3976"/>
      <c r="Y9" s="3976"/>
      <c r="Z9" s="3976"/>
      <c r="AA9" s="3976"/>
      <c r="AB9" s="3976"/>
      <c r="AC9" s="3976"/>
      <c r="AD9" s="3976"/>
      <c r="AE9" s="3976"/>
      <c r="AF9" s="3976"/>
    </row>
    <row r="10" spans="1:32" s="3116" customFormat="1" ht="21" customHeight="1" x14ac:dyDescent="0.25">
      <c r="A10" s="3109" t="s">
        <v>4824</v>
      </c>
      <c r="B10" s="3110" t="s">
        <v>3533</v>
      </c>
      <c r="C10" s="3111">
        <v>1.7749999999999999</v>
      </c>
      <c r="D10" s="3017">
        <v>5.2679999999999998</v>
      </c>
      <c r="E10" s="3017">
        <v>12.94</v>
      </c>
      <c r="F10" s="3017">
        <v>9</v>
      </c>
      <c r="G10" s="3017">
        <v>0</v>
      </c>
      <c r="H10" s="3018">
        <v>34</v>
      </c>
      <c r="I10" s="3018">
        <v>167</v>
      </c>
      <c r="J10" s="3018">
        <v>71</v>
      </c>
      <c r="K10" s="3018">
        <v>233</v>
      </c>
      <c r="L10" s="3018">
        <v>24</v>
      </c>
      <c r="M10" s="3018">
        <v>27.8</v>
      </c>
      <c r="N10" s="3018">
        <v>35</v>
      </c>
      <c r="O10" s="3112">
        <v>28</v>
      </c>
      <c r="P10" s="3113">
        <v>12</v>
      </c>
      <c r="Q10" s="3114">
        <v>14.302</v>
      </c>
      <c r="R10" s="3115">
        <v>0</v>
      </c>
    </row>
    <row r="11" spans="1:32" s="3116" customFormat="1" ht="21" customHeight="1" x14ac:dyDescent="0.25">
      <c r="A11" s="3109" t="s">
        <v>4825</v>
      </c>
      <c r="B11" s="3110" t="s">
        <v>3534</v>
      </c>
      <c r="C11" s="3111">
        <v>391</v>
      </c>
      <c r="D11" s="3017">
        <v>1068.3</v>
      </c>
      <c r="E11" s="3017">
        <f>32.489+887.884</f>
        <v>920.37300000000005</v>
      </c>
      <c r="F11" s="3017">
        <v>711.4</v>
      </c>
      <c r="G11" s="3017">
        <v>1002</v>
      </c>
      <c r="H11" s="3018">
        <v>1850</v>
      </c>
      <c r="I11" s="3018">
        <v>1017</v>
      </c>
      <c r="J11" s="3018">
        <v>3044</v>
      </c>
      <c r="K11" s="3018">
        <v>1446</v>
      </c>
      <c r="L11" s="3018">
        <v>919</v>
      </c>
      <c r="M11" s="3018">
        <v>919.9</v>
      </c>
      <c r="N11" s="3018">
        <v>596</v>
      </c>
      <c r="O11" s="3023">
        <v>270</v>
      </c>
      <c r="P11" s="3018">
        <v>808</v>
      </c>
      <c r="Q11" s="3117">
        <v>915.70288277999998</v>
      </c>
      <c r="R11" s="3020">
        <v>73</v>
      </c>
    </row>
    <row r="12" spans="1:32" s="3116" customFormat="1" ht="21" customHeight="1" x14ac:dyDescent="0.25">
      <c r="A12" s="3109" t="s">
        <v>4826</v>
      </c>
      <c r="B12" s="3110" t="s">
        <v>3535</v>
      </c>
      <c r="C12" s="3111">
        <v>0</v>
      </c>
      <c r="D12" s="3017">
        <v>0</v>
      </c>
      <c r="E12" s="3017">
        <v>0.48199999999999998</v>
      </c>
      <c r="F12" s="3017">
        <v>0</v>
      </c>
      <c r="G12" s="3017">
        <v>0</v>
      </c>
      <c r="H12" s="3018">
        <v>195</v>
      </c>
      <c r="I12" s="3018">
        <v>19</v>
      </c>
      <c r="J12" s="3018">
        <v>181</v>
      </c>
      <c r="K12" s="3018">
        <v>1165</v>
      </c>
      <c r="L12" s="3113">
        <v>0</v>
      </c>
      <c r="M12" s="3113">
        <v>324</v>
      </c>
      <c r="N12" s="3018">
        <v>84</v>
      </c>
      <c r="O12" s="3112">
        <v>0</v>
      </c>
      <c r="P12" s="3113">
        <v>16</v>
      </c>
      <c r="Q12" s="3114">
        <v>197.5040185</v>
      </c>
      <c r="R12" s="3115">
        <v>0</v>
      </c>
    </row>
    <row r="13" spans="1:32" s="3116" customFormat="1" ht="21" customHeight="1" x14ac:dyDescent="0.25">
      <c r="A13" s="3109" t="s">
        <v>4827</v>
      </c>
      <c r="B13" s="3110" t="s">
        <v>1155</v>
      </c>
      <c r="C13" s="3111">
        <v>12.14</v>
      </c>
      <c r="D13" s="3017">
        <v>113</v>
      </c>
      <c r="E13" s="3017">
        <v>209</v>
      </c>
      <c r="F13" s="3017">
        <v>209.2</v>
      </c>
      <c r="G13" s="3017">
        <v>1063</v>
      </c>
      <c r="H13" s="3018">
        <v>1252</v>
      </c>
      <c r="I13" s="3018">
        <v>2381</v>
      </c>
      <c r="J13" s="3018">
        <v>618</v>
      </c>
      <c r="K13" s="3018">
        <v>609</v>
      </c>
      <c r="L13" s="3018">
        <v>1136</v>
      </c>
      <c r="M13" s="3018">
        <v>94.5</v>
      </c>
      <c r="N13" s="3018">
        <v>1168</v>
      </c>
      <c r="O13" s="3023">
        <v>1283</v>
      </c>
      <c r="P13" s="3018">
        <v>1058.5999999999999</v>
      </c>
      <c r="Q13" s="3117">
        <v>106.26678301999999</v>
      </c>
      <c r="R13" s="3020">
        <v>38</v>
      </c>
    </row>
    <row r="14" spans="1:32" s="3123" customFormat="1" ht="21" customHeight="1" x14ac:dyDescent="0.25">
      <c r="A14" s="3109" t="s">
        <v>4828</v>
      </c>
      <c r="B14" s="3110" t="s">
        <v>1156</v>
      </c>
      <c r="C14" s="3111">
        <v>90.756</v>
      </c>
      <c r="D14" s="3017">
        <v>245.41200000000001</v>
      </c>
      <c r="E14" s="3017">
        <v>213</v>
      </c>
      <c r="F14" s="3017">
        <v>329.8</v>
      </c>
      <c r="G14" s="3017">
        <v>124</v>
      </c>
      <c r="H14" s="3018">
        <v>165</v>
      </c>
      <c r="I14" s="3018">
        <v>253.6</v>
      </c>
      <c r="J14" s="3018">
        <v>862</v>
      </c>
      <c r="K14" s="3018">
        <v>409</v>
      </c>
      <c r="L14" s="3018">
        <v>286</v>
      </c>
      <c r="M14" s="3018">
        <v>448</v>
      </c>
      <c r="N14" s="3018">
        <v>587</v>
      </c>
      <c r="O14" s="3023">
        <v>210</v>
      </c>
      <c r="P14" s="3018">
        <v>292</v>
      </c>
      <c r="Q14" s="3117">
        <v>257.19851961999996</v>
      </c>
      <c r="R14" s="3020">
        <v>50</v>
      </c>
      <c r="U14" s="3116"/>
    </row>
    <row r="15" spans="1:32" s="3124" customFormat="1" ht="21" customHeight="1" x14ac:dyDescent="0.25">
      <c r="A15" s="3109" t="s">
        <v>4829</v>
      </c>
      <c r="B15" s="3110" t="s">
        <v>3536</v>
      </c>
      <c r="C15" s="3111">
        <v>0</v>
      </c>
      <c r="D15" s="3017">
        <v>0</v>
      </c>
      <c r="E15" s="3017">
        <v>0</v>
      </c>
      <c r="F15" s="3017">
        <v>0</v>
      </c>
      <c r="G15" s="3017">
        <v>71.3</v>
      </c>
      <c r="H15" s="3018">
        <v>34</v>
      </c>
      <c r="I15" s="3018">
        <v>28</v>
      </c>
      <c r="J15" s="3018">
        <v>152</v>
      </c>
      <c r="K15" s="3018">
        <v>39</v>
      </c>
      <c r="L15" s="3018">
        <v>14</v>
      </c>
      <c r="M15" s="3018">
        <v>58</v>
      </c>
      <c r="N15" s="3018">
        <v>35</v>
      </c>
      <c r="O15" s="3023">
        <v>87</v>
      </c>
      <c r="P15" s="3018">
        <v>34.6</v>
      </c>
      <c r="Q15" s="3114">
        <v>3.6244087</v>
      </c>
      <c r="R15" s="3115">
        <v>39</v>
      </c>
      <c r="U15" s="3116"/>
    </row>
    <row r="16" spans="1:32" s="3124" customFormat="1" ht="21" customHeight="1" x14ac:dyDescent="0.25">
      <c r="A16" s="3109" t="s">
        <v>4830</v>
      </c>
      <c r="B16" s="3110" t="s">
        <v>3537</v>
      </c>
      <c r="C16" s="3111">
        <v>0</v>
      </c>
      <c r="D16" s="3017">
        <v>0</v>
      </c>
      <c r="E16" s="3017">
        <v>0</v>
      </c>
      <c r="F16" s="3017">
        <v>0</v>
      </c>
      <c r="G16" s="3017">
        <v>0</v>
      </c>
      <c r="H16" s="3018">
        <v>8</v>
      </c>
      <c r="I16" s="3018">
        <v>11</v>
      </c>
      <c r="J16" s="3018">
        <v>45</v>
      </c>
      <c r="K16" s="3113">
        <v>0</v>
      </c>
      <c r="L16" s="3018">
        <v>17</v>
      </c>
      <c r="M16" s="3018">
        <v>8.8000000000000007</v>
      </c>
      <c r="N16" s="3113">
        <v>1</v>
      </c>
      <c r="O16" s="3112">
        <v>4</v>
      </c>
      <c r="P16" s="3113">
        <v>2</v>
      </c>
      <c r="Q16" s="3114">
        <v>2.2250000000000001</v>
      </c>
      <c r="R16" s="3115">
        <v>0</v>
      </c>
    </row>
    <row r="17" spans="1:34" s="3124" customFormat="1" ht="21" customHeight="1" x14ac:dyDescent="0.25">
      <c r="A17" s="3109" t="s">
        <v>4833</v>
      </c>
      <c r="B17" s="3110" t="s">
        <v>3538</v>
      </c>
      <c r="C17" s="3111">
        <v>0</v>
      </c>
      <c r="D17" s="3017">
        <v>0</v>
      </c>
      <c r="E17" s="3017">
        <v>18.298999999999999</v>
      </c>
      <c r="F17" s="3017">
        <v>0</v>
      </c>
      <c r="G17" s="3017">
        <v>0</v>
      </c>
      <c r="H17" s="3018">
        <v>575</v>
      </c>
      <c r="I17" s="3113">
        <v>0</v>
      </c>
      <c r="J17" s="3018">
        <v>13</v>
      </c>
      <c r="K17" s="3113">
        <v>0</v>
      </c>
      <c r="L17" s="3018">
        <v>7</v>
      </c>
      <c r="M17" s="3113">
        <v>0</v>
      </c>
      <c r="N17" s="3113">
        <v>0</v>
      </c>
      <c r="O17" s="3112">
        <v>5</v>
      </c>
      <c r="P17" s="3113">
        <v>0</v>
      </c>
      <c r="Q17" s="3114">
        <v>0</v>
      </c>
      <c r="R17" s="3115">
        <v>0</v>
      </c>
      <c r="S17" s="3123"/>
    </row>
    <row r="18" spans="1:34" s="3124" customFormat="1" ht="21" customHeight="1" x14ac:dyDescent="0.25">
      <c r="A18" s="3109" t="s">
        <v>4834</v>
      </c>
      <c r="B18" s="3110" t="s">
        <v>3539</v>
      </c>
      <c r="C18" s="3111">
        <v>0</v>
      </c>
      <c r="D18" s="3017">
        <v>0</v>
      </c>
      <c r="E18" s="3017">
        <v>0</v>
      </c>
      <c r="F18" s="3017">
        <v>0</v>
      </c>
      <c r="G18" s="3017">
        <v>1374.999</v>
      </c>
      <c r="H18" s="3018">
        <v>72</v>
      </c>
      <c r="I18" s="3018">
        <v>274</v>
      </c>
      <c r="J18" s="3018">
        <v>40</v>
      </c>
      <c r="K18" s="3018">
        <v>599</v>
      </c>
      <c r="L18" s="3018">
        <v>1226</v>
      </c>
      <c r="M18" s="3018">
        <v>572.70000000000005</v>
      </c>
      <c r="N18" s="3113">
        <v>0</v>
      </c>
      <c r="O18" s="3112">
        <v>0</v>
      </c>
      <c r="P18" s="3113">
        <v>0</v>
      </c>
      <c r="Q18" s="3114">
        <v>0</v>
      </c>
      <c r="R18" s="3115">
        <v>0</v>
      </c>
    </row>
    <row r="19" spans="1:34" s="3124" customFormat="1" ht="21" customHeight="1" x14ac:dyDescent="0.25">
      <c r="A19" s="3109" t="s">
        <v>4835</v>
      </c>
      <c r="B19" s="3110" t="s">
        <v>3540</v>
      </c>
      <c r="C19" s="3111">
        <v>0</v>
      </c>
      <c r="D19" s="3017">
        <v>0</v>
      </c>
      <c r="E19" s="3017">
        <v>0</v>
      </c>
      <c r="F19" s="3017">
        <v>0</v>
      </c>
      <c r="G19" s="3017">
        <v>0</v>
      </c>
      <c r="H19" s="3118">
        <v>0</v>
      </c>
      <c r="I19" s="3018">
        <v>42</v>
      </c>
      <c r="J19" s="3018">
        <v>12</v>
      </c>
      <c r="K19" s="3113">
        <v>0</v>
      </c>
      <c r="L19" s="3113">
        <v>0</v>
      </c>
      <c r="M19" s="3113">
        <v>18</v>
      </c>
      <c r="N19" s="3113">
        <v>3</v>
      </c>
      <c r="O19" s="3023">
        <v>2</v>
      </c>
      <c r="P19" s="3113">
        <v>0</v>
      </c>
      <c r="Q19" s="3114">
        <v>0</v>
      </c>
      <c r="R19" s="3115">
        <v>0</v>
      </c>
    </row>
    <row r="20" spans="1:34" s="3124" customFormat="1" ht="21" customHeight="1" x14ac:dyDescent="0.25">
      <c r="A20" s="3109" t="s">
        <v>4836</v>
      </c>
      <c r="B20" s="3110" t="s">
        <v>3541</v>
      </c>
      <c r="C20" s="3111">
        <v>0</v>
      </c>
      <c r="D20" s="3017">
        <v>0</v>
      </c>
      <c r="E20" s="3017">
        <v>0</v>
      </c>
      <c r="F20" s="3017">
        <v>0</v>
      </c>
      <c r="G20" s="3017">
        <v>0</v>
      </c>
      <c r="H20" s="3018">
        <v>3</v>
      </c>
      <c r="I20" s="3113">
        <v>0</v>
      </c>
      <c r="J20" s="3018">
        <v>18</v>
      </c>
      <c r="K20" s="3018">
        <v>2</v>
      </c>
      <c r="L20" s="3018">
        <v>1</v>
      </c>
      <c r="M20" s="3018">
        <v>4.8</v>
      </c>
      <c r="N20" s="3018">
        <v>73</v>
      </c>
      <c r="O20" s="3125">
        <v>0</v>
      </c>
      <c r="P20" s="3113">
        <v>0</v>
      </c>
      <c r="Q20" s="3114">
        <v>0</v>
      </c>
      <c r="R20" s="3115">
        <v>0</v>
      </c>
    </row>
    <row r="21" spans="1:34" s="3124" customFormat="1" ht="21" customHeight="1" thickBot="1" x14ac:dyDescent="0.3">
      <c r="A21" s="3126"/>
      <c r="B21" s="3127" t="s">
        <v>5093</v>
      </c>
      <c r="C21" s="3111"/>
      <c r="D21" s="3017"/>
      <c r="E21" s="3017"/>
      <c r="F21" s="3017"/>
      <c r="G21" s="3017"/>
      <c r="H21" s="3018"/>
      <c r="I21" s="3113"/>
      <c r="J21" s="3018"/>
      <c r="K21" s="3018"/>
      <c r="L21" s="3018"/>
      <c r="M21" s="3018"/>
      <c r="N21" s="3018"/>
      <c r="O21" s="3112">
        <v>0</v>
      </c>
      <c r="P21" s="3113">
        <v>0</v>
      </c>
      <c r="Q21" s="3128">
        <v>1000</v>
      </c>
      <c r="R21" s="3115">
        <v>0</v>
      </c>
    </row>
    <row r="22" spans="1:34" s="3135" customFormat="1" ht="21" customHeight="1" thickBot="1" x14ac:dyDescent="0.3">
      <c r="A22" s="3979" t="s">
        <v>4919</v>
      </c>
      <c r="B22" s="3980"/>
      <c r="C22" s="3129">
        <f>SUM(C4:C20)+1</f>
        <v>1134.2790000000002</v>
      </c>
      <c r="D22" s="3130">
        <f>SUM(D4:D20)-1</f>
        <v>1826.38</v>
      </c>
      <c r="E22" s="3130">
        <f>SUM(E4:E20)-2</f>
        <v>1611.7670000000001</v>
      </c>
      <c r="F22" s="3130">
        <f>SUM(F4:F20)</f>
        <v>1412.2049999999999</v>
      </c>
      <c r="G22" s="3130">
        <f>SUM(G4:G20)</f>
        <v>4009.2489999999998</v>
      </c>
      <c r="H22" s="3130">
        <f>SUM(H4:H20)</f>
        <v>6101</v>
      </c>
      <c r="I22" s="3131">
        <f>SUM(I4:I20)+1</f>
        <v>5548.6</v>
      </c>
      <c r="J22" s="3131">
        <f t="shared" ref="J22:O22" si="0">SUM(J4:J20)</f>
        <v>6329</v>
      </c>
      <c r="K22" s="3131">
        <f t="shared" si="0"/>
        <v>6013</v>
      </c>
      <c r="L22" s="3131">
        <f t="shared" si="0"/>
        <v>5158</v>
      </c>
      <c r="M22" s="3131">
        <f t="shared" si="0"/>
        <v>4401.8</v>
      </c>
      <c r="N22" s="3131">
        <f t="shared" si="0"/>
        <v>4452</v>
      </c>
      <c r="O22" s="3132">
        <f t="shared" si="0"/>
        <v>5200</v>
      </c>
      <c r="P22" s="3131">
        <f>SUM(P4:P21)</f>
        <v>3937.2</v>
      </c>
      <c r="Q22" s="3133">
        <f>SUM(Q4:Q21)</f>
        <v>2847.78285585</v>
      </c>
      <c r="R22" s="3134">
        <f>SUM(R4:R21)</f>
        <v>374</v>
      </c>
    </row>
    <row r="23" spans="1:34" s="3051" customFormat="1" ht="15.75" customHeight="1" thickTop="1" x14ac:dyDescent="0.25">
      <c r="A23" s="3961" t="s">
        <v>5046</v>
      </c>
      <c r="B23" s="3961"/>
      <c r="C23" s="3961"/>
      <c r="D23" s="3961"/>
      <c r="E23" s="3961"/>
      <c r="F23" s="3961"/>
      <c r="G23" s="3961"/>
      <c r="H23" s="3961"/>
      <c r="I23" s="3961"/>
      <c r="J23" s="3961"/>
      <c r="K23" s="3961"/>
      <c r="L23" s="3961"/>
      <c r="M23" s="3961"/>
      <c r="N23" s="3961"/>
      <c r="O23" s="3961"/>
      <c r="P23" s="3961"/>
      <c r="Q23" s="3961"/>
      <c r="R23" s="3961"/>
      <c r="S23" s="2728"/>
      <c r="T23" s="2728"/>
      <c r="U23" s="2896"/>
      <c r="V23" s="2728"/>
      <c r="W23" s="2728"/>
      <c r="X23" s="2728"/>
      <c r="Y23" s="2728"/>
      <c r="Z23" s="2728"/>
      <c r="AA23" s="2728"/>
      <c r="AB23" s="2728"/>
      <c r="AC23" s="2728"/>
      <c r="AD23" s="2728"/>
      <c r="AE23" s="2728"/>
      <c r="AF23" s="2728"/>
      <c r="AG23" s="2728"/>
      <c r="AH23" s="2728"/>
    </row>
    <row r="24" spans="1:34" s="3136" customFormat="1" ht="32.25" customHeight="1" x14ac:dyDescent="0.25">
      <c r="A24" s="3981" t="s">
        <v>5047</v>
      </c>
      <c r="B24" s="3981"/>
      <c r="C24" s="3981"/>
      <c r="D24" s="3981"/>
      <c r="E24" s="3981"/>
      <c r="F24" s="3981"/>
      <c r="G24" s="3981"/>
      <c r="H24" s="3981"/>
      <c r="I24" s="3981"/>
      <c r="J24" s="3981"/>
      <c r="K24" s="3981"/>
      <c r="L24" s="3981"/>
      <c r="M24" s="3981"/>
      <c r="N24" s="3981"/>
      <c r="O24" s="3981"/>
      <c r="P24" s="3981"/>
      <c r="Q24" s="3981"/>
      <c r="R24" s="3981"/>
      <c r="S24" s="2728"/>
      <c r="T24" s="2728"/>
      <c r="U24" s="2896"/>
      <c r="V24" s="2728"/>
      <c r="W24" s="2728"/>
      <c r="X24" s="2728"/>
      <c r="Y24" s="2728"/>
      <c r="Z24" s="2728"/>
      <c r="AA24" s="2728"/>
      <c r="AB24" s="2728"/>
      <c r="AC24" s="2728"/>
      <c r="AD24" s="2728"/>
      <c r="AE24" s="2728"/>
      <c r="AF24" s="2728"/>
      <c r="AG24" s="2728"/>
      <c r="AH24" s="2728"/>
    </row>
    <row r="25" spans="1:34" s="3136" customFormat="1" ht="14.25" customHeight="1" x14ac:dyDescent="0.25">
      <c r="A25" s="3981" t="s">
        <v>5094</v>
      </c>
      <c r="B25" s="3981"/>
      <c r="C25" s="3981"/>
      <c r="D25" s="3981"/>
      <c r="E25" s="3981"/>
      <c r="F25" s="3981"/>
      <c r="G25" s="3981"/>
      <c r="H25" s="3981"/>
      <c r="I25" s="3981"/>
      <c r="J25" s="3981"/>
      <c r="K25" s="3981"/>
      <c r="L25" s="3981"/>
      <c r="M25" s="3981"/>
      <c r="N25" s="3981"/>
      <c r="O25" s="3981"/>
      <c r="P25" s="3981"/>
      <c r="Q25" s="3981"/>
      <c r="R25" s="3981"/>
      <c r="S25" s="2728"/>
      <c r="T25" s="2728"/>
      <c r="U25" s="2896"/>
      <c r="V25" s="2728"/>
      <c r="W25" s="2728"/>
      <c r="X25" s="2728"/>
      <c r="Y25" s="2728"/>
      <c r="Z25" s="2728"/>
      <c r="AA25" s="2728"/>
      <c r="AB25" s="2728"/>
      <c r="AC25" s="2728"/>
      <c r="AD25" s="2728"/>
      <c r="AE25" s="2728"/>
      <c r="AF25" s="2728"/>
      <c r="AG25" s="2728"/>
      <c r="AH25" s="2728"/>
    </row>
    <row r="26" spans="1:34" s="3052" customFormat="1" ht="15.75" customHeight="1" x14ac:dyDescent="0.25">
      <c r="A26" s="3964" t="s">
        <v>5049</v>
      </c>
      <c r="B26" s="3964"/>
      <c r="C26" s="3964"/>
      <c r="D26" s="3964"/>
      <c r="E26" s="3964"/>
      <c r="F26" s="3964"/>
      <c r="G26" s="3964"/>
      <c r="H26" s="3964"/>
      <c r="I26" s="3964"/>
      <c r="J26" s="3964"/>
      <c r="K26" s="3964"/>
      <c r="L26" s="3964"/>
      <c r="M26" s="3964"/>
      <c r="N26" s="3964"/>
      <c r="O26" s="3964"/>
      <c r="P26" s="3964"/>
      <c r="Q26" s="3964"/>
      <c r="R26" s="3964"/>
    </row>
    <row r="27" spans="1:34" s="3052" customFormat="1" ht="15.75" customHeight="1" x14ac:dyDescent="0.25">
      <c r="A27" s="3965" t="s">
        <v>5050</v>
      </c>
      <c r="B27" s="3965"/>
      <c r="C27" s="3965"/>
      <c r="D27" s="3965"/>
      <c r="E27" s="3965"/>
      <c r="F27" s="3965"/>
      <c r="G27" s="3965"/>
      <c r="H27" s="3965"/>
      <c r="I27" s="3965"/>
      <c r="J27" s="3965"/>
      <c r="K27" s="3965"/>
      <c r="L27" s="3965"/>
      <c r="M27" s="3965"/>
      <c r="N27" s="3965"/>
      <c r="O27" s="3965"/>
      <c r="P27" s="3965"/>
      <c r="Q27" s="3965"/>
      <c r="R27" s="3965"/>
    </row>
    <row r="28" spans="1:34" s="3052" customFormat="1" ht="15.75" customHeight="1" x14ac:dyDescent="0.25">
      <c r="A28" s="3964" t="s">
        <v>5095</v>
      </c>
      <c r="B28" s="3964"/>
      <c r="C28" s="3964"/>
      <c r="D28" s="3964"/>
      <c r="E28" s="3964"/>
      <c r="F28" s="3964"/>
      <c r="G28" s="3964"/>
      <c r="H28" s="3964"/>
      <c r="I28" s="3964"/>
      <c r="J28" s="3964"/>
      <c r="K28" s="3964"/>
      <c r="L28" s="3964"/>
      <c r="M28" s="3964"/>
      <c r="N28" s="3964"/>
      <c r="O28" s="3964"/>
      <c r="P28" s="3964"/>
      <c r="Q28" s="3964"/>
      <c r="R28" s="3964"/>
    </row>
    <row r="29" spans="1:34" s="3135" customFormat="1" x14ac:dyDescent="0.3">
      <c r="A29" s="3137"/>
      <c r="C29" s="3138"/>
      <c r="D29" s="3138"/>
    </row>
    <row r="30" spans="1:34" s="2863" customFormat="1" x14ac:dyDescent="0.25">
      <c r="A30" s="3976" t="s">
        <v>5096</v>
      </c>
      <c r="B30" s="3976"/>
      <c r="C30" s="3976"/>
      <c r="D30" s="3976"/>
      <c r="E30" s="3976"/>
      <c r="F30" s="3976"/>
      <c r="G30" s="3976"/>
      <c r="H30" s="3976"/>
      <c r="I30" s="3976"/>
      <c r="J30" s="3976"/>
      <c r="K30" s="3976"/>
      <c r="L30" s="3976"/>
      <c r="M30" s="3976"/>
      <c r="N30" s="3976"/>
      <c r="O30" s="3976"/>
      <c r="P30" s="3976"/>
      <c r="Q30" s="3976"/>
      <c r="R30" s="3982"/>
    </row>
    <row r="31" spans="1:34" ht="17.25" thickBot="1" x14ac:dyDescent="0.3">
      <c r="B31" s="3139"/>
      <c r="C31" s="3140"/>
      <c r="D31" s="3140"/>
      <c r="E31" s="3140"/>
      <c r="F31" s="3140"/>
      <c r="G31" s="3140"/>
      <c r="H31" s="3140"/>
      <c r="I31" s="3103"/>
      <c r="J31" s="3103"/>
      <c r="K31" s="3103"/>
      <c r="L31" s="3103"/>
      <c r="M31" s="3103"/>
      <c r="O31" s="3103"/>
      <c r="P31" s="3103"/>
      <c r="Q31" s="3103"/>
      <c r="R31" s="3103" t="s">
        <v>8</v>
      </c>
    </row>
    <row r="32" spans="1:34" s="3004" customFormat="1" ht="36.75" customHeight="1" thickTop="1" thickBot="1" x14ac:dyDescent="0.3">
      <c r="A32" s="3956" t="s">
        <v>5054</v>
      </c>
      <c r="B32" s="3957"/>
      <c r="C32" s="3106" t="s">
        <v>5028</v>
      </c>
      <c r="D32" s="3106" t="s">
        <v>5029</v>
      </c>
      <c r="E32" s="3106" t="s">
        <v>5030</v>
      </c>
      <c r="F32" s="3106" t="s">
        <v>5031</v>
      </c>
      <c r="G32" s="3106" t="s">
        <v>5032</v>
      </c>
      <c r="H32" s="3106" t="s">
        <v>5033</v>
      </c>
      <c r="I32" s="3106" t="s">
        <v>5034</v>
      </c>
      <c r="J32" s="3106" t="s">
        <v>5035</v>
      </c>
      <c r="K32" s="3106" t="s">
        <v>1282</v>
      </c>
      <c r="L32" s="3106" t="s">
        <v>1294</v>
      </c>
      <c r="M32" s="3106" t="s">
        <v>1295</v>
      </c>
      <c r="N32" s="3056" t="s">
        <v>1296</v>
      </c>
      <c r="O32" s="3107" t="s">
        <v>5036</v>
      </c>
      <c r="P32" s="3056" t="s">
        <v>1119</v>
      </c>
      <c r="Q32" s="3108" t="s">
        <v>5091</v>
      </c>
      <c r="R32" s="3059" t="s">
        <v>5097</v>
      </c>
    </row>
    <row r="33" spans="1:21" s="3149" customFormat="1" ht="16.5" customHeight="1" x14ac:dyDescent="0.25">
      <c r="A33" s="3974" t="s">
        <v>5056</v>
      </c>
      <c r="B33" s="3975"/>
      <c r="C33" s="3141">
        <f>C34+C42+C65</f>
        <v>1133.704</v>
      </c>
      <c r="D33" s="3141">
        <f>D34+D42+D65</f>
        <v>1825.7029999999997</v>
      </c>
      <c r="E33" s="3142">
        <f>E34+E42+E65</f>
        <v>1612.22</v>
      </c>
      <c r="F33" s="3142">
        <f>F34+F42+F65+1</f>
        <v>1412.15</v>
      </c>
      <c r="G33" s="3143">
        <f t="shared" ref="G33:O33" si="1">G34+G42+G65</f>
        <v>4009.1</v>
      </c>
      <c r="H33" s="3144">
        <f t="shared" si="1"/>
        <v>6101</v>
      </c>
      <c r="I33" s="3144">
        <f t="shared" si="1"/>
        <v>5549</v>
      </c>
      <c r="J33" s="3144">
        <f t="shared" si="1"/>
        <v>6329</v>
      </c>
      <c r="K33" s="3144">
        <f t="shared" si="1"/>
        <v>6013</v>
      </c>
      <c r="L33" s="3144">
        <f t="shared" si="1"/>
        <v>5158</v>
      </c>
      <c r="M33" s="3144">
        <f t="shared" si="1"/>
        <v>4402</v>
      </c>
      <c r="N33" s="3145">
        <f t="shared" si="1"/>
        <v>4452</v>
      </c>
      <c r="O33" s="3146">
        <f t="shared" si="1"/>
        <v>5199.6000000000004</v>
      </c>
      <c r="P33" s="3145">
        <v>3937</v>
      </c>
      <c r="Q33" s="3147">
        <f t="shared" ref="Q33" si="2">Q34+Q42+Q65</f>
        <v>2847.7235258499995</v>
      </c>
      <c r="R33" s="3148">
        <v>374.37547604000008</v>
      </c>
    </row>
    <row r="34" spans="1:21" ht="16.5" customHeight="1" x14ac:dyDescent="0.25">
      <c r="A34" s="3974" t="s">
        <v>5098</v>
      </c>
      <c r="B34" s="3983"/>
      <c r="C34" s="3141">
        <v>13.042000000000002</v>
      </c>
      <c r="D34" s="3141">
        <f t="shared" ref="D34:M34" si="3">D35+D40</f>
        <v>243.16899999999998</v>
      </c>
      <c r="E34" s="3143">
        <f t="shared" si="3"/>
        <v>296.18</v>
      </c>
      <c r="F34" s="3143">
        <f t="shared" si="3"/>
        <v>381.5</v>
      </c>
      <c r="G34" s="3143">
        <f t="shared" si="3"/>
        <v>947.1</v>
      </c>
      <c r="H34" s="3150">
        <f t="shared" si="3"/>
        <v>357</v>
      </c>
      <c r="I34" s="3150">
        <f t="shared" si="3"/>
        <v>1397</v>
      </c>
      <c r="J34" s="3150">
        <f t="shared" si="3"/>
        <v>1079</v>
      </c>
      <c r="K34" s="3150">
        <f t="shared" si="3"/>
        <v>2359</v>
      </c>
      <c r="L34" s="3150">
        <f t="shared" si="3"/>
        <v>914</v>
      </c>
      <c r="M34" s="3150">
        <f t="shared" si="3"/>
        <v>798</v>
      </c>
      <c r="N34" s="3150">
        <v>1150</v>
      </c>
      <c r="O34" s="3141">
        <f t="shared" ref="O34" si="4">O35+O40</f>
        <v>1230</v>
      </c>
      <c r="P34" s="3150">
        <v>974</v>
      </c>
      <c r="Q34" s="3151">
        <f t="shared" ref="Q34" si="5">Q35+Q40</f>
        <v>210.4220536</v>
      </c>
      <c r="R34" s="3152">
        <v>109.08413849000002</v>
      </c>
    </row>
    <row r="35" spans="1:21" ht="16.5" customHeight="1" x14ac:dyDescent="0.25">
      <c r="A35" s="3968" t="s">
        <v>5058</v>
      </c>
      <c r="B35" s="3969"/>
      <c r="C35" s="3153">
        <v>13.042000000000002</v>
      </c>
      <c r="D35" s="3153">
        <v>148.74799999999999</v>
      </c>
      <c r="E35" s="3154">
        <f>E36+E38</f>
        <v>283.47000000000003</v>
      </c>
      <c r="F35" s="3154">
        <f>F36</f>
        <v>356.8</v>
      </c>
      <c r="G35" s="3155">
        <v>881.1</v>
      </c>
      <c r="H35" s="3156">
        <f>H36+H38+H39</f>
        <v>288</v>
      </c>
      <c r="I35" s="3156">
        <f t="shared" ref="I35:J35" si="6">I36+I38+I39</f>
        <v>1327</v>
      </c>
      <c r="J35" s="3156">
        <f t="shared" si="6"/>
        <v>876</v>
      </c>
      <c r="K35" s="3156">
        <f>K36+K38+K39</f>
        <v>2175</v>
      </c>
      <c r="L35" s="3156">
        <f>L36+L38+L39</f>
        <v>779</v>
      </c>
      <c r="M35" s="3156">
        <f t="shared" ref="M35" si="7">M36+M38+M39</f>
        <v>647</v>
      </c>
      <c r="N35" s="3156">
        <v>1095</v>
      </c>
      <c r="O35" s="3153">
        <v>1170</v>
      </c>
      <c r="P35" s="3157">
        <v>901</v>
      </c>
      <c r="Q35" s="3158">
        <v>208.34748053999999</v>
      </c>
      <c r="R35" s="3159">
        <v>109.08413849000002</v>
      </c>
    </row>
    <row r="36" spans="1:21" ht="16.5" customHeight="1" x14ac:dyDescent="0.25">
      <c r="A36" s="3968" t="s">
        <v>5059</v>
      </c>
      <c r="B36" s="3969"/>
      <c r="C36" s="3153">
        <v>13.042000000000002</v>
      </c>
      <c r="D36" s="3153">
        <v>148.74799999999999</v>
      </c>
      <c r="E36" s="3154">
        <v>282.3</v>
      </c>
      <c r="F36" s="3154">
        <v>356.8</v>
      </c>
      <c r="G36" s="3155">
        <v>94</v>
      </c>
      <c r="H36" s="3157">
        <v>214</v>
      </c>
      <c r="I36" s="3156">
        <v>1228</v>
      </c>
      <c r="J36" s="3157">
        <v>656</v>
      </c>
      <c r="K36" s="3157">
        <v>2046</v>
      </c>
      <c r="L36" s="3156">
        <v>444</v>
      </c>
      <c r="M36" s="3156">
        <v>478</v>
      </c>
      <c r="N36" s="3156">
        <v>1074</v>
      </c>
      <c r="O36" s="3153">
        <v>1167</v>
      </c>
      <c r="P36" s="3157">
        <v>840</v>
      </c>
      <c r="Q36" s="3158">
        <v>206.12248054</v>
      </c>
      <c r="R36" s="3159">
        <v>109.08413849000002</v>
      </c>
      <c r="S36" s="3140"/>
    </row>
    <row r="37" spans="1:21" ht="16.5" customHeight="1" x14ac:dyDescent="0.25">
      <c r="A37" s="3968" t="s">
        <v>5062</v>
      </c>
      <c r="B37" s="3969"/>
      <c r="C37" s="3153">
        <v>1.9730000000000001</v>
      </c>
      <c r="D37" s="3153">
        <v>65.108999999999995</v>
      </c>
      <c r="E37" s="3154">
        <v>150.26</v>
      </c>
      <c r="F37" s="3154">
        <v>288.3</v>
      </c>
      <c r="G37" s="3155">
        <v>10.1</v>
      </c>
      <c r="H37" s="3157">
        <v>44</v>
      </c>
      <c r="I37" s="3157">
        <v>184</v>
      </c>
      <c r="J37" s="3157">
        <v>214</v>
      </c>
      <c r="K37" s="3157">
        <v>714</v>
      </c>
      <c r="L37" s="3157">
        <v>164</v>
      </c>
      <c r="M37" s="3157">
        <v>223</v>
      </c>
      <c r="N37" s="3157">
        <v>347</v>
      </c>
      <c r="O37" s="3153">
        <v>722</v>
      </c>
      <c r="P37" s="3157">
        <v>142</v>
      </c>
      <c r="Q37" s="3158">
        <v>122.27628362</v>
      </c>
      <c r="R37" s="3159">
        <v>73.481254210000003</v>
      </c>
    </row>
    <row r="38" spans="1:21" ht="16.5" customHeight="1" x14ac:dyDescent="0.25">
      <c r="A38" s="3968" t="s">
        <v>5065</v>
      </c>
      <c r="B38" s="3969"/>
      <c r="C38" s="3160">
        <v>0</v>
      </c>
      <c r="D38" s="3160">
        <v>0</v>
      </c>
      <c r="E38" s="3161">
        <v>1.17</v>
      </c>
      <c r="F38" s="3162">
        <v>0</v>
      </c>
      <c r="G38" s="3155">
        <v>787</v>
      </c>
      <c r="H38" s="3157">
        <v>61</v>
      </c>
      <c r="I38" s="3163">
        <v>0</v>
      </c>
      <c r="J38" s="3157">
        <v>125</v>
      </c>
      <c r="K38" s="3157">
        <v>128</v>
      </c>
      <c r="L38" s="3157">
        <v>335</v>
      </c>
      <c r="M38" s="3157">
        <v>0</v>
      </c>
      <c r="N38" s="3157">
        <v>0</v>
      </c>
      <c r="O38" s="3153">
        <v>2</v>
      </c>
      <c r="P38" s="3157">
        <v>17</v>
      </c>
      <c r="Q38" s="3164">
        <v>2.2250000000000001</v>
      </c>
      <c r="R38" s="3165">
        <v>0</v>
      </c>
    </row>
    <row r="39" spans="1:21" ht="16.5" customHeight="1" x14ac:dyDescent="0.25">
      <c r="A39" s="3968" t="s">
        <v>5066</v>
      </c>
      <c r="B39" s="3969"/>
      <c r="C39" s="3153">
        <v>0</v>
      </c>
      <c r="D39" s="3153">
        <v>0</v>
      </c>
      <c r="E39" s="3162" t="s">
        <v>5040</v>
      </c>
      <c r="F39" s="3162" t="s">
        <v>5040</v>
      </c>
      <c r="G39" s="3166" t="s">
        <v>5040</v>
      </c>
      <c r="H39" s="3157">
        <v>13</v>
      </c>
      <c r="I39" s="3157">
        <v>99</v>
      </c>
      <c r="J39" s="3157">
        <v>95</v>
      </c>
      <c r="K39" s="3157">
        <v>1</v>
      </c>
      <c r="L39" s="3157">
        <v>0</v>
      </c>
      <c r="M39" s="3157">
        <v>169</v>
      </c>
      <c r="N39" s="3157">
        <v>7</v>
      </c>
      <c r="O39" s="3153">
        <v>1</v>
      </c>
      <c r="P39" s="3157">
        <v>44</v>
      </c>
      <c r="Q39" s="3164">
        <v>0</v>
      </c>
      <c r="R39" s="3165">
        <v>0</v>
      </c>
      <c r="S39" s="3140"/>
    </row>
    <row r="40" spans="1:21" ht="16.5" customHeight="1" x14ac:dyDescent="0.25">
      <c r="A40" s="3968" t="s">
        <v>5099</v>
      </c>
      <c r="B40" s="3969"/>
      <c r="C40" s="3153">
        <v>0</v>
      </c>
      <c r="D40" s="3153">
        <v>94.421000000000006</v>
      </c>
      <c r="E40" s="3154">
        <f>E41</f>
        <v>12.71</v>
      </c>
      <c r="F40" s="3154">
        <f>F41</f>
        <v>24.7</v>
      </c>
      <c r="G40" s="3155">
        <v>66</v>
      </c>
      <c r="H40" s="3157">
        <v>69</v>
      </c>
      <c r="I40" s="3157">
        <v>70</v>
      </c>
      <c r="J40" s="3157">
        <v>203</v>
      </c>
      <c r="K40" s="3157">
        <v>184</v>
      </c>
      <c r="L40" s="3157">
        <v>135</v>
      </c>
      <c r="M40" s="3157">
        <v>151</v>
      </c>
      <c r="N40" s="3157">
        <v>55</v>
      </c>
      <c r="O40" s="3153">
        <v>60</v>
      </c>
      <c r="P40" s="3157">
        <v>73</v>
      </c>
      <c r="Q40" s="3158">
        <v>2.0745730600000001</v>
      </c>
      <c r="R40" s="3165">
        <v>0</v>
      </c>
    </row>
    <row r="41" spans="1:21" ht="16.5" customHeight="1" x14ac:dyDescent="0.25">
      <c r="A41" s="3968" t="s">
        <v>5068</v>
      </c>
      <c r="B41" s="3969"/>
      <c r="C41" s="3153">
        <v>0</v>
      </c>
      <c r="D41" s="3153">
        <v>94.421000000000006</v>
      </c>
      <c r="E41" s="3154">
        <v>12.71</v>
      </c>
      <c r="F41" s="3154">
        <v>24.7</v>
      </c>
      <c r="G41" s="3155">
        <v>56</v>
      </c>
      <c r="H41" s="3157">
        <v>1</v>
      </c>
      <c r="I41" s="3157">
        <v>6</v>
      </c>
      <c r="J41" s="3157">
        <v>108</v>
      </c>
      <c r="K41" s="3157">
        <v>83</v>
      </c>
      <c r="L41" s="3157">
        <v>82</v>
      </c>
      <c r="M41" s="3157">
        <v>124</v>
      </c>
      <c r="N41" s="3157">
        <v>24</v>
      </c>
      <c r="O41" s="3153">
        <v>29</v>
      </c>
      <c r="P41" s="3157">
        <v>73</v>
      </c>
      <c r="Q41" s="3158">
        <v>2.0745730600000001</v>
      </c>
      <c r="R41" s="3165">
        <v>0</v>
      </c>
    </row>
    <row r="42" spans="1:21" ht="16.5" customHeight="1" x14ac:dyDescent="0.25">
      <c r="A42" s="3167" t="s">
        <v>5100</v>
      </c>
      <c r="B42" s="3036"/>
      <c r="C42" s="3141">
        <f t="shared" ref="C42:M42" si="8">C43+C53</f>
        <v>1005.755</v>
      </c>
      <c r="D42" s="3141">
        <f t="shared" si="8"/>
        <v>1551.723</v>
      </c>
      <c r="E42" s="3142">
        <f t="shared" si="8"/>
        <v>1316.04</v>
      </c>
      <c r="F42" s="3142">
        <f t="shared" si="8"/>
        <v>1029.6500000000001</v>
      </c>
      <c r="G42" s="3143">
        <f t="shared" si="8"/>
        <v>3062</v>
      </c>
      <c r="H42" s="3150">
        <f t="shared" si="8"/>
        <v>5659</v>
      </c>
      <c r="I42" s="3150">
        <f t="shared" si="8"/>
        <v>4070</v>
      </c>
      <c r="J42" s="3150">
        <f t="shared" si="8"/>
        <v>5242</v>
      </c>
      <c r="K42" s="3150">
        <f t="shared" si="8"/>
        <v>3653</v>
      </c>
      <c r="L42" s="3150">
        <f t="shared" si="8"/>
        <v>4240</v>
      </c>
      <c r="M42" s="3150">
        <f t="shared" si="8"/>
        <v>3576</v>
      </c>
      <c r="N42" s="3150">
        <v>3300</v>
      </c>
      <c r="O42" s="3141">
        <f t="shared" ref="O42" si="9">O43+O53</f>
        <v>3968.6</v>
      </c>
      <c r="P42" s="3150">
        <v>2963</v>
      </c>
      <c r="Q42" s="3151">
        <f>Q43+Q52+Q53</f>
        <v>1637.3014722499997</v>
      </c>
      <c r="R42" s="3152">
        <v>265.29133755000004</v>
      </c>
    </row>
    <row r="43" spans="1:21" ht="16.5" customHeight="1" x14ac:dyDescent="0.25">
      <c r="A43" s="3968" t="s">
        <v>5070</v>
      </c>
      <c r="B43" s="3969"/>
      <c r="C43" s="3153">
        <f t="shared" ref="C43:J43" si="10">C44+C45+C46+C47+C48+C49+C50+C51</f>
        <v>862.04899999999998</v>
      </c>
      <c r="D43" s="3153">
        <f t="shared" si="10"/>
        <v>1186.0229999999999</v>
      </c>
      <c r="E43" s="3154">
        <f t="shared" si="10"/>
        <v>589.54000000000008</v>
      </c>
      <c r="F43" s="3154">
        <f t="shared" si="10"/>
        <v>669.3</v>
      </c>
      <c r="G43" s="3155">
        <f t="shared" si="10"/>
        <v>1288.0000000000002</v>
      </c>
      <c r="H43" s="3156">
        <f t="shared" si="10"/>
        <v>4428</v>
      </c>
      <c r="I43" s="3156">
        <f t="shared" si="10"/>
        <v>3044</v>
      </c>
      <c r="J43" s="3156">
        <f t="shared" si="10"/>
        <v>4444</v>
      </c>
      <c r="K43" s="3156">
        <f>K44+K45+K46+K47+K48+K49+K50+K51</f>
        <v>3023</v>
      </c>
      <c r="L43" s="3156">
        <f>L44+L45+L46+L47+L48+L49+L50+L51</f>
        <v>3940</v>
      </c>
      <c r="M43" s="3156">
        <f t="shared" ref="M43" si="11">M44+M45+M46+M47+M48+M49+M50+M51</f>
        <v>3077</v>
      </c>
      <c r="N43" s="3156">
        <v>2288</v>
      </c>
      <c r="O43" s="3168">
        <f>O44+O45+O46+O47+O48+O49+O50+O51</f>
        <v>2158.6</v>
      </c>
      <c r="P43" s="3156">
        <v>1776</v>
      </c>
      <c r="Q43" s="3158">
        <v>1270.1822655799997</v>
      </c>
      <c r="R43" s="3159">
        <v>105.17542325000001</v>
      </c>
    </row>
    <row r="44" spans="1:21" ht="16.5" customHeight="1" x14ac:dyDescent="0.25">
      <c r="A44" s="3077" t="s">
        <v>5101</v>
      </c>
      <c r="B44" s="3069"/>
      <c r="C44" s="3153">
        <v>0</v>
      </c>
      <c r="D44" s="3153">
        <v>0</v>
      </c>
      <c r="E44" s="3154">
        <v>4.47</v>
      </c>
      <c r="F44" s="3169">
        <v>0</v>
      </c>
      <c r="G44" s="3170">
        <v>0</v>
      </c>
      <c r="H44" s="3171">
        <v>0</v>
      </c>
      <c r="I44" s="3157">
        <v>4</v>
      </c>
      <c r="J44" s="3157">
        <v>1</v>
      </c>
      <c r="K44" s="3157">
        <v>0</v>
      </c>
      <c r="L44" s="3157">
        <v>0</v>
      </c>
      <c r="M44" s="3157">
        <v>0</v>
      </c>
      <c r="N44" s="3157">
        <v>0</v>
      </c>
      <c r="O44" s="3153">
        <v>0</v>
      </c>
      <c r="P44" s="3157">
        <v>8</v>
      </c>
      <c r="Q44" s="3164">
        <v>0</v>
      </c>
      <c r="R44" s="3165">
        <v>0</v>
      </c>
    </row>
    <row r="45" spans="1:21" x14ac:dyDescent="0.25">
      <c r="A45" s="3077" t="s">
        <v>5102</v>
      </c>
      <c r="B45" s="3069"/>
      <c r="C45" s="3153">
        <v>0</v>
      </c>
      <c r="D45" s="3153">
        <v>0</v>
      </c>
      <c r="E45" s="3169">
        <v>0</v>
      </c>
      <c r="F45" s="3169">
        <v>0</v>
      </c>
      <c r="G45" s="3170">
        <v>0</v>
      </c>
      <c r="H45" s="3157">
        <v>2</v>
      </c>
      <c r="I45" s="3157">
        <v>6</v>
      </c>
      <c r="J45" s="3157">
        <v>498</v>
      </c>
      <c r="K45" s="3157">
        <v>344</v>
      </c>
      <c r="L45" s="3157">
        <v>733</v>
      </c>
      <c r="M45" s="3157">
        <v>211</v>
      </c>
      <c r="N45" s="3156">
        <v>1039</v>
      </c>
      <c r="O45" s="3168">
        <v>1247</v>
      </c>
      <c r="P45" s="3156">
        <v>51</v>
      </c>
      <c r="Q45" s="3158">
        <v>0.55384034999999998</v>
      </c>
      <c r="R45" s="3165">
        <v>0</v>
      </c>
    </row>
    <row r="46" spans="1:21" ht="16.5" customHeight="1" x14ac:dyDescent="0.25">
      <c r="A46" s="3077" t="s">
        <v>5103</v>
      </c>
      <c r="B46" s="3069"/>
      <c r="C46" s="3153">
        <v>291.45299999999997</v>
      </c>
      <c r="D46" s="3153">
        <v>267.36399999999998</v>
      </c>
      <c r="E46" s="3154">
        <v>234.77</v>
      </c>
      <c r="F46" s="3154">
        <v>95</v>
      </c>
      <c r="G46" s="3155">
        <v>71.3</v>
      </c>
      <c r="H46" s="3156">
        <v>1184</v>
      </c>
      <c r="I46" s="3156">
        <v>1145</v>
      </c>
      <c r="J46" s="3157">
        <v>897</v>
      </c>
      <c r="K46" s="3157">
        <v>483</v>
      </c>
      <c r="L46" s="3157">
        <v>235</v>
      </c>
      <c r="M46" s="3157">
        <v>547</v>
      </c>
      <c r="N46" s="3157">
        <v>385</v>
      </c>
      <c r="O46" s="3153">
        <v>467</v>
      </c>
      <c r="P46" s="3157">
        <v>268</v>
      </c>
      <c r="Q46" s="3158">
        <v>54.257974040000001</v>
      </c>
      <c r="R46" s="3159">
        <v>28.14</v>
      </c>
      <c r="S46" s="3140"/>
      <c r="T46" s="3140"/>
      <c r="U46" s="3140"/>
    </row>
    <row r="47" spans="1:21" ht="16.5" customHeight="1" x14ac:dyDescent="0.25">
      <c r="A47" s="3077" t="s">
        <v>5104</v>
      </c>
      <c r="B47" s="3069"/>
      <c r="C47" s="3153">
        <v>269.738</v>
      </c>
      <c r="D47" s="3153">
        <v>146.17500000000001</v>
      </c>
      <c r="E47" s="3154">
        <v>9.6</v>
      </c>
      <c r="F47" s="3154">
        <v>9</v>
      </c>
      <c r="G47" s="3155">
        <v>9</v>
      </c>
      <c r="H47" s="3157">
        <v>672</v>
      </c>
      <c r="I47" s="3157">
        <v>92</v>
      </c>
      <c r="J47" s="3157">
        <v>16</v>
      </c>
      <c r="K47" s="3157">
        <v>32</v>
      </c>
      <c r="L47" s="3157">
        <v>666</v>
      </c>
      <c r="M47" s="3157">
        <v>0</v>
      </c>
      <c r="N47" s="3157">
        <v>202</v>
      </c>
      <c r="O47" s="3153">
        <v>25</v>
      </c>
      <c r="P47" s="3157">
        <v>17</v>
      </c>
      <c r="Q47" s="3164">
        <v>56.238</v>
      </c>
      <c r="R47" s="3165">
        <v>0</v>
      </c>
    </row>
    <row r="48" spans="1:21" ht="16.5" customHeight="1" x14ac:dyDescent="0.25">
      <c r="A48" s="3077" t="s">
        <v>5071</v>
      </c>
      <c r="B48" s="3069"/>
      <c r="C48" s="3153">
        <v>5.508</v>
      </c>
      <c r="D48" s="3153">
        <v>127.434</v>
      </c>
      <c r="E48" s="3154">
        <v>139.93</v>
      </c>
      <c r="F48" s="3154">
        <v>86</v>
      </c>
      <c r="G48" s="3155">
        <v>98.1</v>
      </c>
      <c r="H48" s="3157">
        <v>382</v>
      </c>
      <c r="I48" s="3157">
        <v>54</v>
      </c>
      <c r="J48" s="3157">
        <v>72</v>
      </c>
      <c r="K48" s="3157">
        <v>132</v>
      </c>
      <c r="L48" s="3157">
        <v>47</v>
      </c>
      <c r="M48" s="3157">
        <v>850</v>
      </c>
      <c r="N48" s="3157">
        <v>92</v>
      </c>
      <c r="O48" s="3153">
        <v>79</v>
      </c>
      <c r="P48" s="3157">
        <v>403</v>
      </c>
      <c r="Q48" s="3164">
        <v>0</v>
      </c>
      <c r="R48" s="3165">
        <v>0</v>
      </c>
    </row>
    <row r="49" spans="1:19" ht="16.5" customHeight="1" x14ac:dyDescent="0.25">
      <c r="A49" s="3077" t="s">
        <v>5105</v>
      </c>
      <c r="B49" s="3069"/>
      <c r="C49" s="3153">
        <v>187.185</v>
      </c>
      <c r="D49" s="3153">
        <v>175.42099999999999</v>
      </c>
      <c r="E49" s="3154">
        <v>166.91</v>
      </c>
      <c r="F49" s="3154">
        <v>209.9</v>
      </c>
      <c r="G49" s="3155">
        <v>109</v>
      </c>
      <c r="H49" s="3157">
        <v>77</v>
      </c>
      <c r="I49" s="3157">
        <v>181</v>
      </c>
      <c r="J49" s="3157">
        <v>157</v>
      </c>
      <c r="K49" s="3157">
        <v>184</v>
      </c>
      <c r="L49" s="3157">
        <v>709</v>
      </c>
      <c r="M49" s="3157">
        <v>172</v>
      </c>
      <c r="N49" s="3157">
        <v>285</v>
      </c>
      <c r="O49" s="3153">
        <v>38</v>
      </c>
      <c r="P49" s="3157">
        <v>710</v>
      </c>
      <c r="Q49" s="3158">
        <v>915.70288277999998</v>
      </c>
      <c r="R49" s="3159">
        <v>72.796381150000002</v>
      </c>
    </row>
    <row r="50" spans="1:19" ht="16.5" customHeight="1" x14ac:dyDescent="0.25">
      <c r="A50" s="3077" t="s">
        <v>5072</v>
      </c>
      <c r="B50" s="3069"/>
      <c r="C50" s="3153">
        <v>13.68</v>
      </c>
      <c r="D50" s="3153">
        <v>35.116</v>
      </c>
      <c r="E50" s="3154">
        <v>20.440000000000001</v>
      </c>
      <c r="F50" s="3154">
        <v>70.400000000000006</v>
      </c>
      <c r="G50" s="3155">
        <v>325.3</v>
      </c>
      <c r="H50" s="3157">
        <v>79</v>
      </c>
      <c r="I50" s="3157">
        <v>96</v>
      </c>
      <c r="J50" s="3157">
        <v>47</v>
      </c>
      <c r="K50" s="3157">
        <v>50</v>
      </c>
      <c r="L50" s="3157">
        <v>79</v>
      </c>
      <c r="M50" s="3157">
        <v>241</v>
      </c>
      <c r="N50" s="3157">
        <v>95</v>
      </c>
      <c r="O50" s="3153">
        <v>29.2</v>
      </c>
      <c r="P50" s="3157">
        <v>110</v>
      </c>
      <c r="Q50" s="3158">
        <v>32.756844999999998</v>
      </c>
      <c r="R50" s="3159">
        <v>0.98560000000000003</v>
      </c>
      <c r="S50" s="3140"/>
    </row>
    <row r="51" spans="1:19" ht="16.5" customHeight="1" x14ac:dyDescent="0.25">
      <c r="A51" s="3077" t="s">
        <v>5073</v>
      </c>
      <c r="B51" s="3069"/>
      <c r="C51" s="3153">
        <v>94.485000000000014</v>
      </c>
      <c r="D51" s="3153">
        <v>434.51299999999998</v>
      </c>
      <c r="E51" s="3154">
        <v>13.420000000000041</v>
      </c>
      <c r="F51" s="3154">
        <v>198.99999999999997</v>
      </c>
      <c r="G51" s="3155">
        <v>675.30000000000018</v>
      </c>
      <c r="H51" s="3156">
        <v>2032</v>
      </c>
      <c r="I51" s="3156">
        <v>1466</v>
      </c>
      <c r="J51" s="3156">
        <v>2756</v>
      </c>
      <c r="K51" s="3156">
        <v>1798</v>
      </c>
      <c r="L51" s="3156">
        <v>1471</v>
      </c>
      <c r="M51" s="3156">
        <v>1056</v>
      </c>
      <c r="N51" s="3156">
        <v>190</v>
      </c>
      <c r="O51" s="3153">
        <v>273.39999999999998</v>
      </c>
      <c r="P51" s="3157">
        <v>209</v>
      </c>
      <c r="Q51" s="3158">
        <v>210.67272341</v>
      </c>
      <c r="R51" s="3159">
        <v>3.2534421</v>
      </c>
    </row>
    <row r="52" spans="1:19" ht="16.5" customHeight="1" x14ac:dyDescent="0.25">
      <c r="A52" s="3968" t="s">
        <v>5106</v>
      </c>
      <c r="B52" s="3969"/>
      <c r="C52" s="3153"/>
      <c r="D52" s="3153"/>
      <c r="E52" s="3155"/>
      <c r="F52" s="3155"/>
      <c r="G52" s="3155"/>
      <c r="H52" s="3171">
        <v>0</v>
      </c>
      <c r="I52" s="3171">
        <v>0</v>
      </c>
      <c r="J52" s="3171">
        <v>0</v>
      </c>
      <c r="K52" s="3171">
        <v>0</v>
      </c>
      <c r="L52" s="3171">
        <v>0</v>
      </c>
      <c r="M52" s="3153">
        <v>0</v>
      </c>
      <c r="N52" s="3153">
        <v>0</v>
      </c>
      <c r="O52" s="3153">
        <v>0</v>
      </c>
      <c r="P52" s="3157">
        <v>65</v>
      </c>
      <c r="Q52" s="3164">
        <v>0</v>
      </c>
      <c r="R52" s="3165">
        <v>0</v>
      </c>
    </row>
    <row r="53" spans="1:19" ht="16.5" customHeight="1" x14ac:dyDescent="0.25">
      <c r="A53" s="3172" t="s">
        <v>5107</v>
      </c>
      <c r="B53" s="3036"/>
      <c r="C53" s="3153">
        <v>143.70599999999999</v>
      </c>
      <c r="D53" s="3153">
        <f t="shared" ref="D53:M53" si="12">D54+D64</f>
        <v>365.7</v>
      </c>
      <c r="E53" s="3155">
        <f t="shared" si="12"/>
        <v>726.5</v>
      </c>
      <c r="F53" s="3155">
        <f t="shared" si="12"/>
        <v>360.35</v>
      </c>
      <c r="G53" s="3155">
        <f t="shared" si="12"/>
        <v>1774</v>
      </c>
      <c r="H53" s="3156">
        <f t="shared" si="12"/>
        <v>1231</v>
      </c>
      <c r="I53" s="3156">
        <f t="shared" si="12"/>
        <v>1026</v>
      </c>
      <c r="J53" s="3157">
        <f t="shared" si="12"/>
        <v>798</v>
      </c>
      <c r="K53" s="3157">
        <f t="shared" si="12"/>
        <v>630</v>
      </c>
      <c r="L53" s="3157">
        <f t="shared" si="12"/>
        <v>300</v>
      </c>
      <c r="M53" s="3157">
        <f t="shared" si="12"/>
        <v>499</v>
      </c>
      <c r="N53" s="3157">
        <v>1012</v>
      </c>
      <c r="O53" s="3153">
        <f t="shared" ref="O53" si="13">O54+O64</f>
        <v>1810</v>
      </c>
      <c r="P53" s="3156">
        <v>1122</v>
      </c>
      <c r="Q53" s="3164">
        <v>367.1192066700001</v>
      </c>
      <c r="R53" s="3165">
        <v>160.11591430000001</v>
      </c>
    </row>
    <row r="54" spans="1:19" ht="16.5" customHeight="1" x14ac:dyDescent="0.25">
      <c r="A54" s="3172" t="s">
        <v>5108</v>
      </c>
      <c r="B54" s="3036"/>
      <c r="C54" s="3153">
        <f>134.39</f>
        <v>134.38999999999999</v>
      </c>
      <c r="D54" s="3153">
        <v>331</v>
      </c>
      <c r="E54" s="3155">
        <v>723</v>
      </c>
      <c r="F54" s="3155">
        <v>349</v>
      </c>
      <c r="G54" s="3155">
        <v>1774</v>
      </c>
      <c r="H54" s="3156">
        <f>H55+H57</f>
        <v>1014</v>
      </c>
      <c r="I54" s="3157">
        <f>I55+I57</f>
        <v>982</v>
      </c>
      <c r="J54" s="3157">
        <f>J55+J57</f>
        <v>576</v>
      </c>
      <c r="K54" s="3157">
        <f>K55+K57</f>
        <v>565</v>
      </c>
      <c r="L54" s="3157">
        <f>L55+L57</f>
        <v>278</v>
      </c>
      <c r="M54" s="3157">
        <f t="shared" ref="M54" si="14">M55+M57</f>
        <v>499</v>
      </c>
      <c r="N54" s="3157">
        <v>983</v>
      </c>
      <c r="O54" s="3153">
        <f t="shared" ref="O54" si="15">O55+O57</f>
        <v>1810</v>
      </c>
      <c r="P54" s="3156">
        <v>1121</v>
      </c>
      <c r="Q54" s="3158">
        <v>347.8430855900001</v>
      </c>
      <c r="R54" s="3159">
        <v>160.11591430000001</v>
      </c>
    </row>
    <row r="55" spans="1:19" ht="16.5" customHeight="1" x14ac:dyDescent="0.25">
      <c r="A55" s="3968" t="s">
        <v>5079</v>
      </c>
      <c r="B55" s="3969"/>
      <c r="C55" s="3153">
        <v>0</v>
      </c>
      <c r="D55" s="3153">
        <v>0</v>
      </c>
      <c r="E55" s="3162">
        <v>0</v>
      </c>
      <c r="F55" s="3162">
        <v>0</v>
      </c>
      <c r="G55" s="3166">
        <v>0</v>
      </c>
      <c r="H55" s="3157">
        <v>46</v>
      </c>
      <c r="I55" s="3113">
        <v>0</v>
      </c>
      <c r="J55" s="3157">
        <v>175</v>
      </c>
      <c r="K55" s="3157">
        <v>195</v>
      </c>
      <c r="L55" s="3157">
        <v>95</v>
      </c>
      <c r="M55" s="3157">
        <v>12</v>
      </c>
      <c r="N55" s="3157">
        <v>25</v>
      </c>
      <c r="O55" s="3153">
        <v>4</v>
      </c>
      <c r="P55" s="3156">
        <v>20</v>
      </c>
      <c r="Q55" s="3158">
        <v>52.911786750000012</v>
      </c>
      <c r="R55" s="3159">
        <v>13.4294963</v>
      </c>
    </row>
    <row r="56" spans="1:19" ht="16.5" customHeight="1" x14ac:dyDescent="0.25">
      <c r="A56" s="3968" t="s">
        <v>5080</v>
      </c>
      <c r="B56" s="3969"/>
      <c r="C56" s="3153">
        <v>0</v>
      </c>
      <c r="D56" s="3153">
        <v>0</v>
      </c>
      <c r="E56" s="3162">
        <v>0</v>
      </c>
      <c r="F56" s="3162">
        <v>0</v>
      </c>
      <c r="G56" s="3166">
        <v>0</v>
      </c>
      <c r="H56" s="3157">
        <v>46</v>
      </c>
      <c r="I56" s="3113">
        <v>0</v>
      </c>
      <c r="J56" s="3157">
        <v>174</v>
      </c>
      <c r="K56" s="3157">
        <v>194</v>
      </c>
      <c r="L56" s="3157">
        <v>68</v>
      </c>
      <c r="M56" s="3157">
        <v>12</v>
      </c>
      <c r="N56" s="3157">
        <v>25</v>
      </c>
      <c r="O56" s="3153">
        <v>4</v>
      </c>
      <c r="P56" s="3156">
        <v>20</v>
      </c>
      <c r="Q56" s="3158">
        <v>52.911786750000012</v>
      </c>
      <c r="R56" s="3159">
        <v>13.4294963</v>
      </c>
      <c r="S56" s="3140"/>
    </row>
    <row r="57" spans="1:19" ht="16.5" customHeight="1" x14ac:dyDescent="0.25">
      <c r="A57" s="3968" t="s">
        <v>5081</v>
      </c>
      <c r="B57" s="3969"/>
      <c r="C57" s="3153">
        <f t="shared" ref="C57:K57" si="16">C58+C61</f>
        <v>2</v>
      </c>
      <c r="D57" s="3153">
        <f t="shared" si="16"/>
        <v>30.9</v>
      </c>
      <c r="E57" s="3154">
        <f t="shared" si="16"/>
        <v>45.099999999999994</v>
      </c>
      <c r="F57" s="3154">
        <f t="shared" si="16"/>
        <v>12</v>
      </c>
      <c r="G57" s="3155">
        <f t="shared" si="16"/>
        <v>1702.8</v>
      </c>
      <c r="H57" s="3157">
        <f t="shared" si="16"/>
        <v>968</v>
      </c>
      <c r="I57" s="3157">
        <f t="shared" si="16"/>
        <v>982</v>
      </c>
      <c r="J57" s="3157">
        <f t="shared" si="16"/>
        <v>401</v>
      </c>
      <c r="K57" s="3157">
        <f t="shared" si="16"/>
        <v>370</v>
      </c>
      <c r="L57" s="3157">
        <f>L58+L61</f>
        <v>183</v>
      </c>
      <c r="M57" s="3157">
        <f t="shared" ref="M57" si="17">M58+M61</f>
        <v>487</v>
      </c>
      <c r="N57" s="3157">
        <v>958</v>
      </c>
      <c r="O57" s="3153">
        <f t="shared" ref="O57" si="18">O58+O61</f>
        <v>1806</v>
      </c>
      <c r="P57" s="3156">
        <v>1101</v>
      </c>
      <c r="Q57" s="3158">
        <v>294.93129884000007</v>
      </c>
      <c r="R57" s="3159">
        <v>146.686418</v>
      </c>
    </row>
    <row r="58" spans="1:19" ht="16.5" customHeight="1" x14ac:dyDescent="0.25">
      <c r="A58" s="3968" t="s">
        <v>5082</v>
      </c>
      <c r="B58" s="3969"/>
      <c r="C58" s="3173">
        <v>2</v>
      </c>
      <c r="D58" s="3173">
        <f>D59</f>
        <v>30.9</v>
      </c>
      <c r="E58" s="3174">
        <f>E59</f>
        <v>27.4</v>
      </c>
      <c r="F58" s="3174">
        <f>F59</f>
        <v>12</v>
      </c>
      <c r="G58" s="3174">
        <f>G59</f>
        <v>1027</v>
      </c>
      <c r="H58" s="3157">
        <f>H59+H60</f>
        <v>717</v>
      </c>
      <c r="I58" s="3157">
        <f>I59+I60</f>
        <v>574</v>
      </c>
      <c r="J58" s="3157">
        <f>J59+J60</f>
        <v>360</v>
      </c>
      <c r="K58" s="3157">
        <f>K59+K60</f>
        <v>171</v>
      </c>
      <c r="L58" s="3157">
        <f>L59+L60</f>
        <v>183</v>
      </c>
      <c r="M58" s="3157">
        <f t="shared" ref="M58" si="19">M59+M60</f>
        <v>447</v>
      </c>
      <c r="N58" s="3157">
        <v>456</v>
      </c>
      <c r="O58" s="3153">
        <f t="shared" ref="O58" si="20">O59+O60</f>
        <v>1767</v>
      </c>
      <c r="P58" s="3156">
        <v>1036</v>
      </c>
      <c r="Q58" s="3158">
        <v>294.63129884000006</v>
      </c>
      <c r="R58" s="3159">
        <v>145.82961800000001</v>
      </c>
    </row>
    <row r="59" spans="1:19" ht="16.5" customHeight="1" x14ac:dyDescent="0.25">
      <c r="A59" s="3087"/>
      <c r="B59" s="3088" t="s">
        <v>1244</v>
      </c>
      <c r="C59" s="3153">
        <v>0</v>
      </c>
      <c r="D59" s="3153">
        <v>30.9</v>
      </c>
      <c r="E59" s="3154">
        <v>27.4</v>
      </c>
      <c r="F59" s="3154">
        <v>12</v>
      </c>
      <c r="G59" s="3155">
        <v>1027</v>
      </c>
      <c r="H59" s="3157">
        <v>61</v>
      </c>
      <c r="I59" s="3157">
        <v>308</v>
      </c>
      <c r="J59" s="3175">
        <v>21</v>
      </c>
      <c r="K59" s="3175">
        <v>0</v>
      </c>
      <c r="L59" s="3113">
        <v>29</v>
      </c>
      <c r="M59" s="3113">
        <v>6</v>
      </c>
      <c r="N59" s="3113">
        <v>63</v>
      </c>
      <c r="O59" s="3153">
        <v>0</v>
      </c>
      <c r="P59" s="3156">
        <v>550</v>
      </c>
      <c r="Q59" s="3164">
        <v>1.7601150000000001</v>
      </c>
      <c r="R59" s="3165">
        <v>0.66305000000000003</v>
      </c>
    </row>
    <row r="60" spans="1:19" ht="16.5" customHeight="1" x14ac:dyDescent="0.25">
      <c r="A60" s="3087"/>
      <c r="B60" s="3088" t="s">
        <v>3326</v>
      </c>
      <c r="C60" s="3153">
        <v>0</v>
      </c>
      <c r="D60" s="3153">
        <v>0</v>
      </c>
      <c r="E60" s="3162">
        <v>0</v>
      </c>
      <c r="F60" s="3162">
        <v>0</v>
      </c>
      <c r="G60" s="3166">
        <v>0</v>
      </c>
      <c r="H60" s="3157">
        <v>656</v>
      </c>
      <c r="I60" s="3157">
        <v>266</v>
      </c>
      <c r="J60" s="3157">
        <v>339</v>
      </c>
      <c r="K60" s="3157">
        <v>171</v>
      </c>
      <c r="L60" s="3157">
        <v>154</v>
      </c>
      <c r="M60" s="3157">
        <v>441</v>
      </c>
      <c r="N60" s="3157">
        <v>393</v>
      </c>
      <c r="O60" s="3153">
        <v>1767</v>
      </c>
      <c r="P60" s="3156">
        <v>486</v>
      </c>
      <c r="Q60" s="3158">
        <v>292.87118384000007</v>
      </c>
      <c r="R60" s="3159">
        <v>145.16656800000001</v>
      </c>
    </row>
    <row r="61" spans="1:19" ht="16.5" customHeight="1" x14ac:dyDescent="0.25">
      <c r="A61" s="3968" t="s">
        <v>5083</v>
      </c>
      <c r="B61" s="3969"/>
      <c r="C61" s="3153">
        <v>0</v>
      </c>
      <c r="D61" s="3153">
        <v>0</v>
      </c>
      <c r="E61" s="3154">
        <f>E62+E63</f>
        <v>17.7</v>
      </c>
      <c r="F61" s="3162">
        <v>0</v>
      </c>
      <c r="G61" s="3155">
        <f>G62+G63</f>
        <v>675.8</v>
      </c>
      <c r="H61" s="3157">
        <f>H62+H63</f>
        <v>251</v>
      </c>
      <c r="I61" s="3157">
        <f>I62+I63</f>
        <v>408</v>
      </c>
      <c r="J61" s="3157">
        <v>41</v>
      </c>
      <c r="K61" s="3157">
        <f>K62+K63</f>
        <v>199</v>
      </c>
      <c r="L61" s="3157">
        <f>L62+L63</f>
        <v>0</v>
      </c>
      <c r="M61" s="3157">
        <f t="shared" ref="M61" si="21">M62+M63</f>
        <v>40</v>
      </c>
      <c r="N61" s="3157">
        <v>502</v>
      </c>
      <c r="O61" s="3153">
        <f t="shared" ref="O61" si="22">O62+O63</f>
        <v>39</v>
      </c>
      <c r="P61" s="3156">
        <v>65</v>
      </c>
      <c r="Q61" s="3164">
        <v>0.3</v>
      </c>
      <c r="R61" s="3165">
        <v>0.85680000000000001</v>
      </c>
    </row>
    <row r="62" spans="1:19" ht="16.5" customHeight="1" x14ac:dyDescent="0.25">
      <c r="A62" s="3089"/>
      <c r="B62" s="3088" t="s">
        <v>1245</v>
      </c>
      <c r="C62" s="3153">
        <v>0</v>
      </c>
      <c r="D62" s="3153">
        <v>0</v>
      </c>
      <c r="E62" s="3162">
        <v>0</v>
      </c>
      <c r="F62" s="3162">
        <v>0</v>
      </c>
      <c r="G62" s="3166">
        <v>0</v>
      </c>
      <c r="H62" s="3176">
        <v>0</v>
      </c>
      <c r="I62" s="3157">
        <v>2</v>
      </c>
      <c r="J62" s="3157">
        <v>6</v>
      </c>
      <c r="K62" s="3157">
        <v>41</v>
      </c>
      <c r="L62" s="3157">
        <v>0</v>
      </c>
      <c r="M62" s="3157">
        <v>18</v>
      </c>
      <c r="N62" s="3157">
        <v>83</v>
      </c>
      <c r="O62" s="3153">
        <v>0</v>
      </c>
      <c r="P62" s="3157">
        <v>0</v>
      </c>
      <c r="Q62" s="3164">
        <v>0</v>
      </c>
      <c r="R62" s="3165">
        <v>0</v>
      </c>
    </row>
    <row r="63" spans="1:19" ht="16.5" customHeight="1" x14ac:dyDescent="0.25">
      <c r="A63" s="3089"/>
      <c r="B63" s="3088" t="s">
        <v>5084</v>
      </c>
      <c r="C63" s="3153">
        <v>0</v>
      </c>
      <c r="D63" s="3153">
        <v>0</v>
      </c>
      <c r="E63" s="3154">
        <f>1.7+16</f>
        <v>17.7</v>
      </c>
      <c r="F63" s="3162">
        <v>0</v>
      </c>
      <c r="G63" s="3155">
        <f>23+36+616.8</f>
        <v>675.8</v>
      </c>
      <c r="H63" s="3157">
        <v>251</v>
      </c>
      <c r="I63" s="3157">
        <v>406</v>
      </c>
      <c r="J63" s="3157">
        <v>35</v>
      </c>
      <c r="K63" s="3157">
        <v>158</v>
      </c>
      <c r="L63" s="3157">
        <v>0</v>
      </c>
      <c r="M63" s="3157">
        <v>22</v>
      </c>
      <c r="N63" s="3157">
        <v>419</v>
      </c>
      <c r="O63" s="3153">
        <v>39</v>
      </c>
      <c r="P63" s="3156">
        <v>65</v>
      </c>
      <c r="Q63" s="3164">
        <v>0.3</v>
      </c>
      <c r="R63" s="3165">
        <v>0.85680000000000001</v>
      </c>
    </row>
    <row r="64" spans="1:19" ht="16.5" customHeight="1" x14ac:dyDescent="0.25">
      <c r="A64" s="3968" t="s">
        <v>5085</v>
      </c>
      <c r="B64" s="3969"/>
      <c r="C64" s="3153">
        <v>0</v>
      </c>
      <c r="D64" s="3153">
        <v>34.700000000000003</v>
      </c>
      <c r="E64" s="3155">
        <v>3.5</v>
      </c>
      <c r="F64" s="3155">
        <v>11.35</v>
      </c>
      <c r="G64" s="3166">
        <v>0</v>
      </c>
      <c r="H64" s="3157">
        <v>217</v>
      </c>
      <c r="I64" s="3157">
        <v>44</v>
      </c>
      <c r="J64" s="3157">
        <v>222</v>
      </c>
      <c r="K64" s="3157">
        <v>65</v>
      </c>
      <c r="L64" s="3157">
        <v>22</v>
      </c>
      <c r="M64" s="3157">
        <v>0</v>
      </c>
      <c r="N64" s="3157">
        <v>29</v>
      </c>
      <c r="O64" s="3153">
        <v>0</v>
      </c>
      <c r="P64" s="3157">
        <v>1.4</v>
      </c>
      <c r="Q64" s="3158">
        <v>19.276121079999999</v>
      </c>
      <c r="R64" s="3165">
        <v>0</v>
      </c>
    </row>
    <row r="65" spans="1:27" ht="16.5" customHeight="1" thickBot="1" x14ac:dyDescent="0.3">
      <c r="A65" s="3177" t="s">
        <v>5109</v>
      </c>
      <c r="B65" s="3178"/>
      <c r="C65" s="3179">
        <v>114.907</v>
      </c>
      <c r="D65" s="3179">
        <v>30.811</v>
      </c>
      <c r="E65" s="3180">
        <v>0</v>
      </c>
      <c r="F65" s="3180">
        <v>0</v>
      </c>
      <c r="G65" s="3181">
        <v>0</v>
      </c>
      <c r="H65" s="3182">
        <v>85</v>
      </c>
      <c r="I65" s="3182">
        <v>82</v>
      </c>
      <c r="J65" s="3182">
        <v>8</v>
      </c>
      <c r="K65" s="3182">
        <v>1</v>
      </c>
      <c r="L65" s="3182">
        <v>4</v>
      </c>
      <c r="M65" s="3176">
        <v>28</v>
      </c>
      <c r="N65" s="3176">
        <v>2</v>
      </c>
      <c r="O65" s="3183">
        <v>1</v>
      </c>
      <c r="P65" s="3182">
        <v>0</v>
      </c>
      <c r="Q65" s="3184">
        <v>1000</v>
      </c>
      <c r="R65" s="3185">
        <v>0</v>
      </c>
    </row>
    <row r="66" spans="1:27" s="3052" customFormat="1" ht="15.75" customHeight="1" thickTop="1" x14ac:dyDescent="0.25">
      <c r="A66" s="3973" t="s">
        <v>5087</v>
      </c>
      <c r="B66" s="3973"/>
      <c r="C66" s="3973"/>
      <c r="D66" s="3973"/>
      <c r="E66" s="3973"/>
      <c r="F66" s="3973"/>
      <c r="G66" s="3973"/>
      <c r="H66" s="3973"/>
      <c r="I66" s="3973"/>
      <c r="J66" s="3973"/>
      <c r="K66" s="3973"/>
      <c r="L66" s="3973"/>
      <c r="M66" s="3973"/>
      <c r="N66" s="3973"/>
      <c r="O66" s="3973"/>
      <c r="P66" s="3973"/>
      <c r="Q66" s="3973"/>
      <c r="R66" s="3973"/>
    </row>
    <row r="67" spans="1:27" s="3052" customFormat="1" ht="15.75" customHeight="1" x14ac:dyDescent="0.25">
      <c r="A67" s="3964" t="s">
        <v>5110</v>
      </c>
      <c r="B67" s="3964"/>
      <c r="C67" s="3964"/>
      <c r="D67" s="3964"/>
      <c r="E67" s="3964"/>
      <c r="F67" s="3964"/>
      <c r="G67" s="3964"/>
      <c r="H67" s="3964"/>
      <c r="I67" s="3964"/>
      <c r="J67" s="3964"/>
      <c r="K67" s="3964"/>
      <c r="L67" s="3964"/>
      <c r="M67" s="3964"/>
      <c r="N67" s="3964"/>
      <c r="O67" s="3964"/>
      <c r="P67" s="3964"/>
      <c r="Q67" s="3964"/>
      <c r="R67" s="3964"/>
    </row>
    <row r="68" spans="1:27" s="3052" customFormat="1" ht="15.75" customHeight="1" x14ac:dyDescent="0.25">
      <c r="A68" s="3965" t="s">
        <v>5050</v>
      </c>
      <c r="B68" s="3965"/>
      <c r="C68" s="3965"/>
      <c r="D68" s="3965"/>
      <c r="E68" s="3965"/>
      <c r="F68" s="3965"/>
      <c r="G68" s="3965"/>
      <c r="H68" s="3965"/>
      <c r="I68" s="3965"/>
      <c r="J68" s="3965"/>
      <c r="K68" s="3965"/>
      <c r="L68" s="3965"/>
      <c r="M68" s="3965"/>
      <c r="N68" s="3965"/>
      <c r="O68" s="3965"/>
      <c r="P68" s="3965"/>
      <c r="Q68" s="3965"/>
      <c r="R68" s="3965"/>
    </row>
    <row r="69" spans="1:27" s="3052" customFormat="1" ht="15.75" customHeight="1" x14ac:dyDescent="0.25">
      <c r="A69" s="3964" t="s">
        <v>5095</v>
      </c>
      <c r="B69" s="3964"/>
      <c r="C69" s="3964"/>
      <c r="D69" s="3964"/>
      <c r="E69" s="3964"/>
      <c r="F69" s="3964"/>
      <c r="G69" s="3964"/>
      <c r="H69" s="3964"/>
      <c r="I69" s="3964"/>
      <c r="J69" s="3964"/>
      <c r="K69" s="3964"/>
      <c r="L69" s="3964"/>
      <c r="M69" s="3964"/>
      <c r="N69" s="3964"/>
      <c r="O69" s="3964"/>
      <c r="P69" s="3964"/>
      <c r="Q69" s="3964"/>
      <c r="R69" s="3964"/>
    </row>
    <row r="70" spans="1:27" s="3052" customFormat="1" ht="14.25" x14ac:dyDescent="0.25">
      <c r="A70" s="3970" t="s">
        <v>172</v>
      </c>
      <c r="B70" s="3970"/>
      <c r="C70" s="3970"/>
      <c r="D70" s="3970"/>
      <c r="E70" s="3970"/>
      <c r="F70" s="3970"/>
      <c r="G70" s="3970"/>
      <c r="H70" s="3970"/>
      <c r="I70" s="3970"/>
      <c r="J70" s="3970"/>
      <c r="K70" s="3970"/>
      <c r="L70" s="3970"/>
      <c r="M70" s="3970"/>
      <c r="N70" s="3970"/>
      <c r="O70" s="3970"/>
      <c r="P70" s="3970"/>
      <c r="Q70" s="3970"/>
      <c r="R70" s="3970"/>
    </row>
    <row r="71" spans="1:27" s="3186" customFormat="1" ht="14.25" x14ac:dyDescent="0.25">
      <c r="A71" s="3970" t="s">
        <v>134</v>
      </c>
      <c r="B71" s="3970"/>
      <c r="C71" s="3970"/>
      <c r="D71" s="3970"/>
      <c r="E71" s="3970"/>
      <c r="F71" s="3970"/>
      <c r="G71" s="3970"/>
      <c r="H71" s="3970"/>
      <c r="I71" s="3970"/>
      <c r="J71" s="3970"/>
      <c r="K71" s="3970"/>
      <c r="L71" s="3970"/>
      <c r="M71" s="3970"/>
      <c r="N71" s="3970"/>
      <c r="O71" s="3970"/>
      <c r="P71" s="3970"/>
      <c r="Q71" s="3970"/>
      <c r="R71" s="3970"/>
    </row>
    <row r="73" spans="1:27" s="104" customFormat="1" ht="14.25" x14ac:dyDescent="0.25">
      <c r="L73" s="2901"/>
      <c r="Q73" s="2902"/>
      <c r="V73" s="2048"/>
      <c r="W73" s="2048"/>
      <c r="X73" s="2048"/>
      <c r="Y73" s="2048"/>
      <c r="Z73" s="2048"/>
      <c r="AA73" s="2048"/>
    </row>
    <row r="74" spans="1:27" s="2863" customFormat="1" x14ac:dyDescent="0.25">
      <c r="E74" s="3101"/>
      <c r="F74" s="3101"/>
    </row>
    <row r="75" spans="1:27" s="2863" customFormat="1" x14ac:dyDescent="0.25">
      <c r="E75" s="3101"/>
      <c r="F75" s="3101"/>
    </row>
  </sheetData>
  <mergeCells count="34">
    <mergeCell ref="A68:R68"/>
    <mergeCell ref="A69:R69"/>
    <mergeCell ref="A70:R70"/>
    <mergeCell ref="A71:R71"/>
    <mergeCell ref="A57:B57"/>
    <mergeCell ref="A58:B58"/>
    <mergeCell ref="A61:B61"/>
    <mergeCell ref="A64:B64"/>
    <mergeCell ref="A66:R66"/>
    <mergeCell ref="A67:R67"/>
    <mergeCell ref="A56:B56"/>
    <mergeCell ref="A34:B34"/>
    <mergeCell ref="A35:B35"/>
    <mergeCell ref="A36:B36"/>
    <mergeCell ref="A37:B37"/>
    <mergeCell ref="A38:B38"/>
    <mergeCell ref="A39:B39"/>
    <mergeCell ref="A40:B40"/>
    <mergeCell ref="A41:B41"/>
    <mergeCell ref="A43:B43"/>
    <mergeCell ref="A52:B52"/>
    <mergeCell ref="A55:B55"/>
    <mergeCell ref="A33:B33"/>
    <mergeCell ref="A1:R1"/>
    <mergeCell ref="S9:AF9"/>
    <mergeCell ref="A22:B22"/>
    <mergeCell ref="A23:R23"/>
    <mergeCell ref="A24:R24"/>
    <mergeCell ref="A25:R25"/>
    <mergeCell ref="A26:R26"/>
    <mergeCell ref="A27:R27"/>
    <mergeCell ref="A28:R28"/>
    <mergeCell ref="A30:R30"/>
    <mergeCell ref="A32:B32"/>
  </mergeCells>
  <printOptions verticalCentered="1"/>
  <pageMargins left="0.7" right="0" top="0.5" bottom="0.25" header="0" footer="0"/>
  <pageSetup paperSize="9" scale="61" fitToWidth="0"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G42"/>
  <sheetViews>
    <sheetView zoomScale="115" zoomScaleNormal="115" zoomScaleSheetLayoutView="80" workbookViewId="0">
      <pane xSplit="1" ySplit="3" topLeftCell="F4" activePane="bottomRight" state="frozen"/>
      <selection activeCell="A150" sqref="A150"/>
      <selection pane="topRight" activeCell="A150" sqref="A150"/>
      <selection pane="bottomLeft" activeCell="A150" sqref="A150"/>
      <selection pane="bottomRight" activeCell="A32" sqref="A32:I32"/>
    </sheetView>
  </sheetViews>
  <sheetFormatPr defaultColWidth="9.140625" defaultRowHeight="15.75" x14ac:dyDescent="0.25"/>
  <cols>
    <col min="1" max="1" width="27" style="3193" customWidth="1"/>
    <col min="2" max="5" width="10.5703125" style="3193" hidden="1" customWidth="1"/>
    <col min="6" max="18" width="10.5703125" style="3193" customWidth="1"/>
    <col min="19" max="16384" width="9.140625" style="3193"/>
  </cols>
  <sheetData>
    <row r="1" spans="1:33" s="3188" customFormat="1" ht="17.25" customHeight="1" x14ac:dyDescent="0.25">
      <c r="A1" s="3187" t="s">
        <v>5111</v>
      </c>
      <c r="B1" s="3187"/>
      <c r="C1" s="3187"/>
      <c r="D1" s="3187"/>
      <c r="E1" s="3187"/>
      <c r="F1" s="3187"/>
    </row>
    <row r="2" spans="1:33" ht="16.5" thickBot="1" x14ac:dyDescent="0.3">
      <c r="A2" s="3189"/>
      <c r="B2" s="3189"/>
      <c r="C2" s="3189"/>
      <c r="D2" s="3189"/>
      <c r="E2" s="3190"/>
      <c r="F2" s="3191"/>
      <c r="G2" s="3192"/>
      <c r="H2" s="3192"/>
      <c r="I2" s="3192"/>
      <c r="J2" s="3192"/>
      <c r="K2" s="3192"/>
      <c r="L2" s="3190"/>
      <c r="M2" s="3190"/>
      <c r="N2" s="3190"/>
      <c r="O2" s="3190"/>
      <c r="P2" s="3192"/>
      <c r="R2" s="3192" t="s">
        <v>8</v>
      </c>
    </row>
    <row r="3" spans="1:33" s="3199" customFormat="1" ht="18.75" thickTop="1" thickBot="1" x14ac:dyDescent="0.3">
      <c r="A3" s="3194"/>
      <c r="B3" s="3195" t="s">
        <v>1131</v>
      </c>
      <c r="C3" s="3196" t="s">
        <v>5112</v>
      </c>
      <c r="D3" s="3196" t="s">
        <v>5113</v>
      </c>
      <c r="E3" s="3196" t="s">
        <v>5114</v>
      </c>
      <c r="F3" s="3196" t="s">
        <v>1177</v>
      </c>
      <c r="G3" s="3196" t="s">
        <v>5115</v>
      </c>
      <c r="H3" s="3196" t="s">
        <v>5116</v>
      </c>
      <c r="I3" s="3196" t="s">
        <v>5117</v>
      </c>
      <c r="J3" s="3196" t="s">
        <v>1143</v>
      </c>
      <c r="K3" s="3197" t="s">
        <v>5118</v>
      </c>
      <c r="L3" s="3196" t="s">
        <v>5119</v>
      </c>
      <c r="M3" s="3196" t="s">
        <v>5120</v>
      </c>
      <c r="N3" s="3196" t="s">
        <v>1178</v>
      </c>
      <c r="O3" s="3196" t="s">
        <v>5121</v>
      </c>
      <c r="P3" s="3196" t="s">
        <v>5122</v>
      </c>
      <c r="Q3" s="3196" t="s">
        <v>5123</v>
      </c>
      <c r="R3" s="3198" t="s">
        <v>5124</v>
      </c>
    </row>
    <row r="4" spans="1:33" s="3190" customFormat="1" x14ac:dyDescent="0.25">
      <c r="A4" s="3200" t="s">
        <v>5125</v>
      </c>
      <c r="B4" s="3201">
        <v>424.67962665060014</v>
      </c>
      <c r="C4" s="3201">
        <v>523.98863949470001</v>
      </c>
      <c r="D4" s="3201">
        <v>518.73240018999991</v>
      </c>
      <c r="E4" s="3201">
        <v>531.20849068350003</v>
      </c>
      <c r="F4" s="3201">
        <v>473.13287582000021</v>
      </c>
      <c r="G4" s="3201">
        <v>600.39339119090039</v>
      </c>
      <c r="H4" s="3201">
        <v>659.37265491390042</v>
      </c>
      <c r="I4" s="3201">
        <v>713.18699781259932</v>
      </c>
      <c r="J4" s="3201">
        <v>701.98872643539994</v>
      </c>
      <c r="K4" s="3202">
        <v>715.46550466980057</v>
      </c>
      <c r="L4" s="3201">
        <v>659.52556626650039</v>
      </c>
      <c r="M4" s="3201">
        <v>734.28401397499977</v>
      </c>
      <c r="N4" s="3201">
        <v>741.89850830000023</v>
      </c>
      <c r="O4" s="3203">
        <v>590.74315208999963</v>
      </c>
      <c r="P4" s="3203">
        <v>847.10276352000062</v>
      </c>
      <c r="Q4" s="3203">
        <v>886.44076312439847</v>
      </c>
      <c r="R4" s="3204">
        <v>615.63929135000069</v>
      </c>
      <c r="S4" s="3205"/>
      <c r="AB4" s="3206"/>
      <c r="AC4" s="3206"/>
      <c r="AD4" s="3206"/>
      <c r="AE4" s="3206"/>
      <c r="AF4" s="3206"/>
      <c r="AG4" s="3206"/>
    </row>
    <row r="5" spans="1:33" s="3190" customFormat="1" x14ac:dyDescent="0.25">
      <c r="A5" s="3207" t="s">
        <v>3709</v>
      </c>
      <c r="B5" s="3208"/>
      <c r="C5" s="3208"/>
      <c r="D5" s="3208"/>
      <c r="E5" s="3208"/>
      <c r="F5" s="3208"/>
      <c r="G5" s="3208"/>
      <c r="H5" s="3208"/>
      <c r="I5" s="3208"/>
      <c r="J5" s="3208"/>
      <c r="K5" s="3209"/>
      <c r="L5" s="3208"/>
      <c r="M5" s="3208"/>
      <c r="N5" s="3208"/>
      <c r="O5" s="3210"/>
      <c r="P5" s="3210"/>
      <c r="Q5" s="3210"/>
      <c r="R5" s="3211"/>
      <c r="S5" s="3205"/>
      <c r="AB5" s="3206"/>
      <c r="AC5" s="3206"/>
      <c r="AD5" s="3206"/>
      <c r="AE5" s="3206"/>
      <c r="AF5" s="3206"/>
      <c r="AG5" s="3206"/>
    </row>
    <row r="6" spans="1:33" s="3190" customFormat="1" x14ac:dyDescent="0.25">
      <c r="A6" s="3212" t="s">
        <v>1257</v>
      </c>
      <c r="B6" s="3213">
        <v>134.23031157240004</v>
      </c>
      <c r="C6" s="3213">
        <v>146.30384764999999</v>
      </c>
      <c r="D6" s="3213">
        <v>143.5056525016</v>
      </c>
      <c r="E6" s="3213">
        <v>153.89050802120002</v>
      </c>
      <c r="F6" s="3213">
        <v>128.35559961000035</v>
      </c>
      <c r="G6" s="3213">
        <v>157.59538805280025</v>
      </c>
      <c r="H6" s="3213">
        <v>169.36659913720038</v>
      </c>
      <c r="I6" s="3213">
        <v>170.95527471869948</v>
      </c>
      <c r="J6" s="3213">
        <v>195.27830839160001</v>
      </c>
      <c r="K6" s="3214">
        <v>183.43628916000054</v>
      </c>
      <c r="L6" s="3213">
        <v>176.33231413470057</v>
      </c>
      <c r="M6" s="3213">
        <v>167.58830445999982</v>
      </c>
      <c r="N6" s="3213">
        <v>143.53384856000005</v>
      </c>
      <c r="O6" s="3215">
        <v>135.95276912999972</v>
      </c>
      <c r="P6" s="3215">
        <v>240.78713834000058</v>
      </c>
      <c r="Q6" s="3215">
        <v>246.28135026558155</v>
      </c>
      <c r="R6" s="3216">
        <v>178.0612305100008</v>
      </c>
      <c r="S6" s="3205"/>
      <c r="AB6" s="3206"/>
      <c r="AC6" s="3206"/>
      <c r="AD6" s="3206"/>
      <c r="AE6" s="3206"/>
      <c r="AF6" s="3206"/>
      <c r="AG6" s="3206"/>
    </row>
    <row r="7" spans="1:33" s="3190" customFormat="1" x14ac:dyDescent="0.25">
      <c r="A7" s="3212" t="s">
        <v>5126</v>
      </c>
      <c r="B7" s="3213">
        <v>72.000664260000008</v>
      </c>
      <c r="C7" s="3213">
        <v>96.896855153399997</v>
      </c>
      <c r="D7" s="3213">
        <v>89.467577095799953</v>
      </c>
      <c r="E7" s="3213">
        <v>84.411210273100011</v>
      </c>
      <c r="F7" s="3213">
        <v>69.25237391999984</v>
      </c>
      <c r="G7" s="3213">
        <v>88.6819178569001</v>
      </c>
      <c r="H7" s="3213">
        <v>98.793368864800073</v>
      </c>
      <c r="I7" s="3213">
        <v>103.91731950710002</v>
      </c>
      <c r="J7" s="3213">
        <v>106.69838231079993</v>
      </c>
      <c r="K7" s="3214">
        <v>100.74806962599997</v>
      </c>
      <c r="L7" s="3213">
        <v>88.277096756199825</v>
      </c>
      <c r="M7" s="3213">
        <v>103.66656298630001</v>
      </c>
      <c r="N7" s="3213">
        <v>86.751811719999992</v>
      </c>
      <c r="O7" s="3215">
        <v>74.758024610000021</v>
      </c>
      <c r="P7" s="3215">
        <v>121.71789069999991</v>
      </c>
      <c r="Q7" s="3215">
        <v>118.13599058999998</v>
      </c>
      <c r="R7" s="3216">
        <v>79.765756899999957</v>
      </c>
      <c r="S7" s="3205"/>
      <c r="AB7" s="3206"/>
      <c r="AC7" s="3206"/>
      <c r="AD7" s="3206"/>
      <c r="AE7" s="3206"/>
      <c r="AF7" s="3206"/>
      <c r="AG7" s="3206"/>
    </row>
    <row r="8" spans="1:33" s="3190" customFormat="1" x14ac:dyDescent="0.25">
      <c r="A8" s="3212" t="s">
        <v>5127</v>
      </c>
      <c r="B8" s="3213">
        <v>1.8010678</v>
      </c>
      <c r="C8" s="3213">
        <v>1.7729056500000002</v>
      </c>
      <c r="D8" s="3213">
        <v>2.7336015599999999</v>
      </c>
      <c r="E8" s="3213">
        <v>3.09509196</v>
      </c>
      <c r="F8" s="3213">
        <v>2.04170922</v>
      </c>
      <c r="G8" s="3213">
        <v>6.0720905100000007</v>
      </c>
      <c r="H8" s="3213">
        <v>5.2348768100000003</v>
      </c>
      <c r="I8" s="3213">
        <v>10.648308690399999</v>
      </c>
      <c r="J8" s="3213">
        <v>7.0295463300000023</v>
      </c>
      <c r="K8" s="3214">
        <v>12.503993140000002</v>
      </c>
      <c r="L8" s="3213">
        <v>9.843830879999997</v>
      </c>
      <c r="M8" s="3213">
        <v>15.252763239999997</v>
      </c>
      <c r="N8" s="3213">
        <v>11.764519869999999</v>
      </c>
      <c r="O8" s="3215">
        <v>21.334837659999998</v>
      </c>
      <c r="P8" s="3215">
        <v>18.539276740000002</v>
      </c>
      <c r="Q8" s="3215">
        <v>39.499690740000005</v>
      </c>
      <c r="R8" s="3216">
        <v>37.425125380000011</v>
      </c>
      <c r="S8" s="3205"/>
      <c r="AB8" s="3206"/>
      <c r="AC8" s="3206"/>
      <c r="AD8" s="3206"/>
      <c r="AE8" s="3206"/>
      <c r="AF8" s="3206"/>
      <c r="AG8" s="3206"/>
    </row>
    <row r="9" spans="1:33" s="3190" customFormat="1" x14ac:dyDescent="0.25">
      <c r="A9" s="3212" t="s">
        <v>5128</v>
      </c>
      <c r="B9" s="3213">
        <v>40.119075348199992</v>
      </c>
      <c r="C9" s="3213">
        <v>39.936853008699998</v>
      </c>
      <c r="D9" s="3213">
        <v>34.449232584499995</v>
      </c>
      <c r="E9" s="3213">
        <v>41.341812945999997</v>
      </c>
      <c r="F9" s="3213">
        <v>39.856716219999981</v>
      </c>
      <c r="G9" s="3213">
        <v>49.726001993199986</v>
      </c>
      <c r="H9" s="3213">
        <v>60.518214949600008</v>
      </c>
      <c r="I9" s="3213">
        <v>62.714198893100004</v>
      </c>
      <c r="J9" s="3213">
        <v>62.499720559699981</v>
      </c>
      <c r="K9" s="3214">
        <v>76.23195091300002</v>
      </c>
      <c r="L9" s="3213">
        <v>68.748079785899961</v>
      </c>
      <c r="M9" s="3213">
        <v>69.536054327000031</v>
      </c>
      <c r="N9" s="3213">
        <v>92.480157420000126</v>
      </c>
      <c r="O9" s="3215">
        <v>52.893050659999993</v>
      </c>
      <c r="P9" s="3215">
        <v>55.001864330000025</v>
      </c>
      <c r="Q9" s="3215">
        <v>51.473705421199988</v>
      </c>
      <c r="R9" s="3216">
        <v>33.822913789999994</v>
      </c>
      <c r="S9" s="3205"/>
      <c r="AB9" s="3206"/>
      <c r="AC9" s="3206"/>
      <c r="AD9" s="3206"/>
      <c r="AE9" s="3206"/>
      <c r="AF9" s="3206"/>
      <c r="AG9" s="3206"/>
    </row>
    <row r="10" spans="1:33" s="3190" customFormat="1" x14ac:dyDescent="0.25">
      <c r="A10" s="3212" t="s">
        <v>5129</v>
      </c>
      <c r="B10" s="3213">
        <v>15.941908890000001</v>
      </c>
      <c r="C10" s="3213">
        <v>20.2139432502</v>
      </c>
      <c r="D10" s="3213">
        <v>21.938504684399998</v>
      </c>
      <c r="E10" s="3213">
        <v>22.696665764500001</v>
      </c>
      <c r="F10" s="3213">
        <v>17.969622550000036</v>
      </c>
      <c r="G10" s="3213">
        <v>20.689036360100033</v>
      </c>
      <c r="H10" s="3213">
        <v>36.372011303400001</v>
      </c>
      <c r="I10" s="3213">
        <v>28.592551174099995</v>
      </c>
      <c r="J10" s="3213">
        <v>22.186150760199983</v>
      </c>
      <c r="K10" s="3214">
        <v>23.818734022099996</v>
      </c>
      <c r="L10" s="3213">
        <v>23.668109805099988</v>
      </c>
      <c r="M10" s="3213">
        <v>23.400562392999998</v>
      </c>
      <c r="N10" s="3213">
        <v>18.807531549999997</v>
      </c>
      <c r="O10" s="3215">
        <v>19.437924890000001</v>
      </c>
      <c r="P10" s="3215">
        <v>42.26626756000001</v>
      </c>
      <c r="Q10" s="3215">
        <v>42.627761829999983</v>
      </c>
      <c r="R10" s="3216">
        <v>29.238842139999996</v>
      </c>
      <c r="S10" s="3205"/>
      <c r="AB10" s="3206"/>
      <c r="AC10" s="3206"/>
      <c r="AD10" s="3206"/>
      <c r="AE10" s="3206"/>
      <c r="AF10" s="3206"/>
      <c r="AG10" s="3206"/>
    </row>
    <row r="11" spans="1:33" s="3190" customFormat="1" x14ac:dyDescent="0.25">
      <c r="A11" s="3212" t="s">
        <v>5130</v>
      </c>
      <c r="B11" s="3213">
        <v>13.850068780000001</v>
      </c>
      <c r="C11" s="3213">
        <v>17.0622768476</v>
      </c>
      <c r="D11" s="3213">
        <v>19.235002040000001</v>
      </c>
      <c r="E11" s="3213">
        <v>16.11855838</v>
      </c>
      <c r="F11" s="3213">
        <v>13.754715829999999</v>
      </c>
      <c r="G11" s="3213">
        <v>15.102889609999963</v>
      </c>
      <c r="H11" s="3213">
        <v>16.166520328800004</v>
      </c>
      <c r="I11" s="3213">
        <v>18.730584026699997</v>
      </c>
      <c r="J11" s="3213">
        <v>16.63493831400001</v>
      </c>
      <c r="K11" s="3214">
        <v>18.039775239999997</v>
      </c>
      <c r="L11" s="3213">
        <v>19.125256829999994</v>
      </c>
      <c r="M11" s="3213">
        <v>18.155073329999997</v>
      </c>
      <c r="N11" s="3213">
        <v>15.822263359999992</v>
      </c>
      <c r="O11" s="3215">
        <v>18.714706310000004</v>
      </c>
      <c r="P11" s="3215">
        <v>37.460824930000022</v>
      </c>
      <c r="Q11" s="3215">
        <v>38.010210889999975</v>
      </c>
      <c r="R11" s="3216">
        <v>25.806962160000001</v>
      </c>
      <c r="S11" s="3217"/>
      <c r="AB11" s="3206"/>
      <c r="AC11" s="3206"/>
      <c r="AD11" s="3206"/>
      <c r="AE11" s="3206"/>
      <c r="AF11" s="3206"/>
      <c r="AG11" s="3206"/>
    </row>
    <row r="12" spans="1:33" s="3190" customFormat="1" x14ac:dyDescent="0.25">
      <c r="A12" s="3212" t="s">
        <v>5131</v>
      </c>
      <c r="B12" s="3213">
        <v>11.72676431</v>
      </c>
      <c r="C12" s="3213">
        <v>14.9587925964</v>
      </c>
      <c r="D12" s="3213">
        <v>16.162248271899998</v>
      </c>
      <c r="E12" s="3213">
        <v>16.708617995499999</v>
      </c>
      <c r="F12" s="3213">
        <v>14.44268205000002</v>
      </c>
      <c r="G12" s="3213">
        <v>21.555565824999995</v>
      </c>
      <c r="H12" s="3213">
        <v>23.027231441200001</v>
      </c>
      <c r="I12" s="3213">
        <v>23.882913444099991</v>
      </c>
      <c r="J12" s="3213">
        <v>24.192932986200013</v>
      </c>
      <c r="K12" s="3214">
        <v>28.767231167000006</v>
      </c>
      <c r="L12" s="3213">
        <v>22.213748150599987</v>
      </c>
      <c r="M12" s="3213">
        <v>21.029692601300003</v>
      </c>
      <c r="N12" s="3213">
        <v>22.295298370000005</v>
      </c>
      <c r="O12" s="3215">
        <v>19.284897889999993</v>
      </c>
      <c r="P12" s="3215">
        <v>31.914453819999977</v>
      </c>
      <c r="Q12" s="3215">
        <v>32.605143604000041</v>
      </c>
      <c r="R12" s="3216">
        <v>22.74299929999999</v>
      </c>
      <c r="S12" s="3205"/>
      <c r="AB12" s="3206"/>
      <c r="AC12" s="3206"/>
      <c r="AD12" s="3206"/>
      <c r="AE12" s="3206"/>
      <c r="AF12" s="3206"/>
      <c r="AG12" s="3206"/>
    </row>
    <row r="13" spans="1:33" s="3190" customFormat="1" x14ac:dyDescent="0.25">
      <c r="A13" s="3212" t="s">
        <v>5132</v>
      </c>
      <c r="B13" s="3213">
        <v>9.3550475899999999</v>
      </c>
      <c r="C13" s="3213">
        <v>13.5127662</v>
      </c>
      <c r="D13" s="3213">
        <v>13.98158973</v>
      </c>
      <c r="E13" s="3213">
        <v>15.379689700000004</v>
      </c>
      <c r="F13" s="3213">
        <v>19.863494829999997</v>
      </c>
      <c r="G13" s="3213">
        <v>22.462092339999998</v>
      </c>
      <c r="H13" s="3213">
        <v>18.19416743</v>
      </c>
      <c r="I13" s="3213">
        <v>19.872262089999996</v>
      </c>
      <c r="J13" s="3213">
        <v>28.506124716000006</v>
      </c>
      <c r="K13" s="3214">
        <v>20.834542289999998</v>
      </c>
      <c r="L13" s="3213">
        <v>17.841391170000001</v>
      </c>
      <c r="M13" s="3213">
        <v>20.511524420000001</v>
      </c>
      <c r="N13" s="3213">
        <v>20.782761359999999</v>
      </c>
      <c r="O13" s="3215">
        <v>23.331516270000002</v>
      </c>
      <c r="P13" s="3215">
        <v>24.539063599999999</v>
      </c>
      <c r="Q13" s="3215">
        <v>26.840203280000008</v>
      </c>
      <c r="R13" s="3216">
        <v>21.647342780000002</v>
      </c>
      <c r="S13" s="3205"/>
      <c r="AB13" s="3206"/>
      <c r="AC13" s="3206"/>
      <c r="AD13" s="3206"/>
      <c r="AE13" s="3206"/>
      <c r="AF13" s="3206"/>
      <c r="AG13" s="3206"/>
    </row>
    <row r="14" spans="1:33" s="3190" customFormat="1" x14ac:dyDescent="0.25">
      <c r="A14" s="3212" t="s">
        <v>5133</v>
      </c>
      <c r="B14" s="3213">
        <v>12.664919549999997</v>
      </c>
      <c r="C14" s="3213">
        <v>15.075135289999999</v>
      </c>
      <c r="D14" s="3213">
        <v>15.967951860000001</v>
      </c>
      <c r="E14" s="3213">
        <v>17.607821189999999</v>
      </c>
      <c r="F14" s="3213">
        <v>13.512663699999996</v>
      </c>
      <c r="G14" s="3213">
        <v>23.107215669999995</v>
      </c>
      <c r="H14" s="3213">
        <v>24.078331559999995</v>
      </c>
      <c r="I14" s="3213">
        <v>24.082746802999988</v>
      </c>
      <c r="J14" s="3213">
        <v>21.207641339999981</v>
      </c>
      <c r="K14" s="3214">
        <v>26.281799720000006</v>
      </c>
      <c r="L14" s="3213">
        <v>24.977271189999982</v>
      </c>
      <c r="M14" s="3213">
        <v>28.697647359999962</v>
      </c>
      <c r="N14" s="3213">
        <v>22.506325470000014</v>
      </c>
      <c r="O14" s="3215">
        <v>22.327919520000005</v>
      </c>
      <c r="P14" s="3215">
        <v>33.826528539999984</v>
      </c>
      <c r="Q14" s="3215">
        <v>28.958311389999977</v>
      </c>
      <c r="R14" s="3216">
        <v>19.766210149999981</v>
      </c>
      <c r="S14" s="3205"/>
      <c r="AB14" s="3206"/>
      <c r="AC14" s="3206"/>
      <c r="AD14" s="3206"/>
      <c r="AE14" s="3206"/>
      <c r="AF14" s="3206"/>
      <c r="AG14" s="3206"/>
    </row>
    <row r="15" spans="1:33" s="3190" customFormat="1" ht="16.5" thickBot="1" x14ac:dyDescent="0.3">
      <c r="A15" s="3218" t="s">
        <v>5134</v>
      </c>
      <c r="B15" s="3219">
        <v>21.86664949</v>
      </c>
      <c r="C15" s="3219">
        <v>25.885788260000005</v>
      </c>
      <c r="D15" s="3219">
        <v>24.895150719999982</v>
      </c>
      <c r="E15" s="3219">
        <v>24.300240799999997</v>
      </c>
      <c r="F15" s="3219">
        <v>23.432252629999986</v>
      </c>
      <c r="G15" s="3219">
        <v>28.018323310000021</v>
      </c>
      <c r="H15" s="3219">
        <v>33.385394760000004</v>
      </c>
      <c r="I15" s="3219">
        <v>40.800922849999992</v>
      </c>
      <c r="J15" s="3219">
        <v>33.965296135999964</v>
      </c>
      <c r="K15" s="3220">
        <v>40.448780239999977</v>
      </c>
      <c r="L15" s="3219">
        <v>40.711467900000009</v>
      </c>
      <c r="M15" s="3219">
        <v>38.613433469999997</v>
      </c>
      <c r="N15" s="3219">
        <v>115.43509929999998</v>
      </c>
      <c r="O15" s="3221">
        <v>28.017054869999956</v>
      </c>
      <c r="P15" s="3221">
        <v>25.584728160000008</v>
      </c>
      <c r="Q15" s="3221">
        <v>23.766477609999999</v>
      </c>
      <c r="R15" s="3222">
        <v>18.580677650000005</v>
      </c>
      <c r="S15" s="3205"/>
      <c r="AB15" s="3206"/>
      <c r="AC15" s="3206"/>
      <c r="AD15" s="3206"/>
      <c r="AE15" s="3206"/>
      <c r="AF15" s="3206"/>
      <c r="AG15" s="3206"/>
    </row>
    <row r="16" spans="1:33" s="3226" customFormat="1" ht="23.25" customHeight="1" thickTop="1" x14ac:dyDescent="0.25">
      <c r="A16" s="3223" t="s">
        <v>5135</v>
      </c>
      <c r="B16" s="3224"/>
      <c r="C16" s="3225"/>
      <c r="D16" s="3225"/>
      <c r="E16" s="3225"/>
      <c r="F16" s="3225"/>
      <c r="G16" s="3225"/>
      <c r="H16" s="3225"/>
      <c r="I16" s="3225"/>
      <c r="J16" s="3225"/>
      <c r="K16" s="3225"/>
      <c r="L16" s="3225"/>
      <c r="M16" s="3225"/>
      <c r="AB16" s="3206"/>
      <c r="AC16" s="3206"/>
      <c r="AD16" s="3206"/>
      <c r="AE16" s="3206"/>
      <c r="AF16" s="3206"/>
      <c r="AG16" s="3206"/>
    </row>
    <row r="17" spans="1:33" s="3227" customFormat="1" ht="34.5" customHeight="1" x14ac:dyDescent="0.25">
      <c r="A17" s="3984" t="s">
        <v>5136</v>
      </c>
      <c r="B17" s="3984"/>
      <c r="C17" s="3984"/>
      <c r="D17" s="3984"/>
      <c r="E17" s="3984"/>
      <c r="F17" s="3984"/>
      <c r="G17" s="3984"/>
      <c r="H17" s="3984"/>
      <c r="I17" s="3984"/>
      <c r="J17" s="3984"/>
      <c r="K17" s="3984"/>
      <c r="L17" s="3984"/>
      <c r="M17" s="3984"/>
      <c r="N17" s="3984"/>
      <c r="O17" s="3984"/>
      <c r="P17" s="3984"/>
      <c r="Q17" s="3984"/>
      <c r="R17" s="3984"/>
      <c r="AB17" s="3206"/>
      <c r="AC17" s="3206"/>
      <c r="AD17" s="3206"/>
      <c r="AE17" s="3206"/>
      <c r="AF17" s="3206"/>
      <c r="AG17" s="3206"/>
    </row>
    <row r="18" spans="1:33" ht="5.25" customHeight="1" x14ac:dyDescent="0.25">
      <c r="A18" s="3986"/>
      <c r="B18" s="3986"/>
      <c r="C18" s="3986"/>
      <c r="D18" s="3986"/>
      <c r="E18" s="3986"/>
      <c r="F18" s="3986"/>
    </row>
    <row r="19" spans="1:33" ht="17.25" x14ac:dyDescent="0.25">
      <c r="A19" s="3187" t="s">
        <v>5137</v>
      </c>
      <c r="B19" s="3187"/>
      <c r="C19" s="3187"/>
      <c r="D19" s="3187"/>
      <c r="E19" s="3187"/>
      <c r="F19" s="3187"/>
    </row>
    <row r="20" spans="1:33" ht="16.5" thickBot="1" x14ac:dyDescent="0.3">
      <c r="A20" s="3189"/>
      <c r="B20" s="3189"/>
      <c r="C20" s="3189"/>
      <c r="D20" s="3189"/>
      <c r="E20" s="3190"/>
      <c r="F20" s="3191"/>
      <c r="G20" s="3192"/>
      <c r="H20" s="3192"/>
      <c r="I20" s="3192"/>
      <c r="J20" s="3192"/>
      <c r="K20" s="3192"/>
      <c r="L20" s="2362"/>
      <c r="M20" s="2362"/>
      <c r="N20" s="2362"/>
      <c r="O20" s="2362"/>
      <c r="P20" s="2362"/>
      <c r="R20" s="3192" t="s">
        <v>8</v>
      </c>
      <c r="U20" s="3228"/>
      <c r="V20" s="3228"/>
      <c r="W20" s="3228"/>
      <c r="X20" s="3228"/>
      <c r="Y20" s="3228"/>
    </row>
    <row r="21" spans="1:33" s="3228" customFormat="1" ht="18.75" thickTop="1" thickBot="1" x14ac:dyDescent="0.3">
      <c r="A21" s="3194"/>
      <c r="B21" s="3195" t="s">
        <v>1131</v>
      </c>
      <c r="C21" s="3196" t="s">
        <v>5112</v>
      </c>
      <c r="D21" s="3196" t="s">
        <v>5113</v>
      </c>
      <c r="E21" s="3196" t="s">
        <v>5114</v>
      </c>
      <c r="F21" s="3196" t="s">
        <v>1177</v>
      </c>
      <c r="G21" s="3196" t="s">
        <v>5115</v>
      </c>
      <c r="H21" s="3196" t="s">
        <v>5116</v>
      </c>
      <c r="I21" s="3196" t="s">
        <v>5117</v>
      </c>
      <c r="J21" s="3197" t="s">
        <v>1143</v>
      </c>
      <c r="K21" s="3196" t="s">
        <v>5118</v>
      </c>
      <c r="L21" s="3196" t="s">
        <v>5138</v>
      </c>
      <c r="M21" s="3229" t="s">
        <v>5120</v>
      </c>
      <c r="N21" s="3229" t="s">
        <v>1178</v>
      </c>
      <c r="O21" s="3229" t="s">
        <v>5121</v>
      </c>
      <c r="P21" s="3229" t="s">
        <v>5122</v>
      </c>
      <c r="Q21" s="3229" t="s">
        <v>5123</v>
      </c>
      <c r="R21" s="3198" t="s">
        <v>5124</v>
      </c>
      <c r="U21" s="3193"/>
      <c r="V21" s="3193"/>
      <c r="W21" s="3193"/>
      <c r="X21" s="3193"/>
      <c r="Y21" s="3193"/>
      <c r="Z21" s="3230"/>
      <c r="AA21" s="3230"/>
      <c r="AB21" s="3230"/>
      <c r="AC21" s="3230"/>
      <c r="AD21" s="3230"/>
    </row>
    <row r="22" spans="1:33" s="3228" customFormat="1" x14ac:dyDescent="0.25">
      <c r="A22" s="3231" t="s">
        <v>5139</v>
      </c>
      <c r="B22" s="3201">
        <v>1225.7389334611407</v>
      </c>
      <c r="C22" s="3232">
        <v>1151.4382021019806</v>
      </c>
      <c r="D22" s="3233">
        <v>1186.5718028130693</v>
      </c>
      <c r="E22" s="3233">
        <v>1284.4131926302966</v>
      </c>
      <c r="F22" s="3233">
        <v>1462.1165946208703</v>
      </c>
      <c r="G22" s="3233">
        <v>1397.2521605989998</v>
      </c>
      <c r="H22" s="3233">
        <v>1572.5385222430002</v>
      </c>
      <c r="I22" s="3233">
        <v>1729.3882991379553</v>
      </c>
      <c r="J22" s="3234">
        <v>1656.8750409117215</v>
      </c>
      <c r="K22" s="3233">
        <v>1668.0116233799451</v>
      </c>
      <c r="L22" s="3233">
        <v>1813.7161133544848</v>
      </c>
      <c r="M22" s="3235">
        <v>1995.1169154265804</v>
      </c>
      <c r="N22" s="3235">
        <v>2014.3947270870181</v>
      </c>
      <c r="O22" s="3235">
        <v>1243.2803767778323</v>
      </c>
      <c r="P22" s="3235">
        <v>1885.1047836061384</v>
      </c>
      <c r="Q22" s="3235">
        <v>2295.8375707724458</v>
      </c>
      <c r="R22" s="3236">
        <v>2058.305545330054</v>
      </c>
      <c r="U22" s="3193"/>
      <c r="V22" s="3193"/>
      <c r="W22" s="3193"/>
      <c r="X22" s="3193"/>
      <c r="Y22" s="3193"/>
      <c r="Z22" s="3230"/>
      <c r="AA22" s="3230"/>
      <c r="AB22" s="3230"/>
      <c r="AC22" s="3230"/>
      <c r="AD22" s="3230"/>
    </row>
    <row r="23" spans="1:33" x14ac:dyDescent="0.25">
      <c r="A23" s="3237" t="s">
        <v>3709</v>
      </c>
      <c r="B23" s="3208"/>
      <c r="C23" s="3238"/>
      <c r="D23" s="3239"/>
      <c r="E23" s="3239"/>
      <c r="F23" s="3239"/>
      <c r="G23" s="3208"/>
      <c r="H23" s="3208"/>
      <c r="I23" s="3208"/>
      <c r="J23" s="3209"/>
      <c r="K23" s="3208"/>
      <c r="L23" s="3208"/>
      <c r="M23" s="3210"/>
      <c r="N23" s="3210"/>
      <c r="O23" s="3210"/>
      <c r="P23" s="3210"/>
      <c r="Q23" s="3210"/>
      <c r="R23" s="3211"/>
      <c r="Z23" s="3230"/>
      <c r="AA23" s="3230"/>
      <c r="AB23" s="3230"/>
      <c r="AC23" s="3230"/>
      <c r="AD23" s="3230"/>
    </row>
    <row r="24" spans="1:33" x14ac:dyDescent="0.25">
      <c r="A24" s="3240" t="s">
        <v>5140</v>
      </c>
      <c r="B24" s="3213">
        <v>502.88263377881185</v>
      </c>
      <c r="C24" s="3241">
        <v>363.69912520792082</v>
      </c>
      <c r="D24" s="3242">
        <v>390.65349905940587</v>
      </c>
      <c r="E24" s="3242">
        <v>452.64309947148513</v>
      </c>
      <c r="F24" s="3242">
        <v>525.35429483000019</v>
      </c>
      <c r="G24" s="3213">
        <v>510.9734306699998</v>
      </c>
      <c r="H24" s="3213">
        <v>540.78037761999997</v>
      </c>
      <c r="I24" s="3213">
        <v>569.54467043000011</v>
      </c>
      <c r="J24" s="3214">
        <v>690.11355821000006</v>
      </c>
      <c r="K24" s="3213">
        <v>597.53029016999994</v>
      </c>
      <c r="L24" s="3213">
        <v>630.72886957000003</v>
      </c>
      <c r="M24" s="3215">
        <v>705.07110976000001</v>
      </c>
      <c r="N24" s="3215">
        <v>733.24006425999994</v>
      </c>
      <c r="O24" s="3215">
        <v>326.41303763999997</v>
      </c>
      <c r="P24" s="3215">
        <v>721.77873654827454</v>
      </c>
      <c r="Q24" s="3215">
        <v>827.39566789999992</v>
      </c>
      <c r="R24" s="3216">
        <v>852.55385702000024</v>
      </c>
      <c r="Z24" s="3230"/>
      <c r="AA24" s="3230"/>
      <c r="AB24" s="3230"/>
      <c r="AC24" s="3230"/>
      <c r="AD24" s="3230"/>
    </row>
    <row r="25" spans="1:33" x14ac:dyDescent="0.25">
      <c r="A25" s="3240" t="s">
        <v>1244</v>
      </c>
      <c r="B25" s="3213">
        <v>347.96304559000004</v>
      </c>
      <c r="C25" s="3241">
        <v>355.21037134752476</v>
      </c>
      <c r="D25" s="3242">
        <v>353.78694104722774</v>
      </c>
      <c r="E25" s="3242">
        <v>397.32034222752475</v>
      </c>
      <c r="F25" s="3242">
        <v>416.93553508300005</v>
      </c>
      <c r="G25" s="3213">
        <v>402.98059034699997</v>
      </c>
      <c r="H25" s="3213">
        <v>480.15646906199993</v>
      </c>
      <c r="I25" s="3213">
        <v>543.00408133200017</v>
      </c>
      <c r="J25" s="3214">
        <v>520.01672115612109</v>
      </c>
      <c r="K25" s="3213">
        <v>570.93412200700004</v>
      </c>
      <c r="L25" s="3213">
        <v>761.20843193299993</v>
      </c>
      <c r="M25" s="3215">
        <v>836.81348953299994</v>
      </c>
      <c r="N25" s="3215">
        <v>802.42851269271387</v>
      </c>
      <c r="O25" s="3215">
        <v>488.23308932800001</v>
      </c>
      <c r="P25" s="3215">
        <v>644.87413021427324</v>
      </c>
      <c r="Q25" s="3215">
        <v>848.15649341810422</v>
      </c>
      <c r="R25" s="3216">
        <v>730.24545118700007</v>
      </c>
      <c r="Z25" s="3230"/>
      <c r="AA25" s="3230"/>
      <c r="AB25" s="3230"/>
      <c r="AC25" s="3230"/>
      <c r="AD25" s="3230"/>
    </row>
    <row r="26" spans="1:33" x14ac:dyDescent="0.25">
      <c r="A26" s="3240" t="s">
        <v>1257</v>
      </c>
      <c r="B26" s="3213">
        <v>71.107083662899996</v>
      </c>
      <c r="C26" s="3241">
        <v>79.199653192673281</v>
      </c>
      <c r="D26" s="3242">
        <v>73.602834996633661</v>
      </c>
      <c r="E26" s="3242">
        <v>88.830741450000019</v>
      </c>
      <c r="F26" s="3242">
        <v>102.06742312999999</v>
      </c>
      <c r="G26" s="3213">
        <v>94.879113000000004</v>
      </c>
      <c r="H26" s="3213">
        <v>138.02080810999999</v>
      </c>
      <c r="I26" s="3213">
        <v>147.16212191</v>
      </c>
      <c r="J26" s="3214">
        <v>60.923746130000005</v>
      </c>
      <c r="K26" s="3213">
        <v>84.996456040000012</v>
      </c>
      <c r="L26" s="3213">
        <v>65.165540840000006</v>
      </c>
      <c r="M26" s="3215">
        <v>90.750141709999994</v>
      </c>
      <c r="N26" s="3215">
        <v>56.916507770000003</v>
      </c>
      <c r="O26" s="3215">
        <v>96.116294819999993</v>
      </c>
      <c r="P26" s="3215">
        <v>97.923962729999985</v>
      </c>
      <c r="Q26" s="3215">
        <v>101.51596045000001</v>
      </c>
      <c r="R26" s="3216">
        <v>79.829026139999982</v>
      </c>
      <c r="Z26" s="3230"/>
      <c r="AA26" s="3230"/>
      <c r="AB26" s="3230"/>
      <c r="AC26" s="3230"/>
      <c r="AD26" s="3230"/>
    </row>
    <row r="27" spans="1:33" x14ac:dyDescent="0.25">
      <c r="A27" s="3240" t="s">
        <v>1245</v>
      </c>
      <c r="B27" s="3213">
        <v>24.18651376</v>
      </c>
      <c r="C27" s="3241">
        <v>25.307067538811886</v>
      </c>
      <c r="D27" s="3242">
        <v>38.735187313069304</v>
      </c>
      <c r="E27" s="3242">
        <v>26.677502690000001</v>
      </c>
      <c r="F27" s="3242">
        <v>36.768609829999995</v>
      </c>
      <c r="G27" s="3213">
        <v>40.733247379999995</v>
      </c>
      <c r="H27" s="3213">
        <v>47.352859410000001</v>
      </c>
      <c r="I27" s="3213">
        <v>42.747687179954994</v>
      </c>
      <c r="J27" s="3214">
        <v>43.552026031600001</v>
      </c>
      <c r="K27" s="3213">
        <v>34.861634957944986</v>
      </c>
      <c r="L27" s="3213">
        <v>34.797396857484998</v>
      </c>
      <c r="M27" s="3215">
        <v>30.21478572458</v>
      </c>
      <c r="N27" s="3215">
        <v>39.363206443304001</v>
      </c>
      <c r="O27" s="3215">
        <v>22.073475203832</v>
      </c>
      <c r="P27" s="3215">
        <v>48.802874502299183</v>
      </c>
      <c r="Q27" s="3215">
        <v>76.770914462176435</v>
      </c>
      <c r="R27" s="3216">
        <v>56.422766667203845</v>
      </c>
      <c r="U27" s="3226"/>
      <c r="V27" s="3226"/>
      <c r="W27" s="3226"/>
      <c r="X27" s="3226"/>
      <c r="Y27" s="3226"/>
      <c r="Z27" s="3230"/>
      <c r="AA27" s="3230"/>
      <c r="AB27" s="3230"/>
      <c r="AC27" s="3230"/>
      <c r="AD27" s="3230"/>
    </row>
    <row r="28" spans="1:33" ht="16.5" thickBot="1" x14ac:dyDescent="0.3">
      <c r="A28" s="3243" t="s">
        <v>5141</v>
      </c>
      <c r="B28" s="3244">
        <v>29.040337535346534</v>
      </c>
      <c r="C28" s="3245">
        <v>20.993346927722772</v>
      </c>
      <c r="D28" s="3246">
        <v>25.338774119009901</v>
      </c>
      <c r="E28" s="3246">
        <v>33.386741913168322</v>
      </c>
      <c r="F28" s="3246">
        <v>46.766389239999988</v>
      </c>
      <c r="G28" s="3244">
        <v>53.247702799999978</v>
      </c>
      <c r="H28" s="3244">
        <v>50.848678009999993</v>
      </c>
      <c r="I28" s="3244">
        <v>75.716904480000039</v>
      </c>
      <c r="J28" s="3247">
        <v>62.896897460000005</v>
      </c>
      <c r="K28" s="3244">
        <v>72.158878799999997</v>
      </c>
      <c r="L28" s="3244">
        <v>74.879016850000014</v>
      </c>
      <c r="M28" s="3248">
        <v>68.434936430000008</v>
      </c>
      <c r="N28" s="3248">
        <v>66.690104440000013</v>
      </c>
      <c r="O28" s="3248">
        <v>50.367733099999995</v>
      </c>
      <c r="P28" s="3248">
        <v>69.395721660012839</v>
      </c>
      <c r="Q28" s="3248">
        <v>85.497724710000014</v>
      </c>
      <c r="R28" s="3249">
        <v>50.680742840000001</v>
      </c>
    </row>
    <row r="29" spans="1:33" s="3226" customFormat="1" ht="24" customHeight="1" thickTop="1" x14ac:dyDescent="0.25">
      <c r="A29" s="3224" t="s">
        <v>5142</v>
      </c>
      <c r="B29" s="3224"/>
      <c r="C29" s="3225"/>
      <c r="D29" s="3225"/>
      <c r="E29" s="3225"/>
      <c r="F29" s="3225"/>
      <c r="G29" s="3225"/>
      <c r="H29" s="3225"/>
      <c r="I29" s="3225"/>
      <c r="J29" s="3225"/>
      <c r="K29" s="3225"/>
      <c r="L29" s="3225"/>
      <c r="M29" s="3225"/>
    </row>
    <row r="30" spans="1:33" ht="37.9" customHeight="1" x14ac:dyDescent="0.25">
      <c r="A30" s="3984" t="s">
        <v>5136</v>
      </c>
      <c r="B30" s="3984"/>
      <c r="C30" s="3984"/>
      <c r="D30" s="3984"/>
      <c r="E30" s="3984"/>
      <c r="F30" s="3984"/>
      <c r="G30" s="3984"/>
      <c r="H30" s="3984"/>
      <c r="I30" s="3984"/>
      <c r="J30" s="3984"/>
      <c r="K30" s="3984"/>
      <c r="L30" s="3984"/>
      <c r="M30" s="3984"/>
      <c r="N30" s="3984"/>
      <c r="O30" s="3984"/>
      <c r="P30" s="3984"/>
      <c r="Q30" s="3984"/>
      <c r="R30" s="3984"/>
    </row>
    <row r="31" spans="1:33" ht="5.25" customHeight="1" x14ac:dyDescent="0.25">
      <c r="A31" s="3986"/>
      <c r="B31" s="3986"/>
      <c r="C31" s="3986"/>
      <c r="D31" s="3986"/>
      <c r="E31" s="3986"/>
      <c r="F31" s="3986"/>
    </row>
    <row r="32" spans="1:33" ht="17.25" customHeight="1" x14ac:dyDescent="0.25">
      <c r="A32" s="3987" t="s">
        <v>5143</v>
      </c>
      <c r="B32" s="3987"/>
      <c r="C32" s="3987"/>
      <c r="D32" s="3987"/>
      <c r="E32" s="3987"/>
      <c r="F32" s="3987"/>
      <c r="G32" s="3987"/>
      <c r="H32" s="3987"/>
      <c r="I32" s="3987"/>
    </row>
    <row r="33" spans="1:18" ht="16.5" thickBot="1" x14ac:dyDescent="0.3">
      <c r="A33" s="3189"/>
      <c r="B33" s="3189"/>
      <c r="C33" s="3189"/>
      <c r="D33" s="3189"/>
      <c r="E33" s="3190"/>
      <c r="F33" s="3191"/>
      <c r="G33" s="3192"/>
      <c r="H33" s="3192"/>
      <c r="I33" s="3192"/>
      <c r="J33" s="3192"/>
      <c r="K33" s="3192"/>
      <c r="L33" s="2362"/>
      <c r="M33" s="2362"/>
      <c r="N33" s="2362"/>
      <c r="O33" s="2362"/>
      <c r="P33" s="2362"/>
      <c r="R33" s="3192" t="s">
        <v>8</v>
      </c>
    </row>
    <row r="34" spans="1:18" ht="18.75" thickTop="1" thickBot="1" x14ac:dyDescent="0.3">
      <c r="A34" s="3194"/>
      <c r="B34" s="3195" t="s">
        <v>1131</v>
      </c>
      <c r="C34" s="3196" t="s">
        <v>5112</v>
      </c>
      <c r="D34" s="3196" t="s">
        <v>5113</v>
      </c>
      <c r="E34" s="3196" t="s">
        <v>5114</v>
      </c>
      <c r="F34" s="3196" t="s">
        <v>1177</v>
      </c>
      <c r="G34" s="3196" t="s">
        <v>5115</v>
      </c>
      <c r="H34" s="3196" t="s">
        <v>5116</v>
      </c>
      <c r="I34" s="3196" t="s">
        <v>5117</v>
      </c>
      <c r="J34" s="3197" t="s">
        <v>1143</v>
      </c>
      <c r="K34" s="3196" t="s">
        <v>5118</v>
      </c>
      <c r="L34" s="3196" t="s">
        <v>5138</v>
      </c>
      <c r="M34" s="3196" t="s">
        <v>5120</v>
      </c>
      <c r="N34" s="3196" t="s">
        <v>1178</v>
      </c>
      <c r="O34" s="3196" t="s">
        <v>5121</v>
      </c>
      <c r="P34" s="3196" t="s">
        <v>5122</v>
      </c>
      <c r="Q34" s="3196" t="s">
        <v>5123</v>
      </c>
      <c r="R34" s="3198" t="s">
        <v>5144</v>
      </c>
    </row>
    <row r="35" spans="1:18" x14ac:dyDescent="0.25">
      <c r="A35" s="3250" t="s">
        <v>5145</v>
      </c>
      <c r="B35" s="3251">
        <v>0.2</v>
      </c>
      <c r="C35" s="3252">
        <v>0.3</v>
      </c>
      <c r="D35" s="3251">
        <v>0.3</v>
      </c>
      <c r="E35" s="3251">
        <v>0.2</v>
      </c>
      <c r="F35" s="3251">
        <v>0.2</v>
      </c>
      <c r="G35" s="3251">
        <v>0.3</v>
      </c>
      <c r="H35" s="3251">
        <v>0.3</v>
      </c>
      <c r="I35" s="3251">
        <v>0.5</v>
      </c>
      <c r="J35" s="3253">
        <v>0.5</v>
      </c>
      <c r="K35" s="3254">
        <v>0.5</v>
      </c>
      <c r="L35" s="3254">
        <v>0.5</v>
      </c>
      <c r="M35" s="3254">
        <v>0.52594173999999994</v>
      </c>
      <c r="N35" s="3254">
        <v>0.46203</v>
      </c>
      <c r="O35" s="3254">
        <v>0.43</v>
      </c>
      <c r="P35" s="3254">
        <v>0.37757673999999997</v>
      </c>
      <c r="Q35" s="3254">
        <v>0.2</v>
      </c>
      <c r="R35" s="3255">
        <v>0.2</v>
      </c>
    </row>
    <row r="36" spans="1:18" s="3264" customFormat="1" x14ac:dyDescent="0.3">
      <c r="A36" s="3256"/>
      <c r="B36" s="3257">
        <v>4.0000000000000002E-4</v>
      </c>
      <c r="C36" s="3258">
        <v>5.0000000000000001E-4</v>
      </c>
      <c r="D36" s="3259">
        <v>5.0000000000000001E-4</v>
      </c>
      <c r="E36" s="3260">
        <v>4.0000000000000002E-4</v>
      </c>
      <c r="F36" s="3260">
        <v>5.0000000000000001E-4</v>
      </c>
      <c r="G36" s="3257">
        <v>5.0000000000000001E-4</v>
      </c>
      <c r="H36" s="3257">
        <v>5.0000000000000001E-4</v>
      </c>
      <c r="I36" s="3257">
        <v>6.9999999999999999E-4</v>
      </c>
      <c r="J36" s="3261">
        <v>8.0000000000000004E-4</v>
      </c>
      <c r="K36" s="3262">
        <v>6.9999999999999999E-4</v>
      </c>
      <c r="L36" s="3262">
        <v>6.9999999999999999E-4</v>
      </c>
      <c r="M36" s="3262">
        <v>6.9999999999999999E-4</v>
      </c>
      <c r="N36" s="3262">
        <v>5.9999999999999995E-4</v>
      </c>
      <c r="O36" s="3262">
        <v>6.9999999999999999E-4</v>
      </c>
      <c r="P36" s="3262">
        <v>4.0000000000000002E-4</v>
      </c>
      <c r="Q36" s="3262">
        <v>2.9999999999999997E-4</v>
      </c>
      <c r="R36" s="3263">
        <v>2.9999999999999997E-4</v>
      </c>
    </row>
    <row r="37" spans="1:18" x14ac:dyDescent="0.25">
      <c r="A37" s="3265" t="s">
        <v>5146</v>
      </c>
      <c r="B37" s="3266">
        <v>13.7</v>
      </c>
      <c r="C37" s="3267">
        <v>11.4</v>
      </c>
      <c r="D37" s="3266">
        <v>12.5</v>
      </c>
      <c r="E37" s="3266">
        <v>14</v>
      </c>
      <c r="F37" s="3266">
        <v>15.5</v>
      </c>
      <c r="G37" s="3266">
        <v>11.8</v>
      </c>
      <c r="H37" s="3266">
        <v>12.8</v>
      </c>
      <c r="I37" s="3266">
        <v>12.6</v>
      </c>
      <c r="J37" s="3268">
        <v>14.5</v>
      </c>
      <c r="K37" s="3269">
        <v>12.5</v>
      </c>
      <c r="L37" s="3269">
        <v>14.3</v>
      </c>
      <c r="M37" s="3269">
        <v>15.197254439219998</v>
      </c>
      <c r="N37" s="3269">
        <v>15.387697236161999</v>
      </c>
      <c r="O37" s="3269">
        <v>9.5357787281170818</v>
      </c>
      <c r="P37" s="3269">
        <v>15.324560618938392</v>
      </c>
      <c r="Q37" s="3269">
        <v>16.655828152723355</v>
      </c>
      <c r="R37" s="3270">
        <v>14</v>
      </c>
    </row>
    <row r="38" spans="1:18" s="3277" customFormat="1" ht="16.5" thickBot="1" x14ac:dyDescent="0.3">
      <c r="A38" s="3271"/>
      <c r="B38" s="3272">
        <v>1.12E-2</v>
      </c>
      <c r="C38" s="3273">
        <v>9.9000000000000008E-3</v>
      </c>
      <c r="D38" s="3273">
        <v>1.0500000000000001E-2</v>
      </c>
      <c r="E38" s="3273">
        <v>1.09E-2</v>
      </c>
      <c r="F38" s="3273">
        <v>1.06E-2</v>
      </c>
      <c r="G38" s="3273">
        <v>8.0000000000000002E-3</v>
      </c>
      <c r="H38" s="3273">
        <v>8.0000000000000002E-3</v>
      </c>
      <c r="I38" s="3273">
        <v>7.0000000000000001E-3</v>
      </c>
      <c r="J38" s="3274">
        <v>8.9999999999999993E-3</v>
      </c>
      <c r="K38" s="3275">
        <v>7.0000000000000001E-3</v>
      </c>
      <c r="L38" s="3275">
        <v>8.0000000000000002E-3</v>
      </c>
      <c r="M38" s="3275">
        <v>8.0000000000000002E-3</v>
      </c>
      <c r="N38" s="3275">
        <v>8.0000000000000002E-3</v>
      </c>
      <c r="O38" s="3275">
        <v>8.0000000000000002E-3</v>
      </c>
      <c r="P38" s="3275">
        <v>8.0000000000000002E-3</v>
      </c>
      <c r="Q38" s="3275">
        <v>7.0000000000000001E-3</v>
      </c>
      <c r="R38" s="3276">
        <v>7.0000000000000001E-3</v>
      </c>
    </row>
    <row r="39" spans="1:18" s="3278" customFormat="1" ht="37.5" customHeight="1" thickTop="1" x14ac:dyDescent="0.25">
      <c r="A39" s="3988" t="s">
        <v>5147</v>
      </c>
      <c r="B39" s="3988"/>
      <c r="C39" s="3988"/>
      <c r="D39" s="3988"/>
      <c r="E39" s="3988"/>
      <c r="F39" s="3988"/>
      <c r="G39" s="3988"/>
      <c r="H39" s="3988"/>
      <c r="I39" s="3988"/>
      <c r="J39" s="3988"/>
      <c r="K39" s="3988"/>
      <c r="L39" s="3988"/>
      <c r="M39" s="3988"/>
      <c r="N39" s="3988"/>
      <c r="O39" s="3988"/>
      <c r="P39" s="3988"/>
      <c r="Q39" s="3988"/>
      <c r="R39" s="3988"/>
    </row>
    <row r="40" spans="1:18" s="3280" customFormat="1" ht="20.25" customHeight="1" x14ac:dyDescent="0.25">
      <c r="A40" s="3279" t="s">
        <v>5025</v>
      </c>
      <c r="B40" s="3279"/>
      <c r="C40" s="3279"/>
      <c r="D40" s="3279"/>
      <c r="E40" s="3279"/>
      <c r="F40" s="3279"/>
      <c r="G40" s="3279"/>
      <c r="H40" s="3279"/>
      <c r="I40" s="3279"/>
      <c r="J40" s="3279"/>
      <c r="K40" s="3279"/>
      <c r="L40" s="3279"/>
    </row>
    <row r="41" spans="1:18" s="3281" customFormat="1" ht="15.75" customHeight="1" x14ac:dyDescent="0.25">
      <c r="A41" s="3984" t="s">
        <v>5148</v>
      </c>
      <c r="B41" s="3984"/>
      <c r="C41" s="3984"/>
      <c r="D41" s="3984"/>
      <c r="E41" s="3984"/>
      <c r="F41" s="3984"/>
      <c r="G41" s="3984"/>
      <c r="H41" s="3984"/>
      <c r="I41" s="3984"/>
      <c r="J41" s="3984"/>
      <c r="K41" s="3984"/>
    </row>
    <row r="42" spans="1:18" s="3281" customFormat="1" ht="18" customHeight="1" x14ac:dyDescent="0.25">
      <c r="A42" s="3985" t="s">
        <v>134</v>
      </c>
      <c r="B42" s="3985"/>
      <c r="C42" s="3985"/>
      <c r="D42" s="3985"/>
      <c r="E42" s="3985"/>
      <c r="F42" s="3985"/>
      <c r="G42" s="3985"/>
      <c r="H42" s="3985"/>
      <c r="I42" s="3985"/>
      <c r="J42" s="3985"/>
      <c r="K42" s="3985"/>
    </row>
  </sheetData>
  <mergeCells count="8">
    <mergeCell ref="A41:K41"/>
    <mergeCell ref="A42:K42"/>
    <mergeCell ref="A17:R17"/>
    <mergeCell ref="A18:F18"/>
    <mergeCell ref="A30:R30"/>
    <mergeCell ref="A31:F31"/>
    <mergeCell ref="A32:I32"/>
    <mergeCell ref="A39:R39"/>
  </mergeCells>
  <pageMargins left="0.75" right="0.75" top="0.75" bottom="0.75" header="0.3" footer="0"/>
  <pageSetup paperSize="9" scale="6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AG25"/>
  <sheetViews>
    <sheetView zoomScale="90" zoomScaleNormal="90" zoomScaleSheetLayoutView="80" workbookViewId="0">
      <pane xSplit="2" ySplit="3" topLeftCell="G4" activePane="bottomRight" state="frozen"/>
      <selection activeCell="A150" sqref="A150"/>
      <selection pane="topRight" activeCell="A150" sqref="A150"/>
      <selection pane="bottomLeft" activeCell="A150" sqref="A150"/>
      <selection pane="bottomRight"/>
    </sheetView>
  </sheetViews>
  <sheetFormatPr defaultColWidth="9.140625" defaultRowHeight="15.75" x14ac:dyDescent="0.3"/>
  <cols>
    <col min="1" max="1" width="10.42578125" style="3289" customWidth="1"/>
    <col min="2" max="2" width="64.5703125" style="3289" customWidth="1"/>
    <col min="3" max="6" width="10.5703125" style="3289" hidden="1" customWidth="1"/>
    <col min="7" max="9" width="10.5703125" style="3289" customWidth="1"/>
    <col min="10" max="13" width="11.140625" style="3289" customWidth="1"/>
    <col min="14" max="15" width="10.140625" style="3289" customWidth="1"/>
    <col min="16" max="16" width="10.5703125" style="3289" customWidth="1"/>
    <col min="17" max="18" width="10.42578125" style="3289" bestFit="1" customWidth="1"/>
    <col min="19" max="19" width="10.85546875" style="3289" customWidth="1"/>
    <col min="20" max="16384" width="9.140625" style="3289"/>
  </cols>
  <sheetData>
    <row r="1" spans="1:33" s="3284" customFormat="1" ht="17.25" x14ac:dyDescent="0.3">
      <c r="A1" s="3282" t="s">
        <v>5149</v>
      </c>
      <c r="B1" s="3282"/>
      <c r="C1" s="3282"/>
      <c r="D1" s="3282"/>
      <c r="E1" s="3283"/>
      <c r="F1" s="3283"/>
      <c r="G1" s="3283"/>
    </row>
    <row r="2" spans="1:33" ht="16.5" thickBot="1" x14ac:dyDescent="0.35">
      <c r="A2" s="3190"/>
      <c r="B2" s="3190"/>
      <c r="C2" s="3190"/>
      <c r="D2" s="3190"/>
      <c r="E2" s="3190"/>
      <c r="F2" s="3285"/>
      <c r="G2" s="3286"/>
      <c r="H2" s="3286"/>
      <c r="I2" s="3286"/>
      <c r="J2" s="3287"/>
      <c r="K2" s="3287"/>
      <c r="L2" s="3287"/>
      <c r="M2" s="3285"/>
      <c r="N2" s="3285"/>
      <c r="O2" s="3288"/>
      <c r="P2" s="3288"/>
      <c r="Q2" s="3288"/>
      <c r="S2" s="3288" t="s">
        <v>8</v>
      </c>
    </row>
    <row r="3" spans="1:33" ht="18.75" thickTop="1" thickBot="1" x14ac:dyDescent="0.35">
      <c r="A3" s="3290" t="s">
        <v>4854</v>
      </c>
      <c r="B3" s="3291" t="s">
        <v>4815</v>
      </c>
      <c r="C3" s="3292" t="s">
        <v>1131</v>
      </c>
      <c r="D3" s="3292" t="s">
        <v>5112</v>
      </c>
      <c r="E3" s="3292" t="s">
        <v>5113</v>
      </c>
      <c r="F3" s="3292" t="s">
        <v>5114</v>
      </c>
      <c r="G3" s="3292" t="s">
        <v>1177</v>
      </c>
      <c r="H3" s="3292" t="s">
        <v>5115</v>
      </c>
      <c r="I3" s="3292" t="s">
        <v>5116</v>
      </c>
      <c r="J3" s="3292" t="s">
        <v>5117</v>
      </c>
      <c r="K3" s="3293" t="s">
        <v>1143</v>
      </c>
      <c r="L3" s="3292" t="s">
        <v>5118</v>
      </c>
      <c r="M3" s="3292" t="s">
        <v>5138</v>
      </c>
      <c r="N3" s="3292" t="s">
        <v>5120</v>
      </c>
      <c r="O3" s="3292" t="s">
        <v>1178</v>
      </c>
      <c r="P3" s="3292" t="s">
        <v>5121</v>
      </c>
      <c r="Q3" s="3292" t="s">
        <v>5122</v>
      </c>
      <c r="R3" s="3292" t="s">
        <v>5150</v>
      </c>
      <c r="S3" s="3294" t="s">
        <v>5124</v>
      </c>
    </row>
    <row r="4" spans="1:33" ht="16.5" thickTop="1" x14ac:dyDescent="0.3">
      <c r="A4" s="3295" t="s">
        <v>4816</v>
      </c>
      <c r="B4" s="3296" t="s">
        <v>3528</v>
      </c>
      <c r="C4" s="3297">
        <v>5.2014588399999999</v>
      </c>
      <c r="D4" s="3297">
        <v>4.2756681400000005</v>
      </c>
      <c r="E4" s="3297">
        <v>1.91264028</v>
      </c>
      <c r="F4" s="3297">
        <v>9.6993644099999994</v>
      </c>
      <c r="G4" s="3297">
        <v>5.2275219899999996</v>
      </c>
      <c r="H4" s="3297">
        <v>4</v>
      </c>
      <c r="I4" s="3297">
        <v>6.19</v>
      </c>
      <c r="J4" s="3297">
        <v>11.8</v>
      </c>
      <c r="K4" s="3298">
        <v>8.9</v>
      </c>
      <c r="L4" s="3297">
        <v>7.47</v>
      </c>
      <c r="M4" s="3297">
        <v>14.780237130000001</v>
      </c>
      <c r="N4" s="3297">
        <v>19</v>
      </c>
      <c r="O4" s="3297">
        <v>78.996153830000011</v>
      </c>
      <c r="P4" s="3297">
        <v>18.210586170000003</v>
      </c>
      <c r="Q4" s="3297">
        <v>16.106306059999998</v>
      </c>
      <c r="R4" s="3297">
        <v>19.248124820000001</v>
      </c>
      <c r="S4" s="3299">
        <v>10.65714951</v>
      </c>
      <c r="U4" s="3300"/>
      <c r="V4" s="3300"/>
      <c r="W4" s="3300"/>
      <c r="AB4" s="3300"/>
      <c r="AC4" s="3300"/>
      <c r="AD4" s="3300"/>
      <c r="AE4" s="3300"/>
      <c r="AF4" s="3300"/>
      <c r="AG4" s="3300"/>
    </row>
    <row r="5" spans="1:33" x14ac:dyDescent="0.3">
      <c r="A5" s="3301" t="s">
        <v>4818</v>
      </c>
      <c r="B5" s="3302" t="s">
        <v>1149</v>
      </c>
      <c r="C5" s="3303">
        <v>820.6886942695545</v>
      </c>
      <c r="D5" s="3303">
        <v>654.78663988584162</v>
      </c>
      <c r="E5" s="3303">
        <v>700.91354280653468</v>
      </c>
      <c r="F5" s="3303">
        <v>777.30564407316831</v>
      </c>
      <c r="G5" s="3303">
        <v>854.5330779761</v>
      </c>
      <c r="H5" s="3303">
        <v>854</v>
      </c>
      <c r="I5" s="3303">
        <v>948</v>
      </c>
      <c r="J5" s="3303">
        <v>994</v>
      </c>
      <c r="K5" s="3304">
        <v>1049.7</v>
      </c>
      <c r="L5" s="3303">
        <v>955.33</v>
      </c>
      <c r="M5" s="3303">
        <v>1042.8954175314502</v>
      </c>
      <c r="N5" s="3303">
        <v>1127</v>
      </c>
      <c r="O5" s="3303">
        <v>958.83525556339998</v>
      </c>
      <c r="P5" s="3303">
        <v>596.53123816864991</v>
      </c>
      <c r="Q5" s="3303">
        <v>957.28977509734398</v>
      </c>
      <c r="R5" s="3303">
        <v>1241.2275318982504</v>
      </c>
      <c r="S5" s="3305">
        <v>1195.8845678386001</v>
      </c>
      <c r="U5" s="3300"/>
      <c r="V5" s="3300"/>
      <c r="W5" s="3300"/>
      <c r="AB5" s="3300"/>
      <c r="AC5" s="3300"/>
      <c r="AD5" s="3300"/>
      <c r="AE5" s="3300"/>
      <c r="AF5" s="3300"/>
      <c r="AG5" s="3300"/>
    </row>
    <row r="6" spans="1:33" x14ac:dyDescent="0.3">
      <c r="A6" s="3301" t="s">
        <v>4819</v>
      </c>
      <c r="B6" s="3302" t="s">
        <v>3530</v>
      </c>
      <c r="C6" s="3306">
        <v>0.01</v>
      </c>
      <c r="D6" s="3303">
        <v>0.83092500000000002</v>
      </c>
      <c r="E6" s="3307">
        <v>0.24739</v>
      </c>
      <c r="F6" s="3303">
        <v>5.7265620000000004</v>
      </c>
      <c r="G6" s="3307">
        <v>0.31649853999999999</v>
      </c>
      <c r="H6" s="3307">
        <v>0.26684849999999999</v>
      </c>
      <c r="I6" s="3307">
        <v>0.08</v>
      </c>
      <c r="J6" s="3307">
        <v>0.5</v>
      </c>
      <c r="K6" s="3308">
        <v>0.7</v>
      </c>
      <c r="L6" s="3307">
        <v>0.9</v>
      </c>
      <c r="M6" s="3307">
        <v>0.93160616000000007</v>
      </c>
      <c r="N6" s="3307">
        <v>0.3</v>
      </c>
      <c r="O6" s="3307">
        <v>101.39164359999999</v>
      </c>
      <c r="P6" s="3307">
        <v>20.231880329999999</v>
      </c>
      <c r="Q6" s="3307">
        <v>2.0839264800000001</v>
      </c>
      <c r="R6" s="3307">
        <v>5.9895915300000002</v>
      </c>
      <c r="S6" s="3305">
        <v>4.1334770699999996</v>
      </c>
      <c r="U6" s="3300"/>
      <c r="V6" s="3300"/>
      <c r="W6" s="3300"/>
      <c r="AB6" s="3300"/>
      <c r="AC6" s="3300"/>
      <c r="AD6" s="3300"/>
      <c r="AE6" s="3300"/>
      <c r="AF6" s="3300"/>
      <c r="AG6" s="3300"/>
    </row>
    <row r="7" spans="1:33" x14ac:dyDescent="0.3">
      <c r="A7" s="3301" t="s">
        <v>4820</v>
      </c>
      <c r="B7" s="3302" t="s">
        <v>5151</v>
      </c>
      <c r="C7" s="3303">
        <v>0</v>
      </c>
      <c r="D7" s="3307">
        <v>0.294325</v>
      </c>
      <c r="E7" s="3303">
        <v>0</v>
      </c>
      <c r="F7" s="3303">
        <v>0</v>
      </c>
      <c r="G7" s="3307">
        <v>5.6469999999999999E-2</v>
      </c>
      <c r="H7" s="3307">
        <v>0</v>
      </c>
      <c r="I7" s="3309">
        <v>1.8E-3</v>
      </c>
      <c r="J7" s="3310">
        <v>0.19</v>
      </c>
      <c r="K7" s="3308">
        <v>0.1</v>
      </c>
      <c r="L7" s="3307">
        <v>0.22</v>
      </c>
      <c r="M7" s="3307">
        <v>0.236122</v>
      </c>
      <c r="N7" s="3307">
        <v>0.3</v>
      </c>
      <c r="O7" s="3307">
        <v>1.2190099999999999</v>
      </c>
      <c r="P7" s="3307">
        <v>0.23034199999999999</v>
      </c>
      <c r="Q7" s="3307">
        <v>0.16384499999999999</v>
      </c>
      <c r="R7" s="3307">
        <v>1.5735349999999999</v>
      </c>
      <c r="S7" s="3305">
        <v>2.4032999999999999E-2</v>
      </c>
      <c r="U7" s="3300"/>
      <c r="V7" s="3300"/>
      <c r="W7" s="3300"/>
      <c r="AB7" s="3300"/>
      <c r="AC7" s="3300"/>
      <c r="AD7" s="3300"/>
      <c r="AE7" s="3300"/>
      <c r="AF7" s="3300"/>
      <c r="AG7" s="3300"/>
    </row>
    <row r="8" spans="1:33" x14ac:dyDescent="0.3">
      <c r="A8" s="3301" t="s">
        <v>4821</v>
      </c>
      <c r="B8" s="3302" t="s">
        <v>5152</v>
      </c>
      <c r="C8" s="3303">
        <v>42.160168883366339</v>
      </c>
      <c r="D8" s="3303">
        <v>44.904872655049509</v>
      </c>
      <c r="E8" s="3303">
        <v>69.097026125742573</v>
      </c>
      <c r="F8" s="3303">
        <v>63.544151183465353</v>
      </c>
      <c r="G8" s="3303">
        <v>63.800168262600003</v>
      </c>
      <c r="H8" s="3303">
        <v>67</v>
      </c>
      <c r="I8" s="3303">
        <v>85.82</v>
      </c>
      <c r="J8" s="3303">
        <v>97.7</v>
      </c>
      <c r="K8" s="3304">
        <v>147.9</v>
      </c>
      <c r="L8" s="3303">
        <v>196.9</v>
      </c>
      <c r="M8" s="3303">
        <v>294.24139347926496</v>
      </c>
      <c r="N8" s="3303">
        <v>340</v>
      </c>
      <c r="O8" s="3303">
        <v>370.68417124074585</v>
      </c>
      <c r="P8" s="3303">
        <v>203.74452316598195</v>
      </c>
      <c r="Q8" s="3303">
        <v>361.45376900910435</v>
      </c>
      <c r="R8" s="3303">
        <v>398.85295382070495</v>
      </c>
      <c r="S8" s="3305">
        <v>322.14354756136026</v>
      </c>
      <c r="U8" s="3300"/>
      <c r="V8" s="3300"/>
      <c r="W8" s="3300"/>
      <c r="AB8" s="3300"/>
      <c r="AC8" s="3300"/>
      <c r="AD8" s="3300"/>
      <c r="AE8" s="3300"/>
      <c r="AF8" s="3300"/>
      <c r="AG8" s="3300"/>
    </row>
    <row r="9" spans="1:33" x14ac:dyDescent="0.3">
      <c r="A9" s="3301" t="s">
        <v>4822</v>
      </c>
      <c r="B9" s="3302" t="s">
        <v>4823</v>
      </c>
      <c r="C9" s="3303">
        <v>14.892497502999998</v>
      </c>
      <c r="D9" s="3303">
        <v>10.594153940000002</v>
      </c>
      <c r="E9" s="3303">
        <v>16.162273020000001</v>
      </c>
      <c r="F9" s="3303">
        <v>20.553283099999998</v>
      </c>
      <c r="G9" s="3303">
        <v>27.00394983</v>
      </c>
      <c r="H9" s="3303">
        <v>26</v>
      </c>
      <c r="I9" s="3303">
        <v>34</v>
      </c>
      <c r="J9" s="3303">
        <v>22</v>
      </c>
      <c r="K9" s="3304">
        <v>6.1</v>
      </c>
      <c r="L9" s="3303">
        <v>12.05</v>
      </c>
      <c r="M9" s="3303">
        <v>15.528665149999998</v>
      </c>
      <c r="N9" s="3303">
        <v>10</v>
      </c>
      <c r="O9" s="3303">
        <v>9.4688753600000002</v>
      </c>
      <c r="P9" s="3303">
        <v>11.093140639999998</v>
      </c>
      <c r="Q9" s="3303">
        <v>22.498824189999997</v>
      </c>
      <c r="R9" s="3303">
        <v>16.348521229999999</v>
      </c>
      <c r="S9" s="3305">
        <v>15.788189979999999</v>
      </c>
      <c r="U9" s="3300"/>
      <c r="V9" s="3300"/>
      <c r="W9" s="3300"/>
      <c r="AB9" s="3300"/>
      <c r="AC9" s="3300"/>
      <c r="AD9" s="3300"/>
      <c r="AE9" s="3300"/>
      <c r="AF9" s="3300"/>
      <c r="AG9" s="3300"/>
    </row>
    <row r="10" spans="1:33" x14ac:dyDescent="0.3">
      <c r="A10" s="3301" t="s">
        <v>4824</v>
      </c>
      <c r="B10" s="3302" t="s">
        <v>3533</v>
      </c>
      <c r="C10" s="3303">
        <v>1.5082444499999998</v>
      </c>
      <c r="D10" s="3303">
        <v>1.7831953300000001</v>
      </c>
      <c r="E10" s="3303">
        <v>7.7000077500000002</v>
      </c>
      <c r="F10" s="3303">
        <v>1.1895091400000002</v>
      </c>
      <c r="G10" s="3303">
        <v>7.7678144000000007</v>
      </c>
      <c r="H10" s="3303">
        <v>3</v>
      </c>
      <c r="I10" s="3303">
        <v>1.3</v>
      </c>
      <c r="J10" s="3303">
        <v>5</v>
      </c>
      <c r="K10" s="3304">
        <v>1.9394359099999998</v>
      </c>
      <c r="L10" s="3303">
        <v>5.15</v>
      </c>
      <c r="M10" s="3303">
        <v>4.1880182900000005</v>
      </c>
      <c r="N10" s="3303">
        <v>9</v>
      </c>
      <c r="O10" s="3303">
        <v>12.524568090000001</v>
      </c>
      <c r="P10" s="3303">
        <v>12.821297900000001</v>
      </c>
      <c r="Q10" s="3303">
        <v>12.434656</v>
      </c>
      <c r="R10" s="3303">
        <v>14.857350890000001</v>
      </c>
      <c r="S10" s="3305">
        <v>18.01228957</v>
      </c>
      <c r="U10" s="3300"/>
      <c r="V10" s="3300"/>
      <c r="W10" s="3300"/>
      <c r="AB10" s="3300"/>
      <c r="AC10" s="3300"/>
      <c r="AD10" s="3300"/>
      <c r="AE10" s="3300"/>
      <c r="AF10" s="3300"/>
      <c r="AG10" s="3300"/>
    </row>
    <row r="11" spans="1:33" x14ac:dyDescent="0.3">
      <c r="A11" s="3301" t="s">
        <v>4825</v>
      </c>
      <c r="B11" s="3302" t="s">
        <v>3534</v>
      </c>
      <c r="C11" s="3303">
        <v>28.703192980000001</v>
      </c>
      <c r="D11" s="3303">
        <v>71.42871418871286</v>
      </c>
      <c r="E11" s="3303">
        <v>79.472929787623769</v>
      </c>
      <c r="F11" s="3303">
        <v>50.193724076138594</v>
      </c>
      <c r="G11" s="3303">
        <v>89.819422234000058</v>
      </c>
      <c r="H11" s="3303">
        <v>71</v>
      </c>
      <c r="I11" s="3303">
        <v>116.95</v>
      </c>
      <c r="J11" s="3303">
        <v>108</v>
      </c>
      <c r="K11" s="3304">
        <v>145.36522223800003</v>
      </c>
      <c r="L11" s="3303">
        <v>115.92</v>
      </c>
      <c r="M11" s="3303">
        <v>165.99783647700008</v>
      </c>
      <c r="N11" s="3303">
        <v>149</v>
      </c>
      <c r="O11" s="3303">
        <v>163.77117714099995</v>
      </c>
      <c r="P11" s="3303">
        <v>78.239975773999987</v>
      </c>
      <c r="Q11" s="3303">
        <v>151.39924420533521</v>
      </c>
      <c r="R11" s="3303">
        <v>148.23140200799995</v>
      </c>
      <c r="S11" s="3305">
        <v>126.76186374199999</v>
      </c>
      <c r="U11" s="3300"/>
      <c r="V11" s="3300"/>
      <c r="W11" s="3300"/>
      <c r="AB11" s="3300"/>
      <c r="AC11" s="3300"/>
      <c r="AD11" s="3300"/>
      <c r="AE11" s="3300"/>
      <c r="AF11" s="3300"/>
      <c r="AG11" s="3300"/>
    </row>
    <row r="12" spans="1:33" x14ac:dyDescent="0.3">
      <c r="A12" s="3301" t="s">
        <v>4826</v>
      </c>
      <c r="B12" s="3302" t="s">
        <v>3535</v>
      </c>
      <c r="C12" s="3303">
        <v>25.782727830000002</v>
      </c>
      <c r="D12" s="3303">
        <v>20.382208549999998</v>
      </c>
      <c r="E12" s="3303">
        <v>27.434465369999995</v>
      </c>
      <c r="F12" s="3303">
        <v>28.219593520000007</v>
      </c>
      <c r="G12" s="3303">
        <v>39.740961510000005</v>
      </c>
      <c r="H12" s="3303">
        <v>66</v>
      </c>
      <c r="I12" s="3303">
        <v>60.52</v>
      </c>
      <c r="J12" s="3303">
        <v>82</v>
      </c>
      <c r="K12" s="3304">
        <v>15.06443222</v>
      </c>
      <c r="L12" s="3303">
        <v>54.74</v>
      </c>
      <c r="M12" s="3303">
        <v>19.042073690000002</v>
      </c>
      <c r="N12" s="3303">
        <v>34</v>
      </c>
      <c r="O12" s="3303">
        <v>16.724845340000002</v>
      </c>
      <c r="P12" s="3303">
        <v>37.082220280000001</v>
      </c>
      <c r="Q12" s="3303">
        <v>45.750883829999992</v>
      </c>
      <c r="R12" s="3303">
        <v>44.001201829999999</v>
      </c>
      <c r="S12" s="3305">
        <v>41.349695355000001</v>
      </c>
      <c r="U12" s="3300"/>
      <c r="V12" s="3300"/>
      <c r="W12" s="3300"/>
      <c r="AB12" s="3300"/>
      <c r="AC12" s="3300"/>
      <c r="AD12" s="3300"/>
      <c r="AE12" s="3300"/>
      <c r="AF12" s="3300"/>
      <c r="AG12" s="3300"/>
    </row>
    <row r="13" spans="1:33" x14ac:dyDescent="0.3">
      <c r="A13" s="3301" t="s">
        <v>4827</v>
      </c>
      <c r="B13" s="3302" t="s">
        <v>1155</v>
      </c>
      <c r="C13" s="3303">
        <v>114.3362040122</v>
      </c>
      <c r="D13" s="3303">
        <v>145.50867111000002</v>
      </c>
      <c r="E13" s="3303">
        <v>91.315115099999986</v>
      </c>
      <c r="F13" s="3303">
        <v>98.476827709999981</v>
      </c>
      <c r="G13" s="3303">
        <v>81.207533766869986</v>
      </c>
      <c r="H13" s="3303">
        <v>91</v>
      </c>
      <c r="I13" s="3303">
        <v>66</v>
      </c>
      <c r="J13" s="3303">
        <v>122</v>
      </c>
      <c r="K13" s="3304">
        <v>71.903440219999993</v>
      </c>
      <c r="L13" s="3303">
        <v>105.13</v>
      </c>
      <c r="M13" s="3303">
        <v>58.4775068</v>
      </c>
      <c r="N13" s="3303">
        <v>76</v>
      </c>
      <c r="O13" s="3303">
        <v>52.083736919999993</v>
      </c>
      <c r="P13" s="3303">
        <v>66.502236019999998</v>
      </c>
      <c r="Q13" s="3303">
        <v>63.555616280000002</v>
      </c>
      <c r="R13" s="3303">
        <v>110.24577348999999</v>
      </c>
      <c r="S13" s="3305">
        <v>48.074008899999995</v>
      </c>
      <c r="U13" s="3300"/>
      <c r="V13" s="3300"/>
      <c r="W13" s="3300"/>
      <c r="AB13" s="3300"/>
      <c r="AC13" s="3300"/>
      <c r="AD13" s="3300"/>
      <c r="AE13" s="3300"/>
      <c r="AF13" s="3300"/>
      <c r="AG13" s="3300"/>
    </row>
    <row r="14" spans="1:33" x14ac:dyDescent="0.3">
      <c r="A14" s="3301" t="s">
        <v>4828</v>
      </c>
      <c r="B14" s="3302" t="s">
        <v>1156</v>
      </c>
      <c r="C14" s="3307">
        <v>0.19499474999999999</v>
      </c>
      <c r="D14" s="3311">
        <v>4.6254281500000003</v>
      </c>
      <c r="E14" s="3307">
        <v>0.10316460999999999</v>
      </c>
      <c r="F14" s="3309">
        <v>4.7000000000000002E-3</v>
      </c>
      <c r="G14" s="3303">
        <v>1.8888480599999997</v>
      </c>
      <c r="H14" s="3307">
        <v>0.48917400999999999</v>
      </c>
      <c r="I14" s="3307">
        <v>5.6000000000000001E-2</v>
      </c>
      <c r="J14" s="3307">
        <v>1</v>
      </c>
      <c r="K14" s="3308">
        <v>1.96123048</v>
      </c>
      <c r="L14" s="3307">
        <v>0.02</v>
      </c>
      <c r="M14" s="3303">
        <v>1.6686492999999998</v>
      </c>
      <c r="N14" s="3303">
        <v>1.29</v>
      </c>
      <c r="O14" s="3303">
        <v>2.1804438337279999</v>
      </c>
      <c r="P14" s="3303">
        <v>1.5927427399999998</v>
      </c>
      <c r="Q14" s="3303">
        <v>1.2316772499999999</v>
      </c>
      <c r="R14" s="3303">
        <v>1.3442959800000003</v>
      </c>
      <c r="S14" s="3312">
        <v>2.4529212499999997</v>
      </c>
      <c r="U14" s="3300"/>
      <c r="V14" s="3300"/>
      <c r="W14" s="3300"/>
      <c r="AB14" s="3300"/>
      <c r="AC14" s="3300"/>
      <c r="AD14" s="3300"/>
      <c r="AE14" s="3300"/>
      <c r="AF14" s="3300"/>
      <c r="AG14" s="3300"/>
    </row>
    <row r="15" spans="1:33" x14ac:dyDescent="0.3">
      <c r="A15" s="3301" t="s">
        <v>4829</v>
      </c>
      <c r="B15" s="3302" t="s">
        <v>3536</v>
      </c>
      <c r="C15" s="3303">
        <v>99.860137330000001</v>
      </c>
      <c r="D15" s="3303">
        <v>83.150968699999993</v>
      </c>
      <c r="E15" s="3303">
        <v>89.303823499999993</v>
      </c>
      <c r="F15" s="3303">
        <v>103.71246802000002</v>
      </c>
      <c r="G15" s="3303">
        <v>145.29132703000002</v>
      </c>
      <c r="H15" s="3303">
        <v>103</v>
      </c>
      <c r="I15" s="3303">
        <v>112.94</v>
      </c>
      <c r="J15" s="3303">
        <v>140</v>
      </c>
      <c r="K15" s="3304">
        <v>75.442349680000007</v>
      </c>
      <c r="L15" s="3303">
        <v>71.36</v>
      </c>
      <c r="M15" s="3303">
        <v>70.143846850000003</v>
      </c>
      <c r="N15" s="3303">
        <v>86</v>
      </c>
      <c r="O15" s="3303">
        <v>88.847265350000015</v>
      </c>
      <c r="P15" s="3303">
        <v>65.816420719999996</v>
      </c>
      <c r="Q15" s="3303">
        <v>103.89999697999998</v>
      </c>
      <c r="R15" s="3303">
        <v>93.914447020000011</v>
      </c>
      <c r="S15" s="3305">
        <v>109.63474252999998</v>
      </c>
      <c r="U15" s="3300"/>
      <c r="V15" s="3300"/>
      <c r="W15" s="3300"/>
      <c r="AB15" s="3300"/>
      <c r="AC15" s="3300"/>
      <c r="AD15" s="3300"/>
      <c r="AE15" s="3300"/>
      <c r="AF15" s="3300"/>
      <c r="AG15" s="3300"/>
    </row>
    <row r="16" spans="1:33" x14ac:dyDescent="0.3">
      <c r="A16" s="3301" t="s">
        <v>4830</v>
      </c>
      <c r="B16" s="3302" t="s">
        <v>3537</v>
      </c>
      <c r="C16" s="3303">
        <v>10.32579958</v>
      </c>
      <c r="D16" s="3303">
        <v>7.1847618900000008</v>
      </c>
      <c r="E16" s="3303">
        <v>10.054806940000001</v>
      </c>
      <c r="F16" s="3303">
        <v>14.906309289999999</v>
      </c>
      <c r="G16" s="3303">
        <v>13.421070670000002</v>
      </c>
      <c r="H16" s="3303">
        <v>21</v>
      </c>
      <c r="I16" s="3303">
        <v>17.79</v>
      </c>
      <c r="J16" s="3303">
        <v>23</v>
      </c>
      <c r="K16" s="3304">
        <v>15.935414640000001</v>
      </c>
      <c r="L16" s="3303">
        <v>13.72</v>
      </c>
      <c r="M16" s="3303">
        <v>17.156517520000001</v>
      </c>
      <c r="N16" s="3303">
        <v>33</v>
      </c>
      <c r="O16" s="3303">
        <v>25.155459779999997</v>
      </c>
      <c r="P16" s="3303">
        <v>36.052509139999991</v>
      </c>
      <c r="Q16" s="3303">
        <v>31.965592269999998</v>
      </c>
      <c r="R16" s="3303">
        <v>42.281263320000001</v>
      </c>
      <c r="S16" s="3305">
        <v>39.865706340000003</v>
      </c>
      <c r="U16" s="3300"/>
      <c r="V16" s="3300"/>
      <c r="W16" s="3300"/>
      <c r="AB16" s="3300"/>
      <c r="AC16" s="3300"/>
      <c r="AD16" s="3300"/>
      <c r="AE16" s="3300"/>
      <c r="AF16" s="3300"/>
      <c r="AG16" s="3300"/>
    </row>
    <row r="17" spans="1:33" x14ac:dyDescent="0.3">
      <c r="A17" s="3301" t="s">
        <v>4833</v>
      </c>
      <c r="B17" s="3302" t="s">
        <v>3538</v>
      </c>
      <c r="C17" s="3303">
        <v>1.3608970600000001</v>
      </c>
      <c r="D17" s="3303">
        <v>26.568371727920795</v>
      </c>
      <c r="E17" s="3303">
        <v>34.685134515544547</v>
      </c>
      <c r="F17" s="3303">
        <v>1.81229478</v>
      </c>
      <c r="G17" s="3303">
        <v>3.2610846699999998</v>
      </c>
      <c r="H17" s="3303">
        <v>6</v>
      </c>
      <c r="I17" s="3303">
        <v>26</v>
      </c>
      <c r="J17" s="3303">
        <v>20</v>
      </c>
      <c r="K17" s="3304">
        <v>7.5313632100000003</v>
      </c>
      <c r="L17" s="3303">
        <v>6.54</v>
      </c>
      <c r="M17" s="3303">
        <v>4.4764829299999995</v>
      </c>
      <c r="N17" s="3303">
        <v>9</v>
      </c>
      <c r="O17" s="3303">
        <v>23.588946419999996</v>
      </c>
      <c r="P17" s="3303">
        <v>24.373139949999999</v>
      </c>
      <c r="Q17" s="3303">
        <v>5.5950706099999996</v>
      </c>
      <c r="R17" s="3303">
        <v>11.880206099999999</v>
      </c>
      <c r="S17" s="3305">
        <v>15.513797370000001</v>
      </c>
      <c r="U17" s="3300"/>
      <c r="V17" s="3300"/>
      <c r="W17" s="3300"/>
      <c r="AB17" s="3300"/>
      <c r="AC17" s="3300"/>
      <c r="AD17" s="3300"/>
      <c r="AE17" s="3300"/>
      <c r="AF17" s="3300"/>
      <c r="AG17" s="3300"/>
    </row>
    <row r="18" spans="1:33" x14ac:dyDescent="0.3">
      <c r="A18" s="3301" t="s">
        <v>4834</v>
      </c>
      <c r="B18" s="3302" t="s">
        <v>3539</v>
      </c>
      <c r="C18" s="3303">
        <v>19.650285409999999</v>
      </c>
      <c r="D18" s="3303">
        <v>23.172590249999999</v>
      </c>
      <c r="E18" s="3303">
        <v>22.009329000000001</v>
      </c>
      <c r="F18" s="3303">
        <v>30.185940179999999</v>
      </c>
      <c r="G18" s="3303">
        <v>26.296844870000005</v>
      </c>
      <c r="H18" s="3303">
        <v>25</v>
      </c>
      <c r="I18" s="3303">
        <v>29.48</v>
      </c>
      <c r="J18" s="3303">
        <v>19</v>
      </c>
      <c r="K18" s="3304">
        <v>16.292368310000001</v>
      </c>
      <c r="L18" s="3303">
        <v>16.2</v>
      </c>
      <c r="M18" s="3303">
        <v>22.534721350000002</v>
      </c>
      <c r="N18" s="3303">
        <v>29</v>
      </c>
      <c r="O18" s="3303">
        <v>23.496032360000005</v>
      </c>
      <c r="P18" s="3303">
        <v>13.348565499999999</v>
      </c>
      <c r="Q18" s="3303">
        <v>17.679656860000001</v>
      </c>
      <c r="R18" s="3303">
        <v>21.027428269999998</v>
      </c>
      <c r="S18" s="3305">
        <v>16.946798879999999</v>
      </c>
      <c r="U18" s="3300"/>
      <c r="V18" s="3300"/>
      <c r="W18" s="3300"/>
      <c r="AB18" s="3300"/>
      <c r="AC18" s="3300"/>
      <c r="AD18" s="3300"/>
      <c r="AE18" s="3300"/>
      <c r="AF18" s="3300"/>
      <c r="AG18" s="3300"/>
    </row>
    <row r="19" spans="1:33" x14ac:dyDescent="0.3">
      <c r="A19" s="3301" t="s">
        <v>4835</v>
      </c>
      <c r="B19" s="3302" t="s">
        <v>3540</v>
      </c>
      <c r="C19" s="3303">
        <v>2.7023601200000003</v>
      </c>
      <c r="D19" s="3303">
        <v>1.25324769</v>
      </c>
      <c r="E19" s="3307">
        <v>0.24506225000000001</v>
      </c>
      <c r="F19" s="3307">
        <v>0.33422204999999999</v>
      </c>
      <c r="G19" s="3303">
        <v>1.30720357</v>
      </c>
      <c r="H19" s="3303">
        <v>1</v>
      </c>
      <c r="I19" s="3303">
        <v>0.93</v>
      </c>
      <c r="J19" s="3303">
        <v>1</v>
      </c>
      <c r="K19" s="3304">
        <v>3.0211488515999996</v>
      </c>
      <c r="L19" s="3303">
        <v>4.55</v>
      </c>
      <c r="M19" s="3303">
        <v>3.5274832489200003</v>
      </c>
      <c r="N19" s="3303">
        <v>5</v>
      </c>
      <c r="O19" s="3303">
        <v>5.349665705944</v>
      </c>
      <c r="P19" s="3303">
        <v>6.1071193637500558</v>
      </c>
      <c r="Q19" s="3303">
        <v>4.7488741022991814</v>
      </c>
      <c r="R19" s="3303">
        <v>14.252078920971517</v>
      </c>
      <c r="S19" s="3305">
        <v>2.2963925823836151</v>
      </c>
      <c r="U19" s="3300"/>
      <c r="V19" s="3300"/>
      <c r="W19" s="3300"/>
      <c r="AB19" s="3300"/>
      <c r="AC19" s="3300"/>
      <c r="AD19" s="3300"/>
      <c r="AE19" s="3300"/>
      <c r="AF19" s="3300"/>
      <c r="AG19" s="3300"/>
    </row>
    <row r="20" spans="1:33" ht="16.5" thickBot="1" x14ac:dyDescent="0.35">
      <c r="A20" s="3313" t="s">
        <v>4836</v>
      </c>
      <c r="B20" s="3314" t="s">
        <v>3541</v>
      </c>
      <c r="C20" s="3315">
        <v>38.361270443019791</v>
      </c>
      <c r="D20" s="3315">
        <v>50.693459894455451</v>
      </c>
      <c r="E20" s="3315">
        <v>35.915091757623763</v>
      </c>
      <c r="F20" s="3315">
        <v>78.548599097524757</v>
      </c>
      <c r="G20" s="3315">
        <v>101.17679724129999</v>
      </c>
      <c r="H20" s="3315">
        <v>58</v>
      </c>
      <c r="I20" s="3315">
        <v>65.77</v>
      </c>
      <c r="J20" s="3315">
        <v>82</v>
      </c>
      <c r="K20" s="3316">
        <v>88.935599563550014</v>
      </c>
      <c r="L20" s="3315">
        <v>101.81</v>
      </c>
      <c r="M20" s="3315">
        <v>77.889535447850008</v>
      </c>
      <c r="N20" s="3315">
        <v>67</v>
      </c>
      <c r="O20" s="3315">
        <v>80.077476552200011</v>
      </c>
      <c r="P20" s="3315">
        <v>51.302438915450004</v>
      </c>
      <c r="Q20" s="3315">
        <v>87.247069382055415</v>
      </c>
      <c r="R20" s="3315">
        <v>110.56186464451937</v>
      </c>
      <c r="S20" s="3317">
        <v>88.766363850710022</v>
      </c>
      <c r="U20" s="3300"/>
      <c r="V20" s="3300"/>
      <c r="W20" s="3300"/>
      <c r="AB20" s="3300"/>
      <c r="AC20" s="3300"/>
      <c r="AD20" s="3300"/>
      <c r="AE20" s="3300"/>
      <c r="AF20" s="3300"/>
      <c r="AG20" s="3300"/>
    </row>
    <row r="21" spans="1:33" ht="17.25" thickTop="1" thickBot="1" x14ac:dyDescent="0.35">
      <c r="A21" s="3989" t="s">
        <v>274</v>
      </c>
      <c r="B21" s="3990"/>
      <c r="C21" s="3318">
        <v>1225.7389334611407</v>
      </c>
      <c r="D21" s="3318">
        <v>1151.4382021019806</v>
      </c>
      <c r="E21" s="3318">
        <v>1186.5718028130693</v>
      </c>
      <c r="F21" s="3318">
        <v>1284.4131926302966</v>
      </c>
      <c r="G21" s="3318">
        <v>1462.11659462087</v>
      </c>
      <c r="H21" s="3318">
        <v>1397</v>
      </c>
      <c r="I21" s="3318">
        <v>1573</v>
      </c>
      <c r="J21" s="3318">
        <f>SUM(J4:J20)</f>
        <v>1729.19</v>
      </c>
      <c r="K21" s="3319">
        <f>SUM(K4:K20)</f>
        <v>1656.7920053231505</v>
      </c>
      <c r="L21" s="3318">
        <v>1668.0100000000002</v>
      </c>
      <c r="M21" s="3318">
        <f t="shared" ref="M21:P21" si="0">SUM(M4:M20)</f>
        <v>1813.7161133544848</v>
      </c>
      <c r="N21" s="3318">
        <f t="shared" si="0"/>
        <v>1994.8899999999999</v>
      </c>
      <c r="O21" s="3318">
        <f t="shared" si="0"/>
        <v>2014.3947270870183</v>
      </c>
      <c r="P21" s="3318">
        <f t="shared" si="0"/>
        <v>1243.2803767778319</v>
      </c>
      <c r="Q21" s="3318">
        <v>1885.104783606138</v>
      </c>
      <c r="R21" s="3318">
        <v>2295.8375707724458</v>
      </c>
      <c r="S21" s="3318">
        <v>2058.305545330054</v>
      </c>
      <c r="U21" s="3300"/>
      <c r="V21" s="3300"/>
      <c r="W21" s="3300"/>
      <c r="AB21" s="3300"/>
      <c r="AC21" s="3300"/>
      <c r="AD21" s="3300"/>
      <c r="AE21" s="3300"/>
      <c r="AF21" s="3300"/>
      <c r="AG21" s="3300"/>
    </row>
    <row r="22" spans="1:33" s="3226" customFormat="1" ht="15" thickTop="1" x14ac:dyDescent="0.25">
      <c r="A22" s="3320" t="s">
        <v>5135</v>
      </c>
      <c r="B22" s="3224"/>
      <c r="C22" s="3225"/>
      <c r="D22" s="3225"/>
      <c r="E22" s="3225"/>
      <c r="F22" s="3225"/>
      <c r="G22" s="3225"/>
      <c r="H22" s="3225"/>
      <c r="I22" s="3225"/>
      <c r="J22" s="3225"/>
      <c r="K22" s="3225"/>
      <c r="L22" s="3225"/>
      <c r="M22" s="3225"/>
      <c r="N22" s="3321"/>
      <c r="O22" s="3321"/>
      <c r="P22" s="3321"/>
    </row>
    <row r="23" spans="1:33" s="3322" customFormat="1" ht="29.25" customHeight="1" x14ac:dyDescent="0.3">
      <c r="A23" s="3991" t="s">
        <v>5153</v>
      </c>
      <c r="B23" s="3991"/>
      <c r="C23" s="3991"/>
      <c r="D23" s="3991"/>
      <c r="E23" s="3991"/>
      <c r="F23" s="3991"/>
      <c r="G23" s="3991"/>
      <c r="H23" s="3991"/>
      <c r="I23" s="3991"/>
      <c r="J23" s="3991"/>
      <c r="K23" s="3991"/>
      <c r="L23" s="3991"/>
      <c r="M23" s="3991"/>
      <c r="N23" s="3991"/>
      <c r="O23" s="3991"/>
    </row>
    <row r="24" spans="1:33" s="3323" customFormat="1" x14ac:dyDescent="0.3">
      <c r="A24" s="3992" t="s">
        <v>172</v>
      </c>
      <c r="B24" s="3992"/>
      <c r="C24" s="3992"/>
      <c r="D24" s="3992"/>
      <c r="E24" s="3992"/>
      <c r="F24" s="3992"/>
    </row>
    <row r="25" spans="1:33" x14ac:dyDescent="0.3">
      <c r="A25" s="3992" t="s">
        <v>134</v>
      </c>
      <c r="B25" s="3992"/>
      <c r="C25" s="3992"/>
      <c r="D25" s="3992"/>
      <c r="E25" s="3992"/>
      <c r="F25" s="3992"/>
    </row>
  </sheetData>
  <mergeCells count="4">
    <mergeCell ref="A21:B21"/>
    <mergeCell ref="A23:O23"/>
    <mergeCell ref="A24:F24"/>
    <mergeCell ref="A25:F25"/>
  </mergeCells>
  <pageMargins left="0.7" right="0.7" top="0.75" bottom="0.75" header="0.3" footer="0.3"/>
  <pageSetup paperSize="9" scale="6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G93"/>
  <sheetViews>
    <sheetView zoomScaleNormal="100" zoomScaleSheetLayoutView="100" workbookViewId="0">
      <selection sqref="A1:D1"/>
    </sheetView>
  </sheetViews>
  <sheetFormatPr defaultColWidth="9.140625" defaultRowHeight="15" x14ac:dyDescent="0.25"/>
  <cols>
    <col min="1" max="1" width="25.7109375" style="3347" customWidth="1"/>
    <col min="2" max="2" width="14.28515625" style="3347" customWidth="1"/>
    <col min="3" max="3" width="25.7109375" style="3347" customWidth="1"/>
    <col min="4" max="4" width="14.28515625" style="3347" customWidth="1"/>
    <col min="5" max="5" width="5.5703125" style="3327" customWidth="1"/>
    <col min="6" max="7" width="9.140625" style="3327"/>
    <col min="8" max="16384" width="9.140625" style="3347"/>
  </cols>
  <sheetData>
    <row r="1" spans="1:5" s="3324" customFormat="1" ht="42" customHeight="1" x14ac:dyDescent="0.25">
      <c r="A1" s="3993" t="s">
        <v>5154</v>
      </c>
      <c r="B1" s="3993"/>
      <c r="C1" s="3993"/>
      <c r="D1" s="3993"/>
    </row>
    <row r="2" spans="1:5" s="3327" customFormat="1" ht="15" customHeight="1" thickBot="1" x14ac:dyDescent="0.3">
      <c r="A2" s="3325"/>
      <c r="B2" s="3325"/>
      <c r="C2" s="3325"/>
      <c r="D2" s="3326" t="s">
        <v>3968</v>
      </c>
    </row>
    <row r="3" spans="1:5" s="3190" customFormat="1" ht="18.75" customHeight="1" thickTop="1" thickBot="1" x14ac:dyDescent="0.3">
      <c r="A3" s="3994" t="s">
        <v>5155</v>
      </c>
      <c r="B3" s="3995"/>
      <c r="C3" s="3996" t="s">
        <v>5156</v>
      </c>
      <c r="D3" s="3995"/>
    </row>
    <row r="4" spans="1:5" s="3190" customFormat="1" ht="18.75" customHeight="1" thickBot="1" x14ac:dyDescent="0.3">
      <c r="A4" s="3328"/>
      <c r="B4" s="3329" t="s">
        <v>5037</v>
      </c>
      <c r="C4" s="3330"/>
      <c r="D4" s="3329" t="s">
        <v>5037</v>
      </c>
    </row>
    <row r="5" spans="1:5" s="3190" customFormat="1" ht="18.75" customHeight="1" thickBot="1" x14ac:dyDescent="0.3">
      <c r="A5" s="3328" t="s">
        <v>5157</v>
      </c>
      <c r="B5" s="3331">
        <v>322855.05502312706</v>
      </c>
      <c r="C5" s="3330" t="s">
        <v>3465</v>
      </c>
      <c r="D5" s="3331">
        <v>271788.01806475635</v>
      </c>
      <c r="E5" s="3332"/>
    </row>
    <row r="6" spans="1:5" s="3327" customFormat="1" ht="18.75" customHeight="1" x14ac:dyDescent="0.25">
      <c r="A6" s="3333" t="s">
        <v>3709</v>
      </c>
      <c r="B6" s="3334"/>
      <c r="C6" s="3335" t="s">
        <v>3709</v>
      </c>
      <c r="D6" s="3334"/>
    </row>
    <row r="7" spans="1:5" s="3327" customFormat="1" ht="18.75" customHeight="1" x14ac:dyDescent="0.25">
      <c r="A7" s="3336" t="s">
        <v>5158</v>
      </c>
      <c r="B7" s="3337">
        <v>55563.359255849035</v>
      </c>
      <c r="C7" s="3338" t="s">
        <v>1244</v>
      </c>
      <c r="D7" s="3337">
        <v>119516.46344135671</v>
      </c>
    </row>
    <row r="8" spans="1:5" s="3327" customFormat="1" ht="18.75" customHeight="1" x14ac:dyDescent="0.25">
      <c r="A8" s="3336" t="s">
        <v>5159</v>
      </c>
      <c r="B8" s="3337">
        <v>46319.243933759746</v>
      </c>
      <c r="C8" s="3338" t="s">
        <v>5160</v>
      </c>
      <c r="D8" s="3337">
        <v>21702.079259346287</v>
      </c>
    </row>
    <row r="9" spans="1:5" s="3327" customFormat="1" ht="18.75" customHeight="1" x14ac:dyDescent="0.25">
      <c r="A9" s="3336" t="s">
        <v>1244</v>
      </c>
      <c r="B9" s="3337">
        <v>24811.377995497278</v>
      </c>
      <c r="C9" s="3338" t="s">
        <v>5126</v>
      </c>
      <c r="D9" s="3337">
        <v>20327.711077292137</v>
      </c>
    </row>
    <row r="10" spans="1:5" s="3327" customFormat="1" ht="18.75" customHeight="1" x14ac:dyDescent="0.25">
      <c r="A10" s="3336" t="s">
        <v>5160</v>
      </c>
      <c r="B10" s="3337">
        <v>24728.915105979606</v>
      </c>
      <c r="C10" s="3338" t="s">
        <v>1246</v>
      </c>
      <c r="D10" s="3337">
        <v>9040.7328449922261</v>
      </c>
    </row>
    <row r="11" spans="1:5" s="3327" customFormat="1" ht="18.75" customHeight="1" x14ac:dyDescent="0.25">
      <c r="A11" s="3336" t="s">
        <v>5161</v>
      </c>
      <c r="B11" s="3337">
        <v>19192.298890765327</v>
      </c>
      <c r="C11" s="3338" t="s">
        <v>5159</v>
      </c>
      <c r="D11" s="3337">
        <v>7544</v>
      </c>
    </row>
    <row r="12" spans="1:5" s="3327" customFormat="1" ht="18.75" customHeight="1" x14ac:dyDescent="0.25">
      <c r="A12" s="3336" t="s">
        <v>1246</v>
      </c>
      <c r="B12" s="3337">
        <v>18194.546725814474</v>
      </c>
      <c r="C12" s="3338" t="s">
        <v>5162</v>
      </c>
      <c r="D12" s="3337">
        <v>6871.447471454996</v>
      </c>
    </row>
    <row r="13" spans="1:5" s="3327" customFormat="1" ht="18.75" customHeight="1" x14ac:dyDescent="0.25">
      <c r="A13" s="3336" t="s">
        <v>5126</v>
      </c>
      <c r="B13" s="3337">
        <v>12730.428199665737</v>
      </c>
      <c r="C13" s="3338" t="s">
        <v>5163</v>
      </c>
      <c r="D13" s="3337">
        <v>6707.8283993759578</v>
      </c>
    </row>
    <row r="14" spans="1:5" s="3327" customFormat="1" ht="18.75" customHeight="1" x14ac:dyDescent="0.25">
      <c r="A14" s="3336" t="s">
        <v>5164</v>
      </c>
      <c r="B14" s="3337">
        <v>12125.469536968478</v>
      </c>
      <c r="C14" s="3338" t="s">
        <v>5165</v>
      </c>
      <c r="D14" s="3337">
        <v>6013</v>
      </c>
    </row>
    <row r="15" spans="1:5" s="3327" customFormat="1" ht="18.75" customHeight="1" x14ac:dyDescent="0.25">
      <c r="A15" s="3336" t="s">
        <v>5166</v>
      </c>
      <c r="B15" s="3337">
        <v>11532.266384518076</v>
      </c>
      <c r="C15" s="3338" t="s">
        <v>5161</v>
      </c>
      <c r="D15" s="3337">
        <v>5896.3807366646543</v>
      </c>
    </row>
    <row r="16" spans="1:5" s="3327" customFormat="1" ht="18.75" customHeight="1" thickBot="1" x14ac:dyDescent="0.3">
      <c r="A16" s="3339" t="s">
        <v>5162</v>
      </c>
      <c r="B16" s="3340">
        <v>11162.661752290296</v>
      </c>
      <c r="C16" s="3341" t="s">
        <v>5132</v>
      </c>
      <c r="D16" s="3340">
        <v>4471.205764465125</v>
      </c>
    </row>
    <row r="17" spans="1:4" s="3327" customFormat="1" ht="16.5" thickTop="1" x14ac:dyDescent="0.25">
      <c r="A17" s="3342" t="s">
        <v>5167</v>
      </c>
      <c r="B17" s="3343"/>
      <c r="C17" s="3344"/>
      <c r="D17" s="3343"/>
    </row>
    <row r="18" spans="1:4" s="3345" customFormat="1" ht="29.25" customHeight="1" x14ac:dyDescent="0.25">
      <c r="A18" s="3997" t="s">
        <v>5168</v>
      </c>
      <c r="B18" s="3997"/>
      <c r="C18" s="3997"/>
      <c r="D18" s="3997"/>
    </row>
    <row r="19" spans="1:4" s="3345" customFormat="1" x14ac:dyDescent="0.25">
      <c r="A19" s="3997" t="s">
        <v>134</v>
      </c>
      <c r="B19" s="3997"/>
      <c r="C19" s="3997"/>
      <c r="D19" s="3997"/>
    </row>
    <row r="20" spans="1:4" s="3327" customFormat="1" ht="12.75" customHeight="1" x14ac:dyDescent="0.25">
      <c r="A20" s="3346"/>
    </row>
    <row r="21" spans="1:4" s="3327" customFormat="1" x14ac:dyDescent="0.25"/>
    <row r="22" spans="1:4" s="3327" customFormat="1" x14ac:dyDescent="0.25"/>
    <row r="23" spans="1:4" s="3327" customFormat="1" x14ac:dyDescent="0.25"/>
    <row r="24" spans="1:4" s="3327" customFormat="1" x14ac:dyDescent="0.25"/>
    <row r="25" spans="1:4" s="3327" customFormat="1" x14ac:dyDescent="0.25"/>
    <row r="26" spans="1:4" s="3327" customFormat="1" x14ac:dyDescent="0.25"/>
    <row r="27" spans="1:4" s="3327" customFormat="1" x14ac:dyDescent="0.25"/>
    <row r="28" spans="1:4" s="3327" customFormat="1" x14ac:dyDescent="0.25"/>
    <row r="29" spans="1:4" s="3327" customFormat="1" x14ac:dyDescent="0.25"/>
    <row r="30" spans="1:4" s="3327" customFormat="1" x14ac:dyDescent="0.25"/>
    <row r="31" spans="1:4" s="3327" customFormat="1" x14ac:dyDescent="0.25"/>
    <row r="32" spans="1:4" s="3327" customFormat="1" x14ac:dyDescent="0.25"/>
    <row r="33" s="3327" customFormat="1" x14ac:dyDescent="0.25"/>
    <row r="34" s="3327" customFormat="1" x14ac:dyDescent="0.25"/>
    <row r="35" s="3327" customFormat="1" x14ac:dyDescent="0.25"/>
    <row r="36" s="3327" customFormat="1" x14ac:dyDescent="0.25"/>
    <row r="37" s="3327" customFormat="1" x14ac:dyDescent="0.25"/>
    <row r="38" s="3327" customFormat="1" x14ac:dyDescent="0.25"/>
    <row r="39" s="3327" customFormat="1" x14ac:dyDescent="0.25"/>
    <row r="40" s="3327" customFormat="1" x14ac:dyDescent="0.25"/>
    <row r="41" s="3327" customFormat="1" x14ac:dyDescent="0.25"/>
    <row r="42" s="3327" customFormat="1" x14ac:dyDescent="0.25"/>
    <row r="43" s="3327" customFormat="1" x14ac:dyDescent="0.25"/>
    <row r="44" s="3327" customFormat="1" x14ac:dyDescent="0.25"/>
    <row r="45" s="3327" customFormat="1" x14ac:dyDescent="0.25"/>
    <row r="46" s="3327" customFormat="1" x14ac:dyDescent="0.25"/>
    <row r="47" s="3327" customFormat="1" x14ac:dyDescent="0.25"/>
    <row r="48" s="3327" customFormat="1" x14ac:dyDescent="0.25"/>
    <row r="49" s="3327" customFormat="1" x14ac:dyDescent="0.25"/>
    <row r="50" s="3327" customFormat="1" x14ac:dyDescent="0.25"/>
    <row r="51" s="3327" customFormat="1" x14ac:dyDescent="0.25"/>
    <row r="52" s="3327" customFormat="1" x14ac:dyDescent="0.25"/>
    <row r="53" s="3327" customFormat="1" x14ac:dyDescent="0.25"/>
    <row r="54" s="3327" customFormat="1" x14ac:dyDescent="0.25"/>
    <row r="55" s="3327" customFormat="1" x14ac:dyDescent="0.25"/>
    <row r="56" s="3327" customFormat="1" x14ac:dyDescent="0.25"/>
    <row r="57" s="3327" customFormat="1" x14ac:dyDescent="0.25"/>
    <row r="58" s="3327" customFormat="1" x14ac:dyDescent="0.25"/>
    <row r="59" s="3327" customFormat="1" x14ac:dyDescent="0.25"/>
    <row r="60" s="3327" customFormat="1" x14ac:dyDescent="0.25"/>
    <row r="61" s="3327" customFormat="1" x14ac:dyDescent="0.25"/>
    <row r="62" s="3327" customFormat="1" x14ac:dyDescent="0.25"/>
    <row r="63" s="3327" customFormat="1" x14ac:dyDescent="0.25"/>
    <row r="64" s="3327" customFormat="1" x14ac:dyDescent="0.25"/>
    <row r="65" s="3327" customFormat="1" x14ac:dyDescent="0.25"/>
    <row r="66" s="3327" customFormat="1" x14ac:dyDescent="0.25"/>
    <row r="67" s="3327" customFormat="1" x14ac:dyDescent="0.25"/>
    <row r="68" s="3327" customFormat="1" x14ac:dyDescent="0.25"/>
    <row r="69" s="3327" customFormat="1" x14ac:dyDescent="0.25"/>
    <row r="70" s="3327" customFormat="1" x14ac:dyDescent="0.25"/>
    <row r="71" s="3327" customFormat="1" x14ac:dyDescent="0.25"/>
    <row r="72" s="3327" customFormat="1" x14ac:dyDescent="0.25"/>
    <row r="73" s="3327" customFormat="1" x14ac:dyDescent="0.25"/>
    <row r="74" s="3327" customFormat="1" x14ac:dyDescent="0.25"/>
    <row r="75" s="3327" customFormat="1" x14ac:dyDescent="0.25"/>
    <row r="76" s="3327" customFormat="1" x14ac:dyDescent="0.25"/>
    <row r="77" s="3327" customFormat="1" x14ac:dyDescent="0.25"/>
    <row r="78" s="3327" customFormat="1" x14ac:dyDescent="0.25"/>
    <row r="79" s="3327" customFormat="1" x14ac:dyDescent="0.25"/>
    <row r="80" s="3327" customFormat="1" x14ac:dyDescent="0.25"/>
    <row r="81" s="3327" customFormat="1" x14ac:dyDescent="0.25"/>
    <row r="82" s="3327" customFormat="1" x14ac:dyDescent="0.25"/>
    <row r="83" s="3327" customFormat="1" x14ac:dyDescent="0.25"/>
    <row r="84" s="3327" customFormat="1" x14ac:dyDescent="0.25"/>
    <row r="85" s="3327" customFormat="1" x14ac:dyDescent="0.25"/>
    <row r="86" s="3327" customFormat="1" x14ac:dyDescent="0.25"/>
    <row r="87" s="3327" customFormat="1" x14ac:dyDescent="0.25"/>
    <row r="88" s="3327" customFormat="1" x14ac:dyDescent="0.25"/>
    <row r="89" s="3327" customFormat="1" x14ac:dyDescent="0.25"/>
    <row r="90" s="3327" customFormat="1" x14ac:dyDescent="0.25"/>
    <row r="91" s="3327" customFormat="1" x14ac:dyDescent="0.25"/>
    <row r="92" s="3327" customFormat="1" x14ac:dyDescent="0.25"/>
    <row r="93" s="3327" customFormat="1" x14ac:dyDescent="0.25"/>
  </sheetData>
  <mergeCells count="5">
    <mergeCell ref="A1:D1"/>
    <mergeCell ref="A3:B3"/>
    <mergeCell ref="C3:D3"/>
    <mergeCell ref="A18:D18"/>
    <mergeCell ref="A19:D19"/>
  </mergeCells>
  <printOptions horizontalCentered="1"/>
  <pageMargins left="0" right="0.2" top="0.42" bottom="0.21" header="0.3" footer="0.17"/>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P174"/>
  <sheetViews>
    <sheetView zoomScale="80" zoomScaleNormal="80" zoomScaleSheetLayoutView="70" workbookViewId="0">
      <pane xSplit="1" ySplit="4" topLeftCell="B5" activePane="bottomRight" state="frozen"/>
      <selection activeCell="A150" sqref="A150"/>
      <selection pane="topRight" activeCell="A150" sqref="A150"/>
      <selection pane="bottomLeft" activeCell="A150" sqref="A150"/>
      <selection pane="bottomRight" sqref="A1:G1"/>
    </sheetView>
  </sheetViews>
  <sheetFormatPr defaultRowHeight="16.5" x14ac:dyDescent="0.3"/>
  <cols>
    <col min="1" max="1" width="60.85546875" style="3351" customWidth="1"/>
    <col min="2" max="2" width="14.5703125" style="3352" customWidth="1"/>
    <col min="3" max="4" width="14.5703125" style="3471" customWidth="1"/>
    <col min="5" max="5" width="14.5703125" style="3352" customWidth="1"/>
    <col min="6" max="7" width="14.5703125" style="3471" customWidth="1"/>
    <col min="8" max="8" width="8.7109375" style="3348" customWidth="1"/>
    <col min="9" max="9" width="14.7109375" style="3349" customWidth="1"/>
    <col min="10" max="10" width="17.140625" style="3349" customWidth="1"/>
    <col min="11" max="11" width="11.140625" style="3350" customWidth="1"/>
    <col min="12" max="13" width="12.85546875" style="3350" customWidth="1"/>
    <col min="14" max="14" width="8.85546875" style="2362" customWidth="1"/>
    <col min="15" max="15" width="8.5703125" style="2362" customWidth="1"/>
    <col min="16" max="16" width="9.5703125" style="2362" customWidth="1"/>
    <col min="17" max="17" width="8.85546875" style="2362" customWidth="1"/>
    <col min="18" max="21" width="9.140625" style="2362" customWidth="1"/>
    <col min="22" max="16384" width="9.140625" style="2362"/>
  </cols>
  <sheetData>
    <row r="1" spans="1:16" ht="16.5" customHeight="1" x14ac:dyDescent="0.25">
      <c r="A1" s="4003" t="s">
        <v>5169</v>
      </c>
      <c r="B1" s="4003"/>
      <c r="C1" s="4003"/>
      <c r="D1" s="4003"/>
      <c r="E1" s="4003"/>
      <c r="F1" s="4003"/>
      <c r="G1" s="4003"/>
    </row>
    <row r="2" spans="1:16" ht="17.25" thickBot="1" x14ac:dyDescent="0.35">
      <c r="C2" s="3353"/>
      <c r="D2" s="3353"/>
      <c r="E2" s="3353"/>
      <c r="F2" s="3353"/>
      <c r="G2" s="3326" t="s">
        <v>8</v>
      </c>
      <c r="I2" s="3350"/>
      <c r="J2" s="3350"/>
    </row>
    <row r="3" spans="1:16" ht="17.25" customHeight="1" thickTop="1" x14ac:dyDescent="0.25">
      <c r="A3" s="3354"/>
      <c r="B3" s="3999" t="s">
        <v>5170</v>
      </c>
      <c r="C3" s="4000"/>
      <c r="D3" s="4001"/>
      <c r="E3" s="3999" t="s">
        <v>5171</v>
      </c>
      <c r="F3" s="4000"/>
      <c r="G3" s="4001"/>
      <c r="K3" s="3998"/>
      <c r="L3" s="3998"/>
      <c r="M3" s="3998"/>
      <c r="N3" s="3998"/>
      <c r="O3" s="3998"/>
      <c r="P3" s="3998"/>
    </row>
    <row r="4" spans="1:16" ht="17.25" thickBot="1" x14ac:dyDescent="0.3">
      <c r="A4" s="3355"/>
      <c r="B4" s="3356" t="s">
        <v>5172</v>
      </c>
      <c r="C4" s="3357" t="s">
        <v>5173</v>
      </c>
      <c r="D4" s="3358" t="s">
        <v>5174</v>
      </c>
      <c r="E4" s="3356" t="s">
        <v>5172</v>
      </c>
      <c r="F4" s="3357" t="s">
        <v>5173</v>
      </c>
      <c r="G4" s="3358" t="s">
        <v>5174</v>
      </c>
      <c r="N4" s="3350"/>
      <c r="O4" s="3350"/>
      <c r="P4" s="3350"/>
    </row>
    <row r="5" spans="1:16" ht="17.25" thickTop="1" x14ac:dyDescent="0.25">
      <c r="A5" s="3359" t="s">
        <v>5175</v>
      </c>
      <c r="B5" s="3360">
        <f>B6+B43+B53</f>
        <v>111740</v>
      </c>
      <c r="C5" s="3361">
        <f>C6+C43+C53</f>
        <v>119640</v>
      </c>
      <c r="D5" s="3362">
        <f>B5-C5</f>
        <v>-7900</v>
      </c>
      <c r="E5" s="3360">
        <f>E6+E43+E53</f>
        <v>89000</v>
      </c>
      <c r="F5" s="3361">
        <f>F6+F43+F53</f>
        <v>106200</v>
      </c>
      <c r="G5" s="3362">
        <f>E5-F5</f>
        <v>-17200</v>
      </c>
      <c r="N5" s="3363"/>
      <c r="O5" s="3363"/>
      <c r="P5" s="3363"/>
    </row>
    <row r="6" spans="1:16" x14ac:dyDescent="0.25">
      <c r="A6" s="3364" t="s">
        <v>5176</v>
      </c>
      <c r="B6" s="3365">
        <f>B7+B11</f>
        <v>43716</v>
      </c>
      <c r="C6" s="3366">
        <f>C7+C11</f>
        <v>59670</v>
      </c>
      <c r="D6" s="3367">
        <f t="shared" ref="D6:D10" si="0">B6-C6</f>
        <v>-15954</v>
      </c>
      <c r="E6" s="3365">
        <f>E7+E11</f>
        <v>25881</v>
      </c>
      <c r="F6" s="3366">
        <f>F7+F11</f>
        <v>52214</v>
      </c>
      <c r="G6" s="3367">
        <f t="shared" ref="G6:G10" si="1">E6-F6</f>
        <v>-26333</v>
      </c>
      <c r="N6" s="3363"/>
      <c r="O6" s="3363"/>
      <c r="P6" s="3363"/>
    </row>
    <row r="7" spans="1:16" x14ac:dyDescent="0.25">
      <c r="A7" s="3364" t="s">
        <v>5177</v>
      </c>
      <c r="B7" s="3368">
        <f>B8+B10</f>
        <v>19000</v>
      </c>
      <c r="C7" s="3369">
        <f>C8+C10</f>
        <v>41563</v>
      </c>
      <c r="D7" s="3370">
        <f t="shared" si="0"/>
        <v>-22563</v>
      </c>
      <c r="E7" s="3368">
        <f>E8+E10</f>
        <v>17353</v>
      </c>
      <c r="F7" s="3369">
        <f>F8+F10</f>
        <v>40390</v>
      </c>
      <c r="G7" s="3370">
        <f t="shared" si="1"/>
        <v>-23037</v>
      </c>
      <c r="N7" s="3363"/>
      <c r="O7" s="3363"/>
      <c r="P7" s="3363"/>
    </row>
    <row r="8" spans="1:16" x14ac:dyDescent="0.25">
      <c r="A8" s="3371" t="s">
        <v>5178</v>
      </c>
      <c r="B8" s="3372">
        <v>19000</v>
      </c>
      <c r="C8" s="3373">
        <v>41467</v>
      </c>
      <c r="D8" s="3374">
        <f t="shared" si="0"/>
        <v>-22467</v>
      </c>
      <c r="E8" s="3372">
        <v>17353</v>
      </c>
      <c r="F8" s="3373">
        <v>40186</v>
      </c>
      <c r="G8" s="3374">
        <f t="shared" si="1"/>
        <v>-22833</v>
      </c>
      <c r="N8" s="3363"/>
      <c r="O8" s="3363"/>
      <c r="P8" s="3363"/>
    </row>
    <row r="9" spans="1:16" x14ac:dyDescent="0.25">
      <c r="A9" s="3375" t="s">
        <v>5179</v>
      </c>
      <c r="B9" s="3376">
        <v>3513</v>
      </c>
      <c r="C9" s="3377"/>
      <c r="D9" s="3378">
        <f t="shared" si="0"/>
        <v>3513</v>
      </c>
      <c r="E9" s="3376">
        <v>3179</v>
      </c>
      <c r="F9" s="3377"/>
      <c r="G9" s="3378">
        <f t="shared" si="1"/>
        <v>3179</v>
      </c>
      <c r="N9" s="3363"/>
      <c r="O9" s="3363"/>
      <c r="P9" s="3363"/>
    </row>
    <row r="10" spans="1:16" x14ac:dyDescent="0.25">
      <c r="A10" s="3371" t="s">
        <v>5180</v>
      </c>
      <c r="B10" s="3372"/>
      <c r="C10" s="3373">
        <v>96</v>
      </c>
      <c r="D10" s="3374">
        <f t="shared" si="0"/>
        <v>-96</v>
      </c>
      <c r="E10" s="3372"/>
      <c r="F10" s="3373">
        <v>204</v>
      </c>
      <c r="G10" s="3374">
        <f t="shared" si="1"/>
        <v>-204</v>
      </c>
      <c r="N10" s="3363"/>
      <c r="O10" s="3363"/>
      <c r="P10" s="3363"/>
    </row>
    <row r="11" spans="1:16" x14ac:dyDescent="0.25">
      <c r="A11" s="3364" t="s">
        <v>5181</v>
      </c>
      <c r="B11" s="3365">
        <f>B12+B13+B18+B21+B24+B29+B30+B31+B35+B39+B42</f>
        <v>24716</v>
      </c>
      <c r="C11" s="3366">
        <f>C12+C13+C18+C21+C24+C29+C30+C31+C35+C39+C42</f>
        <v>18107</v>
      </c>
      <c r="D11" s="3367">
        <f t="shared" ref="D11" si="2">D12+D13+D18+D21+D24+D29+D30+D31+D35+D39+D42</f>
        <v>6609</v>
      </c>
      <c r="E11" s="3365">
        <f>E12+E13+E18+E21+E24+E29+E30+E31+E35+E39+E42</f>
        <v>8528</v>
      </c>
      <c r="F11" s="3366">
        <f>F12+F13+F18+F21+F24+F29+F30+F31+F35+F39+F42</f>
        <v>11824</v>
      </c>
      <c r="G11" s="3367">
        <f t="shared" ref="G11" si="3">G12+G13+G18+G21+G24+G29+G30+G31+G35+G39+G42</f>
        <v>-3296</v>
      </c>
      <c r="N11" s="3363"/>
      <c r="O11" s="3363"/>
      <c r="P11" s="3363"/>
    </row>
    <row r="12" spans="1:16" x14ac:dyDescent="0.25">
      <c r="A12" s="3379" t="s">
        <v>5182</v>
      </c>
      <c r="B12" s="3368">
        <v>26</v>
      </c>
      <c r="C12" s="3369">
        <v>1013</v>
      </c>
      <c r="D12" s="3370">
        <f t="shared" ref="D12:D35" si="4">B12-C12</f>
        <v>-987</v>
      </c>
      <c r="E12" s="3368">
        <v>13</v>
      </c>
      <c r="F12" s="3369">
        <v>39</v>
      </c>
      <c r="G12" s="3370">
        <f t="shared" ref="G12:G35" si="5">E12-F12</f>
        <v>-26</v>
      </c>
      <c r="N12" s="3363"/>
      <c r="O12" s="3363"/>
      <c r="P12" s="3363"/>
    </row>
    <row r="13" spans="1:16" x14ac:dyDescent="0.25">
      <c r="A13" s="3364" t="s">
        <v>5183</v>
      </c>
      <c r="B13" s="3365">
        <f>B14+B15+B16+B17</f>
        <v>3479</v>
      </c>
      <c r="C13" s="3366">
        <f>C14+C15+C16+C17</f>
        <v>5320</v>
      </c>
      <c r="D13" s="3367">
        <f t="shared" si="4"/>
        <v>-1841</v>
      </c>
      <c r="E13" s="3365">
        <f>E14+E15+E16+E17</f>
        <v>769</v>
      </c>
      <c r="F13" s="3366">
        <f>F14+F15+F16+F17</f>
        <v>3912</v>
      </c>
      <c r="G13" s="3367">
        <f t="shared" si="5"/>
        <v>-3143</v>
      </c>
      <c r="N13" s="3363"/>
      <c r="O13" s="3363"/>
      <c r="P13" s="3363"/>
    </row>
    <row r="14" spans="1:16" x14ac:dyDescent="0.25">
      <c r="A14" s="3380" t="s">
        <v>5184</v>
      </c>
      <c r="B14" s="3372">
        <v>1821</v>
      </c>
      <c r="C14" s="3373">
        <v>519</v>
      </c>
      <c r="D14" s="3381">
        <f t="shared" si="4"/>
        <v>1302</v>
      </c>
      <c r="E14" s="3382">
        <v>70</v>
      </c>
      <c r="F14" s="3383">
        <v>96</v>
      </c>
      <c r="G14" s="3381">
        <f t="shared" si="5"/>
        <v>-26</v>
      </c>
      <c r="N14" s="3363"/>
      <c r="O14" s="3363"/>
      <c r="P14" s="3363"/>
    </row>
    <row r="15" spans="1:16" x14ac:dyDescent="0.25">
      <c r="A15" s="3380" t="s">
        <v>5185</v>
      </c>
      <c r="B15" s="3372">
        <v>188</v>
      </c>
      <c r="C15" s="3373">
        <v>2656</v>
      </c>
      <c r="D15" s="3381">
        <f t="shared" si="4"/>
        <v>-2468</v>
      </c>
      <c r="E15" s="3382">
        <v>110</v>
      </c>
      <c r="F15" s="3383">
        <v>3531</v>
      </c>
      <c r="G15" s="3381">
        <f t="shared" si="5"/>
        <v>-3421</v>
      </c>
      <c r="N15" s="3363"/>
      <c r="O15" s="3363"/>
      <c r="P15" s="3363"/>
    </row>
    <row r="16" spans="1:16" x14ac:dyDescent="0.25">
      <c r="A16" s="3380" t="s">
        <v>3326</v>
      </c>
      <c r="B16" s="3372">
        <v>1429</v>
      </c>
      <c r="C16" s="3373">
        <v>2126</v>
      </c>
      <c r="D16" s="3381">
        <f t="shared" si="4"/>
        <v>-697</v>
      </c>
      <c r="E16" s="3382">
        <v>391</v>
      </c>
      <c r="F16" s="3383">
        <v>277</v>
      </c>
      <c r="G16" s="3381">
        <f t="shared" si="5"/>
        <v>114</v>
      </c>
      <c r="N16" s="3363"/>
      <c r="O16" s="3363"/>
      <c r="P16" s="3363"/>
    </row>
    <row r="17" spans="1:16" ht="18.75" customHeight="1" x14ac:dyDescent="0.25">
      <c r="A17" s="3380" t="s">
        <v>5186</v>
      </c>
      <c r="B17" s="3372">
        <v>41</v>
      </c>
      <c r="C17" s="3373">
        <v>19</v>
      </c>
      <c r="D17" s="3381">
        <f t="shared" si="4"/>
        <v>22</v>
      </c>
      <c r="E17" s="3382">
        <v>198</v>
      </c>
      <c r="F17" s="3383">
        <v>8</v>
      </c>
      <c r="G17" s="3381">
        <f t="shared" si="5"/>
        <v>190</v>
      </c>
      <c r="N17" s="3363"/>
      <c r="O17" s="3363"/>
      <c r="P17" s="3363"/>
    </row>
    <row r="18" spans="1:16" ht="18.75" customHeight="1" x14ac:dyDescent="0.25">
      <c r="A18" s="3364" t="s">
        <v>5187</v>
      </c>
      <c r="B18" s="3365">
        <f>B19+B20</f>
        <v>14144</v>
      </c>
      <c r="C18" s="3366">
        <f>C19+C20</f>
        <v>4753</v>
      </c>
      <c r="D18" s="3367">
        <f t="shared" si="4"/>
        <v>9391</v>
      </c>
      <c r="E18" s="3365">
        <f>E19+E20</f>
        <v>522</v>
      </c>
      <c r="F18" s="3366">
        <f>F19+F20</f>
        <v>732</v>
      </c>
      <c r="G18" s="3367">
        <f t="shared" si="5"/>
        <v>-210</v>
      </c>
      <c r="N18" s="3363"/>
      <c r="O18" s="3363"/>
      <c r="P18" s="3363"/>
    </row>
    <row r="19" spans="1:16" ht="18.75" customHeight="1" x14ac:dyDescent="0.25">
      <c r="A19" s="3380" t="s">
        <v>5188</v>
      </c>
      <c r="B19" s="3382">
        <v>4966</v>
      </c>
      <c r="C19" s="3383">
        <v>322</v>
      </c>
      <c r="D19" s="3381">
        <f t="shared" si="4"/>
        <v>4644</v>
      </c>
      <c r="E19" s="3382"/>
      <c r="F19" s="3383"/>
      <c r="G19" s="3381"/>
      <c r="N19" s="3363"/>
      <c r="O19" s="3363"/>
      <c r="P19" s="3363"/>
    </row>
    <row r="20" spans="1:16" ht="18.75" customHeight="1" x14ac:dyDescent="0.25">
      <c r="A20" s="3380" t="s">
        <v>4841</v>
      </c>
      <c r="B20" s="3382">
        <v>9178</v>
      </c>
      <c r="C20" s="3383">
        <v>4431</v>
      </c>
      <c r="D20" s="3381">
        <f t="shared" si="4"/>
        <v>4747</v>
      </c>
      <c r="E20" s="3382">
        <v>522</v>
      </c>
      <c r="F20" s="3383">
        <v>732</v>
      </c>
      <c r="G20" s="3381">
        <f t="shared" si="5"/>
        <v>-210</v>
      </c>
      <c r="N20" s="3363"/>
      <c r="O20" s="3363"/>
      <c r="P20" s="3363"/>
    </row>
    <row r="21" spans="1:16" ht="18.75" customHeight="1" x14ac:dyDescent="0.25">
      <c r="A21" s="3364" t="s">
        <v>1150</v>
      </c>
      <c r="B21" s="3365">
        <f>B22+B23</f>
        <v>10</v>
      </c>
      <c r="C21" s="3366">
        <f>C22+C23</f>
        <v>25</v>
      </c>
      <c r="D21" s="3367">
        <f t="shared" si="4"/>
        <v>-15</v>
      </c>
      <c r="E21" s="3365">
        <f>E22+E23</f>
        <v>10</v>
      </c>
      <c r="F21" s="3366">
        <f>F22+F23</f>
        <v>0</v>
      </c>
      <c r="G21" s="3367">
        <f t="shared" si="5"/>
        <v>10</v>
      </c>
      <c r="N21" s="3363"/>
      <c r="O21" s="3363"/>
      <c r="P21" s="3363"/>
    </row>
    <row r="22" spans="1:16" ht="18.75" customHeight="1" x14ac:dyDescent="0.25">
      <c r="A22" s="3380" t="s">
        <v>5189</v>
      </c>
      <c r="B22" s="3382">
        <v>10</v>
      </c>
      <c r="C22" s="3383"/>
      <c r="D22" s="3381">
        <f t="shared" si="4"/>
        <v>10</v>
      </c>
      <c r="E22" s="3382">
        <v>10</v>
      </c>
      <c r="F22" s="3383"/>
      <c r="G22" s="3381">
        <f t="shared" si="5"/>
        <v>10</v>
      </c>
      <c r="N22" s="3363"/>
      <c r="O22" s="3363"/>
      <c r="P22" s="3363"/>
    </row>
    <row r="23" spans="1:16" ht="18.75" customHeight="1" x14ac:dyDescent="0.25">
      <c r="A23" s="3380" t="s">
        <v>5190</v>
      </c>
      <c r="B23" s="3382"/>
      <c r="C23" s="3383">
        <v>25</v>
      </c>
      <c r="D23" s="3381">
        <f t="shared" si="4"/>
        <v>-25</v>
      </c>
      <c r="E23" s="3382"/>
      <c r="F23" s="3383">
        <v>0</v>
      </c>
      <c r="G23" s="3381">
        <f t="shared" si="5"/>
        <v>0</v>
      </c>
      <c r="N23" s="3363"/>
      <c r="O23" s="3363"/>
      <c r="P23" s="3363"/>
    </row>
    <row r="24" spans="1:16" ht="18.75" customHeight="1" x14ac:dyDescent="0.25">
      <c r="A24" s="3364" t="s">
        <v>5191</v>
      </c>
      <c r="B24" s="3365">
        <f>SUM(B25:B28)</f>
        <v>79</v>
      </c>
      <c r="C24" s="3366">
        <f>SUM(C25:C28)</f>
        <v>670</v>
      </c>
      <c r="D24" s="3367">
        <f t="shared" si="4"/>
        <v>-591</v>
      </c>
      <c r="E24" s="3365">
        <f>SUM(E25:E28)</f>
        <v>60</v>
      </c>
      <c r="F24" s="3366">
        <f>SUM(F25:F28)</f>
        <v>809</v>
      </c>
      <c r="G24" s="3367">
        <f t="shared" si="5"/>
        <v>-749</v>
      </c>
      <c r="N24" s="3363"/>
      <c r="O24" s="3363"/>
      <c r="P24" s="3363"/>
    </row>
    <row r="25" spans="1:16" ht="18.75" customHeight="1" x14ac:dyDescent="0.25">
      <c r="A25" s="3380" t="s">
        <v>5192</v>
      </c>
      <c r="B25" s="3382">
        <v>64</v>
      </c>
      <c r="C25" s="3383">
        <v>333</v>
      </c>
      <c r="D25" s="3381">
        <f t="shared" si="4"/>
        <v>-269</v>
      </c>
      <c r="E25" s="3382">
        <v>54</v>
      </c>
      <c r="F25" s="3383">
        <v>505</v>
      </c>
      <c r="G25" s="3381">
        <f t="shared" si="5"/>
        <v>-451</v>
      </c>
      <c r="N25" s="3363"/>
      <c r="O25" s="3363"/>
      <c r="P25" s="3363"/>
    </row>
    <row r="26" spans="1:16" ht="18.75" customHeight="1" x14ac:dyDescent="0.25">
      <c r="A26" s="3380" t="s">
        <v>5193</v>
      </c>
      <c r="B26" s="3382">
        <v>1</v>
      </c>
      <c r="C26" s="3383">
        <v>266</v>
      </c>
      <c r="D26" s="3381">
        <f t="shared" si="4"/>
        <v>-265</v>
      </c>
      <c r="E26" s="3382">
        <v>0</v>
      </c>
      <c r="F26" s="3383">
        <v>214</v>
      </c>
      <c r="G26" s="3381">
        <f t="shared" si="5"/>
        <v>-214</v>
      </c>
      <c r="N26" s="3363"/>
      <c r="O26" s="3363"/>
      <c r="P26" s="3363"/>
    </row>
    <row r="27" spans="1:16" ht="18.75" customHeight="1" x14ac:dyDescent="0.25">
      <c r="A27" s="3380" t="s">
        <v>5194</v>
      </c>
      <c r="B27" s="3382">
        <v>5</v>
      </c>
      <c r="C27" s="3383">
        <v>57</v>
      </c>
      <c r="D27" s="3381">
        <f t="shared" si="4"/>
        <v>-52</v>
      </c>
      <c r="E27" s="3382">
        <v>3</v>
      </c>
      <c r="F27" s="3383">
        <v>80</v>
      </c>
      <c r="G27" s="3381">
        <f t="shared" si="5"/>
        <v>-77</v>
      </c>
      <c r="N27" s="3363"/>
      <c r="O27" s="3363"/>
      <c r="P27" s="3363"/>
    </row>
    <row r="28" spans="1:16" ht="18.75" customHeight="1" x14ac:dyDescent="0.25">
      <c r="A28" s="3380" t="s">
        <v>5195</v>
      </c>
      <c r="B28" s="3382">
        <v>9</v>
      </c>
      <c r="C28" s="3383">
        <v>14</v>
      </c>
      <c r="D28" s="3381">
        <f t="shared" si="4"/>
        <v>-5</v>
      </c>
      <c r="E28" s="3382">
        <v>3</v>
      </c>
      <c r="F28" s="3383">
        <v>10</v>
      </c>
      <c r="G28" s="3381">
        <f t="shared" si="5"/>
        <v>-7</v>
      </c>
      <c r="N28" s="3363"/>
      <c r="O28" s="3363"/>
      <c r="P28" s="3363"/>
    </row>
    <row r="29" spans="1:16" ht="18.75" customHeight="1" x14ac:dyDescent="0.25">
      <c r="A29" s="3364" t="s">
        <v>5196</v>
      </c>
      <c r="B29" s="3365">
        <v>1190</v>
      </c>
      <c r="C29" s="3366">
        <v>311</v>
      </c>
      <c r="D29" s="3367">
        <f t="shared" si="4"/>
        <v>879</v>
      </c>
      <c r="E29" s="3365">
        <v>1611</v>
      </c>
      <c r="F29" s="3366">
        <v>325</v>
      </c>
      <c r="G29" s="3367">
        <f t="shared" si="5"/>
        <v>1286</v>
      </c>
      <c r="N29" s="3363"/>
      <c r="O29" s="3363"/>
      <c r="P29" s="3363"/>
    </row>
    <row r="30" spans="1:16" ht="18.75" customHeight="1" x14ac:dyDescent="0.3">
      <c r="A30" s="3384" t="s">
        <v>5197</v>
      </c>
      <c r="B30" s="3385">
        <v>6</v>
      </c>
      <c r="C30" s="3386">
        <v>126</v>
      </c>
      <c r="D30" s="3387">
        <f t="shared" si="4"/>
        <v>-120</v>
      </c>
      <c r="E30" s="3385">
        <v>1</v>
      </c>
      <c r="F30" s="3386">
        <v>142</v>
      </c>
      <c r="G30" s="3387">
        <f t="shared" si="5"/>
        <v>-141</v>
      </c>
      <c r="N30" s="3363"/>
      <c r="O30" s="3363"/>
      <c r="P30" s="3363"/>
    </row>
    <row r="31" spans="1:16" x14ac:dyDescent="0.25">
      <c r="A31" s="3364" t="s">
        <v>5198</v>
      </c>
      <c r="B31" s="3365">
        <f>B32+B33+B34</f>
        <v>1326</v>
      </c>
      <c r="C31" s="3366">
        <f>C32+C33+C34</f>
        <v>1080</v>
      </c>
      <c r="D31" s="3367">
        <f t="shared" si="4"/>
        <v>246</v>
      </c>
      <c r="E31" s="3365">
        <f>E32+E33+E34</f>
        <v>1329</v>
      </c>
      <c r="F31" s="3366">
        <f>F32+F33+F34</f>
        <v>1176</v>
      </c>
      <c r="G31" s="3367">
        <f t="shared" si="5"/>
        <v>153</v>
      </c>
      <c r="N31" s="3363"/>
      <c r="O31" s="3363"/>
      <c r="P31" s="3363"/>
    </row>
    <row r="32" spans="1:16" ht="18.75" customHeight="1" x14ac:dyDescent="0.25">
      <c r="A32" s="3380" t="s">
        <v>5199</v>
      </c>
      <c r="B32" s="3382">
        <v>542</v>
      </c>
      <c r="C32" s="3383">
        <v>306</v>
      </c>
      <c r="D32" s="3381">
        <f t="shared" si="4"/>
        <v>236</v>
      </c>
      <c r="E32" s="3382">
        <v>650</v>
      </c>
      <c r="F32" s="3383">
        <v>397</v>
      </c>
      <c r="G32" s="3381">
        <f t="shared" si="5"/>
        <v>253</v>
      </c>
      <c r="N32" s="3363"/>
      <c r="O32" s="3363"/>
      <c r="P32" s="3363"/>
    </row>
    <row r="33" spans="1:16" x14ac:dyDescent="0.25">
      <c r="A33" s="3380" t="s">
        <v>5200</v>
      </c>
      <c r="B33" s="3382">
        <v>761</v>
      </c>
      <c r="C33" s="3383">
        <v>647</v>
      </c>
      <c r="D33" s="3381">
        <f t="shared" si="4"/>
        <v>114</v>
      </c>
      <c r="E33" s="3382">
        <v>671</v>
      </c>
      <c r="F33" s="3383">
        <v>659</v>
      </c>
      <c r="G33" s="3381">
        <f t="shared" si="5"/>
        <v>12</v>
      </c>
      <c r="N33" s="3363"/>
      <c r="O33" s="3363"/>
      <c r="P33" s="3363"/>
    </row>
    <row r="34" spans="1:16" x14ac:dyDescent="0.25">
      <c r="A34" s="3380" t="s">
        <v>5201</v>
      </c>
      <c r="B34" s="3382">
        <v>23</v>
      </c>
      <c r="C34" s="3383">
        <v>127</v>
      </c>
      <c r="D34" s="3381">
        <f t="shared" si="4"/>
        <v>-104</v>
      </c>
      <c r="E34" s="3382">
        <v>8</v>
      </c>
      <c r="F34" s="3383">
        <v>120</v>
      </c>
      <c r="G34" s="3381">
        <f t="shared" si="5"/>
        <v>-112</v>
      </c>
      <c r="N34" s="3363"/>
      <c r="O34" s="3363"/>
      <c r="P34" s="3363"/>
    </row>
    <row r="35" spans="1:16" x14ac:dyDescent="0.25">
      <c r="A35" s="3364" t="s">
        <v>5202</v>
      </c>
      <c r="B35" s="3365">
        <f>B36+B37+B38</f>
        <v>4342</v>
      </c>
      <c r="C35" s="3366">
        <f>C36+C37+C38</f>
        <v>4378</v>
      </c>
      <c r="D35" s="3367">
        <f t="shared" si="4"/>
        <v>-36</v>
      </c>
      <c r="E35" s="3365">
        <f>E36+E37+E38</f>
        <v>4044</v>
      </c>
      <c r="F35" s="3366">
        <f>F36+F37+F38</f>
        <v>3874</v>
      </c>
      <c r="G35" s="3367">
        <f t="shared" si="5"/>
        <v>170</v>
      </c>
      <c r="N35" s="3363"/>
      <c r="O35" s="3363"/>
      <c r="P35" s="3363"/>
    </row>
    <row r="36" spans="1:16" x14ac:dyDescent="0.25">
      <c r="A36" s="3380" t="s">
        <v>5203</v>
      </c>
      <c r="B36" s="3382">
        <v>2</v>
      </c>
      <c r="C36" s="3383">
        <v>5</v>
      </c>
      <c r="D36" s="3381">
        <f>B36-C36</f>
        <v>-3</v>
      </c>
      <c r="E36" s="3382">
        <v>3</v>
      </c>
      <c r="F36" s="3383">
        <v>0</v>
      </c>
      <c r="G36" s="3381">
        <f>E36-F36</f>
        <v>3</v>
      </c>
      <c r="N36" s="3363"/>
      <c r="O36" s="3363"/>
      <c r="P36" s="3363"/>
    </row>
    <row r="37" spans="1:16" x14ac:dyDescent="0.25">
      <c r="A37" s="3380" t="s">
        <v>5204</v>
      </c>
      <c r="B37" s="3382">
        <v>1152</v>
      </c>
      <c r="C37" s="3383">
        <v>990</v>
      </c>
      <c r="D37" s="3381">
        <f t="shared" ref="D37:D39" si="6">B37-C37</f>
        <v>162</v>
      </c>
      <c r="E37" s="3382">
        <v>943</v>
      </c>
      <c r="F37" s="3383">
        <v>1198</v>
      </c>
      <c r="G37" s="3381">
        <f t="shared" ref="G37:G39" si="7">E37-F37</f>
        <v>-255</v>
      </c>
      <c r="N37" s="3363"/>
      <c r="O37" s="3363"/>
      <c r="P37" s="3363"/>
    </row>
    <row r="38" spans="1:16" x14ac:dyDescent="0.25">
      <c r="A38" s="3380" t="s">
        <v>5205</v>
      </c>
      <c r="B38" s="3382">
        <v>3188</v>
      </c>
      <c r="C38" s="3383">
        <v>3383</v>
      </c>
      <c r="D38" s="3381">
        <f t="shared" si="6"/>
        <v>-195</v>
      </c>
      <c r="E38" s="3382">
        <v>3098</v>
      </c>
      <c r="F38" s="3383">
        <v>2676</v>
      </c>
      <c r="G38" s="3381">
        <f t="shared" si="7"/>
        <v>422</v>
      </c>
      <c r="N38" s="3363"/>
      <c r="O38" s="3363"/>
      <c r="P38" s="3363"/>
    </row>
    <row r="39" spans="1:16" x14ac:dyDescent="0.25">
      <c r="A39" s="3364" t="s">
        <v>5206</v>
      </c>
      <c r="B39" s="3365">
        <f>B40+B41</f>
        <v>105</v>
      </c>
      <c r="C39" s="3366">
        <f>C40+C41</f>
        <v>413</v>
      </c>
      <c r="D39" s="3367">
        <f t="shared" si="6"/>
        <v>-308</v>
      </c>
      <c r="E39" s="3365">
        <f>E40+E41</f>
        <v>152</v>
      </c>
      <c r="F39" s="3366">
        <f>F40+F41</f>
        <v>815</v>
      </c>
      <c r="G39" s="3367">
        <f t="shared" si="7"/>
        <v>-663</v>
      </c>
      <c r="N39" s="3363"/>
      <c r="O39" s="3363"/>
      <c r="P39" s="3363"/>
    </row>
    <row r="40" spans="1:16" x14ac:dyDescent="0.25">
      <c r="A40" s="3380" t="s">
        <v>5207</v>
      </c>
      <c r="B40" s="3382">
        <v>30</v>
      </c>
      <c r="C40" s="3383">
        <v>267</v>
      </c>
      <c r="D40" s="3381">
        <f>B40-C40</f>
        <v>-237</v>
      </c>
      <c r="E40" s="3382">
        <v>88</v>
      </c>
      <c r="F40" s="3383">
        <v>401</v>
      </c>
      <c r="G40" s="3381">
        <f>E40-F40</f>
        <v>-313</v>
      </c>
      <c r="N40" s="3363"/>
      <c r="O40" s="3363"/>
      <c r="P40" s="3363"/>
    </row>
    <row r="41" spans="1:16" x14ac:dyDescent="0.25">
      <c r="A41" s="3380" t="s">
        <v>5208</v>
      </c>
      <c r="B41" s="3382">
        <v>75</v>
      </c>
      <c r="C41" s="3383">
        <v>146</v>
      </c>
      <c r="D41" s="3381">
        <f>B41-C41</f>
        <v>-71</v>
      </c>
      <c r="E41" s="3382">
        <v>64</v>
      </c>
      <c r="F41" s="3383">
        <v>414</v>
      </c>
      <c r="G41" s="3381">
        <f>E41-F41</f>
        <v>-350</v>
      </c>
      <c r="N41" s="3363"/>
      <c r="O41" s="3363"/>
      <c r="P41" s="3363"/>
    </row>
    <row r="42" spans="1:16" x14ac:dyDescent="0.25">
      <c r="A42" s="3364" t="s">
        <v>5209</v>
      </c>
      <c r="B42" s="3365">
        <v>9</v>
      </c>
      <c r="C42" s="3366">
        <v>18</v>
      </c>
      <c r="D42" s="3367">
        <f>B42-C42</f>
        <v>-9</v>
      </c>
      <c r="E42" s="3365">
        <v>17</v>
      </c>
      <c r="F42" s="3366">
        <v>0</v>
      </c>
      <c r="G42" s="3367">
        <f>E42-F42</f>
        <v>17</v>
      </c>
      <c r="N42" s="3363"/>
      <c r="O42" s="3363"/>
      <c r="P42" s="3363"/>
    </row>
    <row r="43" spans="1:16" x14ac:dyDescent="0.25">
      <c r="A43" s="3364" t="s">
        <v>5210</v>
      </c>
      <c r="B43" s="3365">
        <f>B44+B45</f>
        <v>64165</v>
      </c>
      <c r="C43" s="3366">
        <f>C44+C45</f>
        <v>51911</v>
      </c>
      <c r="D43" s="3367">
        <f t="shared" ref="D43" si="8">B43-C43</f>
        <v>12254</v>
      </c>
      <c r="E43" s="3365">
        <f>E44+E45</f>
        <v>59741</v>
      </c>
      <c r="F43" s="3366">
        <f>F44+F45</f>
        <v>46622</v>
      </c>
      <c r="G43" s="3367">
        <f t="shared" ref="G43" si="9">E43-F43</f>
        <v>13119</v>
      </c>
      <c r="N43" s="3363"/>
      <c r="O43" s="3363"/>
      <c r="P43" s="3363"/>
    </row>
    <row r="44" spans="1:16" x14ac:dyDescent="0.25">
      <c r="A44" s="3371" t="s">
        <v>5211</v>
      </c>
      <c r="B44" s="3372">
        <v>11</v>
      </c>
      <c r="C44" s="3373">
        <v>66</v>
      </c>
      <c r="D44" s="3374">
        <f>B44-C44</f>
        <v>-55</v>
      </c>
      <c r="E44" s="3372">
        <v>11</v>
      </c>
      <c r="F44" s="3373">
        <v>56</v>
      </c>
      <c r="G44" s="3374">
        <f>E44-F44</f>
        <v>-45</v>
      </c>
      <c r="N44" s="3363"/>
      <c r="O44" s="3363"/>
      <c r="P44" s="3363"/>
    </row>
    <row r="45" spans="1:16" x14ac:dyDescent="0.25">
      <c r="A45" s="3371" t="s">
        <v>5212</v>
      </c>
      <c r="B45" s="3372">
        <v>64154</v>
      </c>
      <c r="C45" s="3373">
        <v>51845</v>
      </c>
      <c r="D45" s="3374">
        <f>B45-C45</f>
        <v>12309</v>
      </c>
      <c r="E45" s="3372">
        <v>59730</v>
      </c>
      <c r="F45" s="3373">
        <v>46566</v>
      </c>
      <c r="G45" s="3374">
        <f>E45-F45</f>
        <v>13164</v>
      </c>
      <c r="N45" s="3363"/>
      <c r="O45" s="3363"/>
      <c r="P45" s="3363"/>
    </row>
    <row r="46" spans="1:16" x14ac:dyDescent="0.25">
      <c r="A46" s="3388" t="s">
        <v>5213</v>
      </c>
      <c r="B46" s="3372">
        <v>41265</v>
      </c>
      <c r="C46" s="3373">
        <v>36315</v>
      </c>
      <c r="D46" s="3374">
        <f>B46-C46</f>
        <v>4950</v>
      </c>
      <c r="E46" s="3372">
        <v>39312</v>
      </c>
      <c r="F46" s="3373">
        <v>32788</v>
      </c>
      <c r="G46" s="3374">
        <f>E46-F46</f>
        <v>6524</v>
      </c>
      <c r="N46" s="3363"/>
      <c r="O46" s="3363"/>
      <c r="P46" s="3363"/>
    </row>
    <row r="47" spans="1:16" s="3394" customFormat="1" x14ac:dyDescent="0.25">
      <c r="A47" s="3389" t="s">
        <v>5214</v>
      </c>
      <c r="B47" s="3376">
        <v>41190</v>
      </c>
      <c r="C47" s="3377">
        <v>36186</v>
      </c>
      <c r="D47" s="3378">
        <f>B47-C47</f>
        <v>5004</v>
      </c>
      <c r="E47" s="3376">
        <v>39312</v>
      </c>
      <c r="F47" s="3377">
        <v>32440</v>
      </c>
      <c r="G47" s="3378">
        <f>E47-F47</f>
        <v>6872</v>
      </c>
      <c r="H47" s="3390"/>
      <c r="I47" s="3391"/>
      <c r="J47" s="3391"/>
      <c r="K47" s="3392"/>
      <c r="L47" s="3392"/>
      <c r="M47" s="3392"/>
      <c r="N47" s="3393"/>
      <c r="O47" s="3393"/>
      <c r="P47" s="3393"/>
    </row>
    <row r="48" spans="1:16" x14ac:dyDescent="0.25">
      <c r="A48" s="3388" t="s">
        <v>5215</v>
      </c>
      <c r="B48" s="3372">
        <v>10563</v>
      </c>
      <c r="C48" s="3373">
        <v>7115</v>
      </c>
      <c r="D48" s="3374">
        <f t="shared" ref="D48:D53" si="10">B48-C48</f>
        <v>3448</v>
      </c>
      <c r="E48" s="3372">
        <v>9957</v>
      </c>
      <c r="F48" s="3373">
        <v>6654</v>
      </c>
      <c r="G48" s="3374">
        <f t="shared" ref="G48:G53" si="11">E48-F48</f>
        <v>3303</v>
      </c>
      <c r="N48" s="3363"/>
      <c r="O48" s="3363"/>
      <c r="P48" s="3363"/>
    </row>
    <row r="49" spans="1:16" s="3394" customFormat="1" x14ac:dyDescent="0.25">
      <c r="A49" s="3389" t="s">
        <v>5214</v>
      </c>
      <c r="B49" s="3376">
        <v>9383</v>
      </c>
      <c r="C49" s="3377">
        <v>6515</v>
      </c>
      <c r="D49" s="3378">
        <f t="shared" si="10"/>
        <v>2868</v>
      </c>
      <c r="E49" s="3376">
        <v>9408</v>
      </c>
      <c r="F49" s="3377">
        <v>6182</v>
      </c>
      <c r="G49" s="3378">
        <f t="shared" si="11"/>
        <v>3226</v>
      </c>
      <c r="H49" s="3390"/>
      <c r="I49" s="3391"/>
      <c r="J49" s="3391"/>
      <c r="K49" s="3392"/>
      <c r="L49" s="3392"/>
      <c r="M49" s="3392"/>
      <c r="N49" s="3393"/>
      <c r="O49" s="3393"/>
      <c r="P49" s="3393"/>
    </row>
    <row r="50" spans="1:16" x14ac:dyDescent="0.25">
      <c r="A50" s="3388" t="s">
        <v>5216</v>
      </c>
      <c r="B50" s="3372">
        <v>11062</v>
      </c>
      <c r="C50" s="3373">
        <v>8415</v>
      </c>
      <c r="D50" s="3374">
        <f t="shared" si="10"/>
        <v>2647</v>
      </c>
      <c r="E50" s="3372">
        <v>9690</v>
      </c>
      <c r="F50" s="3373">
        <v>7124</v>
      </c>
      <c r="G50" s="3374">
        <f t="shared" si="11"/>
        <v>2566</v>
      </c>
      <c r="N50" s="3363"/>
      <c r="O50" s="3363"/>
      <c r="P50" s="3363"/>
    </row>
    <row r="51" spans="1:16" s="3394" customFormat="1" x14ac:dyDescent="0.25">
      <c r="A51" s="3389" t="s">
        <v>5214</v>
      </c>
      <c r="B51" s="3376">
        <v>6325</v>
      </c>
      <c r="C51" s="3377">
        <v>6491</v>
      </c>
      <c r="D51" s="3378">
        <f t="shared" si="10"/>
        <v>-166</v>
      </c>
      <c r="E51" s="3376">
        <v>6714</v>
      </c>
      <c r="F51" s="3377">
        <v>6268</v>
      </c>
      <c r="G51" s="3378">
        <f t="shared" si="11"/>
        <v>446</v>
      </c>
      <c r="H51" s="3390"/>
      <c r="I51" s="3391"/>
      <c r="J51" s="3391"/>
      <c r="K51" s="3392"/>
      <c r="L51" s="3392"/>
      <c r="M51" s="3392"/>
      <c r="N51" s="3393"/>
      <c r="O51" s="3393"/>
      <c r="P51" s="3393"/>
    </row>
    <row r="52" spans="1:16" x14ac:dyDescent="0.25">
      <c r="A52" s="3388" t="s">
        <v>5217</v>
      </c>
      <c r="B52" s="3372">
        <v>1264</v>
      </c>
      <c r="C52" s="3373"/>
      <c r="D52" s="3374">
        <f t="shared" si="10"/>
        <v>1264</v>
      </c>
      <c r="E52" s="3372">
        <v>771</v>
      </c>
      <c r="F52" s="3373"/>
      <c r="G52" s="3374">
        <f t="shared" si="11"/>
        <v>771</v>
      </c>
      <c r="N52" s="3363"/>
      <c r="O52" s="3363"/>
      <c r="P52" s="3363"/>
    </row>
    <row r="53" spans="1:16" x14ac:dyDescent="0.25">
      <c r="A53" s="3379" t="s">
        <v>5218</v>
      </c>
      <c r="B53" s="3368">
        <f>B54+B55</f>
        <v>3859</v>
      </c>
      <c r="C53" s="3369">
        <f>C54+C55</f>
        <v>8059</v>
      </c>
      <c r="D53" s="3370">
        <f t="shared" si="10"/>
        <v>-4200</v>
      </c>
      <c r="E53" s="3368">
        <f>E54+E55</f>
        <v>3378</v>
      </c>
      <c r="F53" s="3369">
        <f>F54+F55</f>
        <v>7364</v>
      </c>
      <c r="G53" s="3370">
        <f t="shared" si="11"/>
        <v>-3986</v>
      </c>
      <c r="N53" s="3363"/>
      <c r="O53" s="3363"/>
      <c r="P53" s="3363"/>
    </row>
    <row r="54" spans="1:16" x14ac:dyDescent="0.25">
      <c r="A54" s="3371" t="s">
        <v>5219</v>
      </c>
      <c r="B54" s="3372">
        <v>1029</v>
      </c>
      <c r="C54" s="3373">
        <v>45</v>
      </c>
      <c r="D54" s="3374">
        <f>B54-C54</f>
        <v>984</v>
      </c>
      <c r="E54" s="3372">
        <v>786</v>
      </c>
      <c r="F54" s="3373">
        <v>27</v>
      </c>
      <c r="G54" s="3374">
        <f>E54-F54</f>
        <v>759</v>
      </c>
      <c r="N54" s="3363"/>
      <c r="O54" s="3363"/>
      <c r="P54" s="3363"/>
    </row>
    <row r="55" spans="1:16" ht="33" x14ac:dyDescent="0.25">
      <c r="A55" s="3371" t="s">
        <v>5220</v>
      </c>
      <c r="B55" s="3372">
        <v>2830</v>
      </c>
      <c r="C55" s="3373">
        <v>8014</v>
      </c>
      <c r="D55" s="3374">
        <f>B55-C55</f>
        <v>-5184</v>
      </c>
      <c r="E55" s="3372">
        <v>2592</v>
      </c>
      <c r="F55" s="3373">
        <v>7337</v>
      </c>
      <c r="G55" s="3374">
        <f>E55-F55</f>
        <v>-4745</v>
      </c>
      <c r="N55" s="3363"/>
      <c r="O55" s="3363"/>
      <c r="P55" s="3363"/>
    </row>
    <row r="56" spans="1:16" x14ac:dyDescent="0.25">
      <c r="A56" s="3388" t="s">
        <v>5221</v>
      </c>
      <c r="B56" s="3372">
        <v>2830</v>
      </c>
      <c r="C56" s="3373">
        <v>8014</v>
      </c>
      <c r="D56" s="3374">
        <f>B56-C56</f>
        <v>-5184</v>
      </c>
      <c r="E56" s="3372">
        <v>2592</v>
      </c>
      <c r="F56" s="3373">
        <v>7337</v>
      </c>
      <c r="G56" s="3374">
        <f>E56-F56</f>
        <v>-4745</v>
      </c>
      <c r="N56" s="3363"/>
      <c r="O56" s="3363"/>
      <c r="P56" s="3363"/>
    </row>
    <row r="57" spans="1:16" x14ac:dyDescent="0.25">
      <c r="A57" s="3389" t="s">
        <v>5214</v>
      </c>
      <c r="B57" s="3376"/>
      <c r="C57" s="3377">
        <v>4376</v>
      </c>
      <c r="D57" s="3378">
        <f t="shared" ref="D57:D58" si="12">B57-C57</f>
        <v>-4376</v>
      </c>
      <c r="E57" s="3376"/>
      <c r="F57" s="3377">
        <v>3467</v>
      </c>
      <c r="G57" s="3378">
        <f t="shared" ref="G57" si="13">E57-F57</f>
        <v>-3467</v>
      </c>
      <c r="N57" s="3363"/>
      <c r="O57" s="3363"/>
      <c r="P57" s="3363"/>
    </row>
    <row r="58" spans="1:16" ht="17.25" thickBot="1" x14ac:dyDescent="0.3">
      <c r="A58" s="3395" t="s">
        <v>5222</v>
      </c>
      <c r="B58" s="3396">
        <v>742</v>
      </c>
      <c r="C58" s="3377">
        <v>2014</v>
      </c>
      <c r="D58" s="3397">
        <f t="shared" si="12"/>
        <v>-1272</v>
      </c>
      <c r="E58" s="3396">
        <v>616</v>
      </c>
      <c r="F58" s="3377">
        <v>2058</v>
      </c>
      <c r="G58" s="3397">
        <f>E58-F58</f>
        <v>-1442</v>
      </c>
      <c r="N58" s="3363"/>
      <c r="O58" s="3363"/>
      <c r="P58" s="3363"/>
    </row>
    <row r="59" spans="1:16" ht="17.25" customHeight="1" thickTop="1" x14ac:dyDescent="0.25">
      <c r="A59" s="3398"/>
      <c r="B59" s="3999" t="s">
        <v>5170</v>
      </c>
      <c r="C59" s="4000"/>
      <c r="D59" s="4001"/>
      <c r="E59" s="3999" t="s">
        <v>5171</v>
      </c>
      <c r="F59" s="4000"/>
      <c r="G59" s="4001"/>
    </row>
    <row r="60" spans="1:16" x14ac:dyDescent="0.25">
      <c r="A60" s="3399"/>
      <c r="B60" s="3400" t="s">
        <v>5172</v>
      </c>
      <c r="C60" s="3401" t="s">
        <v>5173</v>
      </c>
      <c r="D60" s="3402" t="s">
        <v>5174</v>
      </c>
      <c r="E60" s="3400" t="s">
        <v>5172</v>
      </c>
      <c r="F60" s="3401" t="s">
        <v>5173</v>
      </c>
      <c r="G60" s="3402" t="s">
        <v>5174</v>
      </c>
    </row>
    <row r="61" spans="1:16" x14ac:dyDescent="0.25">
      <c r="A61" s="3403" t="s">
        <v>5223</v>
      </c>
      <c r="B61" s="3404"/>
      <c r="C61" s="3405"/>
      <c r="D61" s="3406"/>
      <c r="E61" s="3404"/>
      <c r="F61" s="3405">
        <f>F62</f>
        <v>0</v>
      </c>
      <c r="G61" s="3406">
        <f>E61-F61</f>
        <v>0</v>
      </c>
    </row>
    <row r="62" spans="1:16" ht="17.25" thickBot="1" x14ac:dyDescent="0.3">
      <c r="A62" s="3407" t="s">
        <v>5224</v>
      </c>
      <c r="B62" s="3408"/>
      <c r="C62" s="3409"/>
      <c r="D62" s="3410"/>
      <c r="E62" s="3411"/>
      <c r="F62" s="3409"/>
      <c r="G62" s="3410"/>
    </row>
    <row r="63" spans="1:16" ht="17.25" customHeight="1" thickTop="1" x14ac:dyDescent="0.25">
      <c r="A63" s="3412"/>
      <c r="B63" s="3999" t="s">
        <v>5170</v>
      </c>
      <c r="C63" s="4000"/>
      <c r="D63" s="4001"/>
      <c r="E63" s="3999" t="s">
        <v>5171</v>
      </c>
      <c r="F63" s="4000"/>
      <c r="G63" s="4001"/>
      <c r="I63" s="4004"/>
      <c r="J63" s="4004"/>
      <c r="K63" s="4004"/>
    </row>
    <row r="64" spans="1:16" ht="66" x14ac:dyDescent="0.25">
      <c r="A64" s="3399"/>
      <c r="B64" s="3413" t="s">
        <v>5225</v>
      </c>
      <c r="C64" s="3414" t="s">
        <v>1205</v>
      </c>
      <c r="D64" s="3415" t="s">
        <v>5174</v>
      </c>
      <c r="E64" s="3413" t="s">
        <v>5225</v>
      </c>
      <c r="F64" s="3414" t="s">
        <v>1205</v>
      </c>
      <c r="G64" s="3415" t="s">
        <v>5174</v>
      </c>
      <c r="I64" s="3416"/>
      <c r="J64" s="3416"/>
      <c r="K64" s="3416"/>
    </row>
    <row r="65" spans="1:13" x14ac:dyDescent="0.25">
      <c r="A65" s="3417" t="s">
        <v>5226</v>
      </c>
      <c r="B65" s="3418"/>
      <c r="C65" s="3405"/>
      <c r="D65" s="3406">
        <f>D66+D71+D88+D94+D137</f>
        <v>-9179.748652805687</v>
      </c>
      <c r="E65" s="3418"/>
      <c r="F65" s="3405"/>
      <c r="G65" s="3406">
        <f>G66+G71+G88+G94+G137</f>
        <v>-18998.322583851696</v>
      </c>
      <c r="I65" s="3419"/>
      <c r="J65" s="3419"/>
      <c r="K65" s="3419"/>
    </row>
    <row r="66" spans="1:13" x14ac:dyDescent="0.3">
      <c r="A66" s="3420" t="s">
        <v>5227</v>
      </c>
      <c r="B66" s="3421">
        <f>B67+B69</f>
        <v>61913.685907767896</v>
      </c>
      <c r="C66" s="3422">
        <f>C67+C69</f>
        <v>89804.21780588002</v>
      </c>
      <c r="D66" s="3423">
        <f t="shared" ref="D66:D71" si="14">B66-C66</f>
        <v>-27890.531898112124</v>
      </c>
      <c r="E66" s="3421">
        <v>40880.017854969141</v>
      </c>
      <c r="F66" s="3422">
        <v>83721.433098188951</v>
      </c>
      <c r="G66" s="3423">
        <f t="shared" ref="G66:G71" si="15">E66-F66</f>
        <v>-42841.41524321981</v>
      </c>
      <c r="H66" s="3424"/>
      <c r="I66" s="3425"/>
      <c r="J66" s="3425"/>
      <c r="K66" s="3425"/>
    </row>
    <row r="67" spans="1:13" x14ac:dyDescent="0.3">
      <c r="A67" s="3426" t="s">
        <v>5228</v>
      </c>
      <c r="B67" s="3427">
        <v>49530.948726214316</v>
      </c>
      <c r="C67" s="3428">
        <v>71843.374244704013</v>
      </c>
      <c r="D67" s="3429">
        <f t="shared" si="14"/>
        <v>-22312.425518489697</v>
      </c>
      <c r="E67" s="3430">
        <v>32704.014283975313</v>
      </c>
      <c r="F67" s="3431">
        <v>66977.146478551163</v>
      </c>
      <c r="G67" s="3429">
        <f>E67-F67</f>
        <v>-34273.132194575854</v>
      </c>
      <c r="H67" s="3424"/>
      <c r="I67" s="3425"/>
      <c r="J67" s="3425"/>
      <c r="K67" s="3425"/>
    </row>
    <row r="68" spans="1:13" s="3394" customFormat="1" x14ac:dyDescent="0.3">
      <c r="A68" s="3432" t="s">
        <v>5214</v>
      </c>
      <c r="B68" s="3433">
        <v>49113.954765219118</v>
      </c>
      <c r="C68" s="3434">
        <v>69217.739562270421</v>
      </c>
      <c r="D68" s="3435">
        <f t="shared" si="14"/>
        <v>-20103.784797051303</v>
      </c>
      <c r="E68" s="3436">
        <v>32466.59228477531</v>
      </c>
      <c r="F68" s="3437">
        <v>65455.871430593164</v>
      </c>
      <c r="G68" s="3435">
        <f t="shared" si="15"/>
        <v>-32989.279145817854</v>
      </c>
      <c r="H68" s="3392"/>
      <c r="I68" s="3438"/>
      <c r="J68" s="3438"/>
      <c r="K68" s="3438"/>
    </row>
    <row r="69" spans="1:13" x14ac:dyDescent="0.3">
      <c r="A69" s="3426" t="s">
        <v>5229</v>
      </c>
      <c r="B69" s="3427">
        <v>12382.737181553579</v>
      </c>
      <c r="C69" s="3428">
        <v>17960.843561176003</v>
      </c>
      <c r="D69" s="3429">
        <f t="shared" si="14"/>
        <v>-5578.1063796224244</v>
      </c>
      <c r="E69" s="3430">
        <v>8176.0035709938284</v>
      </c>
      <c r="F69" s="3431">
        <v>16744.286619637791</v>
      </c>
      <c r="G69" s="3429">
        <f t="shared" si="15"/>
        <v>-8568.2830486439634</v>
      </c>
      <c r="I69" s="3425"/>
      <c r="J69" s="3425"/>
      <c r="K69" s="3425"/>
    </row>
    <row r="70" spans="1:13" s="3394" customFormat="1" x14ac:dyDescent="0.3">
      <c r="A70" s="3432" t="s">
        <v>5214</v>
      </c>
      <c r="B70" s="3433">
        <v>12278.488691304779</v>
      </c>
      <c r="C70" s="3434">
        <v>17304.434890567605</v>
      </c>
      <c r="D70" s="3435">
        <f t="shared" si="14"/>
        <v>-5025.9461992628258</v>
      </c>
      <c r="E70" s="3436">
        <v>8116.6480711938275</v>
      </c>
      <c r="F70" s="3437">
        <v>16363.967857648291</v>
      </c>
      <c r="G70" s="3435">
        <f t="shared" si="15"/>
        <v>-8247.3197864544636</v>
      </c>
      <c r="H70" s="3390"/>
      <c r="I70" s="3438"/>
      <c r="J70" s="3438"/>
      <c r="K70" s="3438"/>
    </row>
    <row r="71" spans="1:13" x14ac:dyDescent="0.3">
      <c r="A71" s="3420" t="s">
        <v>5230</v>
      </c>
      <c r="B71" s="3421">
        <f>B72+B78</f>
        <v>30291.983143911719</v>
      </c>
      <c r="C71" s="3439">
        <f>C72+C78</f>
        <v>-30348.320798139313</v>
      </c>
      <c r="D71" s="3423">
        <f t="shared" si="14"/>
        <v>60640.303942051032</v>
      </c>
      <c r="E71" s="3421">
        <f>E72+E78</f>
        <v>49535.97815545967</v>
      </c>
      <c r="F71" s="3439">
        <f>F72+F78</f>
        <v>33110.410537707161</v>
      </c>
      <c r="G71" s="3423">
        <f t="shared" si="15"/>
        <v>16425.567617752509</v>
      </c>
      <c r="H71" s="3350"/>
      <c r="I71" s="3425"/>
      <c r="J71" s="3425"/>
      <c r="K71" s="3425"/>
    </row>
    <row r="72" spans="1:13" x14ac:dyDescent="0.3">
      <c r="A72" s="3426" t="s">
        <v>5228</v>
      </c>
      <c r="B72" s="3430">
        <f>B74+B76</f>
        <v>40162.298552280045</v>
      </c>
      <c r="C72" s="3431">
        <f>C74+C76</f>
        <v>-8215.23986006003</v>
      </c>
      <c r="D72" s="3429">
        <f>B72-C72</f>
        <v>48377.538412340073</v>
      </c>
      <c r="E72" s="3430">
        <f>E74+E76</f>
        <v>24057.396462564688</v>
      </c>
      <c r="F72" s="3431">
        <f>F74+F76</f>
        <v>13790.222144886009</v>
      </c>
      <c r="G72" s="3429">
        <f>E72-F72</f>
        <v>10267.174317678679</v>
      </c>
      <c r="H72" s="3350"/>
      <c r="I72" s="3425"/>
      <c r="J72" s="3425"/>
      <c r="K72" s="3425"/>
    </row>
    <row r="73" spans="1:13" x14ac:dyDescent="0.3">
      <c r="A73" s="3440" t="s">
        <v>3364</v>
      </c>
      <c r="B73" s="3430"/>
      <c r="C73" s="3431"/>
      <c r="D73" s="3429"/>
      <c r="E73" s="3430"/>
      <c r="F73" s="3431"/>
      <c r="G73" s="3429"/>
      <c r="I73" s="3425"/>
      <c r="J73" s="3425"/>
      <c r="K73" s="3425"/>
    </row>
    <row r="74" spans="1:13" x14ac:dyDescent="0.3">
      <c r="A74" s="3440" t="s">
        <v>5231</v>
      </c>
      <c r="B74" s="3430">
        <v>-369.38114090456827</v>
      </c>
      <c r="C74" s="3431"/>
      <c r="D74" s="3429">
        <f t="shared" ref="D74" si="16">B74-C74</f>
        <v>-369.38114090456827</v>
      </c>
      <c r="E74" s="3430">
        <v>260.57423069011031</v>
      </c>
      <c r="F74" s="3431">
        <v>0</v>
      </c>
      <c r="G74" s="3429">
        <f t="shared" ref="G74" si="17">E74-F74</f>
        <v>260.57423069011031</v>
      </c>
      <c r="I74" s="3425"/>
      <c r="J74" s="3425"/>
      <c r="K74" s="3425"/>
    </row>
    <row r="75" spans="1:13" x14ac:dyDescent="0.3">
      <c r="A75" s="3440" t="s">
        <v>5232</v>
      </c>
      <c r="B75" s="3430"/>
      <c r="C75" s="3431"/>
      <c r="D75" s="3429"/>
      <c r="E75" s="3430"/>
      <c r="F75" s="3431"/>
      <c r="G75" s="3429"/>
      <c r="I75" s="3425"/>
      <c r="J75" s="3425"/>
      <c r="K75" s="3425"/>
    </row>
    <row r="76" spans="1:13" x14ac:dyDescent="0.3">
      <c r="A76" s="3440" t="s">
        <v>5233</v>
      </c>
      <c r="B76" s="3430">
        <v>40531.679693184611</v>
      </c>
      <c r="C76" s="3431">
        <v>-8215.23986006003</v>
      </c>
      <c r="D76" s="3429">
        <f t="shared" ref="D76:D88" si="18">B76-C76</f>
        <v>48746.919553244639</v>
      </c>
      <c r="E76" s="3430">
        <v>23796.822231874576</v>
      </c>
      <c r="F76" s="3431">
        <v>13790.222144886009</v>
      </c>
      <c r="G76" s="3429">
        <f t="shared" ref="G76:G88" si="19">E76-F76</f>
        <v>10006.600086988567</v>
      </c>
      <c r="I76" s="3425"/>
      <c r="J76" s="3425"/>
      <c r="K76" s="3425"/>
    </row>
    <row r="77" spans="1:13" s="3394" customFormat="1" x14ac:dyDescent="0.3">
      <c r="A77" s="3441" t="s">
        <v>5214</v>
      </c>
      <c r="B77" s="3436">
        <v>44106.997077247535</v>
      </c>
      <c r="C77" s="3437">
        <v>-7398.8821621200304</v>
      </c>
      <c r="D77" s="3435">
        <f t="shared" si="18"/>
        <v>51505.879239367569</v>
      </c>
      <c r="E77" s="3436">
        <v>23103.764916618718</v>
      </c>
      <c r="F77" s="3437">
        <v>14199.827022426009</v>
      </c>
      <c r="G77" s="3435">
        <f t="shared" si="19"/>
        <v>8903.9378941927098</v>
      </c>
      <c r="H77" s="3390"/>
      <c r="I77" s="3438"/>
      <c r="J77" s="3438"/>
      <c r="K77" s="3438"/>
      <c r="L77" s="3392"/>
      <c r="M77" s="3392"/>
    </row>
    <row r="78" spans="1:13" x14ac:dyDescent="0.3">
      <c r="A78" s="3426" t="s">
        <v>5234</v>
      </c>
      <c r="B78" s="3430">
        <f>B79+B82+B83+B86</f>
        <v>-9870.3154083683239</v>
      </c>
      <c r="C78" s="3431">
        <f>C79+C82+C83+C86</f>
        <v>-22133.080938079282</v>
      </c>
      <c r="D78" s="3429">
        <f t="shared" si="18"/>
        <v>12262.765529710958</v>
      </c>
      <c r="E78" s="3430">
        <f>E79+E82+E83+E86</f>
        <v>25478.581692894986</v>
      </c>
      <c r="F78" s="3431">
        <f>F79+F82+F83+F86</f>
        <v>19320.18839282115</v>
      </c>
      <c r="G78" s="3429">
        <f t="shared" si="19"/>
        <v>6158.3933000738361</v>
      </c>
      <c r="I78" s="3425"/>
      <c r="J78" s="3425"/>
      <c r="K78" s="3425"/>
    </row>
    <row r="79" spans="1:13" x14ac:dyDescent="0.3">
      <c r="A79" s="3440" t="s">
        <v>5235</v>
      </c>
      <c r="B79" s="3430"/>
      <c r="C79" s="3431">
        <v>-3.3934739999999977</v>
      </c>
      <c r="D79" s="3429">
        <f t="shared" si="18"/>
        <v>3.3934739999999977</v>
      </c>
      <c r="E79" s="3430"/>
      <c r="F79" s="3431">
        <f>F80+F81</f>
        <v>-1.8360169999999132</v>
      </c>
      <c r="G79" s="3429">
        <f t="shared" si="19"/>
        <v>1.8360169999999132</v>
      </c>
      <c r="I79" s="3425"/>
      <c r="J79" s="3425"/>
      <c r="K79" s="3425"/>
    </row>
    <row r="80" spans="1:13" x14ac:dyDescent="0.3">
      <c r="A80" s="3442" t="s">
        <v>5236</v>
      </c>
      <c r="B80" s="3430"/>
      <c r="C80" s="3437">
        <v>-10.054063999999997</v>
      </c>
      <c r="D80" s="3429">
        <f t="shared" si="18"/>
        <v>10.054063999999997</v>
      </c>
      <c r="E80" s="3430"/>
      <c r="F80" s="3431">
        <v>-0.38970000000000482</v>
      </c>
      <c r="G80" s="3429">
        <f t="shared" si="19"/>
        <v>0.38970000000000482</v>
      </c>
      <c r="I80" s="3425"/>
      <c r="J80" s="3425"/>
      <c r="K80" s="3425"/>
    </row>
    <row r="81" spans="1:13" x14ac:dyDescent="0.3">
      <c r="A81" s="3442" t="s">
        <v>5237</v>
      </c>
      <c r="B81" s="3430"/>
      <c r="C81" s="3437">
        <v>7</v>
      </c>
      <c r="D81" s="3429">
        <f t="shared" si="18"/>
        <v>-7</v>
      </c>
      <c r="E81" s="3430"/>
      <c r="F81" s="3431">
        <v>-1.4463169999999084</v>
      </c>
      <c r="G81" s="3429">
        <f t="shared" si="19"/>
        <v>1.4463169999999084</v>
      </c>
      <c r="I81" s="3425"/>
      <c r="J81" s="3425"/>
      <c r="K81" s="3425"/>
    </row>
    <row r="82" spans="1:13" ht="20.25" customHeight="1" x14ac:dyDescent="0.3">
      <c r="A82" s="3440" t="s">
        <v>5231</v>
      </c>
      <c r="B82" s="3430">
        <v>2102.5658574875201</v>
      </c>
      <c r="C82" s="3431">
        <v>-1728.3733559791906</v>
      </c>
      <c r="D82" s="3429">
        <f t="shared" si="18"/>
        <v>3830.9392134667105</v>
      </c>
      <c r="E82" s="3430">
        <v>12772.501805572078</v>
      </c>
      <c r="F82" s="3431">
        <v>-104.06947932082691</v>
      </c>
      <c r="G82" s="3429">
        <f t="shared" si="19"/>
        <v>12876.571284892905</v>
      </c>
      <c r="I82" s="3443"/>
      <c r="J82" s="3425"/>
      <c r="K82" s="3425"/>
    </row>
    <row r="83" spans="1:13" x14ac:dyDescent="0.3">
      <c r="A83" s="3440" t="s">
        <v>5219</v>
      </c>
      <c r="B83" s="3430"/>
      <c r="C83" s="3431">
        <f>C84+C85</f>
        <v>20.180140500000007</v>
      </c>
      <c r="D83" s="3429">
        <f t="shared" si="18"/>
        <v>-20.180140500000007</v>
      </c>
      <c r="E83" s="3430"/>
      <c r="F83" s="3431">
        <f>F84+F85</f>
        <v>39.374341999999785</v>
      </c>
      <c r="G83" s="3429">
        <f t="shared" si="19"/>
        <v>-39.374341999999785</v>
      </c>
      <c r="I83" s="3425"/>
      <c r="J83" s="3425"/>
      <c r="K83" s="3425"/>
    </row>
    <row r="84" spans="1:13" x14ac:dyDescent="0.3">
      <c r="A84" s="3442" t="s">
        <v>5236</v>
      </c>
      <c r="B84" s="3430"/>
      <c r="C84" s="3437">
        <v>-15.065877</v>
      </c>
      <c r="D84" s="3429">
        <f t="shared" si="18"/>
        <v>15.065877</v>
      </c>
      <c r="E84" s="3430"/>
      <c r="F84" s="3431">
        <v>0</v>
      </c>
      <c r="G84" s="3429">
        <f t="shared" si="19"/>
        <v>0</v>
      </c>
      <c r="I84" s="3444"/>
      <c r="J84" s="3444"/>
      <c r="K84" s="3445"/>
    </row>
    <row r="85" spans="1:13" x14ac:dyDescent="0.3">
      <c r="A85" s="3442" t="s">
        <v>5237</v>
      </c>
      <c r="B85" s="3430"/>
      <c r="C85" s="3437">
        <v>35.246017500000008</v>
      </c>
      <c r="D85" s="3429">
        <f t="shared" si="18"/>
        <v>-35.246017500000008</v>
      </c>
      <c r="E85" s="3430"/>
      <c r="F85" s="3431">
        <v>39.374341999999785</v>
      </c>
      <c r="G85" s="3429">
        <f t="shared" si="19"/>
        <v>-39.374341999999785</v>
      </c>
      <c r="I85" s="3444"/>
      <c r="J85" s="3444"/>
      <c r="K85" s="3445"/>
    </row>
    <row r="86" spans="1:13" x14ac:dyDescent="0.3">
      <c r="A86" s="3440" t="s">
        <v>5233</v>
      </c>
      <c r="B86" s="3430">
        <v>-11972.881265855844</v>
      </c>
      <c r="C86" s="3431">
        <v>-20421.494248600091</v>
      </c>
      <c r="D86" s="3429">
        <f t="shared" si="18"/>
        <v>8448.6129827442473</v>
      </c>
      <c r="E86" s="3430">
        <v>12706.079887322907</v>
      </c>
      <c r="F86" s="3431">
        <v>19386.719547141976</v>
      </c>
      <c r="G86" s="3429">
        <f t="shared" si="19"/>
        <v>-6680.6396598190695</v>
      </c>
      <c r="I86" s="3444"/>
      <c r="J86" s="3444"/>
      <c r="K86" s="3445"/>
    </row>
    <row r="87" spans="1:13" s="3394" customFormat="1" x14ac:dyDescent="0.3">
      <c r="A87" s="3441" t="s">
        <v>5214</v>
      </c>
      <c r="B87" s="3436">
        <v>-12265.248780285843</v>
      </c>
      <c r="C87" s="3437">
        <v>-20396.646486360092</v>
      </c>
      <c r="D87" s="3435">
        <f t="shared" si="18"/>
        <v>8131.3977060742491</v>
      </c>
      <c r="E87" s="3436">
        <v>12467.921638872907</v>
      </c>
      <c r="F87" s="3437">
        <v>19409.518932721974</v>
      </c>
      <c r="G87" s="3435">
        <f t="shared" si="19"/>
        <v>-6941.5972938490668</v>
      </c>
      <c r="H87" s="3390"/>
      <c r="I87" s="3446"/>
      <c r="J87" s="3446"/>
      <c r="K87" s="3447"/>
      <c r="L87" s="3392"/>
      <c r="M87" s="3392"/>
    </row>
    <row r="88" spans="1:13" x14ac:dyDescent="0.3">
      <c r="A88" s="3420" t="s">
        <v>5238</v>
      </c>
      <c r="B88" s="3421">
        <f>B89+B90+B91+B92</f>
        <v>283.63475709690192</v>
      </c>
      <c r="C88" s="3439">
        <f>C89+C90+C91+C92</f>
        <v>-820.5331427600122</v>
      </c>
      <c r="D88" s="3423">
        <f t="shared" si="18"/>
        <v>1104.1678998569141</v>
      </c>
      <c r="E88" s="3421">
        <f>E89+E90+E91+E92</f>
        <v>-359.3776939628533</v>
      </c>
      <c r="F88" s="3439">
        <f>F89+F90+F91+F92</f>
        <v>-1909.7271944266258</v>
      </c>
      <c r="G88" s="3423">
        <f t="shared" si="19"/>
        <v>1550.3495004637725</v>
      </c>
      <c r="I88" s="3444"/>
      <c r="J88" s="3444"/>
      <c r="K88" s="3445"/>
    </row>
    <row r="89" spans="1:13" ht="16.5" hidden="1" customHeight="1" x14ac:dyDescent="0.3">
      <c r="A89" s="3426" t="s">
        <v>3364</v>
      </c>
      <c r="B89" s="3430"/>
      <c r="C89" s="3431"/>
      <c r="D89" s="3429"/>
      <c r="E89" s="3430"/>
      <c r="F89" s="3431"/>
      <c r="G89" s="3429"/>
      <c r="I89" s="3448"/>
      <c r="J89" s="3448"/>
    </row>
    <row r="90" spans="1:13" x14ac:dyDescent="0.3">
      <c r="A90" s="3426" t="s">
        <v>5239</v>
      </c>
      <c r="B90" s="3430">
        <v>1277.53017755166</v>
      </c>
      <c r="C90" s="3431">
        <v>499.82779941217541</v>
      </c>
      <c r="D90" s="3429">
        <f t="shared" ref="D90" si="20">B90-C90</f>
        <v>777.70237813948461</v>
      </c>
      <c r="E90" s="3430">
        <v>1506.017572310202</v>
      </c>
      <c r="F90" s="3431">
        <v>379.59022716505035</v>
      </c>
      <c r="G90" s="3429">
        <f t="shared" ref="G90" si="21">E90-F90</f>
        <v>1126.4273451451518</v>
      </c>
      <c r="I90" s="3448"/>
      <c r="J90" s="3448"/>
    </row>
    <row r="91" spans="1:13" ht="16.5" hidden="1" customHeight="1" x14ac:dyDescent="0.3">
      <c r="A91" s="3426" t="s">
        <v>5232</v>
      </c>
      <c r="B91" s="3430"/>
      <c r="C91" s="3431"/>
      <c r="D91" s="3429"/>
      <c r="E91" s="3430"/>
      <c r="F91" s="3431"/>
      <c r="G91" s="3429"/>
    </row>
    <row r="92" spans="1:13" x14ac:dyDescent="0.3">
      <c r="A92" s="3426" t="s">
        <v>5240</v>
      </c>
      <c r="B92" s="3430">
        <v>-993.8954204547581</v>
      </c>
      <c r="C92" s="3431">
        <v>-1320.3609421721876</v>
      </c>
      <c r="D92" s="3429">
        <f t="shared" ref="D92:D94" si="22">B92-C92</f>
        <v>326.46552171742951</v>
      </c>
      <c r="E92" s="3430">
        <v>-1865.3952662730553</v>
      </c>
      <c r="F92" s="3431">
        <v>-2289.3174215916761</v>
      </c>
      <c r="G92" s="3429">
        <f t="shared" ref="G92:G94" si="23">E92-F92</f>
        <v>423.92215531862075</v>
      </c>
    </row>
    <row r="93" spans="1:13" s="3394" customFormat="1" x14ac:dyDescent="0.3">
      <c r="A93" s="3432" t="s">
        <v>5214</v>
      </c>
      <c r="B93" s="3436">
        <v>-993.8954204547581</v>
      </c>
      <c r="C93" s="3437">
        <v>-1320.3609421721876</v>
      </c>
      <c r="D93" s="3435">
        <f t="shared" si="22"/>
        <v>326.46552171742951</v>
      </c>
      <c r="E93" s="3436">
        <v>-1865.3952662730553</v>
      </c>
      <c r="F93" s="3437">
        <v>-2289.3174215916761</v>
      </c>
      <c r="G93" s="3435">
        <f t="shared" si="23"/>
        <v>423.92215531862075</v>
      </c>
      <c r="H93" s="3390"/>
      <c r="I93" s="4005"/>
      <c r="J93" s="4005"/>
      <c r="K93" s="4005"/>
      <c r="L93" s="3392"/>
      <c r="M93" s="3392"/>
    </row>
    <row r="94" spans="1:13" x14ac:dyDescent="0.3">
      <c r="A94" s="3420" t="s">
        <v>5241</v>
      </c>
      <c r="B94" s="3421">
        <f>B95+B96+B107+B122+B126</f>
        <v>-31313.550681890047</v>
      </c>
      <c r="C94" s="3439">
        <f>C95+C96+C107+C122+C126</f>
        <v>5861.2871535531758</v>
      </c>
      <c r="D94" s="3423">
        <f t="shared" si="22"/>
        <v>-37174.837835443221</v>
      </c>
      <c r="E94" s="3421">
        <f>E95+E96+E107+E122+E126</f>
        <v>68377.157171675877</v>
      </c>
      <c r="F94" s="3439">
        <f>F95+F96+F107+F122+F126</f>
        <v>69549.675509590132</v>
      </c>
      <c r="G94" s="3423">
        <f t="shared" si="23"/>
        <v>-1172.5183379142545</v>
      </c>
      <c r="I94" s="3350"/>
      <c r="J94" s="3350"/>
    </row>
    <row r="95" spans="1:13" ht="20.25" customHeight="1" x14ac:dyDescent="0.3">
      <c r="A95" s="3426" t="s">
        <v>5242</v>
      </c>
      <c r="B95" s="3430"/>
      <c r="C95" s="3431"/>
      <c r="D95" s="3429"/>
      <c r="E95" s="3430"/>
      <c r="F95" s="3431"/>
      <c r="G95" s="3429"/>
      <c r="I95" s="3449"/>
      <c r="J95" s="3449"/>
    </row>
    <row r="96" spans="1:13" x14ac:dyDescent="0.3">
      <c r="A96" s="3426" t="s">
        <v>5243</v>
      </c>
      <c r="B96" s="3430">
        <f>B97+B100+B101+B102</f>
        <v>-29758.813823663451</v>
      </c>
      <c r="C96" s="3431">
        <f>C97+C100+C101+C102</f>
        <v>8191.430934891483</v>
      </c>
      <c r="D96" s="3429">
        <f t="shared" ref="D96:D98" si="24">B96-C96</f>
        <v>-37950.244758554938</v>
      </c>
      <c r="E96" s="3430">
        <f>E97+E100+E101+E102</f>
        <v>75755.107749994291</v>
      </c>
      <c r="F96" s="3431">
        <f>F97+F100+F101+F102</f>
        <v>18065.640608398011</v>
      </c>
      <c r="G96" s="3429">
        <f t="shared" ref="G96:G100" si="25">E96-F96</f>
        <v>57689.46714159628</v>
      </c>
    </row>
    <row r="97" spans="1:13" x14ac:dyDescent="0.3">
      <c r="A97" s="3440" t="s">
        <v>5235</v>
      </c>
      <c r="B97" s="3430"/>
      <c r="C97" s="3431">
        <v>30.888094639139137</v>
      </c>
      <c r="D97" s="3429">
        <f t="shared" si="24"/>
        <v>-30.888094639139137</v>
      </c>
      <c r="E97" s="3430"/>
      <c r="F97" s="3431">
        <f>F98+F99</f>
        <v>2017.870818700233</v>
      </c>
      <c r="G97" s="3429">
        <f t="shared" si="25"/>
        <v>-2017.870818700233</v>
      </c>
    </row>
    <row r="98" spans="1:13" x14ac:dyDescent="0.3">
      <c r="A98" s="3442" t="s">
        <v>5236</v>
      </c>
      <c r="B98" s="3430"/>
      <c r="C98" s="3431">
        <v>30.888094639139137</v>
      </c>
      <c r="D98" s="3429">
        <f t="shared" si="24"/>
        <v>-30.888094639139137</v>
      </c>
      <c r="E98" s="3430"/>
      <c r="F98" s="3431"/>
      <c r="G98" s="3429">
        <f t="shared" si="25"/>
        <v>0</v>
      </c>
    </row>
    <row r="99" spans="1:13" ht="16.5" customHeight="1" x14ac:dyDescent="0.3">
      <c r="A99" s="3442" t="s">
        <v>5237</v>
      </c>
      <c r="B99" s="3430"/>
      <c r="C99" s="3431"/>
      <c r="D99" s="3429"/>
      <c r="E99" s="3430"/>
      <c r="F99" s="3431">
        <v>2017.870818700233</v>
      </c>
      <c r="G99" s="3429">
        <f t="shared" si="25"/>
        <v>-2017.870818700233</v>
      </c>
    </row>
    <row r="100" spans="1:13" x14ac:dyDescent="0.3">
      <c r="A100" s="3440" t="s">
        <v>5231</v>
      </c>
      <c r="B100" s="3430">
        <v>-21762.342931227424</v>
      </c>
      <c r="C100" s="3431">
        <v>8160.5428402523439</v>
      </c>
      <c r="D100" s="3429">
        <f t="shared" ref="D100" si="26">B100-C100</f>
        <v>-29922.885771479767</v>
      </c>
      <c r="E100" s="3430">
        <v>90763.305436241135</v>
      </c>
      <c r="F100" s="3431">
        <v>16047.769789697777</v>
      </c>
      <c r="G100" s="3429">
        <f t="shared" si="25"/>
        <v>74715.535646543358</v>
      </c>
      <c r="I100" s="3350"/>
    </row>
    <row r="101" spans="1:13" x14ac:dyDescent="0.3">
      <c r="A101" s="3440" t="s">
        <v>5219</v>
      </c>
      <c r="B101" s="3430"/>
      <c r="C101" s="3431"/>
      <c r="D101" s="3429"/>
      <c r="E101" s="3430"/>
      <c r="F101" s="3431"/>
      <c r="G101" s="3429"/>
    </row>
    <row r="102" spans="1:13" x14ac:dyDescent="0.3">
      <c r="A102" s="3440" t="s">
        <v>5233</v>
      </c>
      <c r="B102" s="3430">
        <v>-7996.4708924360284</v>
      </c>
      <c r="C102" s="3431"/>
      <c r="D102" s="3429">
        <f t="shared" ref="D102:D105" si="27">B102-C102</f>
        <v>-7996.4708924360284</v>
      </c>
      <c r="E102" s="3430">
        <f>E103</f>
        <v>-15008.197686246851</v>
      </c>
      <c r="F102" s="3431"/>
      <c r="G102" s="3429">
        <f t="shared" ref="G102:G105" si="28">E102-F102</f>
        <v>-15008.197686246851</v>
      </c>
    </row>
    <row r="103" spans="1:13" x14ac:dyDescent="0.3">
      <c r="A103" s="3442" t="s">
        <v>3365</v>
      </c>
      <c r="B103" s="3430">
        <v>-7996.4708924360284</v>
      </c>
      <c r="C103" s="3431"/>
      <c r="D103" s="3429">
        <f t="shared" si="27"/>
        <v>-7996.4708924360284</v>
      </c>
      <c r="E103" s="3430">
        <f>E104</f>
        <v>-15008.197686246851</v>
      </c>
      <c r="F103" s="3431"/>
      <c r="G103" s="3429">
        <f t="shared" si="28"/>
        <v>-15008.197686246851</v>
      </c>
    </row>
    <row r="104" spans="1:13" x14ac:dyDescent="0.3">
      <c r="A104" s="3450" t="s">
        <v>5236</v>
      </c>
      <c r="B104" s="3430">
        <v>-7996.4708924360284</v>
      </c>
      <c r="C104" s="3431"/>
      <c r="D104" s="3429">
        <f t="shared" si="27"/>
        <v>-7996.4708924360284</v>
      </c>
      <c r="E104" s="3430">
        <f>E105</f>
        <v>-15008.197686246851</v>
      </c>
      <c r="F104" s="3431"/>
      <c r="G104" s="3429">
        <f t="shared" si="28"/>
        <v>-15008.197686246851</v>
      </c>
    </row>
    <row r="105" spans="1:13" s="3394" customFormat="1" x14ac:dyDescent="0.3">
      <c r="A105" s="3451" t="s">
        <v>5214</v>
      </c>
      <c r="B105" s="3436">
        <v>-7996.4708924360284</v>
      </c>
      <c r="C105" s="3437"/>
      <c r="D105" s="3435">
        <f t="shared" si="27"/>
        <v>-7996.4708924360284</v>
      </c>
      <c r="E105" s="3436">
        <v>-15008.197686246851</v>
      </c>
      <c r="F105" s="3437"/>
      <c r="G105" s="3435">
        <f t="shared" si="28"/>
        <v>-15008.197686246851</v>
      </c>
      <c r="H105" s="3390"/>
      <c r="I105" s="3391"/>
      <c r="J105" s="3391"/>
      <c r="K105" s="3392"/>
      <c r="L105" s="3392"/>
      <c r="M105" s="3392"/>
    </row>
    <row r="106" spans="1:13" ht="16.5" hidden="1" customHeight="1" x14ac:dyDescent="0.3">
      <c r="A106" s="3452" t="s">
        <v>5237</v>
      </c>
      <c r="B106" s="3430"/>
      <c r="C106" s="3431"/>
      <c r="D106" s="3429"/>
      <c r="E106" s="3430"/>
      <c r="F106" s="3431"/>
      <c r="G106" s="3429"/>
    </row>
    <row r="107" spans="1:13" x14ac:dyDescent="0.3">
      <c r="A107" s="3426" t="s">
        <v>5244</v>
      </c>
      <c r="B107" s="3430">
        <f>B108+B111+B115</f>
        <v>-3380.7906737502663</v>
      </c>
      <c r="C107" s="3431">
        <f>C108+C111+C115</f>
        <v>-21243.770424402828</v>
      </c>
      <c r="D107" s="3429">
        <f t="shared" ref="D107:D108" si="29">B107-C107</f>
        <v>17862.979750652561</v>
      </c>
      <c r="E107" s="3430">
        <f>E108+E111+E115</f>
        <v>-12097.239523348147</v>
      </c>
      <c r="F107" s="3431">
        <f>F108+F111+F115</f>
        <v>14354.541916614697</v>
      </c>
      <c r="G107" s="3429">
        <f t="shared" ref="G107:G108" si="30">E107-F107</f>
        <v>-26451.781439962844</v>
      </c>
    </row>
    <row r="108" spans="1:13" x14ac:dyDescent="0.3">
      <c r="A108" s="3440" t="s">
        <v>5231</v>
      </c>
      <c r="B108" s="3430">
        <f>B109+B110</f>
        <v>3390.4526579648227</v>
      </c>
      <c r="C108" s="3431">
        <f>C109+C110</f>
        <v>-13169.570590144043</v>
      </c>
      <c r="D108" s="3429">
        <f t="shared" si="29"/>
        <v>16560.023248108868</v>
      </c>
      <c r="E108" s="3430">
        <f>E110</f>
        <v>611.38655321126316</v>
      </c>
      <c r="F108" s="3431">
        <f>F110</f>
        <v>8663.9287839458593</v>
      </c>
      <c r="G108" s="3429">
        <f t="shared" si="30"/>
        <v>-8052.5422307345962</v>
      </c>
    </row>
    <row r="109" spans="1:13" ht="16.5" hidden="1" customHeight="1" x14ac:dyDescent="0.3">
      <c r="A109" s="3442" t="s">
        <v>5236</v>
      </c>
      <c r="B109" s="3430"/>
      <c r="C109" s="3431"/>
      <c r="D109" s="3429"/>
      <c r="E109" s="3430"/>
      <c r="F109" s="3431"/>
      <c r="G109" s="3429"/>
    </row>
    <row r="110" spans="1:13" x14ac:dyDescent="0.3">
      <c r="A110" s="3442" t="s">
        <v>5237</v>
      </c>
      <c r="B110" s="3430">
        <v>3390.4526579648227</v>
      </c>
      <c r="C110" s="3431">
        <v>-13169.570590144043</v>
      </c>
      <c r="D110" s="3429">
        <f t="shared" ref="D110" si="31">B110-C110</f>
        <v>16560.023248108868</v>
      </c>
      <c r="E110" s="3430">
        <v>611.38655321126316</v>
      </c>
      <c r="F110" s="3431">
        <v>8663.9287839458593</v>
      </c>
      <c r="G110" s="3429">
        <f t="shared" ref="G110" si="32">E110-F110</f>
        <v>-8052.5422307345962</v>
      </c>
    </row>
    <row r="111" spans="1:13" x14ac:dyDescent="0.3">
      <c r="A111" s="3440" t="s">
        <v>5219</v>
      </c>
      <c r="B111" s="3430"/>
      <c r="C111" s="3431">
        <f>C113+C114</f>
        <v>-7801</v>
      </c>
      <c r="D111" s="3429">
        <f>B111-C111</f>
        <v>7801</v>
      </c>
      <c r="E111" s="3430"/>
      <c r="F111" s="3431">
        <f>F113+F114</f>
        <v>9022</v>
      </c>
      <c r="G111" s="3429">
        <f>E111-F111</f>
        <v>-9022</v>
      </c>
    </row>
    <row r="112" spans="1:13" ht="16.5" hidden="1" customHeight="1" x14ac:dyDescent="0.3">
      <c r="A112" s="3442" t="s">
        <v>5245</v>
      </c>
      <c r="B112" s="3430"/>
      <c r="C112" s="3431"/>
      <c r="D112" s="3429"/>
      <c r="E112" s="3430"/>
      <c r="F112" s="3431"/>
      <c r="G112" s="3429"/>
    </row>
    <row r="113" spans="1:13" ht="16.5" hidden="1" customHeight="1" x14ac:dyDescent="0.3">
      <c r="A113" s="3442" t="s">
        <v>5246</v>
      </c>
      <c r="B113" s="3430"/>
      <c r="C113" s="3431"/>
      <c r="D113" s="3429"/>
      <c r="E113" s="3430"/>
      <c r="F113" s="3431"/>
      <c r="G113" s="3429"/>
    </row>
    <row r="114" spans="1:13" x14ac:dyDescent="0.3">
      <c r="A114" s="3442" t="s">
        <v>5247</v>
      </c>
      <c r="B114" s="3430"/>
      <c r="C114" s="3431">
        <v>-7801</v>
      </c>
      <c r="D114" s="3429">
        <f>B114-C114</f>
        <v>7801</v>
      </c>
      <c r="E114" s="3430"/>
      <c r="F114" s="3431">
        <v>9022</v>
      </c>
      <c r="G114" s="3429">
        <f>E114-F114</f>
        <v>-9022</v>
      </c>
    </row>
    <row r="115" spans="1:13" x14ac:dyDescent="0.3">
      <c r="A115" s="3453" t="s">
        <v>5233</v>
      </c>
      <c r="B115" s="3430">
        <f t="shared" ref="B115:G115" si="33">B116+B117</f>
        <v>-6771.243331715089</v>
      </c>
      <c r="C115" s="3431">
        <f t="shared" si="33"/>
        <v>-273.19983425878127</v>
      </c>
      <c r="D115" s="3429">
        <f t="shared" si="33"/>
        <v>-6498.0434974563077</v>
      </c>
      <c r="E115" s="3430">
        <f t="shared" si="33"/>
        <v>-12708.626076559411</v>
      </c>
      <c r="F115" s="3431">
        <f t="shared" si="33"/>
        <v>-3331.3868673311636</v>
      </c>
      <c r="G115" s="3429">
        <f t="shared" si="33"/>
        <v>-9377.2392092282462</v>
      </c>
    </row>
    <row r="116" spans="1:13" ht="16.5" hidden="1" customHeight="1" x14ac:dyDescent="0.3">
      <c r="A116" s="3454" t="s">
        <v>5236</v>
      </c>
      <c r="B116" s="3430"/>
      <c r="C116" s="3431"/>
      <c r="D116" s="3429"/>
      <c r="E116" s="3430"/>
      <c r="F116" s="3431"/>
      <c r="G116" s="3429"/>
    </row>
    <row r="117" spans="1:13" x14ac:dyDescent="0.3">
      <c r="A117" s="3454" t="s">
        <v>5237</v>
      </c>
      <c r="B117" s="3430">
        <v>-6771.243331715089</v>
      </c>
      <c r="C117" s="3431">
        <v>-273.19983425878127</v>
      </c>
      <c r="D117" s="3429">
        <f t="shared" ref="D117:D118" si="34">B117-C117</f>
        <v>-6498.0434974563077</v>
      </c>
      <c r="E117" s="3430">
        <v>-12708.626076559411</v>
      </c>
      <c r="F117" s="3431">
        <v>-3331.3868673311636</v>
      </c>
      <c r="G117" s="3429">
        <f t="shared" ref="G117:G118" si="35">E117-F117</f>
        <v>-9377.2392092282462</v>
      </c>
    </row>
    <row r="118" spans="1:13" x14ac:dyDescent="0.3">
      <c r="A118" s="3453" t="s">
        <v>3365</v>
      </c>
      <c r="B118" s="3430">
        <f>B119+B120</f>
        <v>-6771.243331715089</v>
      </c>
      <c r="C118" s="3431">
        <f>C119+C120</f>
        <v>-2095.1900422766671</v>
      </c>
      <c r="D118" s="3429">
        <f t="shared" si="34"/>
        <v>-4676.0532894384214</v>
      </c>
      <c r="E118" s="3430">
        <f>E119+E120</f>
        <v>-12708.626076559411</v>
      </c>
      <c r="F118" s="3431">
        <f>F119+F120</f>
        <v>-3632.7604915655388</v>
      </c>
      <c r="G118" s="3429">
        <f t="shared" si="35"/>
        <v>-9075.8655849938714</v>
      </c>
    </row>
    <row r="119" spans="1:13" ht="16.5" hidden="1" customHeight="1" x14ac:dyDescent="0.3">
      <c r="A119" s="3454" t="s">
        <v>5236</v>
      </c>
      <c r="B119" s="3430"/>
      <c r="C119" s="3431"/>
      <c r="D119" s="3429"/>
      <c r="E119" s="3430"/>
      <c r="F119" s="3431"/>
      <c r="G119" s="3429"/>
    </row>
    <row r="120" spans="1:13" x14ac:dyDescent="0.3">
      <c r="A120" s="3454" t="s">
        <v>5237</v>
      </c>
      <c r="B120" s="3430">
        <v>-6771.243331715089</v>
      </c>
      <c r="C120" s="3431">
        <v>-2095.1900422766671</v>
      </c>
      <c r="D120" s="3429">
        <f t="shared" ref="D120:D124" si="36">B120-C120</f>
        <v>-4676.0532894384214</v>
      </c>
      <c r="E120" s="3430">
        <f>E121</f>
        <v>-12708.626076559411</v>
      </c>
      <c r="F120" s="3431">
        <f>F121</f>
        <v>-3632.7604915655388</v>
      </c>
      <c r="G120" s="3429">
        <f t="shared" ref="G120:G124" si="37">E120-F120</f>
        <v>-9075.8655849938714</v>
      </c>
    </row>
    <row r="121" spans="1:13" s="3394" customFormat="1" x14ac:dyDescent="0.3">
      <c r="A121" s="3455" t="s">
        <v>5214</v>
      </c>
      <c r="B121" s="3436">
        <v>-6771.243331715089</v>
      </c>
      <c r="C121" s="3437">
        <v>-2095.1900422766671</v>
      </c>
      <c r="D121" s="3435">
        <f t="shared" si="36"/>
        <v>-4676.0532894384214</v>
      </c>
      <c r="E121" s="3436">
        <v>-12708.626076559411</v>
      </c>
      <c r="F121" s="3437">
        <v>-3632.7604915655388</v>
      </c>
      <c r="G121" s="3435">
        <f t="shared" si="37"/>
        <v>-9075.8655849938714</v>
      </c>
      <c r="H121" s="3390"/>
      <c r="I121" s="3391"/>
      <c r="J121" s="3391"/>
      <c r="K121" s="3392"/>
      <c r="L121" s="3392"/>
      <c r="M121" s="3392"/>
    </row>
    <row r="122" spans="1:13" x14ac:dyDescent="0.3">
      <c r="A122" s="3426" t="s">
        <v>5248</v>
      </c>
      <c r="B122" s="3430">
        <f>B123</f>
        <v>275.04302951049812</v>
      </c>
      <c r="C122" s="3431">
        <f>C123</f>
        <v>1662.7245525304377</v>
      </c>
      <c r="D122" s="3429">
        <f t="shared" si="36"/>
        <v>-1387.6815230199395</v>
      </c>
      <c r="E122" s="3430">
        <f>E123</f>
        <v>-3</v>
      </c>
      <c r="F122" s="3431">
        <f>F123</f>
        <v>1623.10650589387</v>
      </c>
      <c r="G122" s="3429">
        <f t="shared" si="37"/>
        <v>-1626.10650589387</v>
      </c>
    </row>
    <row r="123" spans="1:13" x14ac:dyDescent="0.3">
      <c r="A123" s="3440" t="s">
        <v>5233</v>
      </c>
      <c r="B123" s="3430">
        <f>B124+B125</f>
        <v>275.04302951049812</v>
      </c>
      <c r="C123" s="3431">
        <f>C124+C125</f>
        <v>1662.7245525304377</v>
      </c>
      <c r="D123" s="3429">
        <f t="shared" si="36"/>
        <v>-1387.6815230199395</v>
      </c>
      <c r="E123" s="3430">
        <v>-3</v>
      </c>
      <c r="F123" s="3431">
        <v>1623.10650589387</v>
      </c>
      <c r="G123" s="3429">
        <f t="shared" si="37"/>
        <v>-1626.10650589387</v>
      </c>
    </row>
    <row r="124" spans="1:13" x14ac:dyDescent="0.3">
      <c r="A124" s="3442" t="s">
        <v>5236</v>
      </c>
      <c r="B124" s="3430">
        <v>275.04302951049812</v>
      </c>
      <c r="C124" s="3431">
        <v>1662.7245525304377</v>
      </c>
      <c r="D124" s="3429">
        <f t="shared" si="36"/>
        <v>-1387.6815230199395</v>
      </c>
      <c r="E124" s="3430">
        <v>-3</v>
      </c>
      <c r="F124" s="3431">
        <v>1623.10650589387</v>
      </c>
      <c r="G124" s="3429">
        <f t="shared" si="37"/>
        <v>-1626.10650589387</v>
      </c>
    </row>
    <row r="125" spans="1:13" ht="16.5" hidden="1" customHeight="1" x14ac:dyDescent="0.3">
      <c r="A125" s="3442" t="s">
        <v>5237</v>
      </c>
      <c r="B125" s="3430"/>
      <c r="C125" s="3431"/>
      <c r="D125" s="3429"/>
      <c r="E125" s="3430"/>
      <c r="F125" s="3431"/>
      <c r="G125" s="3429"/>
    </row>
    <row r="126" spans="1:13" x14ac:dyDescent="0.3">
      <c r="A126" s="3426" t="s">
        <v>5249</v>
      </c>
      <c r="B126" s="3430">
        <f>B127+B130</f>
        <v>1551.0107860131741</v>
      </c>
      <c r="C126" s="3431">
        <f>C127+C130</f>
        <v>17250.902090534084</v>
      </c>
      <c r="D126" s="3429">
        <f t="shared" ref="D126:D128" si="38">B126-C126</f>
        <v>-15699.89130452091</v>
      </c>
      <c r="E126" s="3430">
        <f>E127+E130</f>
        <v>4722.2889450297434</v>
      </c>
      <c r="F126" s="3431">
        <f>F127+F130</f>
        <v>35506.386478683547</v>
      </c>
      <c r="G126" s="3429">
        <f t="shared" ref="G126:G128" si="39">E126-F126</f>
        <v>-30784.097533653803</v>
      </c>
    </row>
    <row r="127" spans="1:13" x14ac:dyDescent="0.3">
      <c r="A127" s="3440" t="s">
        <v>5231</v>
      </c>
      <c r="B127" s="3430">
        <f>B128+B129</f>
        <v>-345.45003826195358</v>
      </c>
      <c r="C127" s="3431">
        <f>C128+C129</f>
        <v>-1087.6627225978887</v>
      </c>
      <c r="D127" s="3429">
        <f t="shared" si="38"/>
        <v>742.21268433593514</v>
      </c>
      <c r="E127" s="3430">
        <f>E128+E129</f>
        <v>1162.9113973834687</v>
      </c>
      <c r="F127" s="3431">
        <f>F128+F129</f>
        <v>3709.9325146460601</v>
      </c>
      <c r="G127" s="3429">
        <f t="shared" si="39"/>
        <v>-2547.0211172625914</v>
      </c>
    </row>
    <row r="128" spans="1:13" x14ac:dyDescent="0.3">
      <c r="A128" s="3442" t="s">
        <v>5236</v>
      </c>
      <c r="B128" s="3430">
        <v>-345.45003826195358</v>
      </c>
      <c r="C128" s="3431">
        <v>-1087.6627225978887</v>
      </c>
      <c r="D128" s="3429">
        <f t="shared" si="38"/>
        <v>742.21268433593514</v>
      </c>
      <c r="E128" s="3430">
        <v>1162.9113973834687</v>
      </c>
      <c r="F128" s="3431">
        <v>3709.9325146460601</v>
      </c>
      <c r="G128" s="3429">
        <f t="shared" si="39"/>
        <v>-2547.0211172625914</v>
      </c>
    </row>
    <row r="129" spans="1:13" ht="16.5" hidden="1" customHeight="1" x14ac:dyDescent="0.3">
      <c r="A129" s="3442" t="s">
        <v>5237</v>
      </c>
      <c r="B129" s="3430"/>
      <c r="C129" s="3431"/>
      <c r="D129" s="3429"/>
      <c r="E129" s="3430"/>
      <c r="F129" s="3431"/>
      <c r="G129" s="3429"/>
      <c r="H129" s="2362"/>
      <c r="I129" s="2362"/>
      <c r="J129" s="2362"/>
      <c r="K129" s="2362"/>
      <c r="L129" s="2362"/>
      <c r="M129" s="2362"/>
    </row>
    <row r="130" spans="1:13" x14ac:dyDescent="0.3">
      <c r="A130" s="3440" t="s">
        <v>5233</v>
      </c>
      <c r="B130" s="3430">
        <f>B131+B132</f>
        <v>1896.4608242751276</v>
      </c>
      <c r="C130" s="3431">
        <f>C131+C132</f>
        <v>18338.564813131972</v>
      </c>
      <c r="D130" s="3429">
        <f t="shared" ref="D130" si="40">B130-C130</f>
        <v>-16442.103988856845</v>
      </c>
      <c r="E130" s="3430">
        <f>E131+E132</f>
        <v>3559.3775476462747</v>
      </c>
      <c r="F130" s="3431">
        <f>F131+F132</f>
        <v>31796.453964037486</v>
      </c>
      <c r="G130" s="3429">
        <f t="shared" ref="G130" si="41">E130-F130</f>
        <v>-28237.07641639121</v>
      </c>
      <c r="H130" s="2362"/>
      <c r="I130" s="2362"/>
      <c r="J130" s="2362"/>
      <c r="K130" s="2362"/>
      <c r="L130" s="2362"/>
      <c r="M130" s="2362"/>
    </row>
    <row r="131" spans="1:13" ht="16.5" hidden="1" customHeight="1" x14ac:dyDescent="0.3">
      <c r="A131" s="3442" t="s">
        <v>5236</v>
      </c>
      <c r="B131" s="3430"/>
      <c r="C131" s="3431"/>
      <c r="D131" s="3429"/>
      <c r="E131" s="3430"/>
      <c r="F131" s="3431"/>
      <c r="G131" s="3429"/>
      <c r="H131" s="2362"/>
      <c r="I131" s="2362"/>
      <c r="J131" s="2362"/>
      <c r="K131" s="2362"/>
      <c r="L131" s="2362"/>
      <c r="M131" s="2362"/>
    </row>
    <row r="132" spans="1:13" x14ac:dyDescent="0.3">
      <c r="A132" s="3442" t="s">
        <v>5237</v>
      </c>
      <c r="B132" s="3430">
        <f>B135</f>
        <v>1896.4608242751276</v>
      </c>
      <c r="C132" s="3431">
        <f>C135</f>
        <v>18338.564813131972</v>
      </c>
      <c r="D132" s="3429">
        <f t="shared" ref="D132:D133" si="42">B132-C132</f>
        <v>-16442.103988856845</v>
      </c>
      <c r="E132" s="3430">
        <f>E135</f>
        <v>3559.3775476462747</v>
      </c>
      <c r="F132" s="3431">
        <f>F135</f>
        <v>31796.453964037486</v>
      </c>
      <c r="G132" s="3429">
        <f t="shared" ref="G132:G133" si="43">E132-F132</f>
        <v>-28237.07641639121</v>
      </c>
      <c r="H132" s="2362"/>
      <c r="I132" s="2362"/>
      <c r="J132" s="2362"/>
      <c r="K132" s="2362"/>
      <c r="L132" s="2362"/>
      <c r="M132" s="2362"/>
    </row>
    <row r="133" spans="1:13" x14ac:dyDescent="0.3">
      <c r="A133" s="3442" t="s">
        <v>3365</v>
      </c>
      <c r="B133" s="3430">
        <f>B134+B135</f>
        <v>1896.4608242751276</v>
      </c>
      <c r="C133" s="3431">
        <f>C134+C135</f>
        <v>18338.564813131972</v>
      </c>
      <c r="D133" s="3429">
        <f t="shared" si="42"/>
        <v>-16442.103988856845</v>
      </c>
      <c r="E133" s="3430"/>
      <c r="F133" s="3431"/>
      <c r="G133" s="3429">
        <f t="shared" si="43"/>
        <v>0</v>
      </c>
      <c r="H133" s="2362"/>
      <c r="I133" s="2362"/>
      <c r="J133" s="2362"/>
      <c r="K133" s="2362"/>
      <c r="L133" s="2362"/>
      <c r="M133" s="2362"/>
    </row>
    <row r="134" spans="1:13" ht="16.5" hidden="1" customHeight="1" x14ac:dyDescent="0.3">
      <c r="A134" s="3450" t="s">
        <v>5236</v>
      </c>
      <c r="B134" s="3430"/>
      <c r="C134" s="3431"/>
      <c r="D134" s="3429"/>
      <c r="E134" s="3430"/>
      <c r="F134" s="3431"/>
      <c r="G134" s="3429"/>
      <c r="H134" s="2362"/>
      <c r="I134" s="2362"/>
      <c r="J134" s="2362"/>
      <c r="K134" s="2362"/>
      <c r="L134" s="2362"/>
      <c r="M134" s="2362"/>
    </row>
    <row r="135" spans="1:13" x14ac:dyDescent="0.3">
      <c r="A135" s="3456" t="s">
        <v>5237</v>
      </c>
      <c r="B135" s="3430">
        <f>B136</f>
        <v>1896.4608242751276</v>
      </c>
      <c r="C135" s="3431">
        <f>C136</f>
        <v>18338.564813131972</v>
      </c>
      <c r="D135" s="3429">
        <f t="shared" ref="D135:D137" si="44">B135-C135</f>
        <v>-16442.103988856845</v>
      </c>
      <c r="E135" s="3430">
        <f>E136</f>
        <v>3559.3775476462747</v>
      </c>
      <c r="F135" s="3431">
        <f>F136</f>
        <v>31796.453964037486</v>
      </c>
      <c r="G135" s="3429">
        <f t="shared" ref="G135:G143" si="45">E135-F135</f>
        <v>-28237.07641639121</v>
      </c>
      <c r="H135" s="2362"/>
      <c r="I135" s="2362"/>
      <c r="J135" s="2362"/>
      <c r="K135" s="2362"/>
      <c r="L135" s="2362"/>
      <c r="M135" s="2362"/>
    </row>
    <row r="136" spans="1:13" x14ac:dyDescent="0.3">
      <c r="A136" s="3451" t="s">
        <v>5214</v>
      </c>
      <c r="B136" s="3430">
        <v>1896.4608242751276</v>
      </c>
      <c r="C136" s="3431">
        <v>18338.564813131972</v>
      </c>
      <c r="D136" s="3435">
        <f t="shared" si="44"/>
        <v>-16442.103988856845</v>
      </c>
      <c r="E136" s="3436">
        <v>3559.3775476462747</v>
      </c>
      <c r="F136" s="3437">
        <v>31796.453964037486</v>
      </c>
      <c r="G136" s="3435">
        <f t="shared" si="45"/>
        <v>-28237.07641639121</v>
      </c>
      <c r="H136" s="2362"/>
      <c r="I136" s="2362"/>
      <c r="J136" s="2362"/>
      <c r="K136" s="2362"/>
      <c r="L136" s="2362"/>
      <c r="M136" s="2362"/>
    </row>
    <row r="137" spans="1:13" x14ac:dyDescent="0.3">
      <c r="A137" s="3420" t="s">
        <v>5250</v>
      </c>
      <c r="B137" s="3421">
        <f t="shared" ref="B137" si="46">B138+B141+B142+B143</f>
        <v>-5858.8507611582872</v>
      </c>
      <c r="C137" s="3439"/>
      <c r="D137" s="3423">
        <f t="shared" si="44"/>
        <v>-5858.8507611582872</v>
      </c>
      <c r="E137" s="3421">
        <f t="shared" ref="E137" si="47">E138+E141+E142+E143</f>
        <v>7039.6938790660861</v>
      </c>
      <c r="F137" s="3439"/>
      <c r="G137" s="3423">
        <f t="shared" si="45"/>
        <v>7039.6938790660861</v>
      </c>
      <c r="H137" s="2362"/>
      <c r="I137" s="2362"/>
      <c r="J137" s="2362"/>
      <c r="K137" s="2362"/>
      <c r="L137" s="2362"/>
      <c r="M137" s="2362"/>
    </row>
    <row r="138" spans="1:13" x14ac:dyDescent="0.3">
      <c r="A138" s="3426" t="s">
        <v>5251</v>
      </c>
      <c r="B138" s="3430"/>
      <c r="C138" s="3431"/>
      <c r="D138" s="3429"/>
      <c r="E138" s="3430">
        <v>0</v>
      </c>
      <c r="F138" s="3431"/>
      <c r="G138" s="3429">
        <f t="shared" si="45"/>
        <v>0</v>
      </c>
      <c r="H138" s="2362"/>
      <c r="I138" s="2362"/>
      <c r="J138" s="2362"/>
      <c r="K138" s="2362"/>
      <c r="L138" s="2362"/>
      <c r="M138" s="2362"/>
    </row>
    <row r="139" spans="1:13" x14ac:dyDescent="0.3">
      <c r="A139" s="3440" t="s">
        <v>5252</v>
      </c>
      <c r="B139" s="3430"/>
      <c r="C139" s="3431"/>
      <c r="D139" s="3429"/>
      <c r="E139" s="3430">
        <v>0</v>
      </c>
      <c r="F139" s="3431"/>
      <c r="G139" s="3429">
        <f t="shared" si="45"/>
        <v>0</v>
      </c>
      <c r="H139" s="2362"/>
      <c r="I139" s="2362"/>
      <c r="J139" s="2362"/>
      <c r="K139" s="2362"/>
      <c r="L139" s="2362"/>
      <c r="M139" s="2362"/>
    </row>
    <row r="140" spans="1:13" x14ac:dyDescent="0.3">
      <c r="A140" s="3440" t="s">
        <v>5253</v>
      </c>
      <c r="B140" s="3430"/>
      <c r="C140" s="3431"/>
      <c r="D140" s="3429"/>
      <c r="E140" s="3430">
        <v>0</v>
      </c>
      <c r="F140" s="3431"/>
      <c r="G140" s="3429">
        <f t="shared" si="45"/>
        <v>0</v>
      </c>
      <c r="H140" s="2362"/>
      <c r="I140" s="2362"/>
      <c r="J140" s="2362"/>
      <c r="K140" s="2362"/>
      <c r="L140" s="2362"/>
      <c r="M140" s="2362"/>
    </row>
    <row r="141" spans="1:13" x14ac:dyDescent="0.3">
      <c r="A141" s="3426" t="s">
        <v>5254</v>
      </c>
      <c r="B141" s="3430">
        <v>0</v>
      </c>
      <c r="C141" s="3431"/>
      <c r="D141" s="3429">
        <f t="shared" ref="D141:D143" si="48">B141-C141</f>
        <v>0</v>
      </c>
      <c r="E141" s="3430">
        <v>0</v>
      </c>
      <c r="F141" s="3431"/>
      <c r="G141" s="3429">
        <f t="shared" si="45"/>
        <v>0</v>
      </c>
      <c r="H141" s="2362"/>
      <c r="I141" s="2362"/>
      <c r="J141" s="2362"/>
      <c r="K141" s="2362"/>
      <c r="L141" s="2362"/>
      <c r="M141" s="2362"/>
    </row>
    <row r="142" spans="1:13" x14ac:dyDescent="0.3">
      <c r="A142" s="3426" t="s">
        <v>5255</v>
      </c>
      <c r="B142" s="3430">
        <v>0</v>
      </c>
      <c r="C142" s="3431"/>
      <c r="D142" s="3429">
        <f t="shared" si="48"/>
        <v>0</v>
      </c>
      <c r="E142" s="3430">
        <v>0</v>
      </c>
      <c r="F142" s="3431"/>
      <c r="G142" s="3429">
        <f t="shared" si="45"/>
        <v>0</v>
      </c>
      <c r="H142" s="2362"/>
      <c r="I142" s="2362"/>
      <c r="J142" s="2362"/>
      <c r="K142" s="2362"/>
      <c r="L142" s="2362"/>
      <c r="M142" s="2362"/>
    </row>
    <row r="143" spans="1:13" ht="17.25" thickBot="1" x14ac:dyDescent="0.35">
      <c r="A143" s="3457" t="s">
        <v>5256</v>
      </c>
      <c r="B143" s="3430">
        <v>-5858.8507611582872</v>
      </c>
      <c r="C143" s="3458"/>
      <c r="D143" s="3459">
        <f t="shared" si="48"/>
        <v>-5858.8507611582872</v>
      </c>
      <c r="E143" s="3460">
        <v>7039.6938790660861</v>
      </c>
      <c r="F143" s="3458"/>
      <c r="G143" s="3459">
        <f t="shared" si="45"/>
        <v>7039.6938790660861</v>
      </c>
      <c r="H143" s="2362"/>
      <c r="I143" s="2362"/>
      <c r="J143" s="2362"/>
      <c r="K143" s="2362"/>
      <c r="L143" s="2362"/>
      <c r="M143" s="2362"/>
    </row>
    <row r="144" spans="1:13" ht="18" thickTop="1" thickBot="1" x14ac:dyDescent="0.35">
      <c r="A144" s="3461" t="s">
        <v>5257</v>
      </c>
      <c r="B144" s="3462"/>
      <c r="C144" s="3463"/>
      <c r="D144" s="3464">
        <f>D65-(D5+D61)</f>
        <v>-1279.748652805687</v>
      </c>
      <c r="E144" s="3411"/>
      <c r="F144" s="3463"/>
      <c r="G144" s="3464">
        <f>G65-(G5+G61)</f>
        <v>-1798.3225838516955</v>
      </c>
      <c r="H144" s="2362"/>
      <c r="I144" s="2362"/>
      <c r="J144" s="2362"/>
      <c r="K144" s="2362"/>
      <c r="L144" s="2362"/>
      <c r="M144" s="2362"/>
    </row>
    <row r="145" spans="1:13" s="3471" customFormat="1" ht="18" thickTop="1" x14ac:dyDescent="0.3">
      <c r="A145" s="3465" t="s">
        <v>5258</v>
      </c>
      <c r="B145" s="3465"/>
      <c r="C145" s="3353"/>
      <c r="D145" s="3353"/>
      <c r="E145" s="3466"/>
      <c r="F145" s="3353"/>
      <c r="G145" s="3353"/>
      <c r="H145" s="3467"/>
      <c r="I145" s="3468"/>
      <c r="J145" s="3468"/>
      <c r="K145" s="3469"/>
      <c r="L145" s="3470"/>
      <c r="M145" s="3470"/>
    </row>
    <row r="146" spans="1:13" s="3471" customFormat="1" hidden="1" x14ac:dyDescent="0.3">
      <c r="A146" s="3465"/>
      <c r="B146" s="3466"/>
      <c r="C146" s="3353"/>
      <c r="D146" s="3353"/>
      <c r="E146" s="3466"/>
      <c r="F146" s="3353"/>
      <c r="G146" s="3353"/>
      <c r="H146" s="3467"/>
      <c r="I146" s="3468"/>
      <c r="J146" s="3468"/>
      <c r="K146" s="3469"/>
      <c r="L146" s="3470"/>
      <c r="M146" s="3470"/>
    </row>
    <row r="147" spans="1:13" ht="13.5" customHeight="1" x14ac:dyDescent="0.3">
      <c r="A147" s="3472" t="s">
        <v>5259</v>
      </c>
      <c r="B147" s="3473"/>
      <c r="C147" s="3473"/>
      <c r="D147" s="3473"/>
      <c r="E147" s="3473"/>
      <c r="F147" s="3473"/>
      <c r="G147" s="3473"/>
    </row>
    <row r="148" spans="1:13" x14ac:dyDescent="0.3">
      <c r="A148" s="3474" t="s">
        <v>134</v>
      </c>
      <c r="B148" s="3466"/>
      <c r="C148" s="3353"/>
      <c r="D148" s="3353"/>
      <c r="E148" s="3466"/>
      <c r="F148" s="3353"/>
      <c r="G148" s="3353"/>
    </row>
    <row r="149" spans="1:13" x14ac:dyDescent="0.3">
      <c r="B149" s="3466"/>
      <c r="C149" s="3353"/>
      <c r="D149" s="3353"/>
      <c r="E149" s="3466"/>
      <c r="F149" s="3353"/>
      <c r="G149" s="3353"/>
    </row>
    <row r="150" spans="1:13" x14ac:dyDescent="0.3">
      <c r="B150" s="3466"/>
      <c r="C150" s="3353"/>
      <c r="D150" s="3353"/>
      <c r="E150" s="3466"/>
      <c r="F150" s="3353"/>
      <c r="G150" s="3353"/>
    </row>
    <row r="151" spans="1:13" x14ac:dyDescent="0.3">
      <c r="B151" s="3466"/>
      <c r="C151" s="3353"/>
      <c r="D151" s="3353"/>
      <c r="E151" s="3466"/>
      <c r="F151" s="3353"/>
      <c r="G151" s="3353"/>
    </row>
    <row r="152" spans="1:13" x14ac:dyDescent="0.3">
      <c r="B152" s="3475"/>
      <c r="D152" s="3353"/>
      <c r="E152" s="3476"/>
      <c r="F152" s="3353"/>
      <c r="G152" s="3353"/>
    </row>
    <row r="153" spans="1:13" x14ac:dyDescent="0.3">
      <c r="F153" s="3477"/>
    </row>
    <row r="158" spans="1:13" x14ac:dyDescent="0.3">
      <c r="D158" s="4002"/>
      <c r="E158" s="4002"/>
      <c r="F158" s="4002"/>
      <c r="G158" s="4002"/>
    </row>
    <row r="159" spans="1:13" x14ac:dyDescent="0.3">
      <c r="D159" s="3352"/>
      <c r="E159" s="3478"/>
      <c r="F159" s="3478"/>
      <c r="G159" s="3478"/>
    </row>
    <row r="160" spans="1:13" x14ac:dyDescent="0.3">
      <c r="D160" s="3352"/>
      <c r="E160" s="3478"/>
      <c r="F160" s="3478"/>
      <c r="G160" s="3478"/>
    </row>
    <row r="161" spans="1:13" x14ac:dyDescent="0.3">
      <c r="A161" s="2362"/>
      <c r="B161" s="2362"/>
      <c r="C161" s="2362"/>
      <c r="D161" s="3352"/>
      <c r="E161" s="3478"/>
      <c r="F161" s="3478"/>
      <c r="G161" s="3478"/>
      <c r="H161" s="2362"/>
      <c r="I161" s="2362"/>
      <c r="J161" s="2362"/>
      <c r="K161" s="2362"/>
      <c r="L161" s="2362"/>
      <c r="M161" s="2362"/>
    </row>
    <row r="162" spans="1:13" x14ac:dyDescent="0.3">
      <c r="A162" s="2362"/>
      <c r="B162" s="2362"/>
      <c r="C162" s="2362"/>
      <c r="D162" s="3352"/>
      <c r="E162" s="3478"/>
      <c r="F162" s="3478"/>
      <c r="G162" s="3478"/>
      <c r="H162" s="2362"/>
      <c r="I162" s="2362"/>
      <c r="J162" s="2362"/>
      <c r="K162" s="2362"/>
      <c r="L162" s="2362"/>
      <c r="M162" s="2362"/>
    </row>
    <row r="163" spans="1:13" x14ac:dyDescent="0.3">
      <c r="A163" s="2362"/>
      <c r="B163" s="2362"/>
      <c r="C163" s="2362"/>
      <c r="E163" s="3479"/>
      <c r="F163" s="3479"/>
      <c r="G163" s="3479"/>
      <c r="H163" s="2362"/>
      <c r="I163" s="2362"/>
      <c r="J163" s="2362"/>
      <c r="K163" s="2362"/>
      <c r="L163" s="2362"/>
      <c r="M163" s="2362"/>
    </row>
    <row r="165" spans="1:13" ht="15" x14ac:dyDescent="0.25">
      <c r="A165" s="2362"/>
      <c r="B165" s="2362"/>
      <c r="C165" s="2362"/>
      <c r="D165" s="4002"/>
      <c r="E165" s="4002"/>
      <c r="F165" s="4002"/>
      <c r="G165" s="4002"/>
      <c r="H165" s="2362"/>
      <c r="I165" s="2362"/>
      <c r="J165" s="2362"/>
      <c r="K165" s="2362"/>
      <c r="L165" s="2362"/>
      <c r="M165" s="2362"/>
    </row>
    <row r="166" spans="1:13" x14ac:dyDescent="0.3">
      <c r="A166" s="2362"/>
      <c r="B166" s="2362"/>
      <c r="C166" s="2362"/>
      <c r="D166" s="3480"/>
      <c r="E166" s="3478"/>
      <c r="F166" s="3478"/>
      <c r="G166" s="3481"/>
      <c r="H166" s="2362"/>
      <c r="I166" s="2362"/>
      <c r="J166" s="2362"/>
      <c r="K166" s="2362"/>
      <c r="L166" s="2362"/>
      <c r="M166" s="2362"/>
    </row>
    <row r="167" spans="1:13" x14ac:dyDescent="0.3">
      <c r="A167" s="2362"/>
      <c r="B167" s="2362"/>
      <c r="C167" s="2362"/>
      <c r="D167" s="3480"/>
      <c r="E167" s="3478"/>
      <c r="F167" s="3478"/>
      <c r="G167" s="3481"/>
      <c r="H167" s="2362"/>
      <c r="I167" s="2362"/>
      <c r="J167" s="2362"/>
      <c r="K167" s="2362"/>
      <c r="L167" s="2362"/>
      <c r="M167" s="2362"/>
    </row>
    <row r="168" spans="1:13" x14ac:dyDescent="0.3">
      <c r="A168" s="2362"/>
      <c r="B168" s="2362"/>
      <c r="C168" s="2362"/>
      <c r="D168" s="3480"/>
      <c r="E168" s="3478"/>
      <c r="F168" s="3478"/>
      <c r="G168" s="3481"/>
      <c r="H168" s="2362"/>
      <c r="I168" s="2362"/>
      <c r="J168" s="2362"/>
      <c r="K168" s="2362"/>
      <c r="L168" s="2362"/>
      <c r="M168" s="2362"/>
    </row>
    <row r="169" spans="1:13" x14ac:dyDescent="0.3">
      <c r="A169" s="2362"/>
      <c r="B169" s="2362"/>
      <c r="C169" s="2362"/>
      <c r="D169" s="3480"/>
      <c r="E169" s="3478"/>
      <c r="F169" s="3478"/>
      <c r="G169" s="3481"/>
      <c r="H169" s="2362"/>
      <c r="I169" s="2362"/>
      <c r="J169" s="2362"/>
      <c r="K169" s="2362"/>
      <c r="L169" s="2362"/>
      <c r="M169" s="2362"/>
    </row>
    <row r="170" spans="1:13" x14ac:dyDescent="0.3">
      <c r="A170" s="2362"/>
      <c r="B170" s="2362"/>
      <c r="C170" s="2362"/>
      <c r="E170" s="3482"/>
      <c r="F170" s="3482"/>
      <c r="G170" s="3482"/>
      <c r="H170" s="2362"/>
      <c r="I170" s="2362"/>
      <c r="J170" s="2362"/>
      <c r="K170" s="2362"/>
      <c r="L170" s="2362"/>
      <c r="M170" s="2362"/>
    </row>
    <row r="171" spans="1:13" x14ac:dyDescent="0.3">
      <c r="A171" s="2362"/>
      <c r="B171" s="2362"/>
      <c r="C171" s="2362"/>
      <c r="G171" s="3483"/>
      <c r="H171" s="2362"/>
      <c r="I171" s="2362"/>
      <c r="J171" s="2362"/>
      <c r="K171" s="2362"/>
      <c r="L171" s="2362"/>
      <c r="M171" s="2362"/>
    </row>
    <row r="172" spans="1:13" x14ac:dyDescent="0.3">
      <c r="A172" s="2362"/>
      <c r="B172" s="2362"/>
      <c r="C172" s="2362"/>
      <c r="E172" s="3484"/>
      <c r="F172" s="3485"/>
      <c r="G172" s="3481"/>
      <c r="H172" s="2362"/>
      <c r="I172" s="2362"/>
      <c r="J172" s="2362"/>
      <c r="K172" s="2362"/>
      <c r="L172" s="2362"/>
      <c r="M172" s="2362"/>
    </row>
    <row r="173" spans="1:13" x14ac:dyDescent="0.3">
      <c r="A173" s="2362"/>
      <c r="B173" s="2362"/>
      <c r="C173" s="2362"/>
      <c r="D173" s="3480"/>
      <c r="E173" s="3478"/>
      <c r="F173" s="3485"/>
      <c r="G173" s="3481"/>
      <c r="H173" s="2362"/>
      <c r="I173" s="2362"/>
      <c r="J173" s="2362"/>
      <c r="K173" s="2362"/>
      <c r="L173" s="2362"/>
      <c r="M173" s="2362"/>
    </row>
    <row r="174" spans="1:13" x14ac:dyDescent="0.3">
      <c r="A174" s="2362"/>
      <c r="B174" s="2362"/>
      <c r="C174" s="2362"/>
      <c r="E174" s="3484"/>
      <c r="F174" s="3485"/>
      <c r="G174" s="3482"/>
      <c r="H174" s="2362"/>
      <c r="I174" s="2362"/>
      <c r="J174" s="2362"/>
      <c r="K174" s="2362"/>
      <c r="L174" s="2362"/>
      <c r="M174" s="2362"/>
    </row>
  </sheetData>
  <mergeCells count="13">
    <mergeCell ref="N3:P3"/>
    <mergeCell ref="B59:D59"/>
    <mergeCell ref="E59:G59"/>
    <mergeCell ref="D165:G165"/>
    <mergeCell ref="A1:G1"/>
    <mergeCell ref="B3:D3"/>
    <mergeCell ref="E3:G3"/>
    <mergeCell ref="K3:M3"/>
    <mergeCell ref="B63:D63"/>
    <mergeCell ref="E63:G63"/>
    <mergeCell ref="I63:K63"/>
    <mergeCell ref="I93:K93"/>
    <mergeCell ref="D158:G158"/>
  </mergeCells>
  <pageMargins left="0.75" right="0.75" top="0.57999999999999996" bottom="2E-3" header="0.31496062992126" footer="0.314"/>
  <pageSetup paperSize="9" scale="54" fitToHeight="0" orientation="portrait" r:id="rId1"/>
  <rowBreaks count="1" manualBreakCount="1">
    <brk id="62" max="7"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M194"/>
  <sheetViews>
    <sheetView showGridLines="0" zoomScale="90" zoomScaleNormal="90" zoomScaleSheetLayoutView="55" workbookViewId="0">
      <pane xSplit="2" ySplit="4" topLeftCell="C5" activePane="bottomRight" state="frozen"/>
      <selection activeCell="A150" sqref="A150"/>
      <selection pane="topRight" activeCell="A150" sqref="A150"/>
      <selection pane="bottomLeft" activeCell="A150" sqref="A150"/>
      <selection pane="bottomRight" sqref="A1:F1"/>
    </sheetView>
  </sheetViews>
  <sheetFormatPr defaultColWidth="11.42578125" defaultRowHeight="16.5" x14ac:dyDescent="0.3"/>
  <cols>
    <col min="1" max="1" width="61.85546875" style="3523" customWidth="1"/>
    <col min="2" max="2" width="18.28515625" style="3486" hidden="1" customWidth="1"/>
    <col min="3" max="6" width="23.85546875" style="3486" customWidth="1"/>
    <col min="7" max="16384" width="11.42578125" style="3486"/>
  </cols>
  <sheetData>
    <row r="1" spans="1:13" ht="30" customHeight="1" x14ac:dyDescent="0.25">
      <c r="A1" s="4006" t="s">
        <v>5260</v>
      </c>
      <c r="B1" s="4006"/>
      <c r="C1" s="4006"/>
      <c r="D1" s="4006"/>
      <c r="E1" s="4006"/>
      <c r="F1" s="4006"/>
    </row>
    <row r="2" spans="1:13" ht="14.45" customHeight="1" thickBot="1" x14ac:dyDescent="0.35">
      <c r="A2" s="3487"/>
      <c r="B2" s="3488"/>
      <c r="C2" s="3488"/>
      <c r="E2" s="3489"/>
      <c r="F2" s="3489" t="s">
        <v>8</v>
      </c>
    </row>
    <row r="3" spans="1:13" ht="17.25" x14ac:dyDescent="0.3">
      <c r="A3" s="3490"/>
      <c r="B3" s="3491">
        <v>2015</v>
      </c>
      <c r="C3" s="3492">
        <v>2016</v>
      </c>
      <c r="D3" s="3492">
        <v>2017</v>
      </c>
      <c r="E3" s="3492" t="s">
        <v>5261</v>
      </c>
      <c r="F3" s="3492" t="s">
        <v>5037</v>
      </c>
    </row>
    <row r="4" spans="1:13" ht="5.25" customHeight="1" x14ac:dyDescent="0.3">
      <c r="A4" s="3493"/>
      <c r="B4" s="3494"/>
      <c r="C4" s="3494"/>
      <c r="D4" s="3494"/>
      <c r="E4" s="3494"/>
      <c r="F4" s="3494"/>
    </row>
    <row r="5" spans="1:13" s="3497" customFormat="1" x14ac:dyDescent="0.3">
      <c r="A5" s="3495" t="s">
        <v>5262</v>
      </c>
      <c r="B5" s="3496">
        <v>743497.88114595413</v>
      </c>
      <c r="C5" s="3496">
        <v>626226.30131708644</v>
      </c>
      <c r="D5" s="3496">
        <v>904297.80771952868</v>
      </c>
      <c r="E5" s="3496">
        <v>1097546.9628831521</v>
      </c>
      <c r="F5" s="3496">
        <v>992218.17433632538</v>
      </c>
      <c r="K5" s="3498"/>
      <c r="L5" s="3498"/>
      <c r="M5" s="3498"/>
    </row>
    <row r="6" spans="1:13" ht="4.5" customHeight="1" x14ac:dyDescent="0.3">
      <c r="A6" s="3493"/>
      <c r="B6" s="3499"/>
      <c r="C6" s="3499"/>
      <c r="D6" s="3499"/>
      <c r="E6" s="3499"/>
      <c r="F6" s="3499"/>
      <c r="K6" s="3498"/>
      <c r="L6" s="3498"/>
      <c r="M6" s="3498"/>
    </row>
    <row r="7" spans="1:13" s="3497" customFormat="1" ht="18.600000000000001" customHeight="1" x14ac:dyDescent="0.3">
      <c r="A7" s="3495" t="s">
        <v>5263</v>
      </c>
      <c r="B7" s="3496">
        <v>15389849.343249258</v>
      </c>
      <c r="C7" s="3496">
        <v>15642226.894092359</v>
      </c>
      <c r="D7" s="3496">
        <v>16409821.309798472</v>
      </c>
      <c r="E7" s="3496">
        <v>16333168.096226664</v>
      </c>
      <c r="F7" s="3496">
        <v>17316176.04045191</v>
      </c>
      <c r="I7" s="3498"/>
      <c r="J7" s="3498"/>
      <c r="K7" s="3498"/>
      <c r="L7" s="3498"/>
      <c r="M7" s="3498"/>
    </row>
    <row r="8" spans="1:13" x14ac:dyDescent="0.3">
      <c r="A8" s="3500" t="s">
        <v>5264</v>
      </c>
      <c r="B8" s="3499">
        <v>7996532.4930550009</v>
      </c>
      <c r="C8" s="3499">
        <v>8441469.3452021219</v>
      </c>
      <c r="D8" s="3499">
        <v>8938706.6006876696</v>
      </c>
      <c r="E8" s="3499">
        <v>8983083.6604589634</v>
      </c>
      <c r="F8" s="3499">
        <v>9947460.7711584903</v>
      </c>
      <c r="I8" s="3498"/>
      <c r="J8" s="3498"/>
      <c r="K8" s="3498"/>
      <c r="L8" s="3498"/>
      <c r="M8" s="3498"/>
    </row>
    <row r="9" spans="1:13" x14ac:dyDescent="0.3">
      <c r="A9" s="3500" t="s">
        <v>5265</v>
      </c>
      <c r="B9" s="3499">
        <v>6302288.2536550006</v>
      </c>
      <c r="C9" s="3499">
        <v>6324428.3094021212</v>
      </c>
      <c r="D9" s="3499">
        <v>6744262.0737175802</v>
      </c>
      <c r="E9" s="3499">
        <v>6992698.9510846864</v>
      </c>
      <c r="F9" s="3499">
        <v>7799579.3386584893</v>
      </c>
      <c r="I9" s="3498"/>
      <c r="J9" s="3498"/>
      <c r="K9" s="3498"/>
      <c r="L9" s="3498"/>
      <c r="M9" s="3498"/>
    </row>
    <row r="10" spans="1:13" x14ac:dyDescent="0.3">
      <c r="A10" s="3500" t="s">
        <v>5266</v>
      </c>
      <c r="B10" s="3499">
        <v>6401510.2536550006</v>
      </c>
      <c r="C10" s="3499">
        <v>6329209.3094021212</v>
      </c>
      <c r="D10" s="3499">
        <v>6744533.0737175802</v>
      </c>
      <c r="E10" s="3499">
        <v>7024550.3350846861</v>
      </c>
      <c r="F10" s="3499">
        <v>7840534.8505584896</v>
      </c>
      <c r="I10" s="3498"/>
      <c r="J10" s="3498"/>
      <c r="K10" s="3498"/>
      <c r="L10" s="3498"/>
      <c r="M10" s="3498"/>
    </row>
    <row r="11" spans="1:13" s="3503" customFormat="1" x14ac:dyDescent="0.3">
      <c r="A11" s="3501" t="s">
        <v>5267</v>
      </c>
      <c r="B11" s="3502">
        <v>6285188.0310000004</v>
      </c>
      <c r="C11" s="3502">
        <v>6305872.6514000008</v>
      </c>
      <c r="D11" s="3502">
        <v>6725367.856715464</v>
      </c>
      <c r="E11" s="3502">
        <v>7007639.7610825663</v>
      </c>
      <c r="F11" s="3502">
        <v>7823564.1757999994</v>
      </c>
      <c r="I11" s="3504"/>
      <c r="J11" s="3504"/>
      <c r="K11" s="3504"/>
      <c r="L11" s="3504"/>
      <c r="M11" s="3504"/>
    </row>
    <row r="12" spans="1:13" x14ac:dyDescent="0.3">
      <c r="A12" s="3500" t="s">
        <v>5268</v>
      </c>
      <c r="B12" s="3499">
        <v>-99222</v>
      </c>
      <c r="C12" s="3499">
        <v>-4781</v>
      </c>
      <c r="D12" s="3499">
        <v>-271</v>
      </c>
      <c r="E12" s="3499">
        <v>-31851.384000000005</v>
      </c>
      <c r="F12" s="3499">
        <v>-40955.511899999998</v>
      </c>
      <c r="I12" s="3498"/>
      <c r="J12" s="3498"/>
      <c r="K12" s="3498"/>
      <c r="L12" s="3498"/>
      <c r="M12" s="3498"/>
    </row>
    <row r="13" spans="1:13" s="3503" customFormat="1" x14ac:dyDescent="0.3">
      <c r="A13" s="3501" t="s">
        <v>5267</v>
      </c>
      <c r="B13" s="3502">
        <v>-99222</v>
      </c>
      <c r="C13" s="3502">
        <v>-4781</v>
      </c>
      <c r="D13" s="3502">
        <v>-271</v>
      </c>
      <c r="E13" s="3502">
        <v>-31851.384000000005</v>
      </c>
      <c r="F13" s="3502">
        <v>-40955.511899999998</v>
      </c>
      <c r="I13" s="3504"/>
      <c r="J13" s="3504"/>
      <c r="K13" s="3504"/>
      <c r="L13" s="3504"/>
      <c r="M13" s="3504"/>
    </row>
    <row r="14" spans="1:13" x14ac:dyDescent="0.3">
      <c r="A14" s="3500" t="s">
        <v>5269</v>
      </c>
      <c r="B14" s="3499">
        <v>1694244.2394000001</v>
      </c>
      <c r="C14" s="3499">
        <v>2117041.0358000002</v>
      </c>
      <c r="D14" s="3499">
        <v>2194444.5269700899</v>
      </c>
      <c r="E14" s="3499">
        <v>1990384.7093742776</v>
      </c>
      <c r="F14" s="3499">
        <v>2147881.4325000001</v>
      </c>
      <c r="I14" s="3498"/>
      <c r="J14" s="3498"/>
      <c r="K14" s="3498"/>
      <c r="L14" s="3498"/>
      <c r="M14" s="3498"/>
    </row>
    <row r="15" spans="1:13" x14ac:dyDescent="0.3">
      <c r="A15" s="3500" t="s">
        <v>5270</v>
      </c>
      <c r="B15" s="3499">
        <v>1981919.2394000001</v>
      </c>
      <c r="C15" s="3499">
        <v>2445121.0358000002</v>
      </c>
      <c r="D15" s="3499">
        <v>2574900.5269700899</v>
      </c>
      <c r="E15" s="3499">
        <v>2698718.3909742776</v>
      </c>
      <c r="F15" s="3499">
        <v>2774072.5434000003</v>
      </c>
      <c r="I15" s="3498"/>
      <c r="J15" s="3498"/>
      <c r="K15" s="3498"/>
      <c r="L15" s="3498"/>
      <c r="M15" s="3498"/>
    </row>
    <row r="16" spans="1:13" x14ac:dyDescent="0.3">
      <c r="A16" s="3501" t="s">
        <v>5267</v>
      </c>
      <c r="B16" s="3502">
        <v>1685046.2424000001</v>
      </c>
      <c r="C16" s="3502">
        <v>2108319.3348000003</v>
      </c>
      <c r="D16" s="3502">
        <v>2188291.9569700919</v>
      </c>
      <c r="E16" s="3502">
        <v>2692276.2659742776</v>
      </c>
      <c r="F16" s="3502">
        <v>2765540.1561000003</v>
      </c>
      <c r="G16" s="3505"/>
      <c r="H16" s="3506"/>
      <c r="I16" s="3498"/>
      <c r="J16" s="3498"/>
      <c r="K16" s="3498"/>
      <c r="L16" s="3498"/>
      <c r="M16" s="3498"/>
    </row>
    <row r="17" spans="1:13" x14ac:dyDescent="0.3">
      <c r="A17" s="3500" t="s">
        <v>5271</v>
      </c>
      <c r="B17" s="3499">
        <v>-287675</v>
      </c>
      <c r="C17" s="3499">
        <v>-328080</v>
      </c>
      <c r="D17" s="3499">
        <v>-380456</v>
      </c>
      <c r="E17" s="3499">
        <v>-708333.68160000001</v>
      </c>
      <c r="F17" s="3499">
        <v>-626191.11089999997</v>
      </c>
      <c r="I17" s="3498"/>
      <c r="J17" s="3498"/>
      <c r="K17" s="3498"/>
      <c r="L17" s="3498"/>
      <c r="M17" s="3498"/>
    </row>
    <row r="18" spans="1:13" s="3503" customFormat="1" x14ac:dyDescent="0.3">
      <c r="A18" s="3501" t="s">
        <v>5267</v>
      </c>
      <c r="B18" s="3502">
        <v>-287675</v>
      </c>
      <c r="C18" s="3502">
        <v>-328080</v>
      </c>
      <c r="D18" s="3502">
        <v>-380456</v>
      </c>
      <c r="E18" s="3502">
        <v>-708333.68160000001</v>
      </c>
      <c r="F18" s="3502">
        <v>-626191.11089999997</v>
      </c>
      <c r="I18" s="3504"/>
      <c r="J18" s="3504"/>
      <c r="K18" s="3504"/>
      <c r="L18" s="3504"/>
      <c r="M18" s="3504"/>
    </row>
    <row r="19" spans="1:13" ht="16.149999999999999" customHeight="1" x14ac:dyDescent="0.3">
      <c r="A19" s="3500" t="s">
        <v>5272</v>
      </c>
      <c r="B19" s="3499">
        <v>4386677.1051443471</v>
      </c>
      <c r="C19" s="3499">
        <v>3985378.4360669269</v>
      </c>
      <c r="D19" s="3499">
        <v>4857148.5812266879</v>
      </c>
      <c r="E19" s="3499">
        <v>4905073.34515661</v>
      </c>
      <c r="F19" s="3499">
        <v>4756629.5967099983</v>
      </c>
      <c r="G19" s="3505"/>
      <c r="I19" s="3498"/>
      <c r="J19" s="3498"/>
      <c r="K19" s="3498"/>
      <c r="L19" s="3498"/>
      <c r="M19" s="3498"/>
    </row>
    <row r="20" spans="1:13" x14ac:dyDescent="0.3">
      <c r="A20" s="3500" t="s">
        <v>5273</v>
      </c>
      <c r="B20" s="3499">
        <v>3995189.6706019212</v>
      </c>
      <c r="C20" s="3499">
        <v>3660592.2573592081</v>
      </c>
      <c r="D20" s="3499">
        <v>4344102.0437050071</v>
      </c>
      <c r="E20" s="3499">
        <v>4191501.0514799654</v>
      </c>
      <c r="F20" s="3499">
        <v>4253071.3169299988</v>
      </c>
      <c r="G20" s="3505"/>
      <c r="I20" s="3498"/>
      <c r="J20" s="3498"/>
      <c r="K20" s="3498"/>
      <c r="L20" s="3498"/>
      <c r="M20" s="3498"/>
    </row>
    <row r="21" spans="1:13" x14ac:dyDescent="0.3">
      <c r="A21" s="3500" t="s">
        <v>5274</v>
      </c>
      <c r="B21" s="3499">
        <v>430.70113750000002</v>
      </c>
      <c r="C21" s="3499">
        <v>456.62419564999999</v>
      </c>
      <c r="D21" s="3499">
        <v>819.08493266999994</v>
      </c>
      <c r="E21" s="3499">
        <v>920.44137479999995</v>
      </c>
      <c r="F21" s="3499">
        <v>1119.96306</v>
      </c>
      <c r="G21" s="3507"/>
      <c r="H21" s="3507"/>
      <c r="I21" s="3498"/>
      <c r="J21" s="3498"/>
      <c r="K21" s="3498"/>
      <c r="L21" s="3498"/>
      <c r="M21" s="3498"/>
    </row>
    <row r="22" spans="1:13" x14ac:dyDescent="0.3">
      <c r="A22" s="3500" t="s">
        <v>5275</v>
      </c>
      <c r="B22" s="3499">
        <v>872</v>
      </c>
      <c r="C22" s="3499">
        <v>846</v>
      </c>
      <c r="D22" s="3499">
        <v>834.41401599999995</v>
      </c>
      <c r="E22" s="3499">
        <v>840.30420822819201</v>
      </c>
      <c r="F22" s="3499">
        <v>893.26</v>
      </c>
      <c r="G22" s="3507"/>
      <c r="H22" s="3507"/>
      <c r="I22" s="3498"/>
      <c r="J22" s="3498"/>
      <c r="K22" s="3498"/>
      <c r="L22" s="3498"/>
      <c r="M22" s="3498"/>
    </row>
    <row r="23" spans="1:13" x14ac:dyDescent="0.3">
      <c r="A23" s="3500" t="s">
        <v>5276</v>
      </c>
      <c r="B23" s="3499">
        <v>11962.04710441629</v>
      </c>
      <c r="C23" s="3499">
        <v>8561.0418761988549</v>
      </c>
      <c r="D23" s="3499">
        <v>7623.7598828501068</v>
      </c>
      <c r="E23" s="3499">
        <v>7212.4093156922791</v>
      </c>
      <c r="F23" s="3499">
        <v>2649.8472400000001</v>
      </c>
      <c r="I23" s="3498"/>
      <c r="J23" s="3498"/>
      <c r="K23" s="3498"/>
      <c r="L23" s="3498"/>
      <c r="M23" s="3498"/>
    </row>
    <row r="24" spans="1:13" x14ac:dyDescent="0.3">
      <c r="A24" s="3500" t="s">
        <v>5277</v>
      </c>
      <c r="B24" s="3499">
        <v>3981924.9223600049</v>
      </c>
      <c r="C24" s="3499">
        <v>3650728.5912873591</v>
      </c>
      <c r="D24" s="3499">
        <v>4334824.7848734865</v>
      </c>
      <c r="E24" s="3499">
        <v>4182527.8965812451</v>
      </c>
      <c r="F24" s="3499">
        <v>4248408.246629999</v>
      </c>
      <c r="G24" s="3508"/>
      <c r="I24" s="3498"/>
      <c r="J24" s="3498"/>
      <c r="K24" s="3498"/>
      <c r="L24" s="3498"/>
      <c r="M24" s="3498"/>
    </row>
    <row r="25" spans="1:13" x14ac:dyDescent="0.3">
      <c r="A25" s="3501" t="s">
        <v>5267</v>
      </c>
      <c r="B25" s="3502">
        <v>3961223.0753561449</v>
      </c>
      <c r="C25" s="3502">
        <v>3626754.3532793131</v>
      </c>
      <c r="D25" s="3502">
        <v>4312330.1979688136</v>
      </c>
      <c r="E25" s="3502">
        <v>4157647.7517430009</v>
      </c>
      <c r="F25" s="3502">
        <v>4219442.5284999991</v>
      </c>
      <c r="H25" s="3508"/>
      <c r="I25" s="3498"/>
      <c r="J25" s="3498"/>
      <c r="K25" s="3498"/>
      <c r="L25" s="3498"/>
      <c r="M25" s="3498"/>
    </row>
    <row r="26" spans="1:13" x14ac:dyDescent="0.3">
      <c r="A26" s="3500" t="s">
        <v>5278</v>
      </c>
      <c r="B26" s="3499">
        <v>391487.33184242615</v>
      </c>
      <c r="C26" s="3499">
        <v>324786.27870771894</v>
      </c>
      <c r="D26" s="3499">
        <v>513046.53752168117</v>
      </c>
      <c r="E26" s="3499">
        <v>713572.29367664433</v>
      </c>
      <c r="F26" s="3499">
        <v>503558.27977999998</v>
      </c>
      <c r="I26" s="3498"/>
      <c r="J26" s="3498"/>
      <c r="K26" s="3498"/>
      <c r="L26" s="3498"/>
      <c r="M26" s="3498"/>
    </row>
    <row r="27" spans="1:13" x14ac:dyDescent="0.3">
      <c r="A27" s="3500" t="s">
        <v>5279</v>
      </c>
      <c r="B27" s="3499">
        <v>347684.17460367351</v>
      </c>
      <c r="C27" s="3499">
        <v>272750.78696012998</v>
      </c>
      <c r="D27" s="3499">
        <v>359169.11928971723</v>
      </c>
      <c r="E27" s="3499">
        <v>589739.96609310282</v>
      </c>
      <c r="F27" s="3499">
        <v>360323.78843000002</v>
      </c>
      <c r="G27" s="3508"/>
      <c r="I27" s="3498"/>
      <c r="J27" s="3498"/>
      <c r="K27" s="3498"/>
      <c r="L27" s="3498"/>
      <c r="M27" s="3498"/>
    </row>
    <row r="28" spans="1:13" x14ac:dyDescent="0.3">
      <c r="A28" s="3500" t="s">
        <v>5280</v>
      </c>
      <c r="B28" s="3499"/>
      <c r="C28" s="3499"/>
      <c r="D28" s="3499"/>
      <c r="E28" s="3499"/>
      <c r="F28" s="3499"/>
      <c r="H28" s="3508"/>
      <c r="I28" s="3498"/>
      <c r="J28" s="3498"/>
      <c r="K28" s="3498"/>
      <c r="L28" s="3498"/>
      <c r="M28" s="3498"/>
    </row>
    <row r="29" spans="1:13" x14ac:dyDescent="0.3">
      <c r="A29" s="3500" t="s">
        <v>5281</v>
      </c>
      <c r="B29" s="3499">
        <v>13072.390787333083</v>
      </c>
      <c r="C29" s="3499">
        <v>13922.457550729701</v>
      </c>
      <c r="D29" s="3499">
        <v>16095.930530400003</v>
      </c>
      <c r="E29" s="3499">
        <v>15441.348785</v>
      </c>
      <c r="F29" s="3499">
        <v>20978.449999999997</v>
      </c>
      <c r="I29" s="3498"/>
      <c r="J29" s="3498"/>
      <c r="K29" s="3498"/>
      <c r="L29" s="3498"/>
      <c r="M29" s="3498"/>
    </row>
    <row r="30" spans="1:13" x14ac:dyDescent="0.3">
      <c r="A30" s="3500" t="s">
        <v>5282</v>
      </c>
      <c r="B30" s="3499">
        <v>62574.902812078792</v>
      </c>
      <c r="C30" s="3499">
        <v>78338.606577485261</v>
      </c>
      <c r="D30" s="3499">
        <v>68404.055019999985</v>
      </c>
      <c r="E30" s="3499">
        <v>71567.143919207985</v>
      </c>
      <c r="F30" s="3499">
        <v>78584.074710000015</v>
      </c>
      <c r="I30" s="3498"/>
      <c r="J30" s="3498"/>
      <c r="K30" s="3498"/>
      <c r="L30" s="3498"/>
      <c r="M30" s="3498"/>
    </row>
    <row r="31" spans="1:13" ht="15.75" customHeight="1" x14ac:dyDescent="0.3">
      <c r="A31" s="3500" t="s">
        <v>5283</v>
      </c>
      <c r="B31" s="3499">
        <v>272036.88100426167</v>
      </c>
      <c r="C31" s="3499">
        <v>180489.72283191499</v>
      </c>
      <c r="D31" s="3499">
        <v>274669.13373931724</v>
      </c>
      <c r="E31" s="3499">
        <v>502731.47338889481</v>
      </c>
      <c r="F31" s="3499">
        <v>260761.26371999999</v>
      </c>
      <c r="I31" s="3498"/>
      <c r="J31" s="3498"/>
      <c r="K31" s="3498"/>
      <c r="L31" s="3498"/>
      <c r="M31" s="3498"/>
    </row>
    <row r="32" spans="1:13" x14ac:dyDescent="0.3">
      <c r="A32" s="3501" t="s">
        <v>5267</v>
      </c>
      <c r="B32" s="3502">
        <v>271101.74555976171</v>
      </c>
      <c r="C32" s="3502">
        <v>177253.49553306086</v>
      </c>
      <c r="D32" s="3502">
        <v>268601.97002330364</v>
      </c>
      <c r="E32" s="3502">
        <v>496902.13968000002</v>
      </c>
      <c r="F32" s="3502">
        <v>253528.8927</v>
      </c>
      <c r="I32" s="3498"/>
      <c r="J32" s="3498"/>
      <c r="K32" s="3498"/>
      <c r="L32" s="3498"/>
      <c r="M32" s="3498"/>
    </row>
    <row r="33" spans="1:13" x14ac:dyDescent="0.3">
      <c r="A33" s="3500" t="s">
        <v>5284</v>
      </c>
      <c r="B33" s="3499">
        <v>43803.157238752639</v>
      </c>
      <c r="C33" s="3499">
        <v>52035.491747588938</v>
      </c>
      <c r="D33" s="3499">
        <v>153877.41823196397</v>
      </c>
      <c r="E33" s="3499">
        <v>123832.32758354148</v>
      </c>
      <c r="F33" s="3499">
        <v>143234.49135</v>
      </c>
      <c r="I33" s="3498"/>
      <c r="J33" s="3498"/>
      <c r="K33" s="3498"/>
      <c r="L33" s="3498"/>
      <c r="M33" s="3498"/>
    </row>
    <row r="34" spans="1:13" x14ac:dyDescent="0.3">
      <c r="A34" s="3500" t="s">
        <v>5280</v>
      </c>
      <c r="B34" s="3499"/>
      <c r="C34" s="3499"/>
      <c r="D34" s="3499"/>
      <c r="E34" s="3499"/>
      <c r="F34" s="3499"/>
      <c r="I34" s="3498"/>
      <c r="J34" s="3498"/>
      <c r="K34" s="3498"/>
      <c r="L34" s="3498"/>
      <c r="M34" s="3498"/>
    </row>
    <row r="35" spans="1:13" x14ac:dyDescent="0.3">
      <c r="A35" s="3500" t="s">
        <v>5281</v>
      </c>
      <c r="B35" s="3499"/>
      <c r="C35" s="3499"/>
      <c r="D35" s="3499"/>
      <c r="E35" s="3499"/>
      <c r="F35" s="3499"/>
      <c r="G35" s="3508"/>
      <c r="I35" s="3498"/>
      <c r="J35" s="3498"/>
      <c r="K35" s="3498"/>
      <c r="L35" s="3498"/>
      <c r="M35" s="3498"/>
    </row>
    <row r="36" spans="1:13" x14ac:dyDescent="0.3">
      <c r="A36" s="3500" t="s">
        <v>5282</v>
      </c>
      <c r="B36" s="3499">
        <v>15643.725703019698</v>
      </c>
      <c r="C36" s="3499">
        <v>19584.651644371315</v>
      </c>
      <c r="D36" s="3499">
        <v>54096.427280000004</v>
      </c>
      <c r="E36" s="3499">
        <v>94295.322957586759</v>
      </c>
      <c r="F36" s="3499">
        <v>121889.31303</v>
      </c>
      <c r="H36" s="3508"/>
      <c r="I36" s="3498"/>
      <c r="J36" s="3498"/>
      <c r="K36" s="3498"/>
      <c r="L36" s="3498"/>
      <c r="M36" s="3498"/>
    </row>
    <row r="37" spans="1:13" x14ac:dyDescent="0.3">
      <c r="A37" s="3500" t="s">
        <v>5283</v>
      </c>
      <c r="B37" s="3499">
        <v>28159.431535732943</v>
      </c>
      <c r="C37" s="3499">
        <v>32450.840103217623</v>
      </c>
      <c r="D37" s="3499">
        <v>99780.990951963962</v>
      </c>
      <c r="E37" s="3499">
        <v>29537.004625954716</v>
      </c>
      <c r="F37" s="3499">
        <v>21345.178319999995</v>
      </c>
      <c r="I37" s="3498"/>
      <c r="J37" s="3498"/>
      <c r="K37" s="3498"/>
      <c r="L37" s="3498"/>
      <c r="M37" s="3498"/>
    </row>
    <row r="38" spans="1:13" x14ac:dyDescent="0.3">
      <c r="A38" s="3501" t="s">
        <v>5267</v>
      </c>
      <c r="B38" s="3502">
        <v>27909.9224506389</v>
      </c>
      <c r="C38" s="3502">
        <v>32328.006394698386</v>
      </c>
      <c r="D38" s="3502">
        <v>99415.049460988696</v>
      </c>
      <c r="E38" s="3502">
        <v>29474.517280000004</v>
      </c>
      <c r="F38" s="3502">
        <v>21264.658099999997</v>
      </c>
      <c r="I38" s="3498"/>
      <c r="J38" s="3498"/>
      <c r="K38" s="3498"/>
      <c r="L38" s="3498"/>
      <c r="M38" s="3498"/>
    </row>
    <row r="39" spans="1:13" x14ac:dyDescent="0.3">
      <c r="A39" s="3500" t="s">
        <v>5285</v>
      </c>
      <c r="B39" s="3499">
        <v>1139433.4274369199</v>
      </c>
      <c r="C39" s="3499">
        <v>1049763.9685185254</v>
      </c>
      <c r="D39" s="3499">
        <v>204413.8668184609</v>
      </c>
      <c r="E39" s="3499">
        <v>85743.207836992951</v>
      </c>
      <c r="F39" s="3499">
        <v>117291.66772036842</v>
      </c>
      <c r="I39" s="3498"/>
      <c r="J39" s="3498"/>
      <c r="K39" s="3498"/>
      <c r="L39" s="3498"/>
      <c r="M39" s="3498"/>
    </row>
    <row r="40" spans="1:13" x14ac:dyDescent="0.3">
      <c r="A40" s="3500" t="s">
        <v>5286</v>
      </c>
      <c r="B40" s="3499"/>
      <c r="C40" s="3499"/>
      <c r="D40" s="3499"/>
      <c r="E40" s="3499"/>
      <c r="F40" s="3499"/>
      <c r="I40" s="3498"/>
      <c r="J40" s="3498"/>
      <c r="K40" s="3498"/>
      <c r="L40" s="3498"/>
      <c r="M40" s="3498"/>
    </row>
    <row r="41" spans="1:13" x14ac:dyDescent="0.3">
      <c r="A41" s="3500" t="s">
        <v>5287</v>
      </c>
      <c r="B41" s="3499"/>
      <c r="C41" s="3499"/>
      <c r="D41" s="3499"/>
      <c r="E41" s="3499"/>
      <c r="F41" s="3499"/>
      <c r="I41" s="3498"/>
      <c r="J41" s="3498"/>
      <c r="K41" s="3498"/>
      <c r="L41" s="3498"/>
      <c r="M41" s="3498"/>
    </row>
    <row r="42" spans="1:13" x14ac:dyDescent="0.3">
      <c r="A42" s="3500" t="s">
        <v>5288</v>
      </c>
      <c r="B42" s="3499">
        <v>118974.13163691985</v>
      </c>
      <c r="C42" s="3499">
        <v>62655.107318525363</v>
      </c>
      <c r="D42" s="3499">
        <v>131306.20373634328</v>
      </c>
      <c r="E42" s="3499">
        <v>1685.1462781230996</v>
      </c>
      <c r="F42" s="3499">
        <v>1854.9523203684373</v>
      </c>
      <c r="I42" s="3498"/>
      <c r="J42" s="3498"/>
      <c r="K42" s="3498"/>
      <c r="L42" s="3498"/>
      <c r="M42" s="3498"/>
    </row>
    <row r="43" spans="1:13" x14ac:dyDescent="0.3">
      <c r="A43" s="3500" t="s">
        <v>5289</v>
      </c>
      <c r="B43" s="3499">
        <v>1020459.2958</v>
      </c>
      <c r="C43" s="3499">
        <v>987108.86120000004</v>
      </c>
      <c r="D43" s="3499">
        <v>73107.663082117622</v>
      </c>
      <c r="E43" s="3499">
        <v>84058.061558869857</v>
      </c>
      <c r="F43" s="3499">
        <v>115436.71539999999</v>
      </c>
      <c r="I43" s="3498"/>
      <c r="J43" s="3498"/>
      <c r="K43" s="3498"/>
      <c r="L43" s="3498"/>
      <c r="M43" s="3498"/>
    </row>
    <row r="44" spans="1:13" s="3503" customFormat="1" x14ac:dyDescent="0.3">
      <c r="A44" s="3501" t="s">
        <v>5290</v>
      </c>
      <c r="B44" s="3502">
        <v>1020459.2958</v>
      </c>
      <c r="C44" s="3502">
        <v>987108.86120000004</v>
      </c>
      <c r="D44" s="3502">
        <v>73107.663082117622</v>
      </c>
      <c r="E44" s="3502">
        <v>84058.061558869857</v>
      </c>
      <c r="F44" s="3502">
        <v>115436.71539999999</v>
      </c>
      <c r="I44" s="3504"/>
      <c r="J44" s="3504"/>
      <c r="K44" s="3504"/>
      <c r="L44" s="3504"/>
      <c r="M44" s="3504"/>
    </row>
    <row r="45" spans="1:13" x14ac:dyDescent="0.3">
      <c r="A45" s="3500" t="s">
        <v>5291</v>
      </c>
      <c r="B45" s="3499">
        <v>1714305.4922674662</v>
      </c>
      <c r="C45" s="3499">
        <v>1986760.1872124565</v>
      </c>
      <c r="D45" s="3499">
        <v>2209203.5797327776</v>
      </c>
      <c r="E45" s="3499">
        <v>2141682.8520568684</v>
      </c>
      <c r="F45" s="3499">
        <v>2225299.7404718278</v>
      </c>
      <c r="I45" s="3498"/>
      <c r="J45" s="3498"/>
      <c r="K45" s="3498"/>
      <c r="L45" s="3498"/>
      <c r="M45" s="3498"/>
    </row>
    <row r="46" spans="1:13" x14ac:dyDescent="0.3">
      <c r="A46" s="3500" t="s">
        <v>5292</v>
      </c>
      <c r="B46" s="3499">
        <v>8126.1610000000001</v>
      </c>
      <c r="C46" s="3499">
        <v>7254.1229999999996</v>
      </c>
      <c r="D46" s="3499">
        <v>6122.098</v>
      </c>
      <c r="E46" s="3499">
        <v>6138.0770000000002</v>
      </c>
      <c r="F46" s="3499">
        <v>6662.9137640838926</v>
      </c>
      <c r="I46" s="3498"/>
      <c r="J46" s="3498"/>
      <c r="K46" s="3498"/>
      <c r="L46" s="3498"/>
      <c r="M46" s="3498"/>
    </row>
    <row r="47" spans="1:13" x14ac:dyDescent="0.3">
      <c r="A47" s="3500" t="s">
        <v>5281</v>
      </c>
      <c r="B47" s="3499">
        <v>0</v>
      </c>
      <c r="C47" s="3499"/>
      <c r="D47" s="3499"/>
      <c r="E47" s="3499"/>
      <c r="F47" s="3499"/>
      <c r="I47" s="3498"/>
      <c r="J47" s="3498"/>
      <c r="K47" s="3498"/>
      <c r="L47" s="3498"/>
      <c r="M47" s="3498"/>
    </row>
    <row r="48" spans="1:13" hidden="1" x14ac:dyDescent="0.3">
      <c r="A48" s="3500" t="s">
        <v>5293</v>
      </c>
      <c r="B48" s="3499"/>
      <c r="C48" s="3499"/>
      <c r="D48" s="3499"/>
      <c r="E48" s="3499"/>
      <c r="F48" s="3499"/>
      <c r="I48" s="3498"/>
      <c r="J48" s="3498"/>
      <c r="K48" s="3498"/>
      <c r="L48" s="3498"/>
      <c r="M48" s="3498"/>
    </row>
    <row r="49" spans="1:13" hidden="1" x14ac:dyDescent="0.3">
      <c r="A49" s="3500" t="s">
        <v>5294</v>
      </c>
      <c r="B49" s="3499"/>
      <c r="C49" s="3499"/>
      <c r="D49" s="3499"/>
      <c r="E49" s="3499"/>
      <c r="F49" s="3499"/>
      <c r="I49" s="3498"/>
      <c r="J49" s="3498"/>
      <c r="K49" s="3498"/>
      <c r="L49" s="3498"/>
      <c r="M49" s="3498"/>
    </row>
    <row r="50" spans="1:13" ht="16.149999999999999" customHeight="1" x14ac:dyDescent="0.3">
      <c r="A50" s="3500" t="s">
        <v>5283</v>
      </c>
      <c r="B50" s="3499">
        <v>8126.1610000000001</v>
      </c>
      <c r="C50" s="3499">
        <v>7254.1229999999996</v>
      </c>
      <c r="D50" s="3499">
        <v>6122.098</v>
      </c>
      <c r="E50" s="3499">
        <v>6138.0770000000002</v>
      </c>
      <c r="F50" s="3499">
        <v>6662.9137640838926</v>
      </c>
      <c r="I50" s="3498"/>
      <c r="J50" s="3498"/>
      <c r="K50" s="3498"/>
      <c r="L50" s="3498"/>
      <c r="M50" s="3498"/>
    </row>
    <row r="51" spans="1:13" ht="16.149999999999999" customHeight="1" x14ac:dyDescent="0.3">
      <c r="A51" s="3500" t="s">
        <v>5293</v>
      </c>
      <c r="B51" s="3499"/>
      <c r="C51" s="3499"/>
      <c r="D51" s="3499"/>
      <c r="E51" s="3499"/>
      <c r="F51" s="3499"/>
      <c r="I51" s="3498"/>
      <c r="J51" s="3498"/>
      <c r="K51" s="3498"/>
      <c r="L51" s="3498"/>
      <c r="M51" s="3498"/>
    </row>
    <row r="52" spans="1:13" x14ac:dyDescent="0.3">
      <c r="A52" s="3500" t="s">
        <v>5294</v>
      </c>
      <c r="B52" s="3499">
        <v>8126.1610000000001</v>
      </c>
      <c r="C52" s="3499">
        <v>7254.1229999999996</v>
      </c>
      <c r="D52" s="3499">
        <v>6122.098</v>
      </c>
      <c r="E52" s="3499">
        <v>6138.0770000000002</v>
      </c>
      <c r="F52" s="3499">
        <v>6662.9137640838926</v>
      </c>
      <c r="I52" s="3498"/>
      <c r="J52" s="3498"/>
      <c r="K52" s="3498"/>
      <c r="L52" s="3498"/>
      <c r="M52" s="3498"/>
    </row>
    <row r="53" spans="1:13" x14ac:dyDescent="0.3">
      <c r="A53" s="3500" t="s">
        <v>5295</v>
      </c>
      <c r="B53" s="3499">
        <v>982634.17615404981</v>
      </c>
      <c r="C53" s="3499">
        <v>1099675.6134445807</v>
      </c>
      <c r="D53" s="3499">
        <v>1241551.8400327892</v>
      </c>
      <c r="E53" s="3499">
        <v>1165357.7313544925</v>
      </c>
      <c r="F53" s="3499">
        <v>1148597.1321037426</v>
      </c>
      <c r="I53" s="3498"/>
      <c r="J53" s="3498"/>
      <c r="K53" s="3498"/>
      <c r="L53" s="3498"/>
      <c r="M53" s="3498"/>
    </row>
    <row r="54" spans="1:13" x14ac:dyDescent="0.3">
      <c r="A54" s="3500" t="s">
        <v>5280</v>
      </c>
      <c r="B54" s="3499">
        <v>0</v>
      </c>
      <c r="C54" s="3499"/>
      <c r="D54" s="3499"/>
      <c r="E54" s="3499"/>
      <c r="F54" s="3499"/>
      <c r="I54" s="3498"/>
      <c r="J54" s="3498"/>
      <c r="K54" s="3498"/>
      <c r="L54" s="3498"/>
      <c r="M54" s="3498"/>
    </row>
    <row r="55" spans="1:13" ht="15.6" hidden="1" customHeight="1" x14ac:dyDescent="0.3">
      <c r="A55" s="3500" t="s">
        <v>5293</v>
      </c>
      <c r="B55" s="3499"/>
      <c r="C55" s="3499"/>
      <c r="D55" s="3499"/>
      <c r="E55" s="3499"/>
      <c r="F55" s="3499"/>
      <c r="I55" s="3498"/>
      <c r="J55" s="3498"/>
      <c r="K55" s="3498"/>
      <c r="L55" s="3498"/>
      <c r="M55" s="3498"/>
    </row>
    <row r="56" spans="1:13" hidden="1" x14ac:dyDescent="0.3">
      <c r="A56" s="3500" t="s">
        <v>5294</v>
      </c>
      <c r="B56" s="3499"/>
      <c r="C56" s="3499"/>
      <c r="D56" s="3499"/>
      <c r="E56" s="3499"/>
      <c r="F56" s="3499"/>
      <c r="I56" s="3498"/>
      <c r="J56" s="3498"/>
      <c r="K56" s="3498"/>
      <c r="L56" s="3498"/>
      <c r="M56" s="3498"/>
    </row>
    <row r="57" spans="1:13" x14ac:dyDescent="0.3">
      <c r="A57" s="3500" t="s">
        <v>5281</v>
      </c>
      <c r="B57" s="3499">
        <v>0</v>
      </c>
      <c r="C57" s="3499"/>
      <c r="D57" s="3499"/>
      <c r="E57" s="3499"/>
      <c r="F57" s="3499"/>
      <c r="I57" s="3498"/>
      <c r="J57" s="3498"/>
      <c r="K57" s="3498"/>
      <c r="L57" s="3498"/>
      <c r="M57" s="3498"/>
    </row>
    <row r="58" spans="1:13" hidden="1" x14ac:dyDescent="0.3">
      <c r="A58" s="3500" t="s">
        <v>5293</v>
      </c>
      <c r="B58" s="3499"/>
      <c r="C58" s="3499"/>
      <c r="D58" s="3499"/>
      <c r="E58" s="3499"/>
      <c r="F58" s="3499"/>
      <c r="I58" s="3498"/>
      <c r="J58" s="3498"/>
      <c r="K58" s="3498"/>
      <c r="L58" s="3498"/>
      <c r="M58" s="3498"/>
    </row>
    <row r="59" spans="1:13" hidden="1" x14ac:dyDescent="0.3">
      <c r="A59" s="3500" t="s">
        <v>5294</v>
      </c>
      <c r="B59" s="3499"/>
      <c r="C59" s="3499"/>
      <c r="D59" s="3499"/>
      <c r="E59" s="3499"/>
      <c r="F59" s="3499"/>
      <c r="I59" s="3498"/>
      <c r="J59" s="3498"/>
      <c r="K59" s="3498"/>
      <c r="L59" s="3498"/>
      <c r="M59" s="3498"/>
    </row>
    <row r="60" spans="1:13" ht="15.6" customHeight="1" x14ac:dyDescent="0.3">
      <c r="A60" s="3500" t="s">
        <v>5282</v>
      </c>
      <c r="B60" s="3499">
        <v>259430.86005404967</v>
      </c>
      <c r="C60" s="3499">
        <v>253733.44044458066</v>
      </c>
      <c r="D60" s="3499">
        <v>269721.86225128855</v>
      </c>
      <c r="E60" s="3499">
        <v>261988.09769472326</v>
      </c>
      <c r="F60" s="3499">
        <v>259596.31330374259</v>
      </c>
      <c r="I60" s="3498"/>
      <c r="J60" s="3498"/>
      <c r="K60" s="3498"/>
      <c r="L60" s="3498"/>
      <c r="M60" s="3498"/>
    </row>
    <row r="61" spans="1:13" x14ac:dyDescent="0.3">
      <c r="A61" s="3500" t="s">
        <v>5293</v>
      </c>
      <c r="B61" s="3499">
        <v>259430.86005404967</v>
      </c>
      <c r="C61" s="3499">
        <v>253733.44044458066</v>
      </c>
      <c r="D61" s="3499">
        <v>269721.86225128855</v>
      </c>
      <c r="E61" s="3499">
        <v>261988.09769472326</v>
      </c>
      <c r="F61" s="3499">
        <v>259596.31330374259</v>
      </c>
      <c r="I61" s="3498"/>
      <c r="J61" s="3498"/>
      <c r="K61" s="3498"/>
      <c r="L61" s="3498"/>
      <c r="M61" s="3498"/>
    </row>
    <row r="62" spans="1:13" x14ac:dyDescent="0.3">
      <c r="A62" s="3500" t="s">
        <v>5294</v>
      </c>
      <c r="B62" s="3499"/>
      <c r="C62" s="3499"/>
      <c r="D62" s="3499"/>
      <c r="E62" s="3499"/>
      <c r="F62" s="3499"/>
      <c r="I62" s="3498"/>
      <c r="J62" s="3498"/>
      <c r="K62" s="3498"/>
      <c r="L62" s="3498"/>
      <c r="M62" s="3498"/>
    </row>
    <row r="63" spans="1:13" x14ac:dyDescent="0.3">
      <c r="A63" s="3500" t="s">
        <v>5283</v>
      </c>
      <c r="B63" s="3499">
        <v>723203.31610000017</v>
      </c>
      <c r="C63" s="3499">
        <v>845942.17300000007</v>
      </c>
      <c r="D63" s="3499">
        <v>971829.97778150055</v>
      </c>
      <c r="E63" s="3499">
        <v>903369.63365976932</v>
      </c>
      <c r="F63" s="3499">
        <v>889000.81879999989</v>
      </c>
      <c r="I63" s="3498"/>
      <c r="J63" s="3498"/>
      <c r="K63" s="3498"/>
      <c r="L63" s="3498"/>
      <c r="M63" s="3498"/>
    </row>
    <row r="64" spans="1:13" x14ac:dyDescent="0.3">
      <c r="A64" s="3500" t="s">
        <v>5293</v>
      </c>
      <c r="B64" s="3499">
        <v>723132.01710000017</v>
      </c>
      <c r="C64" s="3499">
        <v>845837.65800000005</v>
      </c>
      <c r="D64" s="3499">
        <v>971686.93378150056</v>
      </c>
      <c r="E64" s="3499">
        <v>903208.46965976933</v>
      </c>
      <c r="F64" s="3499">
        <v>888829.32679999992</v>
      </c>
      <c r="I64" s="3498"/>
      <c r="J64" s="3498"/>
      <c r="K64" s="3498"/>
      <c r="L64" s="3498"/>
      <c r="M64" s="3498"/>
    </row>
    <row r="65" spans="1:13" s="3503" customFormat="1" x14ac:dyDescent="0.3">
      <c r="A65" s="3501" t="s">
        <v>5267</v>
      </c>
      <c r="B65" s="3502">
        <v>722188.31010000012</v>
      </c>
      <c r="C65" s="3502">
        <v>845157.04700000002</v>
      </c>
      <c r="D65" s="3502">
        <v>970706.03778150061</v>
      </c>
      <c r="E65" s="3502">
        <v>902225.55565976934</v>
      </c>
      <c r="F65" s="3502">
        <v>887845.2257999999</v>
      </c>
      <c r="I65" s="3504"/>
      <c r="J65" s="3504"/>
      <c r="K65" s="3504"/>
      <c r="L65" s="3504"/>
      <c r="M65" s="3504"/>
    </row>
    <row r="66" spans="1:13" x14ac:dyDescent="0.3">
      <c r="A66" s="3500" t="s">
        <v>5294</v>
      </c>
      <c r="B66" s="3499">
        <v>71.299000000000007</v>
      </c>
      <c r="C66" s="3499">
        <v>104.515</v>
      </c>
      <c r="D66" s="3499">
        <v>143.04399999999998</v>
      </c>
      <c r="E66" s="3499">
        <v>161.16399999999999</v>
      </c>
      <c r="F66" s="3499">
        <v>171.49199999999999</v>
      </c>
      <c r="I66" s="3498"/>
      <c r="J66" s="3498"/>
      <c r="K66" s="3498"/>
      <c r="L66" s="3498"/>
      <c r="M66" s="3498"/>
    </row>
    <row r="67" spans="1:13" x14ac:dyDescent="0.3">
      <c r="A67" s="3500" t="s">
        <v>5296</v>
      </c>
      <c r="B67" s="3499">
        <v>427786.23047320877</v>
      </c>
      <c r="C67" s="3499">
        <v>581936.21282665269</v>
      </c>
      <c r="D67" s="3499">
        <v>610737.04006180679</v>
      </c>
      <c r="E67" s="3499">
        <v>584954.29779068101</v>
      </c>
      <c r="F67" s="3499">
        <v>646126.31808325159</v>
      </c>
      <c r="I67" s="3498"/>
      <c r="J67" s="3498"/>
      <c r="K67" s="3498"/>
      <c r="L67" s="3498"/>
      <c r="M67" s="3498"/>
    </row>
    <row r="68" spans="1:13" x14ac:dyDescent="0.3">
      <c r="A68" s="3500" t="s">
        <v>5280</v>
      </c>
      <c r="B68" s="3499"/>
      <c r="C68" s="3499"/>
      <c r="D68" s="3499"/>
      <c r="E68" s="3499"/>
      <c r="F68" s="3499"/>
      <c r="I68" s="3498"/>
      <c r="J68" s="3498"/>
      <c r="K68" s="3498"/>
      <c r="L68" s="3498"/>
      <c r="M68" s="3498"/>
    </row>
    <row r="69" spans="1:13" x14ac:dyDescent="0.3">
      <c r="A69" s="3500" t="s">
        <v>5281</v>
      </c>
      <c r="B69" s="3499"/>
      <c r="C69" s="3499"/>
      <c r="D69" s="3499"/>
      <c r="E69" s="3499"/>
      <c r="F69" s="3499"/>
      <c r="I69" s="3498"/>
      <c r="J69" s="3498"/>
      <c r="K69" s="3498"/>
      <c r="L69" s="3498"/>
      <c r="M69" s="3498"/>
    </row>
    <row r="70" spans="1:13" x14ac:dyDescent="0.3">
      <c r="A70" s="3500" t="s">
        <v>5282</v>
      </c>
      <c r="B70" s="3499">
        <v>307953.86117320874</v>
      </c>
      <c r="C70" s="3499">
        <v>300661.32172665274</v>
      </c>
      <c r="D70" s="3499">
        <v>241402.73021702055</v>
      </c>
      <c r="E70" s="3499">
        <v>215262.26535023598</v>
      </c>
      <c r="F70" s="3499">
        <v>282412.78238325153</v>
      </c>
      <c r="I70" s="3498"/>
      <c r="J70" s="3498"/>
      <c r="K70" s="3498"/>
      <c r="L70" s="3498"/>
      <c r="M70" s="3498"/>
    </row>
    <row r="71" spans="1:13" x14ac:dyDescent="0.3">
      <c r="A71" s="3500" t="s">
        <v>5283</v>
      </c>
      <c r="B71" s="3499">
        <v>119832.36930000001</v>
      </c>
      <c r="C71" s="3499">
        <v>281274.89110000001</v>
      </c>
      <c r="D71" s="3499">
        <v>369334.30984478624</v>
      </c>
      <c r="E71" s="3499">
        <v>369692.03244044498</v>
      </c>
      <c r="F71" s="3499">
        <v>363713.53570000001</v>
      </c>
      <c r="I71" s="3498"/>
      <c r="J71" s="3498"/>
      <c r="K71" s="3498"/>
      <c r="L71" s="3498"/>
      <c r="M71" s="3498"/>
    </row>
    <row r="72" spans="1:13" s="3503" customFormat="1" x14ac:dyDescent="0.3">
      <c r="A72" s="3501" t="s">
        <v>5267</v>
      </c>
      <c r="B72" s="3502">
        <v>119832.36930000001</v>
      </c>
      <c r="C72" s="3502">
        <v>281274.89110000001</v>
      </c>
      <c r="D72" s="3502">
        <v>369310.77784478624</v>
      </c>
      <c r="E72" s="3502">
        <v>369684.21244044497</v>
      </c>
      <c r="F72" s="3509">
        <v>363695.1937</v>
      </c>
      <c r="I72" s="3504"/>
      <c r="J72" s="3504"/>
      <c r="K72" s="3504"/>
      <c r="L72" s="3504"/>
      <c r="M72" s="3504"/>
    </row>
    <row r="73" spans="1:13" x14ac:dyDescent="0.3">
      <c r="A73" s="3500" t="s">
        <v>5297</v>
      </c>
      <c r="B73" s="3499">
        <v>295758.92464020761</v>
      </c>
      <c r="C73" s="3499">
        <v>297894.23794122325</v>
      </c>
      <c r="D73" s="3499">
        <v>350792.6016381816</v>
      </c>
      <c r="E73" s="3499">
        <v>385232.745911695</v>
      </c>
      <c r="F73" s="3499">
        <v>423913.37652074971</v>
      </c>
      <c r="I73" s="3498"/>
      <c r="J73" s="3498"/>
      <c r="K73" s="3498"/>
      <c r="L73" s="3498"/>
      <c r="M73" s="3498"/>
    </row>
    <row r="74" spans="1:13" x14ac:dyDescent="0.3">
      <c r="A74" s="3500" t="s">
        <v>5280</v>
      </c>
      <c r="B74" s="3499">
        <v>0</v>
      </c>
      <c r="C74" s="3499"/>
      <c r="D74" s="3499"/>
      <c r="E74" s="3499"/>
      <c r="F74" s="3499"/>
      <c r="I74" s="3498"/>
      <c r="J74" s="3498"/>
      <c r="K74" s="3498"/>
      <c r="L74" s="3498"/>
      <c r="M74" s="3498"/>
    </row>
    <row r="75" spans="1:13" hidden="1" x14ac:dyDescent="0.3">
      <c r="A75" s="3500" t="s">
        <v>5293</v>
      </c>
      <c r="B75" s="3499"/>
      <c r="C75" s="3499"/>
      <c r="D75" s="3499"/>
      <c r="E75" s="3499"/>
      <c r="F75" s="3499"/>
      <c r="I75" s="3498"/>
      <c r="J75" s="3498"/>
      <c r="K75" s="3498"/>
      <c r="L75" s="3498"/>
      <c r="M75" s="3498"/>
    </row>
    <row r="76" spans="1:13" hidden="1" x14ac:dyDescent="0.3">
      <c r="A76" s="3500" t="s">
        <v>5294</v>
      </c>
      <c r="B76" s="3499"/>
      <c r="C76" s="3499"/>
      <c r="D76" s="3499"/>
      <c r="E76" s="3499"/>
      <c r="F76" s="3499"/>
      <c r="I76" s="3498"/>
      <c r="J76" s="3498"/>
      <c r="K76" s="3498"/>
      <c r="L76" s="3498"/>
      <c r="M76" s="3498"/>
    </row>
    <row r="77" spans="1:13" x14ac:dyDescent="0.3">
      <c r="A77" s="3500" t="s">
        <v>5281</v>
      </c>
      <c r="B77" s="3499">
        <v>0</v>
      </c>
      <c r="C77" s="3499"/>
      <c r="D77" s="3499"/>
      <c r="E77" s="3499"/>
      <c r="F77" s="3499"/>
      <c r="I77" s="3498"/>
      <c r="J77" s="3498"/>
      <c r="K77" s="3498"/>
      <c r="L77" s="3498"/>
      <c r="M77" s="3498"/>
    </row>
    <row r="78" spans="1:13" hidden="1" x14ac:dyDescent="0.3">
      <c r="A78" s="3500" t="s">
        <v>5293</v>
      </c>
      <c r="B78" s="3499"/>
      <c r="C78" s="3499"/>
      <c r="D78" s="3499"/>
      <c r="E78" s="3499"/>
      <c r="F78" s="3499"/>
      <c r="I78" s="3498"/>
      <c r="J78" s="3498"/>
      <c r="K78" s="3498"/>
      <c r="L78" s="3498"/>
      <c r="M78" s="3498"/>
    </row>
    <row r="79" spans="1:13" hidden="1" x14ac:dyDescent="0.3">
      <c r="A79" s="3500" t="s">
        <v>5294</v>
      </c>
      <c r="B79" s="3510"/>
      <c r="C79" s="3510"/>
      <c r="D79" s="3499"/>
      <c r="E79" s="3499"/>
      <c r="F79" s="3499"/>
      <c r="I79" s="3498"/>
      <c r="J79" s="3498"/>
      <c r="K79" s="3498"/>
      <c r="L79" s="3498"/>
      <c r="M79" s="3498"/>
    </row>
    <row r="80" spans="1:13" x14ac:dyDescent="0.3">
      <c r="A80" s="3500" t="s">
        <v>5282</v>
      </c>
      <c r="B80" s="3499">
        <v>1435.6959402076577</v>
      </c>
      <c r="C80" s="3499">
        <v>2071.2664412232484</v>
      </c>
      <c r="D80" s="3499">
        <v>1769.3447509915045</v>
      </c>
      <c r="E80" s="3499">
        <v>2044.9513684777419</v>
      </c>
      <c r="F80" s="3499">
        <v>1731.2230207497744</v>
      </c>
      <c r="I80" s="3498"/>
      <c r="J80" s="3498"/>
      <c r="K80" s="3498"/>
      <c r="L80" s="3498"/>
      <c r="M80" s="3498"/>
    </row>
    <row r="81" spans="1:13" x14ac:dyDescent="0.3">
      <c r="A81" s="3500" t="s">
        <v>5293</v>
      </c>
      <c r="B81" s="3499"/>
      <c r="C81" s="3499"/>
      <c r="D81" s="3499"/>
      <c r="E81" s="3499"/>
      <c r="F81" s="3499"/>
      <c r="I81" s="3498"/>
      <c r="J81" s="3498"/>
      <c r="K81" s="3498"/>
      <c r="L81" s="3498"/>
      <c r="M81" s="3498"/>
    </row>
    <row r="82" spans="1:13" x14ac:dyDescent="0.3">
      <c r="A82" s="3500" t="s">
        <v>5294</v>
      </c>
      <c r="B82" s="3499">
        <v>1435.6959402076577</v>
      </c>
      <c r="C82" s="3499">
        <v>2071.2664412232484</v>
      </c>
      <c r="D82" s="3499">
        <v>1769.3447509915045</v>
      </c>
      <c r="E82" s="3499">
        <v>2044.9513684777419</v>
      </c>
      <c r="F82" s="3499">
        <v>1731.2230207497744</v>
      </c>
      <c r="I82" s="3498"/>
      <c r="J82" s="3498"/>
      <c r="K82" s="3498"/>
      <c r="L82" s="3498"/>
      <c r="M82" s="3498"/>
    </row>
    <row r="83" spans="1:13" x14ac:dyDescent="0.3">
      <c r="A83" s="3500" t="s">
        <v>5283</v>
      </c>
      <c r="B83" s="3499">
        <v>294323.22869999998</v>
      </c>
      <c r="C83" s="3499">
        <v>295822.97149999999</v>
      </c>
      <c r="D83" s="3499">
        <v>349023.2568871901</v>
      </c>
      <c r="E83" s="3499">
        <v>383187.79454321729</v>
      </c>
      <c r="F83" s="3499">
        <v>422182.15349999996</v>
      </c>
      <c r="I83" s="3498"/>
      <c r="J83" s="3498"/>
      <c r="K83" s="3498"/>
      <c r="L83" s="3498"/>
      <c r="M83" s="3498"/>
    </row>
    <row r="84" spans="1:13" x14ac:dyDescent="0.3">
      <c r="A84" s="3500" t="s">
        <v>5293</v>
      </c>
      <c r="B84" s="3499">
        <v>294323.22869999998</v>
      </c>
      <c r="C84" s="3499">
        <v>295822.97149999999</v>
      </c>
      <c r="D84" s="3499">
        <v>349023.2568871901</v>
      </c>
      <c r="E84" s="3499">
        <v>383187.79454321729</v>
      </c>
      <c r="F84" s="3499">
        <v>422182.15349999996</v>
      </c>
      <c r="I84" s="3498"/>
      <c r="J84" s="3498"/>
      <c r="K84" s="3498"/>
      <c r="L84" s="3498"/>
      <c r="M84" s="3498"/>
    </row>
    <row r="85" spans="1:13" s="3503" customFormat="1" x14ac:dyDescent="0.3">
      <c r="A85" s="3501" t="s">
        <v>5267</v>
      </c>
      <c r="B85" s="3502">
        <v>294323.22869999998</v>
      </c>
      <c r="C85" s="3502">
        <v>295822.97149999999</v>
      </c>
      <c r="D85" s="3502">
        <v>349023.2568871901</v>
      </c>
      <c r="E85" s="3502">
        <v>383187.79454321729</v>
      </c>
      <c r="F85" s="3502">
        <v>422182.15349999996</v>
      </c>
      <c r="I85" s="3504"/>
      <c r="J85" s="3504"/>
      <c r="K85" s="3504"/>
      <c r="L85" s="3504"/>
      <c r="M85" s="3504"/>
    </row>
    <row r="86" spans="1:13" x14ac:dyDescent="0.3">
      <c r="A86" s="3500" t="s">
        <v>5294</v>
      </c>
      <c r="B86" s="3502"/>
      <c r="C86" s="3502"/>
      <c r="D86" s="3502"/>
      <c r="E86" s="3502"/>
      <c r="F86" s="3502"/>
      <c r="I86" s="3498"/>
      <c r="J86" s="3498"/>
      <c r="K86" s="3498"/>
      <c r="L86" s="3498"/>
      <c r="M86" s="3498"/>
    </row>
    <row r="87" spans="1:13" ht="16.149999999999999" customHeight="1" x14ac:dyDescent="0.3">
      <c r="A87" s="3500" t="s">
        <v>5298</v>
      </c>
      <c r="B87" s="3499">
        <v>152900.82534552345</v>
      </c>
      <c r="C87" s="3499">
        <v>178854.95709232739</v>
      </c>
      <c r="D87" s="3499">
        <v>200348.68133287434</v>
      </c>
      <c r="E87" s="3499">
        <v>217585.03071723008</v>
      </c>
      <c r="F87" s="3499">
        <v>269494.2643912257</v>
      </c>
      <c r="I87" s="3498"/>
      <c r="J87" s="3498"/>
      <c r="K87" s="3498"/>
      <c r="L87" s="3498"/>
      <c r="M87" s="3498"/>
    </row>
    <row r="88" spans="1:13" x14ac:dyDescent="0.3">
      <c r="A88" s="3500" t="s">
        <v>5299</v>
      </c>
      <c r="B88" s="3499">
        <v>10887.44390253</v>
      </c>
      <c r="C88" s="3499">
        <v>16674.614317179999</v>
      </c>
      <c r="D88" s="3499">
        <v>17357.96307804</v>
      </c>
      <c r="E88" s="3499">
        <v>17549.26233039</v>
      </c>
      <c r="F88" s="3499">
        <v>22321.961788799999</v>
      </c>
      <c r="I88" s="3498"/>
      <c r="J88" s="3498"/>
      <c r="K88" s="3498"/>
      <c r="L88" s="3498"/>
      <c r="M88" s="3498"/>
    </row>
    <row r="89" spans="1:13" x14ac:dyDescent="0.3">
      <c r="A89" s="3500" t="s">
        <v>5300</v>
      </c>
      <c r="B89" s="3499">
        <v>4978.2981582900002</v>
      </c>
      <c r="C89" s="3499">
        <v>4337.6061293399998</v>
      </c>
      <c r="D89" s="3499">
        <v>4278.3709800200004</v>
      </c>
      <c r="E89" s="3499">
        <v>4288.2606479300002</v>
      </c>
      <c r="F89" s="3499">
        <v>4560.4090600999998</v>
      </c>
      <c r="I89" s="3498"/>
      <c r="J89" s="3498"/>
      <c r="K89" s="3498"/>
      <c r="L89" s="3498"/>
      <c r="M89" s="3498"/>
    </row>
    <row r="90" spans="1:13" x14ac:dyDescent="0.3">
      <c r="A90" s="3500" t="s">
        <v>5301</v>
      </c>
      <c r="B90" s="3499">
        <v>1600.21502435344</v>
      </c>
      <c r="C90" s="3499">
        <v>1454.8429065473872</v>
      </c>
      <c r="D90" s="3499">
        <v>1008.652255914373</v>
      </c>
      <c r="E90" s="3499">
        <v>1026.226106477161</v>
      </c>
      <c r="F90" s="3499">
        <v>1259.0068398999999</v>
      </c>
      <c r="I90" s="3498"/>
      <c r="J90" s="3498"/>
      <c r="K90" s="3498"/>
      <c r="L90" s="3498"/>
      <c r="M90" s="3498"/>
    </row>
    <row r="91" spans="1:13" x14ac:dyDescent="0.3">
      <c r="A91" s="3500" t="s">
        <v>5302</v>
      </c>
      <c r="B91" s="3499">
        <v>135434.86826035002</v>
      </c>
      <c r="C91" s="3499">
        <v>156387.89373926001</v>
      </c>
      <c r="D91" s="3499">
        <v>177703.69501889998</v>
      </c>
      <c r="E91" s="3499">
        <v>194721.28163243292</v>
      </c>
      <c r="F91" s="3499">
        <v>241352.88670242569</v>
      </c>
      <c r="I91" s="3498"/>
      <c r="J91" s="3498"/>
      <c r="K91" s="3498"/>
      <c r="L91" s="3498"/>
      <c r="M91" s="3498"/>
    </row>
    <row r="92" spans="1:13" x14ac:dyDescent="0.3">
      <c r="A92" s="3500" t="s">
        <v>5296</v>
      </c>
      <c r="B92" s="3499">
        <v>37565.852503869995</v>
      </c>
      <c r="C92" s="3499">
        <v>29333.727436069999</v>
      </c>
      <c r="D92" s="3499">
        <v>40148.109659429996</v>
      </c>
      <c r="E92" s="3499">
        <v>21239.393319999999</v>
      </c>
      <c r="F92" s="3499">
        <v>48037.144226831624</v>
      </c>
      <c r="I92" s="3498"/>
      <c r="J92" s="3498"/>
      <c r="K92" s="3498"/>
      <c r="L92" s="3498"/>
      <c r="M92" s="3498"/>
    </row>
    <row r="93" spans="1:13" x14ac:dyDescent="0.3">
      <c r="A93" s="3500" t="s">
        <v>5303</v>
      </c>
      <c r="B93" s="3499"/>
      <c r="C93" s="3499"/>
      <c r="D93" s="3499"/>
      <c r="E93" s="3499"/>
      <c r="F93" s="3499"/>
      <c r="I93" s="3498"/>
      <c r="J93" s="3498"/>
      <c r="K93" s="3498"/>
      <c r="L93" s="3498"/>
      <c r="M93" s="3498"/>
    </row>
    <row r="94" spans="1:13" ht="15.6" customHeight="1" x14ac:dyDescent="0.3">
      <c r="A94" s="3500" t="s">
        <v>5304</v>
      </c>
      <c r="B94" s="3499"/>
      <c r="C94" s="3499"/>
      <c r="D94" s="3499"/>
      <c r="E94" s="3499"/>
      <c r="F94" s="3499"/>
      <c r="I94" s="3498"/>
      <c r="J94" s="3498"/>
      <c r="K94" s="3498"/>
      <c r="L94" s="3498"/>
      <c r="M94" s="3498"/>
    </row>
    <row r="95" spans="1:13" x14ac:dyDescent="0.3">
      <c r="A95" s="3500" t="s">
        <v>5305</v>
      </c>
      <c r="B95" s="3499">
        <v>97869.015756480017</v>
      </c>
      <c r="C95" s="3499">
        <v>123453.15630318999</v>
      </c>
      <c r="D95" s="3499">
        <v>127510.44535947</v>
      </c>
      <c r="E95" s="3499">
        <v>161494.80831243293</v>
      </c>
      <c r="F95" s="3499">
        <v>176812.84400888075</v>
      </c>
      <c r="I95" s="3498"/>
      <c r="J95" s="3498"/>
      <c r="K95" s="3498"/>
      <c r="L95" s="3498"/>
      <c r="M95" s="3498"/>
    </row>
    <row r="96" spans="1:13" ht="15.75" customHeight="1" x14ac:dyDescent="0.3">
      <c r="A96" s="3500" t="s">
        <v>5306</v>
      </c>
      <c r="B96" s="3499"/>
      <c r="C96" s="3499"/>
      <c r="D96" s="3499"/>
      <c r="E96" s="3499">
        <v>0</v>
      </c>
      <c r="F96" s="3499">
        <v>0</v>
      </c>
      <c r="I96" s="3498"/>
      <c r="J96" s="3498"/>
      <c r="K96" s="3498"/>
      <c r="L96" s="3498"/>
      <c r="M96" s="3498"/>
    </row>
    <row r="97" spans="1:13" ht="15.75" customHeight="1" x14ac:dyDescent="0.3">
      <c r="A97" s="3500" t="s">
        <v>5279</v>
      </c>
      <c r="B97" s="3499">
        <v>97869.015756480017</v>
      </c>
      <c r="C97" s="3499">
        <v>123453.15630318999</v>
      </c>
      <c r="D97" s="3499">
        <v>127510.44535947</v>
      </c>
      <c r="E97" s="3499">
        <v>161494.80831243293</v>
      </c>
      <c r="F97" s="3499">
        <v>176812.84400888075</v>
      </c>
      <c r="I97" s="3498"/>
      <c r="J97" s="3498"/>
      <c r="K97" s="3498"/>
      <c r="L97" s="3498"/>
      <c r="M97" s="3498"/>
    </row>
    <row r="98" spans="1:13" ht="15.75" customHeight="1" x14ac:dyDescent="0.3">
      <c r="A98" s="3500" t="s">
        <v>5307</v>
      </c>
      <c r="B98" s="3499"/>
      <c r="C98" s="3499"/>
      <c r="D98" s="3499"/>
      <c r="E98" s="3499"/>
      <c r="F98" s="3499"/>
      <c r="I98" s="3498"/>
      <c r="J98" s="3498"/>
      <c r="K98" s="3498"/>
      <c r="L98" s="3498"/>
      <c r="M98" s="3498"/>
    </row>
    <row r="99" spans="1:13" ht="15.75" customHeight="1" x14ac:dyDescent="0.3">
      <c r="A99" s="3500" t="s">
        <v>5308</v>
      </c>
      <c r="B99" s="3499"/>
      <c r="C99" s="3499"/>
      <c r="D99" s="3499"/>
      <c r="E99" s="3499"/>
      <c r="F99" s="3499"/>
      <c r="I99" s="3498"/>
      <c r="J99" s="3498"/>
      <c r="K99" s="3498"/>
      <c r="L99" s="3498"/>
      <c r="M99" s="3498"/>
    </row>
    <row r="100" spans="1:13" ht="15.75" customHeight="1" x14ac:dyDescent="0.3">
      <c r="A100" s="3500" t="s">
        <v>5309</v>
      </c>
      <c r="B100" s="3499">
        <v>0</v>
      </c>
      <c r="C100" s="3499">
        <v>3601.01</v>
      </c>
      <c r="D100" s="3499">
        <v>10045.14</v>
      </c>
      <c r="E100" s="3499">
        <v>11987.08</v>
      </c>
      <c r="F100" s="3499">
        <v>16502.898466713326</v>
      </c>
      <c r="G100" s="3497"/>
      <c r="I100" s="3498"/>
      <c r="J100" s="3498"/>
      <c r="K100" s="3498"/>
      <c r="L100" s="3498"/>
      <c r="M100" s="3498"/>
    </row>
    <row r="101" spans="1:13" ht="5.25" customHeight="1" thickBot="1" x14ac:dyDescent="0.35">
      <c r="A101" s="3511"/>
      <c r="B101" s="3512"/>
      <c r="C101" s="3512"/>
      <c r="D101" s="3512"/>
      <c r="E101" s="3512"/>
      <c r="F101" s="3512"/>
      <c r="H101" s="3497"/>
      <c r="I101" s="3498"/>
      <c r="J101" s="3498"/>
      <c r="K101" s="3498"/>
      <c r="L101" s="3498"/>
      <c r="M101" s="3498"/>
    </row>
    <row r="102" spans="1:13" s="3497" customFormat="1" ht="18" customHeight="1" thickTop="1" x14ac:dyDescent="0.3">
      <c r="A102" s="3513" t="s">
        <v>5310</v>
      </c>
      <c r="B102" s="3514">
        <v>14646351.462103304</v>
      </c>
      <c r="C102" s="3514">
        <v>15016000.592775272</v>
      </c>
      <c r="D102" s="3514">
        <v>15505523.502078943</v>
      </c>
      <c r="E102" s="3514">
        <v>15235621.133343512</v>
      </c>
      <c r="F102" s="3514">
        <v>16323957.866115585</v>
      </c>
      <c r="G102" s="3505"/>
      <c r="H102" s="3486"/>
      <c r="I102" s="3498"/>
      <c r="J102" s="3498"/>
      <c r="K102" s="3498"/>
      <c r="L102" s="3498"/>
      <c r="M102" s="3498"/>
    </row>
    <row r="103" spans="1:13" ht="15.75" customHeight="1" x14ac:dyDescent="0.3">
      <c r="A103" s="3500" t="s">
        <v>5311</v>
      </c>
      <c r="B103" s="3499">
        <v>10016678.912167965</v>
      </c>
      <c r="C103" s="3499">
        <v>10202635.67438959</v>
      </c>
      <c r="D103" s="3499">
        <v>11097309.45882806</v>
      </c>
      <c r="E103" s="3499">
        <v>10971450.048263691</v>
      </c>
      <c r="F103" s="3499">
        <v>11816540.109386953</v>
      </c>
      <c r="I103" s="3498"/>
      <c r="J103" s="3498"/>
      <c r="K103" s="3498"/>
      <c r="L103" s="3498"/>
      <c r="M103" s="3498"/>
    </row>
    <row r="104" spans="1:13" ht="15.75" customHeight="1" x14ac:dyDescent="0.3">
      <c r="A104" s="3500" t="s">
        <v>5265</v>
      </c>
      <c r="B104" s="3499">
        <v>6366677.7673534043</v>
      </c>
      <c r="C104" s="3499">
        <v>6309142.9664816596</v>
      </c>
      <c r="D104" s="3499">
        <v>6819102.9747783802</v>
      </c>
      <c r="E104" s="3499">
        <v>6347782.0300374236</v>
      </c>
      <c r="F104" s="3499">
        <v>7477662.2429569531</v>
      </c>
      <c r="I104" s="3498"/>
      <c r="J104" s="3498"/>
      <c r="K104" s="3498"/>
      <c r="L104" s="3498"/>
      <c r="M104" s="3498"/>
    </row>
    <row r="105" spans="1:13" ht="15.75" customHeight="1" x14ac:dyDescent="0.3">
      <c r="A105" s="3500" t="s">
        <v>5312</v>
      </c>
      <c r="B105" s="3499">
        <v>-26579</v>
      </c>
      <c r="C105" s="3499">
        <v>-21310</v>
      </c>
      <c r="D105" s="3499">
        <v>-20732</v>
      </c>
      <c r="E105" s="3499">
        <v>-166003.93360000002</v>
      </c>
      <c r="F105" s="3499">
        <v>-139885.58219999998</v>
      </c>
      <c r="G105" s="3503"/>
      <c r="I105" s="3498"/>
      <c r="J105" s="3498"/>
      <c r="K105" s="3498"/>
      <c r="L105" s="3498"/>
      <c r="M105" s="3498"/>
    </row>
    <row r="106" spans="1:13" s="3503" customFormat="1" ht="15.75" customHeight="1" x14ac:dyDescent="0.3">
      <c r="A106" s="3501" t="s">
        <v>5267</v>
      </c>
      <c r="B106" s="3502">
        <v>-26579</v>
      </c>
      <c r="C106" s="3502">
        <v>-21310</v>
      </c>
      <c r="D106" s="3502">
        <v>-20732</v>
      </c>
      <c r="E106" s="3502">
        <v>-166003.93360000002</v>
      </c>
      <c r="F106" s="3502">
        <v>-139885.58219999998</v>
      </c>
      <c r="I106" s="3504"/>
      <c r="J106" s="3504"/>
      <c r="K106" s="3504"/>
      <c r="L106" s="3504"/>
      <c r="M106" s="3504"/>
    </row>
    <row r="107" spans="1:13" ht="15.75" customHeight="1" x14ac:dyDescent="0.3">
      <c r="A107" s="3500" t="s">
        <v>5313</v>
      </c>
      <c r="B107" s="3499">
        <v>6393256.7673534043</v>
      </c>
      <c r="C107" s="3499">
        <v>6330452.9664816596</v>
      </c>
      <c r="D107" s="3499">
        <v>6839834.9747783802</v>
      </c>
      <c r="E107" s="3499">
        <v>6513785.9636374237</v>
      </c>
      <c r="F107" s="3499">
        <v>7617547.8251569532</v>
      </c>
      <c r="H107" s="3503"/>
      <c r="I107" s="3498"/>
      <c r="J107" s="3498"/>
      <c r="K107" s="3498"/>
      <c r="L107" s="3498"/>
      <c r="M107" s="3498"/>
    </row>
    <row r="108" spans="1:13" s="3503" customFormat="1" ht="15.75" customHeight="1" x14ac:dyDescent="0.3">
      <c r="A108" s="3501" t="s">
        <v>5267</v>
      </c>
      <c r="B108" s="3502">
        <v>6222645.7738564704</v>
      </c>
      <c r="C108" s="3502">
        <v>6156042.9107698277</v>
      </c>
      <c r="D108" s="3502">
        <v>6660394.4733788185</v>
      </c>
      <c r="E108" s="3502">
        <v>6340637.2924975855</v>
      </c>
      <c r="F108" s="3502">
        <v>7420267.6738999998</v>
      </c>
      <c r="I108" s="3504"/>
      <c r="J108" s="3504"/>
      <c r="K108" s="3504"/>
      <c r="L108" s="3504"/>
      <c r="M108" s="3504"/>
    </row>
    <row r="109" spans="1:13" ht="15.75" customHeight="1" x14ac:dyDescent="0.3">
      <c r="A109" s="3500" t="s">
        <v>5269</v>
      </c>
      <c r="B109" s="3499">
        <v>3650001.1448145607</v>
      </c>
      <c r="C109" s="3499">
        <v>3893492.7079079309</v>
      </c>
      <c r="D109" s="3499">
        <v>4278206.4840496797</v>
      </c>
      <c r="E109" s="3499">
        <v>4623668.0182262668</v>
      </c>
      <c r="F109" s="3499">
        <v>4338877.8664299995</v>
      </c>
      <c r="I109" s="3498"/>
      <c r="J109" s="3498"/>
      <c r="K109" s="3498"/>
      <c r="L109" s="3498"/>
      <c r="M109" s="3498"/>
    </row>
    <row r="110" spans="1:13" ht="15.75" customHeight="1" x14ac:dyDescent="0.3">
      <c r="A110" s="3500" t="s">
        <v>5314</v>
      </c>
      <c r="B110" s="3499">
        <v>-372273</v>
      </c>
      <c r="C110" s="3499">
        <v>-213559</v>
      </c>
      <c r="D110" s="3499">
        <v>-154170</v>
      </c>
      <c r="E110" s="3499">
        <v>-764227.72320000012</v>
      </c>
      <c r="F110" s="3499">
        <v>-713921.55059999996</v>
      </c>
      <c r="I110" s="3498"/>
      <c r="J110" s="3498"/>
      <c r="K110" s="3498"/>
      <c r="L110" s="3498"/>
      <c r="M110" s="3498"/>
    </row>
    <row r="111" spans="1:13" ht="15.75" customHeight="1" x14ac:dyDescent="0.3">
      <c r="A111" s="3501" t="s">
        <v>5267</v>
      </c>
      <c r="B111" s="3499">
        <v>-372273</v>
      </c>
      <c r="C111" s="3499">
        <v>-213559</v>
      </c>
      <c r="D111" s="3502">
        <v>-154170</v>
      </c>
      <c r="E111" s="3502">
        <v>-764227.72320000012</v>
      </c>
      <c r="F111" s="3502">
        <v>-713921.55059999996</v>
      </c>
      <c r="G111" s="3503"/>
      <c r="I111" s="3498"/>
      <c r="J111" s="3498"/>
      <c r="K111" s="3498"/>
      <c r="L111" s="3498"/>
      <c r="M111" s="3498"/>
    </row>
    <row r="112" spans="1:13" ht="15.75" customHeight="1" x14ac:dyDescent="0.3">
      <c r="A112" s="3500" t="s">
        <v>5313</v>
      </c>
      <c r="B112" s="3499">
        <v>4022274.1448145607</v>
      </c>
      <c r="C112" s="3499">
        <v>4107051.7079079309</v>
      </c>
      <c r="D112" s="3499">
        <v>4432376.4840496797</v>
      </c>
      <c r="E112" s="3499">
        <v>5387895.7414262667</v>
      </c>
      <c r="F112" s="3499">
        <v>5052799.4170299992</v>
      </c>
      <c r="H112" s="3503"/>
      <c r="I112" s="3498"/>
      <c r="J112" s="3498"/>
      <c r="K112" s="3498"/>
      <c r="L112" s="3498"/>
      <c r="M112" s="3498"/>
    </row>
    <row r="113" spans="1:13" s="3503" customFormat="1" ht="15.75" customHeight="1" x14ac:dyDescent="0.3">
      <c r="A113" s="3501" t="s">
        <v>5267</v>
      </c>
      <c r="B113" s="3502">
        <v>3637420.0058145607</v>
      </c>
      <c r="C113" s="3502">
        <v>3880350.861907931</v>
      </c>
      <c r="D113" s="3502">
        <v>4262077.6059046751</v>
      </c>
      <c r="E113" s="3502">
        <v>5373024.1904262668</v>
      </c>
      <c r="F113" s="3502">
        <v>5038516.1663999995</v>
      </c>
      <c r="I113" s="3504"/>
      <c r="J113" s="3504"/>
      <c r="K113" s="3504"/>
      <c r="L113" s="3504"/>
      <c r="M113" s="3504"/>
    </row>
    <row r="114" spans="1:13" ht="15.75" customHeight="1" x14ac:dyDescent="0.3">
      <c r="A114" s="3500" t="s">
        <v>5272</v>
      </c>
      <c r="B114" s="3499">
        <v>1243040.4617982332</v>
      </c>
      <c r="C114" s="3499">
        <v>1136777.7463910189</v>
      </c>
      <c r="D114" s="3499">
        <v>1236612.2073221111</v>
      </c>
      <c r="E114" s="3499">
        <v>1109542.3942402066</v>
      </c>
      <c r="F114" s="3499">
        <v>1153756.4352794355</v>
      </c>
      <c r="I114" s="3498"/>
      <c r="J114" s="3498"/>
      <c r="K114" s="3498"/>
      <c r="L114" s="3498"/>
      <c r="M114" s="3498"/>
    </row>
    <row r="115" spans="1:13" ht="15.75" customHeight="1" x14ac:dyDescent="0.3">
      <c r="A115" s="3500" t="s">
        <v>5273</v>
      </c>
      <c r="B115" s="3499">
        <v>832927.32566282433</v>
      </c>
      <c r="C115" s="3499">
        <v>759668.5085799566</v>
      </c>
      <c r="D115" s="3499">
        <v>762451.79457110993</v>
      </c>
      <c r="E115" s="3499">
        <v>705351.81697504653</v>
      </c>
      <c r="F115" s="3499">
        <v>733269.22159199999</v>
      </c>
      <c r="I115" s="3498"/>
      <c r="J115" s="3498"/>
      <c r="K115" s="3498"/>
      <c r="L115" s="3498"/>
      <c r="M115" s="3498"/>
    </row>
    <row r="116" spans="1:13" ht="15.75" customHeight="1" x14ac:dyDescent="0.3">
      <c r="A116" s="3500" t="s">
        <v>5280</v>
      </c>
      <c r="B116" s="3499"/>
      <c r="C116" s="3499"/>
      <c r="D116" s="3499"/>
      <c r="E116" s="3499"/>
      <c r="F116" s="3499"/>
      <c r="I116" s="3498"/>
      <c r="J116" s="3498"/>
      <c r="K116" s="3498"/>
      <c r="L116" s="3498"/>
      <c r="M116" s="3498"/>
    </row>
    <row r="117" spans="1:13" ht="15.75" customHeight="1" x14ac:dyDescent="0.3">
      <c r="A117" s="3500" t="s">
        <v>5315</v>
      </c>
      <c r="B117" s="3499">
        <v>24</v>
      </c>
      <c r="C117" s="3499">
        <v>214</v>
      </c>
      <c r="D117" s="3499">
        <v>256</v>
      </c>
      <c r="E117" s="3499">
        <v>174.869472</v>
      </c>
      <c r="F117" s="3499">
        <v>243.57723250000001</v>
      </c>
      <c r="I117" s="3498"/>
      <c r="J117" s="3498"/>
      <c r="K117" s="3498"/>
      <c r="L117" s="3498"/>
      <c r="M117" s="3498"/>
    </row>
    <row r="118" spans="1:13" ht="15.75" customHeight="1" x14ac:dyDescent="0.3">
      <c r="A118" s="3500" t="s">
        <v>5281</v>
      </c>
      <c r="B118" s="3499"/>
      <c r="C118" s="3499"/>
      <c r="D118" s="3499"/>
      <c r="E118" s="3499"/>
      <c r="F118" s="3499"/>
      <c r="G118" s="3503"/>
      <c r="I118" s="3498"/>
      <c r="J118" s="3498"/>
      <c r="K118" s="3498"/>
      <c r="L118" s="3498"/>
      <c r="M118" s="3498"/>
    </row>
    <row r="119" spans="1:13" ht="15.75" customHeight="1" x14ac:dyDescent="0.3">
      <c r="A119" s="3500" t="s">
        <v>5283</v>
      </c>
      <c r="B119" s="3499">
        <v>832903.32566282433</v>
      </c>
      <c r="C119" s="3499">
        <v>759454.5085799566</v>
      </c>
      <c r="D119" s="3499">
        <v>762195.79457110993</v>
      </c>
      <c r="E119" s="3499">
        <v>705176.94750304648</v>
      </c>
      <c r="F119" s="3499">
        <v>733025.64435950003</v>
      </c>
      <c r="H119" s="3503"/>
      <c r="I119" s="3498"/>
      <c r="J119" s="3498"/>
      <c r="K119" s="3498"/>
      <c r="L119" s="3498"/>
      <c r="M119" s="3498"/>
    </row>
    <row r="120" spans="1:13" s="3503" customFormat="1" ht="15.75" customHeight="1" x14ac:dyDescent="0.3">
      <c r="A120" s="3501" t="s">
        <v>5267</v>
      </c>
      <c r="B120" s="3502">
        <v>811410.78506764432</v>
      </c>
      <c r="C120" s="3502">
        <v>739105.0717618966</v>
      </c>
      <c r="D120" s="3502">
        <v>751135.62090275995</v>
      </c>
      <c r="E120" s="3502">
        <v>658829.32041449647</v>
      </c>
      <c r="F120" s="3502">
        <v>708687.73629999999</v>
      </c>
      <c r="I120" s="3504"/>
      <c r="J120" s="3504"/>
      <c r="K120" s="3504"/>
      <c r="L120" s="3504"/>
      <c r="M120" s="3504"/>
    </row>
    <row r="121" spans="1:13" ht="15.75" customHeight="1" x14ac:dyDescent="0.3">
      <c r="A121" s="3500" t="s">
        <v>5278</v>
      </c>
      <c r="B121" s="3499">
        <v>410113.13613540883</v>
      </c>
      <c r="C121" s="3499">
        <v>377109.23781106237</v>
      </c>
      <c r="D121" s="3499">
        <v>474160.41275100119</v>
      </c>
      <c r="E121" s="3499">
        <v>404190.5772651601</v>
      </c>
      <c r="F121" s="3499">
        <v>420487.21368743543</v>
      </c>
      <c r="I121" s="3498"/>
      <c r="J121" s="3498"/>
      <c r="K121" s="3498"/>
      <c r="L121" s="3498"/>
      <c r="M121" s="3498"/>
    </row>
    <row r="122" spans="1:13" ht="15.75" customHeight="1" x14ac:dyDescent="0.3">
      <c r="A122" s="3500" t="s">
        <v>5316</v>
      </c>
      <c r="B122" s="3499">
        <v>409527.14808186766</v>
      </c>
      <c r="C122" s="3499">
        <v>376624.98298996966</v>
      </c>
      <c r="D122" s="3502">
        <v>473680.3203191639</v>
      </c>
      <c r="E122" s="3502">
        <v>404139.25325680681</v>
      </c>
      <c r="F122" s="3502">
        <v>420394.56368743541</v>
      </c>
      <c r="I122" s="3498"/>
      <c r="J122" s="3498"/>
      <c r="K122" s="3498"/>
      <c r="L122" s="3498"/>
      <c r="M122" s="3498"/>
    </row>
    <row r="123" spans="1:13" ht="15.75" customHeight="1" x14ac:dyDescent="0.3">
      <c r="A123" s="3500" t="s">
        <v>5280</v>
      </c>
      <c r="B123" s="3499">
        <v>4.1834234644240542</v>
      </c>
      <c r="C123" s="3499">
        <v>9.4697239280720016</v>
      </c>
      <c r="D123" s="3499">
        <v>3.5902799975772957</v>
      </c>
      <c r="E123" s="3499">
        <v>21.240156257135219</v>
      </c>
      <c r="F123" s="3499">
        <v>21.3</v>
      </c>
      <c r="I123" s="3498"/>
      <c r="J123" s="3498"/>
      <c r="K123" s="3498"/>
      <c r="L123" s="3498"/>
      <c r="M123" s="3498"/>
    </row>
    <row r="124" spans="1:13" ht="15.75" customHeight="1" x14ac:dyDescent="0.3">
      <c r="A124" s="3500" t="s">
        <v>5281</v>
      </c>
      <c r="B124" s="3499">
        <v>53.8</v>
      </c>
      <c r="C124" s="3499">
        <v>59.9</v>
      </c>
      <c r="D124" s="3499">
        <v>253</v>
      </c>
      <c r="E124" s="3499">
        <v>253</v>
      </c>
      <c r="F124" s="3499">
        <v>264.85000000000002</v>
      </c>
      <c r="I124" s="3498"/>
      <c r="J124" s="3498"/>
      <c r="K124" s="3498"/>
      <c r="L124" s="3498"/>
      <c r="M124" s="3498"/>
    </row>
    <row r="125" spans="1:13" ht="15.75" customHeight="1" x14ac:dyDescent="0.3">
      <c r="A125" s="3500" t="s">
        <v>5282</v>
      </c>
      <c r="B125" s="3499">
        <v>8587.7730172819138</v>
      </c>
      <c r="C125" s="3499">
        <v>8592.8416007615524</v>
      </c>
      <c r="D125" s="3499">
        <v>8377.0261670449345</v>
      </c>
      <c r="E125" s="3499">
        <v>8697.6390046508404</v>
      </c>
      <c r="F125" s="3499">
        <v>14982.715862470468</v>
      </c>
      <c r="G125" s="3503"/>
      <c r="I125" s="3498"/>
      <c r="J125" s="3498"/>
      <c r="K125" s="3498"/>
      <c r="L125" s="3498"/>
      <c r="M125" s="3498"/>
    </row>
    <row r="126" spans="1:13" ht="15.75" customHeight="1" x14ac:dyDescent="0.3">
      <c r="A126" s="3500" t="s">
        <v>5283</v>
      </c>
      <c r="B126" s="3499">
        <v>400881.3916411213</v>
      </c>
      <c r="C126" s="3499">
        <v>367962.77166528004</v>
      </c>
      <c r="D126" s="3499">
        <v>465046.7038721214</v>
      </c>
      <c r="E126" s="3499">
        <v>395167.37409589882</v>
      </c>
      <c r="F126" s="3499">
        <v>405125.69782496494</v>
      </c>
      <c r="H126" s="3503"/>
      <c r="I126" s="3498"/>
      <c r="J126" s="3498"/>
      <c r="K126" s="3498"/>
      <c r="L126" s="3498"/>
      <c r="M126" s="3498"/>
    </row>
    <row r="127" spans="1:13" s="3503" customFormat="1" ht="15.75" customHeight="1" x14ac:dyDescent="0.3">
      <c r="A127" s="3501" t="s">
        <v>5267</v>
      </c>
      <c r="B127" s="3502">
        <v>400259.93118407129</v>
      </c>
      <c r="C127" s="3502">
        <v>367194.98970000003</v>
      </c>
      <c r="D127" s="3502">
        <v>463582.2816780564</v>
      </c>
      <c r="E127" s="3502">
        <v>393297.5571998388</v>
      </c>
      <c r="F127" s="3502">
        <v>402967.10099999997</v>
      </c>
      <c r="G127" s="3486"/>
      <c r="H127" s="3486"/>
      <c r="I127" s="3498"/>
      <c r="J127" s="3498"/>
      <c r="K127" s="3498"/>
      <c r="L127" s="3498"/>
      <c r="M127" s="3498"/>
    </row>
    <row r="128" spans="1:13" ht="15.75" customHeight="1" x14ac:dyDescent="0.3">
      <c r="A128" s="3500" t="s">
        <v>5284</v>
      </c>
      <c r="B128" s="3499">
        <v>585.98805354115348</v>
      </c>
      <c r="C128" s="3499">
        <v>484.25482109271337</v>
      </c>
      <c r="D128" s="3499">
        <v>480.09243183726232</v>
      </c>
      <c r="E128" s="3499">
        <v>51.324008353305459</v>
      </c>
      <c r="F128" s="3499">
        <v>92.65</v>
      </c>
      <c r="I128" s="3498"/>
      <c r="J128" s="3498"/>
      <c r="K128" s="3498"/>
      <c r="L128" s="3498"/>
      <c r="M128" s="3498"/>
    </row>
    <row r="129" spans="1:13" ht="15.75" customHeight="1" x14ac:dyDescent="0.3">
      <c r="A129" s="3500" t="s">
        <v>5280</v>
      </c>
      <c r="B129" s="3499">
        <v>3</v>
      </c>
      <c r="C129" s="3499">
        <v>0</v>
      </c>
      <c r="D129" s="3499">
        <v>11.196317782265767</v>
      </c>
      <c r="E129" s="3499">
        <v>33.825187473305462</v>
      </c>
      <c r="F129" s="3499">
        <v>56.65</v>
      </c>
      <c r="I129" s="3498"/>
      <c r="J129" s="3498"/>
      <c r="K129" s="3498"/>
      <c r="L129" s="3498"/>
      <c r="M129" s="3498"/>
    </row>
    <row r="130" spans="1:13" ht="15.75" customHeight="1" x14ac:dyDescent="0.3">
      <c r="A130" s="3500" t="s">
        <v>5281</v>
      </c>
      <c r="B130" s="3499">
        <v>131</v>
      </c>
      <c r="C130" s="3499">
        <v>32</v>
      </c>
      <c r="D130" s="3499">
        <v>28</v>
      </c>
      <c r="E130" s="3499">
        <v>17.399999999999999</v>
      </c>
      <c r="F130" s="3499">
        <v>36</v>
      </c>
      <c r="I130" s="3498"/>
      <c r="J130" s="3498"/>
      <c r="K130" s="3498"/>
      <c r="L130" s="3498"/>
      <c r="M130" s="3498"/>
    </row>
    <row r="131" spans="1:13" ht="15.75" customHeight="1" x14ac:dyDescent="0.3">
      <c r="A131" s="3500" t="s">
        <v>5282</v>
      </c>
      <c r="B131" s="3499">
        <v>451.98805354115342</v>
      </c>
      <c r="C131" s="3499">
        <v>452.25482109271337</v>
      </c>
      <c r="D131" s="3499">
        <v>440.89611405499659</v>
      </c>
      <c r="E131" s="3515">
        <v>9.882088E-2</v>
      </c>
      <c r="F131" s="3499">
        <v>0</v>
      </c>
      <c r="I131" s="3498"/>
      <c r="J131" s="3498"/>
      <c r="K131" s="3498"/>
      <c r="L131" s="3498"/>
      <c r="M131" s="3498"/>
    </row>
    <row r="132" spans="1:13" x14ac:dyDescent="0.3">
      <c r="A132" s="3500" t="s">
        <v>5283</v>
      </c>
      <c r="B132" s="3499"/>
      <c r="C132" s="3499"/>
      <c r="D132" s="3499"/>
      <c r="E132" s="3499"/>
      <c r="F132" s="3499"/>
      <c r="I132" s="3498"/>
      <c r="J132" s="3498"/>
      <c r="K132" s="3498"/>
      <c r="L132" s="3498"/>
      <c r="M132" s="3498"/>
    </row>
    <row r="133" spans="1:13" x14ac:dyDescent="0.3">
      <c r="A133" s="3500" t="s">
        <v>5317</v>
      </c>
      <c r="B133" s="3499">
        <v>949508.327001923</v>
      </c>
      <c r="C133" s="3499">
        <v>882607.7032547628</v>
      </c>
      <c r="D133" s="3499">
        <v>229697.6111085462</v>
      </c>
      <c r="E133" s="3499">
        <v>98041.390662562524</v>
      </c>
      <c r="F133" s="3499">
        <v>30543.234439125998</v>
      </c>
      <c r="I133" s="3498"/>
      <c r="J133" s="3498"/>
      <c r="K133" s="3498"/>
      <c r="L133" s="3498"/>
      <c r="M133" s="3498"/>
    </row>
    <row r="134" spans="1:13" x14ac:dyDescent="0.3">
      <c r="A134" s="3500" t="s">
        <v>5286</v>
      </c>
      <c r="B134" s="3499"/>
      <c r="C134" s="3499"/>
      <c r="D134" s="3499"/>
      <c r="E134" s="3499"/>
      <c r="F134" s="3499"/>
      <c r="I134" s="3498"/>
      <c r="J134" s="3498"/>
      <c r="K134" s="3498"/>
      <c r="L134" s="3498"/>
      <c r="M134" s="3498"/>
    </row>
    <row r="135" spans="1:13" x14ac:dyDescent="0.3">
      <c r="A135" s="3500" t="s">
        <v>5287</v>
      </c>
      <c r="B135" s="3499"/>
      <c r="C135" s="3499"/>
      <c r="D135" s="3499"/>
      <c r="E135" s="3499"/>
      <c r="F135" s="3499"/>
      <c r="I135" s="3498"/>
      <c r="J135" s="3498"/>
      <c r="K135" s="3498"/>
      <c r="L135" s="3498"/>
      <c r="M135" s="3498"/>
    </row>
    <row r="136" spans="1:13" x14ac:dyDescent="0.3">
      <c r="A136" s="3500" t="s">
        <v>5288</v>
      </c>
      <c r="B136" s="3499">
        <v>119079.69770192301</v>
      </c>
      <c r="C136" s="3499">
        <v>62657.726254762798</v>
      </c>
      <c r="D136" s="3499">
        <v>132447.78851658921</v>
      </c>
      <c r="E136" s="3499">
        <v>2041.401617704802</v>
      </c>
      <c r="F136" s="3499">
        <v>2800.3586391259978</v>
      </c>
      <c r="I136" s="3498"/>
      <c r="J136" s="3498"/>
      <c r="K136" s="3498"/>
      <c r="L136" s="3498"/>
      <c r="M136" s="3498"/>
    </row>
    <row r="137" spans="1:13" x14ac:dyDescent="0.3">
      <c r="A137" s="3500" t="s">
        <v>5289</v>
      </c>
      <c r="B137" s="3499">
        <v>830428.62930000003</v>
      </c>
      <c r="C137" s="3499">
        <v>819949.97699999996</v>
      </c>
      <c r="D137" s="3499">
        <v>97249.822591956996</v>
      </c>
      <c r="E137" s="3499">
        <v>95999.989044857721</v>
      </c>
      <c r="F137" s="3499">
        <v>27742.875799999998</v>
      </c>
      <c r="I137" s="3498"/>
      <c r="J137" s="3498"/>
      <c r="K137" s="3498"/>
      <c r="L137" s="3498"/>
      <c r="M137" s="3498"/>
    </row>
    <row r="138" spans="1:13" s="3503" customFormat="1" x14ac:dyDescent="0.3">
      <c r="A138" s="3501" t="s">
        <v>5290</v>
      </c>
      <c r="B138" s="3502">
        <v>830428.62930000003</v>
      </c>
      <c r="C138" s="3502">
        <v>819949.97699999996</v>
      </c>
      <c r="D138" s="3502">
        <v>97249.822591956996</v>
      </c>
      <c r="E138" s="3502">
        <v>95999.989044857721</v>
      </c>
      <c r="F138" s="3502">
        <v>27742.875799999998</v>
      </c>
      <c r="I138" s="3504"/>
      <c r="J138" s="3504"/>
      <c r="K138" s="3504"/>
      <c r="L138" s="3504"/>
      <c r="M138" s="3504"/>
    </row>
    <row r="139" spans="1:13" x14ac:dyDescent="0.3">
      <c r="A139" s="3500" t="s">
        <v>5291</v>
      </c>
      <c r="B139" s="3499">
        <v>2437123.7611351805</v>
      </c>
      <c r="C139" s="3499">
        <v>2793979.4687399012</v>
      </c>
      <c r="D139" s="3499">
        <v>2941904.2248202241</v>
      </c>
      <c r="E139" s="3499">
        <v>3056587.3001770522</v>
      </c>
      <c r="F139" s="3499">
        <v>3323118.0870100735</v>
      </c>
      <c r="I139" s="3498"/>
      <c r="J139" s="3498"/>
      <c r="K139" s="3498"/>
      <c r="L139" s="3498"/>
      <c r="M139" s="3498"/>
    </row>
    <row r="140" spans="1:13" x14ac:dyDescent="0.3">
      <c r="A140" s="3500" t="s">
        <v>5292</v>
      </c>
      <c r="B140" s="3499">
        <v>5852.7290000000003</v>
      </c>
      <c r="C140" s="3499">
        <v>5587.6469999999999</v>
      </c>
      <c r="D140" s="3499">
        <v>4939</v>
      </c>
      <c r="E140" s="3499">
        <v>5531.5769451599999</v>
      </c>
      <c r="F140" s="3499">
        <v>4818.9736540000004</v>
      </c>
      <c r="I140" s="3498"/>
      <c r="J140" s="3498"/>
      <c r="K140" s="3498"/>
      <c r="L140" s="3498"/>
      <c r="M140" s="3498"/>
    </row>
    <row r="141" spans="1:13" x14ac:dyDescent="0.3">
      <c r="A141" s="3500" t="s">
        <v>5275</v>
      </c>
      <c r="B141" s="3499">
        <v>0</v>
      </c>
      <c r="C141" s="3499"/>
      <c r="D141" s="3499"/>
      <c r="E141" s="3499"/>
      <c r="F141" s="3499"/>
      <c r="I141" s="3498"/>
      <c r="J141" s="3498"/>
      <c r="K141" s="3498"/>
      <c r="L141" s="3498"/>
      <c r="M141" s="3498"/>
    </row>
    <row r="142" spans="1:13" hidden="1" x14ac:dyDescent="0.3">
      <c r="A142" s="3500" t="s">
        <v>5293</v>
      </c>
      <c r="B142" s="3499"/>
      <c r="C142" s="3499"/>
      <c r="D142" s="3499"/>
      <c r="E142" s="3499"/>
      <c r="F142" s="3499"/>
      <c r="I142" s="3498"/>
      <c r="J142" s="3498"/>
      <c r="K142" s="3498"/>
      <c r="L142" s="3498"/>
      <c r="M142" s="3498"/>
    </row>
    <row r="143" spans="1:13" hidden="1" x14ac:dyDescent="0.3">
      <c r="A143" s="3500" t="s">
        <v>5294</v>
      </c>
      <c r="B143" s="3499"/>
      <c r="C143" s="3499"/>
      <c r="D143" s="3499"/>
      <c r="E143" s="3499"/>
      <c r="F143" s="3499"/>
      <c r="I143" s="3498"/>
      <c r="J143" s="3498"/>
      <c r="K143" s="3498"/>
      <c r="L143" s="3498"/>
      <c r="M143" s="3498"/>
    </row>
    <row r="144" spans="1:13" x14ac:dyDescent="0.3">
      <c r="A144" s="3500" t="s">
        <v>5277</v>
      </c>
      <c r="B144" s="3499">
        <v>5852.7290000000003</v>
      </c>
      <c r="C144" s="3499">
        <v>5587.6469999999999</v>
      </c>
      <c r="D144" s="3499">
        <v>4939</v>
      </c>
      <c r="E144" s="3499">
        <v>5531.5769451599999</v>
      </c>
      <c r="F144" s="3499">
        <v>4818.9736540000004</v>
      </c>
      <c r="I144" s="3498"/>
      <c r="J144" s="3498"/>
      <c r="K144" s="3498"/>
      <c r="L144" s="3498"/>
      <c r="M144" s="3498"/>
    </row>
    <row r="145" spans="1:13" x14ac:dyDescent="0.3">
      <c r="A145" s="3500" t="s">
        <v>5293</v>
      </c>
      <c r="B145" s="3499"/>
      <c r="C145" s="3499"/>
      <c r="D145" s="3499"/>
      <c r="E145" s="3499"/>
      <c r="F145" s="3499"/>
      <c r="I145" s="3498"/>
      <c r="J145" s="3498"/>
      <c r="K145" s="3498"/>
      <c r="L145" s="3498"/>
      <c r="M145" s="3498"/>
    </row>
    <row r="146" spans="1:13" x14ac:dyDescent="0.3">
      <c r="A146" s="3500" t="s">
        <v>5294</v>
      </c>
      <c r="B146" s="3499">
        <v>5852.7290000000003</v>
      </c>
      <c r="C146" s="3499">
        <v>5587.6469999999999</v>
      </c>
      <c r="D146" s="3499">
        <v>4939</v>
      </c>
      <c r="E146" s="3499">
        <v>5531.5769451599999</v>
      </c>
      <c r="F146" s="3499">
        <v>4818.9736540000004</v>
      </c>
      <c r="I146" s="3498"/>
      <c r="J146" s="3498"/>
      <c r="K146" s="3498"/>
      <c r="L146" s="3498"/>
      <c r="M146" s="3498"/>
    </row>
    <row r="147" spans="1:13" x14ac:dyDescent="0.3">
      <c r="A147" s="3500" t="s">
        <v>5295</v>
      </c>
      <c r="B147" s="3499">
        <v>1466297.2443753188</v>
      </c>
      <c r="C147" s="3499">
        <v>1772948.9820067543</v>
      </c>
      <c r="D147" s="3499">
        <v>1936531.8860487677</v>
      </c>
      <c r="E147" s="3499">
        <v>1920902.7871345743</v>
      </c>
      <c r="F147" s="3499">
        <v>1933337.4278679092</v>
      </c>
      <c r="I147" s="3498"/>
      <c r="J147" s="3498"/>
      <c r="K147" s="3498"/>
      <c r="L147" s="3498"/>
      <c r="M147" s="3498"/>
    </row>
    <row r="148" spans="1:13" x14ac:dyDescent="0.3">
      <c r="A148" s="3500" t="s">
        <v>5280</v>
      </c>
      <c r="B148" s="3499"/>
      <c r="C148" s="3499"/>
      <c r="D148" s="3499"/>
      <c r="E148" s="3499"/>
      <c r="F148" s="3499"/>
      <c r="I148" s="3498"/>
      <c r="J148" s="3498"/>
      <c r="K148" s="3498"/>
      <c r="L148" s="3498"/>
      <c r="M148" s="3498"/>
    </row>
    <row r="149" spans="1:13" ht="15.75" customHeight="1" x14ac:dyDescent="0.3">
      <c r="A149" s="3500" t="s">
        <v>5318</v>
      </c>
      <c r="B149" s="3499"/>
      <c r="C149" s="3499"/>
      <c r="D149" s="3499"/>
      <c r="E149" s="3499"/>
      <c r="F149" s="3499"/>
      <c r="I149" s="3498"/>
      <c r="J149" s="3498"/>
      <c r="K149" s="3498"/>
      <c r="L149" s="3498"/>
      <c r="M149" s="3498"/>
    </row>
    <row r="150" spans="1:13" ht="15.75" customHeight="1" x14ac:dyDescent="0.3">
      <c r="A150" s="3500" t="s">
        <v>5319</v>
      </c>
      <c r="B150" s="3499"/>
      <c r="C150" s="3499"/>
      <c r="D150" s="3499"/>
      <c r="E150" s="3499"/>
      <c r="F150" s="3499"/>
      <c r="I150" s="3498"/>
      <c r="J150" s="3498"/>
      <c r="K150" s="3498"/>
      <c r="L150" s="3498"/>
      <c r="M150" s="3498"/>
    </row>
    <row r="151" spans="1:13" ht="15.75" customHeight="1" x14ac:dyDescent="0.3">
      <c r="A151" s="3500" t="s">
        <v>5294</v>
      </c>
      <c r="B151" s="3499"/>
      <c r="C151" s="3499"/>
      <c r="D151" s="3499"/>
      <c r="E151" s="3499"/>
      <c r="F151" s="3499"/>
      <c r="I151" s="3498"/>
      <c r="J151" s="3498"/>
      <c r="K151" s="3498"/>
      <c r="L151" s="3498"/>
      <c r="M151" s="3498"/>
    </row>
    <row r="152" spans="1:13" ht="15.75" customHeight="1" x14ac:dyDescent="0.3">
      <c r="A152" s="3500" t="s">
        <v>5281</v>
      </c>
      <c r="B152" s="3499">
        <v>49799.199999999997</v>
      </c>
      <c r="C152" s="3499">
        <v>46975.1</v>
      </c>
      <c r="D152" s="3499">
        <v>40320</v>
      </c>
      <c r="E152" s="3499">
        <v>36690</v>
      </c>
      <c r="F152" s="3499">
        <v>34439</v>
      </c>
      <c r="I152" s="3498"/>
      <c r="J152" s="3498"/>
      <c r="K152" s="3498"/>
      <c r="L152" s="3498"/>
      <c r="M152" s="3498"/>
    </row>
    <row r="153" spans="1:13" ht="15.75" customHeight="1" x14ac:dyDescent="0.3">
      <c r="A153" s="3500" t="s">
        <v>5320</v>
      </c>
      <c r="B153" s="3499">
        <v>49799.199999999997</v>
      </c>
      <c r="C153" s="3499">
        <v>46975.1</v>
      </c>
      <c r="D153" s="3499">
        <v>40320</v>
      </c>
      <c r="E153" s="3499">
        <v>36690</v>
      </c>
      <c r="F153" s="3499">
        <v>34439</v>
      </c>
      <c r="I153" s="3498"/>
      <c r="J153" s="3498"/>
      <c r="K153" s="3498"/>
      <c r="L153" s="3498"/>
      <c r="M153" s="3498"/>
    </row>
    <row r="154" spans="1:13" ht="15.75" customHeight="1" x14ac:dyDescent="0.3">
      <c r="A154" s="3500" t="s">
        <v>5294</v>
      </c>
      <c r="B154" s="3499"/>
      <c r="C154" s="3499"/>
      <c r="D154" s="3499"/>
      <c r="E154" s="3499"/>
      <c r="F154" s="3499"/>
      <c r="I154" s="3498"/>
      <c r="J154" s="3498"/>
      <c r="K154" s="3498"/>
      <c r="L154" s="3498"/>
      <c r="M154" s="3498"/>
    </row>
    <row r="155" spans="1:13" ht="15.75" customHeight="1" x14ac:dyDescent="0.3">
      <c r="A155" s="3500" t="s">
        <v>5282</v>
      </c>
      <c r="B155" s="3499">
        <v>100591.51567531886</v>
      </c>
      <c r="C155" s="3499">
        <v>114503.64200675396</v>
      </c>
      <c r="D155" s="3499">
        <v>88195.63343022138</v>
      </c>
      <c r="E155" s="3499">
        <v>117181.70364124158</v>
      </c>
      <c r="F155" s="3499">
        <v>128945.72366790938</v>
      </c>
      <c r="I155" s="3498"/>
      <c r="J155" s="3498"/>
      <c r="K155" s="3498"/>
      <c r="L155" s="3498"/>
      <c r="M155" s="3498"/>
    </row>
    <row r="156" spans="1:13" ht="15.75" customHeight="1" x14ac:dyDescent="0.3">
      <c r="A156" s="3500" t="s">
        <v>5293</v>
      </c>
      <c r="B156" s="3499">
        <v>100591.51567531886</v>
      </c>
      <c r="C156" s="3499">
        <v>114503.64200675396</v>
      </c>
      <c r="D156" s="3499">
        <v>88195.63343022138</v>
      </c>
      <c r="E156" s="3499">
        <v>117181.70364124158</v>
      </c>
      <c r="F156" s="3499">
        <v>128945.72366790938</v>
      </c>
      <c r="I156" s="3498"/>
      <c r="J156" s="3498"/>
      <c r="K156" s="3498"/>
      <c r="L156" s="3498"/>
      <c r="M156" s="3498"/>
    </row>
    <row r="157" spans="1:13" ht="15.75" customHeight="1" x14ac:dyDescent="0.3">
      <c r="A157" s="3500" t="s">
        <v>5294</v>
      </c>
      <c r="B157" s="3499"/>
      <c r="C157" s="3499"/>
      <c r="D157" s="3499"/>
      <c r="E157" s="3499"/>
      <c r="F157" s="3499"/>
      <c r="I157" s="3498"/>
      <c r="J157" s="3498"/>
      <c r="K157" s="3498"/>
      <c r="L157" s="3498"/>
      <c r="M157" s="3498"/>
    </row>
    <row r="158" spans="1:13" ht="15.75" customHeight="1" x14ac:dyDescent="0.3">
      <c r="A158" s="3500" t="s">
        <v>5283</v>
      </c>
      <c r="B158" s="3499">
        <v>1315906.5286999999</v>
      </c>
      <c r="C158" s="3499">
        <v>1611470.2400000002</v>
      </c>
      <c r="D158" s="3499">
        <v>1808016.2526185464</v>
      </c>
      <c r="E158" s="3499">
        <v>1767031.0834933326</v>
      </c>
      <c r="F158" s="3499">
        <v>1769952.7041999998</v>
      </c>
      <c r="I158" s="3498"/>
      <c r="J158" s="3498"/>
      <c r="K158" s="3498"/>
      <c r="L158" s="3498"/>
      <c r="M158" s="3498"/>
    </row>
    <row r="159" spans="1:13" ht="15.75" customHeight="1" x14ac:dyDescent="0.3">
      <c r="A159" s="3500" t="s">
        <v>5293</v>
      </c>
      <c r="B159" s="3499">
        <v>1315716.4236999999</v>
      </c>
      <c r="C159" s="3499">
        <v>1611330.8720000002</v>
      </c>
      <c r="D159" s="3499">
        <v>1807947.1006185464</v>
      </c>
      <c r="E159" s="3499">
        <v>1766782.2774933325</v>
      </c>
      <c r="F159" s="3499">
        <v>1769844.5491999998</v>
      </c>
      <c r="I159" s="3498"/>
      <c r="J159" s="3498"/>
      <c r="K159" s="3498"/>
      <c r="L159" s="3498"/>
      <c r="M159" s="3498"/>
    </row>
    <row r="160" spans="1:13" ht="15.75" customHeight="1" x14ac:dyDescent="0.3">
      <c r="A160" s="3501" t="s">
        <v>5267</v>
      </c>
      <c r="B160" s="3502">
        <v>1301001.2637</v>
      </c>
      <c r="C160" s="3502">
        <v>1597768.1370000001</v>
      </c>
      <c r="D160" s="3502">
        <v>1794589.8136185464</v>
      </c>
      <c r="E160" s="3502">
        <v>1752752.4054933325</v>
      </c>
      <c r="F160" s="3502">
        <v>1752119.9871999999</v>
      </c>
      <c r="G160" s="3508"/>
      <c r="I160" s="3498"/>
      <c r="J160" s="3498"/>
      <c r="K160" s="3498"/>
      <c r="L160" s="3498"/>
      <c r="M160" s="3498"/>
    </row>
    <row r="161" spans="1:13" ht="15.75" customHeight="1" x14ac:dyDescent="0.3">
      <c r="A161" s="3500" t="s">
        <v>5294</v>
      </c>
      <c r="B161" s="3499">
        <v>190.10499999999999</v>
      </c>
      <c r="C161" s="3499">
        <v>139.36799999999999</v>
      </c>
      <c r="D161" s="3499">
        <v>69.152000000000044</v>
      </c>
      <c r="E161" s="3499">
        <v>248.80600000000001</v>
      </c>
      <c r="F161" s="3499">
        <v>108.155</v>
      </c>
      <c r="H161" s="3508"/>
      <c r="I161" s="3498"/>
      <c r="J161" s="3498"/>
      <c r="K161" s="3498"/>
      <c r="L161" s="3498"/>
      <c r="M161" s="3498"/>
    </row>
    <row r="162" spans="1:13" ht="15.75" customHeight="1" x14ac:dyDescent="0.3">
      <c r="A162" s="3500" t="s">
        <v>5296</v>
      </c>
      <c r="B162" s="3499">
        <v>165059.67322144174</v>
      </c>
      <c r="C162" s="3499">
        <v>158665.99660983364</v>
      </c>
      <c r="D162" s="3499">
        <v>168675.3090297973</v>
      </c>
      <c r="E162" s="3499">
        <v>175815.69064540725</v>
      </c>
      <c r="F162" s="3499">
        <v>225800.60834804928</v>
      </c>
      <c r="I162" s="3498"/>
      <c r="J162" s="3498"/>
      <c r="K162" s="3498"/>
      <c r="L162" s="3498"/>
      <c r="M162" s="3498"/>
    </row>
    <row r="163" spans="1:13" ht="15.75" customHeight="1" x14ac:dyDescent="0.3">
      <c r="A163" s="3500" t="s">
        <v>5280</v>
      </c>
      <c r="B163" s="3499">
        <v>342.10878811679089</v>
      </c>
      <c r="C163" s="3499">
        <v>325.68158726121499</v>
      </c>
      <c r="D163" s="3499">
        <v>323.09523226121496</v>
      </c>
      <c r="E163" s="3499">
        <v>475.65202438848303</v>
      </c>
      <c r="F163" s="3499">
        <v>247.43762182639901</v>
      </c>
      <c r="I163" s="3498"/>
      <c r="J163" s="3498"/>
      <c r="K163" s="3498"/>
      <c r="L163" s="3498"/>
      <c r="M163" s="3498"/>
    </row>
    <row r="164" spans="1:13" ht="15.75" customHeight="1" x14ac:dyDescent="0.3">
      <c r="A164" s="3500" t="s">
        <v>5281</v>
      </c>
      <c r="B164" s="3499"/>
      <c r="C164" s="3499"/>
      <c r="D164" s="3499"/>
      <c r="E164" s="3499"/>
      <c r="F164" s="3499"/>
      <c r="I164" s="3498"/>
      <c r="J164" s="3498"/>
      <c r="K164" s="3498"/>
      <c r="L164" s="3498"/>
      <c r="M164" s="3498"/>
    </row>
    <row r="165" spans="1:13" ht="15.75" customHeight="1" x14ac:dyDescent="0.3">
      <c r="A165" s="3500" t="s">
        <v>5282</v>
      </c>
      <c r="B165" s="3499">
        <v>164717.56443332497</v>
      </c>
      <c r="C165" s="3499">
        <v>158340.31502257244</v>
      </c>
      <c r="D165" s="3499">
        <v>168352.21379753607</v>
      </c>
      <c r="E165" s="3499">
        <v>175340.03862101876</v>
      </c>
      <c r="F165" s="3499">
        <v>225553.17072622289</v>
      </c>
      <c r="I165" s="3498"/>
      <c r="J165" s="3498"/>
      <c r="K165" s="3498"/>
      <c r="L165" s="3498"/>
      <c r="M165" s="3498"/>
    </row>
    <row r="166" spans="1:13" ht="15.75" customHeight="1" x14ac:dyDescent="0.3">
      <c r="A166" s="3500" t="s">
        <v>5283</v>
      </c>
      <c r="B166" s="3499"/>
      <c r="C166" s="3499"/>
      <c r="D166" s="3499"/>
      <c r="E166" s="3499"/>
      <c r="F166" s="3499"/>
      <c r="I166" s="3498"/>
      <c r="J166" s="3498"/>
      <c r="K166" s="3498"/>
      <c r="L166" s="3498"/>
      <c r="M166" s="3498"/>
    </row>
    <row r="167" spans="1:13" ht="15.75" customHeight="1" x14ac:dyDescent="0.3">
      <c r="A167" s="3500" t="s">
        <v>5321</v>
      </c>
      <c r="B167" s="3499">
        <v>799914.11453841988</v>
      </c>
      <c r="C167" s="3499">
        <v>856776.84312331316</v>
      </c>
      <c r="D167" s="3499">
        <v>831758.02974165929</v>
      </c>
      <c r="E167" s="3499">
        <v>954337.2454519103</v>
      </c>
      <c r="F167" s="3499">
        <v>1159161.0771401145</v>
      </c>
      <c r="I167" s="3498"/>
      <c r="J167" s="3498"/>
      <c r="K167" s="3498"/>
      <c r="L167" s="3498"/>
      <c r="M167" s="3498"/>
    </row>
    <row r="168" spans="1:13" ht="15.75" customHeight="1" x14ac:dyDescent="0.3">
      <c r="A168" s="3500" t="s">
        <v>5280</v>
      </c>
      <c r="B168" s="3499"/>
      <c r="C168" s="3499"/>
      <c r="D168" s="3499"/>
      <c r="E168" s="3499"/>
      <c r="F168" s="3499"/>
      <c r="I168" s="3498"/>
      <c r="J168" s="3498"/>
      <c r="K168" s="3498"/>
      <c r="L168" s="3498"/>
      <c r="M168" s="3498"/>
    </row>
    <row r="169" spans="1:13" ht="15.75" hidden="1" customHeight="1" x14ac:dyDescent="0.3">
      <c r="A169" s="3500" t="s">
        <v>5293</v>
      </c>
      <c r="B169" s="3499"/>
      <c r="C169" s="3499"/>
      <c r="D169" s="3499"/>
      <c r="E169" s="3499"/>
      <c r="F169" s="3499"/>
      <c r="I169" s="3498"/>
      <c r="J169" s="3498"/>
      <c r="K169" s="3498"/>
      <c r="L169" s="3498"/>
      <c r="M169" s="3498"/>
    </row>
    <row r="170" spans="1:13" ht="15.75" hidden="1" customHeight="1" x14ac:dyDescent="0.3">
      <c r="A170" s="3500" t="s">
        <v>5294</v>
      </c>
      <c r="B170" s="3499"/>
      <c r="C170" s="3499"/>
      <c r="D170" s="3499"/>
      <c r="E170" s="3499"/>
      <c r="F170" s="3499"/>
      <c r="I170" s="3498"/>
      <c r="J170" s="3498"/>
      <c r="K170" s="3498"/>
      <c r="L170" s="3498"/>
      <c r="M170" s="3498"/>
    </row>
    <row r="171" spans="1:13" ht="15.75" customHeight="1" x14ac:dyDescent="0.3">
      <c r="A171" s="3500" t="s">
        <v>5281</v>
      </c>
      <c r="B171" s="3499">
        <v>4818</v>
      </c>
      <c r="C171" s="3499">
        <v>4672</v>
      </c>
      <c r="D171" s="3499">
        <v>4605</v>
      </c>
      <c r="E171" s="3499">
        <v>4611</v>
      </c>
      <c r="F171" s="3499">
        <v>4899.3999999999996</v>
      </c>
      <c r="I171" s="3498"/>
      <c r="J171" s="3498"/>
      <c r="K171" s="3498"/>
      <c r="L171" s="3498"/>
      <c r="M171" s="3498"/>
    </row>
    <row r="172" spans="1:13" s="3503" customFormat="1" ht="15.75" customHeight="1" x14ac:dyDescent="0.3">
      <c r="A172" s="3501" t="s">
        <v>5293</v>
      </c>
      <c r="B172" s="3502">
        <v>4818</v>
      </c>
      <c r="C172" s="3502">
        <v>4672</v>
      </c>
      <c r="D172" s="3502">
        <v>4605</v>
      </c>
      <c r="E172" s="3502">
        <v>4611</v>
      </c>
      <c r="F172" s="3502">
        <v>4899.3999999999996</v>
      </c>
      <c r="I172" s="3504"/>
      <c r="J172" s="3504"/>
      <c r="K172" s="3504"/>
      <c r="L172" s="3504"/>
      <c r="M172" s="3504"/>
    </row>
    <row r="173" spans="1:13" ht="15.75" customHeight="1" x14ac:dyDescent="0.3">
      <c r="A173" s="3500" t="s">
        <v>5322</v>
      </c>
      <c r="B173" s="3502">
        <v>4818</v>
      </c>
      <c r="C173" s="3502">
        <v>4672</v>
      </c>
      <c r="D173" s="3502">
        <v>4605</v>
      </c>
      <c r="E173" s="3502">
        <v>4611</v>
      </c>
      <c r="F173" s="3502">
        <v>4899.3999999999996</v>
      </c>
      <c r="I173" s="3498"/>
      <c r="J173" s="3498"/>
      <c r="K173" s="3498"/>
      <c r="L173" s="3498"/>
      <c r="M173" s="3498"/>
    </row>
    <row r="174" spans="1:13" ht="15.75" customHeight="1" x14ac:dyDescent="0.3">
      <c r="A174" s="3500" t="s">
        <v>5294</v>
      </c>
      <c r="B174" s="3499"/>
      <c r="C174" s="3499"/>
      <c r="D174" s="3499"/>
      <c r="E174" s="3499"/>
      <c r="F174" s="3499"/>
      <c r="I174" s="3498"/>
      <c r="J174" s="3498"/>
      <c r="K174" s="3498"/>
      <c r="L174" s="3498"/>
      <c r="M174" s="3498"/>
    </row>
    <row r="175" spans="1:13" ht="15.75" customHeight="1" x14ac:dyDescent="0.3">
      <c r="A175" s="3500" t="s">
        <v>5282</v>
      </c>
      <c r="B175" s="3499">
        <v>7040.5934911256691</v>
      </c>
      <c r="C175" s="3499">
        <v>9576.5334233131416</v>
      </c>
      <c r="D175" s="3499">
        <v>9633.7620845260826</v>
      </c>
      <c r="E175" s="3499">
        <v>6225.685108227508</v>
      </c>
      <c r="F175" s="3499">
        <v>4359.7353401146156</v>
      </c>
      <c r="I175" s="3498"/>
      <c r="J175" s="3498"/>
      <c r="K175" s="3498"/>
      <c r="L175" s="3498"/>
      <c r="M175" s="3498"/>
    </row>
    <row r="176" spans="1:13" ht="15.75" customHeight="1" x14ac:dyDescent="0.3">
      <c r="A176" s="3500" t="s">
        <v>5293</v>
      </c>
      <c r="B176" s="3499"/>
      <c r="C176" s="3499"/>
      <c r="D176" s="3499"/>
      <c r="E176" s="3499"/>
      <c r="F176" s="3499"/>
      <c r="I176" s="3498"/>
      <c r="J176" s="3498"/>
      <c r="K176" s="3498"/>
      <c r="L176" s="3498"/>
      <c r="M176" s="3498"/>
    </row>
    <row r="177" spans="1:13" ht="15.75" customHeight="1" x14ac:dyDescent="0.3">
      <c r="A177" s="3500" t="s">
        <v>5294</v>
      </c>
      <c r="B177" s="3499">
        <v>7040.5934911256691</v>
      </c>
      <c r="C177" s="3499">
        <v>9576.5334233131416</v>
      </c>
      <c r="D177" s="3499">
        <v>9633.7620845260826</v>
      </c>
      <c r="E177" s="3499">
        <v>6225.685108227508</v>
      </c>
      <c r="F177" s="3499">
        <v>4359.7353401146156</v>
      </c>
      <c r="I177" s="3498"/>
      <c r="J177" s="3498"/>
      <c r="K177" s="3498"/>
      <c r="L177" s="3498"/>
      <c r="M177" s="3498"/>
    </row>
    <row r="178" spans="1:13" ht="15.75" customHeight="1" x14ac:dyDescent="0.3">
      <c r="A178" s="3500" t="s">
        <v>5283</v>
      </c>
      <c r="B178" s="3499">
        <v>788055.52104729426</v>
      </c>
      <c r="C178" s="3499">
        <v>842528.30969999998</v>
      </c>
      <c r="D178" s="3499">
        <v>817519.26765713317</v>
      </c>
      <c r="E178" s="3499">
        <v>943500.56034368277</v>
      </c>
      <c r="F178" s="3499">
        <v>1149901.9417999999</v>
      </c>
      <c r="I178" s="3498"/>
      <c r="J178" s="3498"/>
      <c r="K178" s="3498"/>
      <c r="L178" s="3498"/>
      <c r="M178" s="3498"/>
    </row>
    <row r="179" spans="1:13" ht="15.75" customHeight="1" x14ac:dyDescent="0.3">
      <c r="A179" s="3500" t="s">
        <v>5293</v>
      </c>
      <c r="B179" s="3499">
        <v>788055.52104729426</v>
      </c>
      <c r="C179" s="3499">
        <v>842528.30969999998</v>
      </c>
      <c r="D179" s="3499">
        <v>817519.26765713317</v>
      </c>
      <c r="E179" s="3499">
        <v>943500.56034368277</v>
      </c>
      <c r="F179" s="3499">
        <v>1149901.9417999999</v>
      </c>
      <c r="I179" s="3498"/>
      <c r="J179" s="3498"/>
      <c r="K179" s="3498"/>
      <c r="L179" s="3498"/>
      <c r="M179" s="3498"/>
    </row>
    <row r="180" spans="1:13" ht="15.75" customHeight="1" x14ac:dyDescent="0.3">
      <c r="A180" s="3501" t="s">
        <v>5267</v>
      </c>
      <c r="B180" s="3502">
        <v>788055.52104729426</v>
      </c>
      <c r="C180" s="3502">
        <v>842528.30969999998</v>
      </c>
      <c r="D180" s="3502">
        <v>817519.26765713317</v>
      </c>
      <c r="E180" s="3502">
        <v>943500.56034368277</v>
      </c>
      <c r="F180" s="3502">
        <v>1149901.9417999999</v>
      </c>
      <c r="G180" s="3516"/>
      <c r="I180" s="3498"/>
      <c r="J180" s="3498"/>
      <c r="K180" s="3498"/>
      <c r="L180" s="3498"/>
      <c r="M180" s="3498"/>
    </row>
    <row r="181" spans="1:13" ht="15.75" customHeight="1" thickBot="1" x14ac:dyDescent="0.35">
      <c r="A181" s="3517" t="s">
        <v>5294</v>
      </c>
      <c r="B181" s="3518"/>
      <c r="C181" s="3519"/>
      <c r="D181" s="3519"/>
      <c r="E181" s="3519"/>
      <c r="F181" s="3519"/>
      <c r="I181" s="3498"/>
      <c r="J181" s="3498"/>
    </row>
    <row r="182" spans="1:13" s="3521" customFormat="1" ht="17.25" customHeight="1" x14ac:dyDescent="0.25">
      <c r="A182" s="1283" t="s">
        <v>5323</v>
      </c>
      <c r="B182" s="3520"/>
      <c r="C182" s="3520"/>
      <c r="D182" s="3520"/>
      <c r="E182" s="3520"/>
      <c r="F182" s="3520"/>
    </row>
    <row r="183" spans="1:13" s="3521" customFormat="1" ht="17.25" customHeight="1" x14ac:dyDescent="0.25">
      <c r="A183" s="324" t="s">
        <v>134</v>
      </c>
    </row>
    <row r="184" spans="1:13" s="3516" customFormat="1" x14ac:dyDescent="0.3">
      <c r="A184" s="3522"/>
    </row>
    <row r="185" spans="1:13" s="3516" customFormat="1" x14ac:dyDescent="0.3">
      <c r="A185" s="3522"/>
    </row>
    <row r="186" spans="1:13" s="3516" customFormat="1" x14ac:dyDescent="0.3">
      <c r="A186" s="3522"/>
    </row>
    <row r="187" spans="1:13" s="3516" customFormat="1" x14ac:dyDescent="0.3">
      <c r="A187" s="3522"/>
    </row>
    <row r="188" spans="1:13" s="3516" customFormat="1" x14ac:dyDescent="0.3">
      <c r="A188" s="3522"/>
    </row>
    <row r="189" spans="1:13" s="3516" customFormat="1" x14ac:dyDescent="0.3">
      <c r="A189" s="3522"/>
    </row>
    <row r="190" spans="1:13" s="3516" customFormat="1" x14ac:dyDescent="0.3">
      <c r="A190" s="3522"/>
    </row>
    <row r="191" spans="1:13" s="3516" customFormat="1" x14ac:dyDescent="0.3">
      <c r="A191" s="3522"/>
    </row>
    <row r="192" spans="1:13" s="3516" customFormat="1" x14ac:dyDescent="0.3">
      <c r="A192" s="3522"/>
    </row>
    <row r="193" spans="1:7" s="3516" customFormat="1" x14ac:dyDescent="0.3">
      <c r="A193" s="3522"/>
    </row>
    <row r="194" spans="1:7" s="3516" customFormat="1" x14ac:dyDescent="0.3">
      <c r="A194" s="3522"/>
      <c r="G194" s="3486"/>
    </row>
  </sheetData>
  <mergeCells count="1">
    <mergeCell ref="A1:F1"/>
  </mergeCells>
  <pageMargins left="0.75" right="0.75" top="0.57999999999999996" bottom="0.02" header="0.31496062992126" footer="0.31496062992126"/>
  <pageSetup paperSize="9" scale="54" fitToHeight="0" orientation="portrait" r:id="rId1"/>
  <rowBreaks count="1" manualBreakCount="1">
    <brk id="101"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BM59"/>
  <sheetViews>
    <sheetView showGridLines="0" zoomScaleNormal="100" zoomScaleSheetLayoutView="85" workbookViewId="0">
      <pane xSplit="1" ySplit="6" topLeftCell="B7" activePane="bottomRight" state="frozen"/>
      <selection activeCell="O1" sqref="O1:O1048576"/>
      <selection pane="topRight" activeCell="O1" sqref="O1:O1048576"/>
      <selection pane="bottomLeft" activeCell="O1" sqref="O1:O1048576"/>
      <selection pane="bottomRight" activeCell="A50" sqref="A50:N51"/>
    </sheetView>
  </sheetViews>
  <sheetFormatPr defaultColWidth="9.140625" defaultRowHeight="14.25" x14ac:dyDescent="0.25"/>
  <cols>
    <col min="1" max="1" width="13.7109375" style="607" customWidth="1"/>
    <col min="2" max="5" width="10.7109375" style="607" customWidth="1"/>
    <col min="6" max="6" width="13.140625" style="607" customWidth="1"/>
    <col min="7" max="7" width="9.28515625" style="607" customWidth="1"/>
    <col min="8" max="8" width="14.140625" style="607" bestFit="1" customWidth="1"/>
    <col min="9" max="9" width="9.28515625" style="607" customWidth="1"/>
    <col min="10" max="10" width="14.140625" style="607" bestFit="1" customWidth="1"/>
    <col min="11" max="11" width="9.28515625" style="607" customWidth="1"/>
    <col min="12" max="12" width="14.140625" style="607" bestFit="1" customWidth="1"/>
    <col min="13" max="13" width="9.28515625" style="607" customWidth="1"/>
    <col min="14" max="14" width="14.140625" style="607" bestFit="1" customWidth="1"/>
    <col min="15" max="15" width="1.5703125" style="607" customWidth="1"/>
    <col min="16" max="16" width="9.140625" style="607"/>
    <col min="17" max="17" width="10.42578125" style="607" customWidth="1"/>
    <col min="18" max="16384" width="9.140625" style="607"/>
  </cols>
  <sheetData>
    <row r="1" spans="1:65" s="562" customFormat="1" ht="25.5" customHeight="1" x14ac:dyDescent="0.3">
      <c r="A1" s="514" t="s">
        <v>1164</v>
      </c>
      <c r="B1" s="561"/>
      <c r="C1" s="561"/>
      <c r="D1" s="561"/>
      <c r="E1" s="561"/>
      <c r="F1" s="561"/>
      <c r="G1" s="561"/>
    </row>
    <row r="2" spans="1:65" s="562" customFormat="1" ht="11.25" customHeight="1" thickBot="1" x14ac:dyDescent="0.35">
      <c r="A2" s="514"/>
      <c r="B2" s="561"/>
      <c r="C2" s="561"/>
      <c r="D2" s="561"/>
      <c r="E2" s="561"/>
      <c r="F2" s="561"/>
      <c r="G2" s="561"/>
    </row>
    <row r="3" spans="1:65" s="517" customFormat="1" ht="21.75" customHeight="1" thickTop="1" thickBot="1" x14ac:dyDescent="0.35">
      <c r="A3" s="3608" t="s">
        <v>1</v>
      </c>
      <c r="B3" s="3637" t="s">
        <v>1165</v>
      </c>
      <c r="C3" s="3638"/>
      <c r="D3" s="3639"/>
      <c r="E3" s="3601" t="s">
        <v>1166</v>
      </c>
      <c r="F3" s="3611"/>
      <c r="G3" s="3611"/>
      <c r="H3" s="3611"/>
      <c r="I3" s="3611"/>
      <c r="J3" s="3611"/>
      <c r="K3" s="3611"/>
      <c r="L3" s="3611"/>
      <c r="M3" s="3611"/>
      <c r="N3" s="3602"/>
    </row>
    <row r="4" spans="1:65" s="517" customFormat="1" ht="17.25" customHeight="1" thickBot="1" x14ac:dyDescent="0.35">
      <c r="A4" s="3609"/>
      <c r="B4" s="3640" t="s">
        <v>1167</v>
      </c>
      <c r="C4" s="3612" t="s">
        <v>1168</v>
      </c>
      <c r="D4" s="3612" t="s">
        <v>114</v>
      </c>
      <c r="E4" s="3612" t="s">
        <v>114</v>
      </c>
      <c r="F4" s="3644" t="s">
        <v>1169</v>
      </c>
      <c r="G4" s="3646" t="s">
        <v>1170</v>
      </c>
      <c r="H4" s="3647"/>
      <c r="I4" s="3647"/>
      <c r="J4" s="3648"/>
      <c r="K4" s="3649" t="s">
        <v>1171</v>
      </c>
      <c r="L4" s="3650"/>
      <c r="M4" s="3650"/>
      <c r="N4" s="3651"/>
    </row>
    <row r="5" spans="1:65" s="517" customFormat="1" ht="18" thickBot="1" x14ac:dyDescent="0.35">
      <c r="A5" s="3609"/>
      <c r="B5" s="3641"/>
      <c r="C5" s="3643"/>
      <c r="D5" s="3643"/>
      <c r="E5" s="3643"/>
      <c r="F5" s="3644"/>
      <c r="G5" s="3632" t="s">
        <v>1172</v>
      </c>
      <c r="H5" s="3632"/>
      <c r="I5" s="3632" t="s">
        <v>1173</v>
      </c>
      <c r="J5" s="3632"/>
      <c r="K5" s="3633" t="s">
        <v>1174</v>
      </c>
      <c r="L5" s="3634"/>
      <c r="M5" s="3633" t="s">
        <v>1175</v>
      </c>
      <c r="N5" s="3635"/>
    </row>
    <row r="6" spans="1:65" s="517" customFormat="1" ht="36.75" customHeight="1" thickBot="1" x14ac:dyDescent="0.35">
      <c r="A6" s="3610"/>
      <c r="B6" s="3642"/>
      <c r="C6" s="3613"/>
      <c r="D6" s="3613"/>
      <c r="E6" s="3613"/>
      <c r="F6" s="3645"/>
      <c r="G6" s="1152" t="s">
        <v>114</v>
      </c>
      <c r="H6" s="636" t="s">
        <v>1176</v>
      </c>
      <c r="I6" s="1152" t="s">
        <v>114</v>
      </c>
      <c r="J6" s="637" t="s">
        <v>1176</v>
      </c>
      <c r="K6" s="1153" t="s">
        <v>114</v>
      </c>
      <c r="L6" s="638" t="s">
        <v>1176</v>
      </c>
      <c r="M6" s="1152" t="s">
        <v>114</v>
      </c>
      <c r="N6" s="639" t="s">
        <v>1176</v>
      </c>
    </row>
    <row r="7" spans="1:65" s="647" customFormat="1" ht="16.5" hidden="1" customHeight="1" x14ac:dyDescent="0.25">
      <c r="A7" s="528">
        <v>2013</v>
      </c>
      <c r="B7" s="640">
        <v>350400</v>
      </c>
      <c r="C7" s="641">
        <v>220800</v>
      </c>
      <c r="D7" s="641">
        <v>571200</v>
      </c>
      <c r="E7" s="641">
        <v>45500</v>
      </c>
      <c r="F7" s="642">
        <f>E7/D7*100</f>
        <v>7.9656862745098032</v>
      </c>
      <c r="G7" s="641">
        <v>27900</v>
      </c>
      <c r="H7" s="643">
        <f>G7/E7*100</f>
        <v>61.318681318681321</v>
      </c>
      <c r="I7" s="641">
        <v>17600</v>
      </c>
      <c r="J7" s="643">
        <f>I7/E7*100</f>
        <v>38.681318681318686</v>
      </c>
      <c r="K7" s="640">
        <v>18600</v>
      </c>
      <c r="L7" s="643">
        <f t="shared" ref="L7:L30" si="0">K7/E7*100</f>
        <v>40.879120879120876</v>
      </c>
      <c r="M7" s="644">
        <v>26900</v>
      </c>
      <c r="N7" s="645">
        <f t="shared" ref="N7:N30" si="1">M7/E7*100</f>
        <v>59.120879120879124</v>
      </c>
      <c r="O7" s="646"/>
    </row>
    <row r="8" spans="1:65" s="647" customFormat="1" ht="16.5" hidden="1" customHeight="1" x14ac:dyDescent="0.25">
      <c r="A8" s="528">
        <v>2014</v>
      </c>
      <c r="B8" s="644">
        <v>352800</v>
      </c>
      <c r="C8" s="648">
        <v>222900</v>
      </c>
      <c r="D8" s="648">
        <v>575700</v>
      </c>
      <c r="E8" s="648">
        <v>44800</v>
      </c>
      <c r="F8" s="649">
        <f>E8/D8*100</f>
        <v>7.7818308146604132</v>
      </c>
      <c r="G8" s="648">
        <v>25400</v>
      </c>
      <c r="H8" s="650">
        <f>G8/E8*100</f>
        <v>56.696428571428569</v>
      </c>
      <c r="I8" s="648">
        <v>19500</v>
      </c>
      <c r="J8" s="650">
        <f>I8/E8*100</f>
        <v>43.526785714285715</v>
      </c>
      <c r="K8" s="644">
        <v>19400</v>
      </c>
      <c r="L8" s="650">
        <f t="shared" si="0"/>
        <v>43.303571428571431</v>
      </c>
      <c r="M8" s="644">
        <v>25400</v>
      </c>
      <c r="N8" s="651">
        <f t="shared" si="1"/>
        <v>56.696428571428569</v>
      </c>
      <c r="O8" s="646"/>
    </row>
    <row r="9" spans="1:65" s="647" customFormat="1" ht="16.5" hidden="1" customHeight="1" x14ac:dyDescent="0.25">
      <c r="A9" s="528">
        <v>2015</v>
      </c>
      <c r="B9" s="644">
        <v>353300</v>
      </c>
      <c r="C9" s="648">
        <v>231300</v>
      </c>
      <c r="D9" s="648">
        <v>584600</v>
      </c>
      <c r="E9" s="648">
        <v>46300</v>
      </c>
      <c r="F9" s="649">
        <v>7.9</v>
      </c>
      <c r="G9" s="648">
        <v>25100</v>
      </c>
      <c r="H9" s="650">
        <f>G9/E9*100</f>
        <v>54.211663066954642</v>
      </c>
      <c r="I9" s="648">
        <v>21200</v>
      </c>
      <c r="J9" s="650">
        <f>I9/E9*100</f>
        <v>45.78833693304535</v>
      </c>
      <c r="K9" s="644">
        <v>19500</v>
      </c>
      <c r="L9" s="650">
        <f t="shared" si="0"/>
        <v>42.116630669546431</v>
      </c>
      <c r="M9" s="648">
        <v>26800</v>
      </c>
      <c r="N9" s="651">
        <f t="shared" si="1"/>
        <v>57.883369330453561</v>
      </c>
      <c r="O9" s="646"/>
    </row>
    <row r="10" spans="1:65" s="647" customFormat="1" ht="16.5" hidden="1" x14ac:dyDescent="0.25">
      <c r="A10" s="528">
        <v>2016</v>
      </c>
      <c r="B10" s="644">
        <v>353600</v>
      </c>
      <c r="C10" s="648">
        <v>227400</v>
      </c>
      <c r="D10" s="648">
        <v>581000</v>
      </c>
      <c r="E10" s="648">
        <v>42400</v>
      </c>
      <c r="F10" s="649">
        <v>7.3</v>
      </c>
      <c r="G10" s="648">
        <v>23500</v>
      </c>
      <c r="H10" s="650">
        <f>G10/E10*100</f>
        <v>55.424528301886788</v>
      </c>
      <c r="I10" s="648">
        <v>18900</v>
      </c>
      <c r="J10" s="650">
        <f>I10/E10*100</f>
        <v>44.575471698113205</v>
      </c>
      <c r="K10" s="644">
        <v>16900</v>
      </c>
      <c r="L10" s="650">
        <f t="shared" si="0"/>
        <v>39.858490566037737</v>
      </c>
      <c r="M10" s="648">
        <v>25500</v>
      </c>
      <c r="N10" s="651">
        <f t="shared" si="1"/>
        <v>60.141509433962256</v>
      </c>
      <c r="O10" s="646"/>
    </row>
    <row r="11" spans="1:65" s="647" customFormat="1" ht="16.5" x14ac:dyDescent="0.25">
      <c r="A11" s="528">
        <v>2017</v>
      </c>
      <c r="B11" s="644">
        <v>356600</v>
      </c>
      <c r="C11" s="648">
        <v>230300</v>
      </c>
      <c r="D11" s="648">
        <v>586900</v>
      </c>
      <c r="E11" s="648">
        <v>41800</v>
      </c>
      <c r="F11" s="649">
        <v>7.1</v>
      </c>
      <c r="G11" s="648">
        <v>22500</v>
      </c>
      <c r="H11" s="650">
        <v>53.8</v>
      </c>
      <c r="I11" s="648">
        <v>19300</v>
      </c>
      <c r="J11" s="650">
        <v>46.2</v>
      </c>
      <c r="K11" s="644">
        <v>17200</v>
      </c>
      <c r="L11" s="650">
        <f t="shared" si="0"/>
        <v>41.148325358851672</v>
      </c>
      <c r="M11" s="648">
        <v>24600</v>
      </c>
      <c r="N11" s="651">
        <f t="shared" si="1"/>
        <v>58.851674641148321</v>
      </c>
      <c r="O11" s="646"/>
    </row>
    <row r="12" spans="1:65" s="647" customFormat="1" ht="16.5" x14ac:dyDescent="0.25">
      <c r="A12" s="528">
        <v>2018</v>
      </c>
      <c r="B12" s="644">
        <v>352800</v>
      </c>
      <c r="C12" s="648">
        <v>231000</v>
      </c>
      <c r="D12" s="648">
        <v>583800</v>
      </c>
      <c r="E12" s="648">
        <v>40100</v>
      </c>
      <c r="F12" s="649">
        <v>6.9</v>
      </c>
      <c r="G12" s="648">
        <v>20400</v>
      </c>
      <c r="H12" s="650">
        <v>50.9</v>
      </c>
      <c r="I12" s="648">
        <v>19700</v>
      </c>
      <c r="J12" s="650">
        <v>49.1</v>
      </c>
      <c r="K12" s="644">
        <v>16700</v>
      </c>
      <c r="L12" s="650">
        <f t="shared" si="0"/>
        <v>41.645885286783042</v>
      </c>
      <c r="M12" s="648">
        <v>23400</v>
      </c>
      <c r="N12" s="651">
        <f t="shared" si="1"/>
        <v>58.354114713216951</v>
      </c>
      <c r="O12" s="646"/>
    </row>
    <row r="13" spans="1:65" s="653" customFormat="1" ht="16.5" x14ac:dyDescent="0.25">
      <c r="A13" s="528">
        <v>2019</v>
      </c>
      <c r="B13" s="644">
        <v>354700</v>
      </c>
      <c r="C13" s="648">
        <v>236300</v>
      </c>
      <c r="D13" s="648">
        <v>591000</v>
      </c>
      <c r="E13" s="648">
        <v>39700</v>
      </c>
      <c r="F13" s="649">
        <f>(E13/D13)*100</f>
        <v>6.7174280879864643</v>
      </c>
      <c r="G13" s="648">
        <v>22600</v>
      </c>
      <c r="H13" s="650">
        <v>56.926952141057932</v>
      </c>
      <c r="I13" s="648">
        <v>17100</v>
      </c>
      <c r="J13" s="650">
        <v>43.073047858942068</v>
      </c>
      <c r="K13" s="644">
        <v>15600</v>
      </c>
      <c r="L13" s="650">
        <f t="shared" si="0"/>
        <v>39.294710327455917</v>
      </c>
      <c r="M13" s="648">
        <v>24100</v>
      </c>
      <c r="N13" s="651">
        <f t="shared" si="1"/>
        <v>60.705289672544083</v>
      </c>
      <c r="O13" s="652"/>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7"/>
      <c r="AY13" s="647"/>
      <c r="AZ13" s="647"/>
      <c r="BA13" s="647"/>
      <c r="BB13" s="647"/>
      <c r="BC13" s="647"/>
      <c r="BD13" s="647"/>
      <c r="BE13" s="647"/>
      <c r="BF13" s="647"/>
      <c r="BG13" s="647"/>
      <c r="BH13" s="647"/>
      <c r="BI13" s="647"/>
      <c r="BJ13" s="647"/>
      <c r="BK13" s="647"/>
      <c r="BL13" s="647"/>
      <c r="BM13" s="647"/>
    </row>
    <row r="14" spans="1:65" s="647" customFormat="1" ht="17.25" hidden="1" customHeight="1" thickBot="1" x14ac:dyDescent="0.35">
      <c r="A14" s="528">
        <v>2020</v>
      </c>
      <c r="B14" s="654">
        <v>344900.00000000006</v>
      </c>
      <c r="C14" s="655">
        <v>217299.99999999997</v>
      </c>
      <c r="D14" s="655">
        <v>562200</v>
      </c>
      <c r="E14" s="655">
        <v>48300</v>
      </c>
      <c r="F14" s="642">
        <f t="shared" ref="F14:F30" si="2">E14/D14*100</f>
        <v>8.5912486659551757</v>
      </c>
      <c r="G14" s="648">
        <f>E14-I14</f>
        <v>30400</v>
      </c>
      <c r="H14" s="650">
        <f t="shared" ref="H14:H38" si="3">G14/E14*100</f>
        <v>62.939958592132506</v>
      </c>
      <c r="I14" s="648">
        <v>17900</v>
      </c>
      <c r="J14" s="650">
        <f t="shared" ref="J14:J30" si="4">I14/E14*100</f>
        <v>37.060041407867494</v>
      </c>
      <c r="K14" s="656">
        <v>20300</v>
      </c>
      <c r="L14" s="650">
        <f t="shared" si="0"/>
        <v>42.028985507246375</v>
      </c>
      <c r="M14" s="657">
        <v>28000</v>
      </c>
      <c r="N14" s="651">
        <f t="shared" si="1"/>
        <v>57.971014492753625</v>
      </c>
    </row>
    <row r="15" spans="1:65" s="647" customFormat="1" ht="17.25" hidden="1" customHeight="1" thickBot="1" x14ac:dyDescent="0.35">
      <c r="A15" s="528">
        <v>2021</v>
      </c>
      <c r="B15" s="658">
        <v>347400</v>
      </c>
      <c r="C15" s="659">
        <v>220200</v>
      </c>
      <c r="D15" s="659">
        <v>567600</v>
      </c>
      <c r="E15" s="659">
        <v>45600</v>
      </c>
      <c r="F15" s="649">
        <f t="shared" si="2"/>
        <v>8.0338266384777999</v>
      </c>
      <c r="G15" s="648">
        <f>E15-I15</f>
        <v>26300</v>
      </c>
      <c r="H15" s="650">
        <f t="shared" si="3"/>
        <v>57.675438596491226</v>
      </c>
      <c r="I15" s="648">
        <v>19300</v>
      </c>
      <c r="J15" s="650">
        <f t="shared" si="4"/>
        <v>42.324561403508767</v>
      </c>
      <c r="K15" s="656">
        <v>16500</v>
      </c>
      <c r="L15" s="650">
        <f t="shared" si="0"/>
        <v>36.184210526315788</v>
      </c>
      <c r="M15" s="657">
        <v>29100</v>
      </c>
      <c r="N15" s="651">
        <f t="shared" si="1"/>
        <v>63.815789473684212</v>
      </c>
    </row>
    <row r="16" spans="1:65" s="647" customFormat="1" ht="17.25" hidden="1" customHeight="1" thickBot="1" x14ac:dyDescent="0.35">
      <c r="A16" s="528">
        <v>2022</v>
      </c>
      <c r="B16" s="658">
        <v>350600</v>
      </c>
      <c r="C16" s="659">
        <v>221500.00000000003</v>
      </c>
      <c r="D16" s="659">
        <v>572100</v>
      </c>
      <c r="E16" s="659">
        <v>45900</v>
      </c>
      <c r="F16" s="660">
        <f t="shared" si="2"/>
        <v>8.0230728893550083</v>
      </c>
      <c r="G16" s="648">
        <f>E16-I16</f>
        <v>29700</v>
      </c>
      <c r="H16" s="650">
        <f t="shared" si="3"/>
        <v>64.705882352941174</v>
      </c>
      <c r="I16" s="648">
        <v>16200</v>
      </c>
      <c r="J16" s="650">
        <f t="shared" si="4"/>
        <v>35.294117647058826</v>
      </c>
      <c r="K16" s="656">
        <v>19600</v>
      </c>
      <c r="L16" s="650">
        <f t="shared" si="0"/>
        <v>42.701525054466231</v>
      </c>
      <c r="M16" s="657">
        <v>26300</v>
      </c>
      <c r="N16" s="651">
        <f t="shared" si="1"/>
        <v>57.298474945533769</v>
      </c>
    </row>
    <row r="17" spans="1:16" s="647" customFormat="1" ht="17.25" hidden="1" customHeight="1" thickBot="1" x14ac:dyDescent="0.35">
      <c r="A17" s="528">
        <v>2023</v>
      </c>
      <c r="B17" s="661">
        <v>356800</v>
      </c>
      <c r="C17" s="662">
        <v>221900.00000000003</v>
      </c>
      <c r="D17" s="662">
        <v>578700</v>
      </c>
      <c r="E17" s="662">
        <v>43400</v>
      </c>
      <c r="F17" s="663">
        <f t="shared" si="2"/>
        <v>7.4995679972351823</v>
      </c>
      <c r="G17" s="664">
        <f>E17-I17</f>
        <v>26600</v>
      </c>
      <c r="H17" s="665">
        <f t="shared" si="3"/>
        <v>61.29032258064516</v>
      </c>
      <c r="I17" s="664">
        <v>16800</v>
      </c>
      <c r="J17" s="665">
        <f t="shared" si="4"/>
        <v>38.70967741935484</v>
      </c>
      <c r="K17" s="666">
        <v>17500</v>
      </c>
      <c r="L17" s="665">
        <f t="shared" si="0"/>
        <v>40.322580645161288</v>
      </c>
      <c r="M17" s="667">
        <v>25900</v>
      </c>
      <c r="N17" s="668">
        <f t="shared" si="1"/>
        <v>59.677419354838712</v>
      </c>
    </row>
    <row r="18" spans="1:16" s="647" customFormat="1" ht="17.25" hidden="1" customHeight="1" thickBot="1" x14ac:dyDescent="0.3">
      <c r="A18" s="528">
        <v>2024</v>
      </c>
      <c r="B18" s="640">
        <v>349900</v>
      </c>
      <c r="C18" s="641">
        <v>218600</v>
      </c>
      <c r="D18" s="641">
        <v>568500</v>
      </c>
      <c r="E18" s="641">
        <v>45300</v>
      </c>
      <c r="F18" s="660">
        <f t="shared" si="2"/>
        <v>7.9683377308707133</v>
      </c>
      <c r="G18" s="648">
        <v>26900</v>
      </c>
      <c r="H18" s="650">
        <f t="shared" si="3"/>
        <v>59.381898454746143</v>
      </c>
      <c r="I18" s="648">
        <v>18400</v>
      </c>
      <c r="J18" s="650">
        <f t="shared" si="4"/>
        <v>40.618101545253865</v>
      </c>
      <c r="K18" s="644">
        <v>19400</v>
      </c>
      <c r="L18" s="650">
        <f t="shared" si="0"/>
        <v>42.82560706401766</v>
      </c>
      <c r="M18" s="648">
        <v>25900</v>
      </c>
      <c r="N18" s="651">
        <f t="shared" si="1"/>
        <v>57.17439293598234</v>
      </c>
    </row>
    <row r="19" spans="1:16" s="647" customFormat="1" ht="17.25" hidden="1" customHeight="1" thickBot="1" x14ac:dyDescent="0.3">
      <c r="A19" s="528">
        <v>2025</v>
      </c>
      <c r="B19" s="644">
        <v>354100</v>
      </c>
      <c r="C19" s="648">
        <v>218300</v>
      </c>
      <c r="D19" s="648">
        <v>572400</v>
      </c>
      <c r="E19" s="648">
        <v>44500</v>
      </c>
      <c r="F19" s="660">
        <f t="shared" si="2"/>
        <v>7.7742837176799444</v>
      </c>
      <c r="G19" s="648">
        <v>25700</v>
      </c>
      <c r="H19" s="650">
        <f t="shared" si="3"/>
        <v>57.752808988764045</v>
      </c>
      <c r="I19" s="648">
        <v>18800</v>
      </c>
      <c r="J19" s="650">
        <f t="shared" si="4"/>
        <v>42.247191011235955</v>
      </c>
      <c r="K19" s="644">
        <v>19900</v>
      </c>
      <c r="L19" s="650">
        <f t="shared" si="0"/>
        <v>44.719101123595507</v>
      </c>
      <c r="M19" s="648">
        <v>24600</v>
      </c>
      <c r="N19" s="651">
        <f t="shared" si="1"/>
        <v>55.280898876404493</v>
      </c>
    </row>
    <row r="20" spans="1:16" s="647" customFormat="1" ht="17.25" hidden="1" customHeight="1" thickBot="1" x14ac:dyDescent="0.3">
      <c r="A20" s="528">
        <v>2026</v>
      </c>
      <c r="B20" s="644">
        <v>353600</v>
      </c>
      <c r="C20" s="648">
        <v>219700</v>
      </c>
      <c r="D20" s="648">
        <v>573300</v>
      </c>
      <c r="E20" s="648">
        <v>43600</v>
      </c>
      <c r="F20" s="660">
        <f t="shared" si="2"/>
        <v>7.6050933193790335</v>
      </c>
      <c r="G20" s="648">
        <v>23600</v>
      </c>
      <c r="H20" s="650">
        <f t="shared" si="3"/>
        <v>54.128440366972477</v>
      </c>
      <c r="I20" s="648">
        <v>20000</v>
      </c>
      <c r="J20" s="650">
        <f t="shared" si="4"/>
        <v>45.871559633027523</v>
      </c>
      <c r="K20" s="644">
        <v>18500</v>
      </c>
      <c r="L20" s="650">
        <f t="shared" si="0"/>
        <v>42.431192660550458</v>
      </c>
      <c r="M20" s="648">
        <v>25100</v>
      </c>
      <c r="N20" s="651">
        <f t="shared" si="1"/>
        <v>57.568807339449549</v>
      </c>
    </row>
    <row r="21" spans="1:16" s="647" customFormat="1" ht="17.25" hidden="1" customHeight="1" thickBot="1" x14ac:dyDescent="0.3">
      <c r="A21" s="528">
        <v>2027</v>
      </c>
      <c r="B21" s="669">
        <v>351700</v>
      </c>
      <c r="C21" s="664">
        <v>231200</v>
      </c>
      <c r="D21" s="664">
        <v>582900</v>
      </c>
      <c r="E21" s="664">
        <v>44000</v>
      </c>
      <c r="F21" s="663">
        <f t="shared" si="2"/>
        <v>7.5484645736833071</v>
      </c>
      <c r="G21" s="664">
        <v>26400</v>
      </c>
      <c r="H21" s="665">
        <f t="shared" si="3"/>
        <v>60</v>
      </c>
      <c r="I21" s="664">
        <v>17600</v>
      </c>
      <c r="J21" s="665">
        <f t="shared" si="4"/>
        <v>40</v>
      </c>
      <c r="K21" s="669">
        <v>18800</v>
      </c>
      <c r="L21" s="665">
        <f t="shared" si="0"/>
        <v>42.727272727272727</v>
      </c>
      <c r="M21" s="664">
        <v>25200</v>
      </c>
      <c r="N21" s="668">
        <f t="shared" si="1"/>
        <v>57.272727272727273</v>
      </c>
    </row>
    <row r="22" spans="1:16" s="647" customFormat="1" ht="17.25" hidden="1" customHeight="1" thickBot="1" x14ac:dyDescent="0.3">
      <c r="A22" s="528">
        <v>2028</v>
      </c>
      <c r="B22" s="640">
        <v>349500</v>
      </c>
      <c r="C22" s="641">
        <v>229900</v>
      </c>
      <c r="D22" s="641">
        <v>579400</v>
      </c>
      <c r="E22" s="641">
        <v>50300</v>
      </c>
      <c r="F22" s="660">
        <f t="shared" si="2"/>
        <v>8.6813945460821529</v>
      </c>
      <c r="G22" s="648">
        <v>27000</v>
      </c>
      <c r="H22" s="650">
        <f t="shared" si="3"/>
        <v>53.677932405566594</v>
      </c>
      <c r="I22" s="648">
        <v>23300</v>
      </c>
      <c r="J22" s="650">
        <f t="shared" si="4"/>
        <v>46.322067594433399</v>
      </c>
      <c r="K22" s="644">
        <v>23500</v>
      </c>
      <c r="L22" s="650">
        <f t="shared" si="0"/>
        <v>46.719681908548708</v>
      </c>
      <c r="M22" s="648">
        <v>26800</v>
      </c>
      <c r="N22" s="651">
        <f t="shared" si="1"/>
        <v>53.280318091451292</v>
      </c>
      <c r="O22" s="670"/>
    </row>
    <row r="23" spans="1:16" s="647" customFormat="1" ht="17.25" hidden="1" customHeight="1" thickBot="1" x14ac:dyDescent="0.3">
      <c r="A23" s="528">
        <v>2029</v>
      </c>
      <c r="B23" s="644">
        <v>354100</v>
      </c>
      <c r="C23" s="648">
        <v>234500</v>
      </c>
      <c r="D23" s="648">
        <v>588600</v>
      </c>
      <c r="E23" s="648">
        <v>46000</v>
      </c>
      <c r="F23" s="660">
        <f t="shared" si="2"/>
        <v>7.8151546041454303</v>
      </c>
      <c r="G23" s="648">
        <v>26300</v>
      </c>
      <c r="H23" s="650">
        <f t="shared" si="3"/>
        <v>57.173913043478265</v>
      </c>
      <c r="I23" s="648">
        <v>19700</v>
      </c>
      <c r="J23" s="650">
        <f t="shared" si="4"/>
        <v>42.826086956521742</v>
      </c>
      <c r="K23" s="644">
        <v>18200</v>
      </c>
      <c r="L23" s="650">
        <f t="shared" si="0"/>
        <v>39.565217391304344</v>
      </c>
      <c r="M23" s="648">
        <v>27800</v>
      </c>
      <c r="N23" s="651">
        <f t="shared" si="1"/>
        <v>60.434782608695649</v>
      </c>
      <c r="O23" s="670"/>
      <c r="P23" s="670"/>
    </row>
    <row r="24" spans="1:16" s="647" customFormat="1" ht="17.25" hidden="1" customHeight="1" thickBot="1" x14ac:dyDescent="0.3">
      <c r="A24" s="528">
        <v>2030</v>
      </c>
      <c r="B24" s="644">
        <v>353100</v>
      </c>
      <c r="C24" s="648">
        <v>226000</v>
      </c>
      <c r="D24" s="648">
        <v>579100</v>
      </c>
      <c r="E24" s="648">
        <v>42600</v>
      </c>
      <c r="F24" s="660">
        <f t="shared" si="2"/>
        <v>7.356242445173546</v>
      </c>
      <c r="G24" s="648">
        <v>21900</v>
      </c>
      <c r="H24" s="650">
        <f t="shared" si="3"/>
        <v>51.408450704225352</v>
      </c>
      <c r="I24" s="648">
        <v>20700</v>
      </c>
      <c r="J24" s="650">
        <f t="shared" si="4"/>
        <v>48.591549295774648</v>
      </c>
      <c r="K24" s="644">
        <v>17100</v>
      </c>
      <c r="L24" s="650">
        <f t="shared" si="0"/>
        <v>40.140845070422536</v>
      </c>
      <c r="M24" s="648">
        <v>25500</v>
      </c>
      <c r="N24" s="651">
        <f t="shared" si="1"/>
        <v>59.859154929577464</v>
      </c>
      <c r="O24" s="670"/>
      <c r="P24" s="670"/>
    </row>
    <row r="25" spans="1:16" s="647" customFormat="1" ht="17.25" hidden="1" customHeight="1" thickBot="1" x14ac:dyDescent="0.3">
      <c r="A25" s="528">
        <v>2031</v>
      </c>
      <c r="B25" s="669">
        <v>357600</v>
      </c>
      <c r="C25" s="664">
        <v>234600</v>
      </c>
      <c r="D25" s="664">
        <v>592200</v>
      </c>
      <c r="E25" s="664">
        <v>46600</v>
      </c>
      <c r="F25" s="663">
        <f t="shared" si="2"/>
        <v>7.868963188112124</v>
      </c>
      <c r="G25" s="664">
        <v>24500</v>
      </c>
      <c r="H25" s="665">
        <f t="shared" si="3"/>
        <v>52.575107296137332</v>
      </c>
      <c r="I25" s="664">
        <v>22100</v>
      </c>
      <c r="J25" s="665">
        <f t="shared" si="4"/>
        <v>47.42489270386266</v>
      </c>
      <c r="K25" s="669">
        <v>19700</v>
      </c>
      <c r="L25" s="665">
        <f t="shared" si="0"/>
        <v>42.274678111587981</v>
      </c>
      <c r="M25" s="664">
        <v>26900</v>
      </c>
      <c r="N25" s="668">
        <f t="shared" si="1"/>
        <v>57.725321888412019</v>
      </c>
      <c r="O25" s="670"/>
      <c r="P25" s="670"/>
    </row>
    <row r="26" spans="1:16" s="647" customFormat="1" ht="17.25" customHeight="1" thickBot="1" x14ac:dyDescent="0.35">
      <c r="A26" s="602">
        <v>2020</v>
      </c>
      <c r="B26" s="644">
        <v>310300</v>
      </c>
      <c r="C26" s="648">
        <v>207600</v>
      </c>
      <c r="D26" s="648">
        <v>570100</v>
      </c>
      <c r="E26" s="648">
        <v>52200</v>
      </c>
      <c r="F26" s="671">
        <f t="shared" si="2"/>
        <v>9.156288370461322</v>
      </c>
      <c r="G26" s="672">
        <f>E26-I26</f>
        <v>35000</v>
      </c>
      <c r="H26" s="671">
        <f t="shared" si="3"/>
        <v>67.049808429118769</v>
      </c>
      <c r="I26" s="672">
        <v>17200</v>
      </c>
      <c r="J26" s="671">
        <f t="shared" si="4"/>
        <v>32.950191570881223</v>
      </c>
      <c r="K26" s="673">
        <v>26300</v>
      </c>
      <c r="L26" s="674">
        <f t="shared" si="0"/>
        <v>50.383141762452112</v>
      </c>
      <c r="M26" s="672">
        <v>25900</v>
      </c>
      <c r="N26" s="675">
        <f t="shared" si="1"/>
        <v>49.616858237547895</v>
      </c>
      <c r="O26" s="670"/>
      <c r="P26" s="670"/>
    </row>
    <row r="27" spans="1:16" s="647" customFormat="1" ht="17.25" hidden="1" thickBot="1" x14ac:dyDescent="0.35">
      <c r="A27" s="676" t="s">
        <v>1130</v>
      </c>
      <c r="B27" s="640">
        <v>347500</v>
      </c>
      <c r="C27" s="641">
        <v>224200</v>
      </c>
      <c r="D27" s="641">
        <v>571700</v>
      </c>
      <c r="E27" s="641">
        <v>43500</v>
      </c>
      <c r="F27" s="660">
        <f t="shared" si="2"/>
        <v>7.6088857792548534</v>
      </c>
      <c r="G27" s="648">
        <v>24800</v>
      </c>
      <c r="H27" s="650">
        <f t="shared" si="3"/>
        <v>57.011494252873561</v>
      </c>
      <c r="I27" s="648">
        <v>18700</v>
      </c>
      <c r="J27" s="650">
        <f t="shared" si="4"/>
        <v>42.988505747126439</v>
      </c>
      <c r="K27" s="644">
        <v>17200</v>
      </c>
      <c r="L27" s="650">
        <f t="shared" si="0"/>
        <v>39.540229885057471</v>
      </c>
      <c r="M27" s="648">
        <v>26300</v>
      </c>
      <c r="N27" s="651">
        <f t="shared" si="1"/>
        <v>60.459770114942522</v>
      </c>
      <c r="O27" s="677"/>
      <c r="P27" s="677"/>
    </row>
    <row r="28" spans="1:16" s="647" customFormat="1" ht="17.25" hidden="1" thickBot="1" x14ac:dyDescent="0.35">
      <c r="A28" s="586" t="s">
        <v>1127</v>
      </c>
      <c r="B28" s="644">
        <v>352800</v>
      </c>
      <c r="C28" s="648">
        <v>227300</v>
      </c>
      <c r="D28" s="648">
        <v>580100</v>
      </c>
      <c r="E28" s="648">
        <v>43100</v>
      </c>
      <c r="F28" s="660">
        <f t="shared" si="2"/>
        <v>7.4297534907774523</v>
      </c>
      <c r="G28" s="648">
        <v>23800</v>
      </c>
      <c r="H28" s="650">
        <f t="shared" si="3"/>
        <v>55.220417633410669</v>
      </c>
      <c r="I28" s="648">
        <v>19300</v>
      </c>
      <c r="J28" s="650">
        <f t="shared" si="4"/>
        <v>44.779582366589324</v>
      </c>
      <c r="K28" s="644">
        <v>18400</v>
      </c>
      <c r="L28" s="650">
        <f t="shared" si="0"/>
        <v>42.691415313225058</v>
      </c>
      <c r="M28" s="648">
        <v>24700</v>
      </c>
      <c r="N28" s="651">
        <f t="shared" si="1"/>
        <v>57.308584686774942</v>
      </c>
      <c r="O28" s="677"/>
      <c r="P28" s="677"/>
    </row>
    <row r="29" spans="1:16" s="647" customFormat="1" ht="17.25" hidden="1" thickBot="1" x14ac:dyDescent="0.35">
      <c r="A29" s="586" t="s">
        <v>1128</v>
      </c>
      <c r="B29" s="644">
        <v>356900</v>
      </c>
      <c r="C29" s="648">
        <v>223800</v>
      </c>
      <c r="D29" s="648">
        <v>580700</v>
      </c>
      <c r="E29" s="648">
        <v>44400</v>
      </c>
      <c r="F29" s="660">
        <f t="shared" si="2"/>
        <v>7.6459445496814187</v>
      </c>
      <c r="G29" s="648">
        <v>25300</v>
      </c>
      <c r="H29" s="650">
        <f t="shared" si="3"/>
        <v>56.981981981981974</v>
      </c>
      <c r="I29" s="648">
        <v>19100</v>
      </c>
      <c r="J29" s="650">
        <f t="shared" si="4"/>
        <v>43.018018018018019</v>
      </c>
      <c r="K29" s="644">
        <v>18900</v>
      </c>
      <c r="L29" s="650">
        <f t="shared" si="0"/>
        <v>42.567567567567565</v>
      </c>
      <c r="M29" s="648">
        <v>25500</v>
      </c>
      <c r="N29" s="651">
        <f t="shared" si="1"/>
        <v>57.432432432432435</v>
      </c>
      <c r="O29" s="677"/>
      <c r="P29" s="677"/>
    </row>
    <row r="30" spans="1:16" s="647" customFormat="1" ht="17.25" hidden="1" thickBot="1" x14ac:dyDescent="0.35">
      <c r="A30" s="602" t="s">
        <v>1129</v>
      </c>
      <c r="B30" s="669">
        <v>357100</v>
      </c>
      <c r="C30" s="664">
        <v>228400</v>
      </c>
      <c r="D30" s="664">
        <v>585500</v>
      </c>
      <c r="E30" s="664">
        <v>38900</v>
      </c>
      <c r="F30" s="663">
        <f t="shared" si="2"/>
        <v>6.6438941076003415</v>
      </c>
      <c r="G30" s="664">
        <f>E30-I30</f>
        <v>20600</v>
      </c>
      <c r="H30" s="665">
        <f t="shared" si="3"/>
        <v>52.956298200514141</v>
      </c>
      <c r="I30" s="664">
        <v>18300</v>
      </c>
      <c r="J30" s="665">
        <f t="shared" si="4"/>
        <v>47.043701799485859</v>
      </c>
      <c r="K30" s="669">
        <v>13200</v>
      </c>
      <c r="L30" s="665">
        <f t="shared" si="0"/>
        <v>33.933161953727506</v>
      </c>
      <c r="M30" s="664">
        <v>25700</v>
      </c>
      <c r="N30" s="668">
        <f t="shared" si="1"/>
        <v>66.066838046272494</v>
      </c>
      <c r="O30" s="677"/>
      <c r="P30" s="677"/>
    </row>
    <row r="31" spans="1:16" s="647" customFormat="1" ht="16.5" x14ac:dyDescent="0.3">
      <c r="A31" s="586" t="s">
        <v>1131</v>
      </c>
      <c r="B31" s="640">
        <v>353100</v>
      </c>
      <c r="C31" s="641">
        <v>227300</v>
      </c>
      <c r="D31" s="678">
        <v>580400</v>
      </c>
      <c r="E31" s="641">
        <v>44300</v>
      </c>
      <c r="F31" s="679">
        <v>7.6326671261199168</v>
      </c>
      <c r="G31" s="648">
        <v>22100</v>
      </c>
      <c r="H31" s="650">
        <f t="shared" si="3"/>
        <v>49.887133182844245</v>
      </c>
      <c r="I31" s="648">
        <v>22200</v>
      </c>
      <c r="J31" s="650">
        <v>50.112866817155755</v>
      </c>
      <c r="K31" s="644">
        <v>17700</v>
      </c>
      <c r="L31" s="650">
        <v>39.954853273137694</v>
      </c>
      <c r="M31" s="648">
        <v>26600</v>
      </c>
      <c r="N31" s="651">
        <v>60.045146726862299</v>
      </c>
      <c r="O31" s="677"/>
      <c r="P31" s="677"/>
    </row>
    <row r="32" spans="1:16" s="647" customFormat="1" ht="16.5" x14ac:dyDescent="0.3">
      <c r="A32" s="586" t="s">
        <v>1127</v>
      </c>
      <c r="B32" s="644">
        <v>360900</v>
      </c>
      <c r="C32" s="648">
        <v>231100</v>
      </c>
      <c r="D32" s="680">
        <v>592000</v>
      </c>
      <c r="E32" s="648">
        <v>42600</v>
      </c>
      <c r="F32" s="660">
        <f>E32/D32*100</f>
        <v>7.1959459459459456</v>
      </c>
      <c r="G32" s="648">
        <f>E32-I32</f>
        <v>24000</v>
      </c>
      <c r="H32" s="650">
        <f t="shared" si="3"/>
        <v>56.338028169014088</v>
      </c>
      <c r="I32" s="648">
        <v>18600</v>
      </c>
      <c r="J32" s="650">
        <f t="shared" ref="J32:J39" si="5">I32/E32*100</f>
        <v>43.661971830985912</v>
      </c>
      <c r="K32" s="644">
        <v>19000</v>
      </c>
      <c r="L32" s="650">
        <f>K32/E32*100</f>
        <v>44.600938967136152</v>
      </c>
      <c r="M32" s="648">
        <v>23600</v>
      </c>
      <c r="N32" s="651">
        <f>M32/E32*100</f>
        <v>55.399061032863848</v>
      </c>
      <c r="O32" s="677"/>
      <c r="P32" s="677"/>
    </row>
    <row r="33" spans="1:20" s="647" customFormat="1" ht="16.5" x14ac:dyDescent="0.3">
      <c r="A33" s="586" t="s">
        <v>1128</v>
      </c>
      <c r="B33" s="644">
        <v>354700</v>
      </c>
      <c r="C33" s="648">
        <v>228300</v>
      </c>
      <c r="D33" s="680">
        <v>583000</v>
      </c>
      <c r="E33" s="648">
        <v>40600</v>
      </c>
      <c r="F33" s="660">
        <v>6.9639794168096056</v>
      </c>
      <c r="G33" s="648">
        <v>21100</v>
      </c>
      <c r="H33" s="650">
        <f t="shared" si="3"/>
        <v>51.970443349753694</v>
      </c>
      <c r="I33" s="648">
        <v>19500</v>
      </c>
      <c r="J33" s="650">
        <f t="shared" si="5"/>
        <v>48.029556650246306</v>
      </c>
      <c r="K33" s="644">
        <v>16400</v>
      </c>
      <c r="L33" s="650">
        <v>40.39408866995074</v>
      </c>
      <c r="M33" s="648">
        <v>24200</v>
      </c>
      <c r="N33" s="651">
        <v>59.605911330049267</v>
      </c>
      <c r="O33" s="677"/>
      <c r="P33" s="677"/>
    </row>
    <row r="34" spans="1:20" s="647" customFormat="1" ht="17.25" thickBot="1" x14ac:dyDescent="0.35">
      <c r="A34" s="602" t="s">
        <v>1129</v>
      </c>
      <c r="B34" s="669">
        <v>357000</v>
      </c>
      <c r="C34" s="664">
        <v>230600</v>
      </c>
      <c r="D34" s="681">
        <v>587600</v>
      </c>
      <c r="E34" s="664">
        <v>39600</v>
      </c>
      <c r="F34" s="663">
        <f>E34/D34*100</f>
        <v>6.7392784206943501</v>
      </c>
      <c r="G34" s="664">
        <f>E34-I34</f>
        <v>22900</v>
      </c>
      <c r="H34" s="665">
        <f t="shared" si="3"/>
        <v>57.828282828282831</v>
      </c>
      <c r="I34" s="664">
        <v>16700</v>
      </c>
      <c r="J34" s="665">
        <f t="shared" si="5"/>
        <v>42.171717171717169</v>
      </c>
      <c r="K34" s="669">
        <v>16300</v>
      </c>
      <c r="L34" s="665">
        <f t="shared" ref="L34:L39" si="6">K34/E34*100</f>
        <v>41.161616161616159</v>
      </c>
      <c r="M34" s="664">
        <v>23300</v>
      </c>
      <c r="N34" s="668">
        <f t="shared" ref="N34:N39" si="7">M34/E34*100</f>
        <v>58.838383838383834</v>
      </c>
      <c r="O34" s="677"/>
      <c r="P34" s="677"/>
    </row>
    <row r="35" spans="1:20" s="647" customFormat="1" ht="16.5" x14ac:dyDescent="0.3">
      <c r="A35" s="586" t="s">
        <v>1177</v>
      </c>
      <c r="B35" s="641">
        <v>351100</v>
      </c>
      <c r="C35" s="641">
        <v>229900</v>
      </c>
      <c r="D35" s="678">
        <v>581000</v>
      </c>
      <c r="E35" s="641">
        <v>41000</v>
      </c>
      <c r="F35" s="660">
        <f>E35/D35*100</f>
        <v>7.056798623063683</v>
      </c>
      <c r="G35" s="648">
        <v>21700</v>
      </c>
      <c r="H35" s="650">
        <f t="shared" si="3"/>
        <v>52.926829268292686</v>
      </c>
      <c r="I35" s="648">
        <v>19300</v>
      </c>
      <c r="J35" s="650">
        <f t="shared" si="5"/>
        <v>47.073170731707314</v>
      </c>
      <c r="K35" s="644">
        <v>18000</v>
      </c>
      <c r="L35" s="650">
        <f t="shared" si="6"/>
        <v>43.902439024390247</v>
      </c>
      <c r="M35" s="648">
        <v>23000</v>
      </c>
      <c r="N35" s="682">
        <f t="shared" si="7"/>
        <v>56.09756097560976</v>
      </c>
      <c r="O35" s="677"/>
      <c r="P35" s="677"/>
    </row>
    <row r="36" spans="1:20" s="647" customFormat="1" ht="16.5" x14ac:dyDescent="0.3">
      <c r="A36" s="586" t="s">
        <v>1127</v>
      </c>
      <c r="B36" s="644">
        <v>350000.00000000006</v>
      </c>
      <c r="C36" s="648">
        <v>232000</v>
      </c>
      <c r="D36" s="680">
        <v>582000</v>
      </c>
      <c r="E36" s="648">
        <v>40500</v>
      </c>
      <c r="F36" s="660">
        <v>7</v>
      </c>
      <c r="G36" s="648">
        <v>19000</v>
      </c>
      <c r="H36" s="650">
        <f t="shared" si="3"/>
        <v>46.913580246913575</v>
      </c>
      <c r="I36" s="648">
        <v>21500</v>
      </c>
      <c r="J36" s="650">
        <f t="shared" si="5"/>
        <v>53.086419753086425</v>
      </c>
      <c r="K36" s="644">
        <v>18500</v>
      </c>
      <c r="L36" s="650">
        <f t="shared" si="6"/>
        <v>45.679012345679013</v>
      </c>
      <c r="M36" s="648">
        <v>22000</v>
      </c>
      <c r="N36" s="683">
        <f t="shared" si="7"/>
        <v>54.320987654320987</v>
      </c>
      <c r="O36" s="677"/>
      <c r="P36" s="677"/>
    </row>
    <row r="37" spans="1:20" s="647" customFormat="1" ht="16.5" x14ac:dyDescent="0.3">
      <c r="A37" s="586" t="s">
        <v>1128</v>
      </c>
      <c r="B37" s="644">
        <v>349700</v>
      </c>
      <c r="C37" s="648">
        <v>226900</v>
      </c>
      <c r="D37" s="680">
        <v>576599.99999999988</v>
      </c>
      <c r="E37" s="648">
        <v>39800</v>
      </c>
      <c r="F37" s="660">
        <v>6.9</v>
      </c>
      <c r="G37" s="648">
        <v>20500</v>
      </c>
      <c r="H37" s="650">
        <f t="shared" si="3"/>
        <v>51.507537688442206</v>
      </c>
      <c r="I37" s="648">
        <v>19300</v>
      </c>
      <c r="J37" s="650">
        <f t="shared" si="5"/>
        <v>48.492462311557787</v>
      </c>
      <c r="K37" s="644">
        <v>15800</v>
      </c>
      <c r="L37" s="650">
        <f t="shared" si="6"/>
        <v>39.698492462311556</v>
      </c>
      <c r="M37" s="648">
        <v>24000</v>
      </c>
      <c r="N37" s="683">
        <f t="shared" si="7"/>
        <v>60.301507537688437</v>
      </c>
      <c r="O37" s="677"/>
      <c r="P37" s="677"/>
    </row>
    <row r="38" spans="1:20" s="647" customFormat="1" ht="17.25" thickBot="1" x14ac:dyDescent="0.35">
      <c r="A38" s="602" t="s">
        <v>1129</v>
      </c>
      <c r="B38" s="669">
        <v>360200.00000000006</v>
      </c>
      <c r="C38" s="664">
        <v>231100.00000000003</v>
      </c>
      <c r="D38" s="664">
        <v>591300.00000000012</v>
      </c>
      <c r="E38" s="664">
        <v>38100</v>
      </c>
      <c r="F38" s="663">
        <v>6.4434297311009638</v>
      </c>
      <c r="G38" s="664">
        <v>20200.000000000004</v>
      </c>
      <c r="H38" s="665">
        <f t="shared" si="3"/>
        <v>53.018372703412084</v>
      </c>
      <c r="I38" s="664">
        <v>17900</v>
      </c>
      <c r="J38" s="665">
        <f t="shared" si="5"/>
        <v>46.981627296587924</v>
      </c>
      <c r="K38" s="669">
        <v>14800</v>
      </c>
      <c r="L38" s="684">
        <f t="shared" si="6"/>
        <v>38.84514435695538</v>
      </c>
      <c r="M38" s="664">
        <v>23300</v>
      </c>
      <c r="N38" s="685">
        <f t="shared" si="7"/>
        <v>61.154855643044613</v>
      </c>
      <c r="O38" s="677"/>
      <c r="P38" s="677"/>
    </row>
    <row r="39" spans="1:20" s="647" customFormat="1" ht="16.5" x14ac:dyDescent="0.3">
      <c r="A39" s="686" t="s">
        <v>1143</v>
      </c>
      <c r="B39" s="640">
        <v>353200</v>
      </c>
      <c r="C39" s="641">
        <v>233200.00000000003</v>
      </c>
      <c r="D39" s="678">
        <v>586400</v>
      </c>
      <c r="E39" s="641">
        <v>40400</v>
      </c>
      <c r="F39" s="679">
        <v>6.9</v>
      </c>
      <c r="G39" s="641">
        <v>22200</v>
      </c>
      <c r="H39" s="650">
        <f>(G39/E39)*100</f>
        <v>54.950495049504951</v>
      </c>
      <c r="I39" s="641">
        <v>18200</v>
      </c>
      <c r="J39" s="643">
        <f t="shared" si="5"/>
        <v>45.049504950495049</v>
      </c>
      <c r="K39" s="640">
        <v>17400</v>
      </c>
      <c r="L39" s="643">
        <f t="shared" si="6"/>
        <v>43.069306930693067</v>
      </c>
      <c r="M39" s="641">
        <v>23000</v>
      </c>
      <c r="N39" s="682">
        <f t="shared" si="7"/>
        <v>56.930693069306926</v>
      </c>
      <c r="O39" s="677"/>
      <c r="P39" s="677"/>
      <c r="Q39" s="687"/>
      <c r="R39" s="687"/>
      <c r="S39" s="687"/>
      <c r="T39" s="687"/>
    </row>
    <row r="40" spans="1:20" s="647" customFormat="1" ht="17.25" x14ac:dyDescent="0.3">
      <c r="A40" s="586" t="s">
        <v>1135</v>
      </c>
      <c r="B40" s="644">
        <v>354599.99999999994</v>
      </c>
      <c r="C40" s="648">
        <v>238299.99999999997</v>
      </c>
      <c r="D40" s="680">
        <v>592900</v>
      </c>
      <c r="E40" s="648">
        <v>39100</v>
      </c>
      <c r="F40" s="660">
        <v>6.6</v>
      </c>
      <c r="G40" s="648">
        <v>23000</v>
      </c>
      <c r="H40" s="650">
        <f>(G40/E40)*100</f>
        <v>58.82352941176471</v>
      </c>
      <c r="I40" s="648">
        <v>16100.000000000002</v>
      </c>
      <c r="J40" s="650">
        <v>41.176470588235297</v>
      </c>
      <c r="K40" s="644">
        <v>13400</v>
      </c>
      <c r="L40" s="650">
        <v>34.271099744245525</v>
      </c>
      <c r="M40" s="648">
        <v>25700</v>
      </c>
      <c r="N40" s="683">
        <v>65.728900255754496</v>
      </c>
      <c r="O40" s="677"/>
      <c r="P40" s="677"/>
      <c r="R40" s="687"/>
      <c r="S40" s="687"/>
    </row>
    <row r="41" spans="1:20" s="647" customFormat="1" ht="16.5" x14ac:dyDescent="0.3">
      <c r="A41" s="586" t="s">
        <v>1128</v>
      </c>
      <c r="B41" s="644">
        <v>354600</v>
      </c>
      <c r="C41" s="648">
        <v>230400</v>
      </c>
      <c r="D41" s="680">
        <v>585000</v>
      </c>
      <c r="E41" s="648">
        <v>39300</v>
      </c>
      <c r="F41" s="660">
        <v>6.7</v>
      </c>
      <c r="G41" s="648">
        <v>22900</v>
      </c>
      <c r="H41" s="650">
        <f>(G41/E41)*100</f>
        <v>58.269720101781175</v>
      </c>
      <c r="I41" s="648">
        <v>16400</v>
      </c>
      <c r="J41" s="650">
        <v>41.730279898218832</v>
      </c>
      <c r="K41" s="644">
        <v>15500</v>
      </c>
      <c r="L41" s="650">
        <v>39.440203562340969</v>
      </c>
      <c r="M41" s="648">
        <v>23800</v>
      </c>
      <c r="N41" s="683">
        <v>60.559796437659031</v>
      </c>
      <c r="O41" s="677"/>
      <c r="P41" s="677"/>
      <c r="R41" s="687"/>
      <c r="S41" s="687"/>
    </row>
    <row r="42" spans="1:20" s="647" customFormat="1" ht="17.25" thickBot="1" x14ac:dyDescent="0.35">
      <c r="A42" s="602" t="s">
        <v>1129</v>
      </c>
      <c r="B42" s="669">
        <v>354300</v>
      </c>
      <c r="C42" s="664">
        <v>240800</v>
      </c>
      <c r="D42" s="681">
        <v>595100</v>
      </c>
      <c r="E42" s="664">
        <v>37900</v>
      </c>
      <c r="F42" s="663">
        <f>(E42/D42)*100</f>
        <v>6.3686775331877001</v>
      </c>
      <c r="G42" s="664">
        <v>20500</v>
      </c>
      <c r="H42" s="665">
        <f>(G42/E42)*100</f>
        <v>54.089709762532976</v>
      </c>
      <c r="I42" s="664">
        <v>17400</v>
      </c>
      <c r="J42" s="665">
        <f>(I42/$E$42)*100</f>
        <v>45.910290237467017</v>
      </c>
      <c r="K42" s="669">
        <v>14500</v>
      </c>
      <c r="L42" s="665">
        <f>(K42/$E$42)*100</f>
        <v>38.258575197889186</v>
      </c>
      <c r="M42" s="664">
        <v>23400</v>
      </c>
      <c r="N42" s="668">
        <f>(M42/$E$42)*100</f>
        <v>61.741424802110821</v>
      </c>
      <c r="O42" s="677"/>
      <c r="P42" s="677"/>
    </row>
    <row r="43" spans="1:20" s="647" customFormat="1" ht="20.25" customHeight="1" x14ac:dyDescent="0.3">
      <c r="A43" s="686" t="s">
        <v>1178</v>
      </c>
      <c r="B43" s="640">
        <v>348300</v>
      </c>
      <c r="C43" s="640">
        <v>242600</v>
      </c>
      <c r="D43" s="678">
        <v>590900</v>
      </c>
      <c r="E43" s="641">
        <v>40500</v>
      </c>
      <c r="F43" s="679">
        <v>6.9</v>
      </c>
      <c r="G43" s="648">
        <f t="shared" ref="G43:G48" si="8">E43-I43</f>
        <v>23200</v>
      </c>
      <c r="H43" s="643">
        <f>(G43/$E$43)*100</f>
        <v>57.283950617283949</v>
      </c>
      <c r="I43" s="641">
        <v>17300</v>
      </c>
      <c r="J43" s="643">
        <f>(I43/$E$43)*100</f>
        <v>42.716049382716051</v>
      </c>
      <c r="K43" s="641">
        <v>17100</v>
      </c>
      <c r="L43" s="643">
        <f>(K43/$E$43)*100</f>
        <v>42.222222222222221</v>
      </c>
      <c r="M43" s="641">
        <v>23400</v>
      </c>
      <c r="N43" s="645">
        <f>(M43/$E$43)*100</f>
        <v>57.777777777777771</v>
      </c>
      <c r="O43" s="677"/>
      <c r="P43" s="677"/>
      <c r="Q43" s="687"/>
      <c r="R43" s="687"/>
      <c r="S43" s="687"/>
      <c r="T43" s="687"/>
    </row>
    <row r="44" spans="1:20" s="647" customFormat="1" ht="20.25" customHeight="1" x14ac:dyDescent="0.3">
      <c r="A44" s="586" t="s">
        <v>106</v>
      </c>
      <c r="B44" s="644">
        <v>277000</v>
      </c>
      <c r="C44" s="644">
        <v>174200</v>
      </c>
      <c r="D44" s="680">
        <v>451200</v>
      </c>
      <c r="E44" s="648">
        <v>45800</v>
      </c>
      <c r="F44" s="660">
        <v>10.199999999999999</v>
      </c>
      <c r="G44" s="648">
        <f t="shared" si="8"/>
        <v>36000</v>
      </c>
      <c r="H44" s="660">
        <f t="shared" ref="H44:H48" si="9">(G44/E44)*100</f>
        <v>78.602620087336234</v>
      </c>
      <c r="I44" s="648">
        <v>9800</v>
      </c>
      <c r="J44" s="660">
        <f t="shared" ref="J44:J48" si="10">(I44/E44)*100</f>
        <v>21.397379912663755</v>
      </c>
      <c r="K44" s="648">
        <v>28600</v>
      </c>
      <c r="L44" s="660">
        <f t="shared" ref="L44:L48" si="11">(K44/E44)*100</f>
        <v>62.445414847161572</v>
      </c>
      <c r="M44" s="648">
        <v>17200</v>
      </c>
      <c r="N44" s="688">
        <f t="shared" ref="N44:N48" si="12">(M44/E44)*100</f>
        <v>37.554585152838428</v>
      </c>
      <c r="O44" s="677"/>
      <c r="P44" s="677"/>
      <c r="Q44" s="687"/>
      <c r="R44" s="687"/>
      <c r="S44" s="687"/>
      <c r="T44" s="687"/>
    </row>
    <row r="45" spans="1:20" s="647" customFormat="1" ht="20.25" customHeight="1" x14ac:dyDescent="0.3">
      <c r="A45" s="586" t="s">
        <v>112</v>
      </c>
      <c r="B45" s="644">
        <v>309500</v>
      </c>
      <c r="C45" s="644">
        <v>229600</v>
      </c>
      <c r="D45" s="680">
        <v>539100</v>
      </c>
      <c r="E45" s="648">
        <v>66000</v>
      </c>
      <c r="F45" s="660">
        <v>12.2</v>
      </c>
      <c r="G45" s="648">
        <f t="shared" si="8"/>
        <v>49500</v>
      </c>
      <c r="H45" s="660">
        <f t="shared" si="9"/>
        <v>75</v>
      </c>
      <c r="I45" s="648">
        <v>16500</v>
      </c>
      <c r="J45" s="660">
        <f t="shared" si="10"/>
        <v>25</v>
      </c>
      <c r="K45" s="648">
        <v>36300</v>
      </c>
      <c r="L45" s="660">
        <f t="shared" si="11"/>
        <v>55.000000000000007</v>
      </c>
      <c r="M45" s="648">
        <v>29700</v>
      </c>
      <c r="N45" s="688">
        <f t="shared" si="12"/>
        <v>45</v>
      </c>
      <c r="O45" s="677"/>
      <c r="P45" s="677"/>
      <c r="Q45" s="687"/>
      <c r="R45" s="687"/>
      <c r="S45" s="687"/>
      <c r="T45" s="687"/>
    </row>
    <row r="46" spans="1:20" s="647" customFormat="1" ht="20.25" customHeight="1" x14ac:dyDescent="0.3">
      <c r="A46" s="586" t="s">
        <v>113</v>
      </c>
      <c r="B46" s="644">
        <v>329000</v>
      </c>
      <c r="C46" s="644">
        <v>226300</v>
      </c>
      <c r="D46" s="680">
        <v>555300</v>
      </c>
      <c r="E46" s="648">
        <v>57300</v>
      </c>
      <c r="F46" s="660">
        <v>10.3</v>
      </c>
      <c r="G46" s="648">
        <f t="shared" si="8"/>
        <v>36700</v>
      </c>
      <c r="H46" s="660">
        <f t="shared" si="9"/>
        <v>64.048865619546248</v>
      </c>
      <c r="I46" s="648">
        <v>20600</v>
      </c>
      <c r="J46" s="660">
        <f t="shared" si="10"/>
        <v>35.951134380453752</v>
      </c>
      <c r="K46" s="648">
        <v>32200</v>
      </c>
      <c r="L46" s="660">
        <f t="shared" si="11"/>
        <v>56.195462478184986</v>
      </c>
      <c r="M46" s="648">
        <v>25100</v>
      </c>
      <c r="N46" s="688">
        <f t="shared" si="12"/>
        <v>43.804537521815007</v>
      </c>
      <c r="O46" s="677"/>
      <c r="P46" s="677"/>
      <c r="Q46" s="687"/>
      <c r="R46" s="687"/>
      <c r="S46" s="687"/>
      <c r="T46" s="687"/>
    </row>
    <row r="47" spans="1:20" s="647" customFormat="1" ht="20.25" customHeight="1" x14ac:dyDescent="0.3">
      <c r="A47" s="586" t="s">
        <v>108</v>
      </c>
      <c r="B47" s="644">
        <v>333600</v>
      </c>
      <c r="C47" s="644">
        <v>234900</v>
      </c>
      <c r="D47" s="680">
        <v>568500</v>
      </c>
      <c r="E47" s="648">
        <v>62200</v>
      </c>
      <c r="F47" s="660">
        <v>10.9</v>
      </c>
      <c r="G47" s="648">
        <f t="shared" si="8"/>
        <v>41700</v>
      </c>
      <c r="H47" s="660">
        <f t="shared" si="9"/>
        <v>67.041800643086816</v>
      </c>
      <c r="I47" s="648">
        <v>20500</v>
      </c>
      <c r="J47" s="660">
        <f t="shared" si="10"/>
        <v>32.958199356913184</v>
      </c>
      <c r="K47" s="648">
        <v>32000</v>
      </c>
      <c r="L47" s="660">
        <f t="shared" si="11"/>
        <v>51.446945337620576</v>
      </c>
      <c r="M47" s="648">
        <v>30200</v>
      </c>
      <c r="N47" s="688">
        <f t="shared" si="12"/>
        <v>48.553054662379417</v>
      </c>
      <c r="O47" s="677"/>
      <c r="P47" s="677"/>
      <c r="Q47" s="687"/>
      <c r="R47" s="687"/>
      <c r="S47" s="687"/>
      <c r="T47" s="687"/>
    </row>
    <row r="48" spans="1:20" s="647" customFormat="1" ht="20.25" customHeight="1" thickBot="1" x14ac:dyDescent="0.35">
      <c r="A48" s="602" t="s">
        <v>111</v>
      </c>
      <c r="B48" s="669">
        <v>347100</v>
      </c>
      <c r="C48" s="664">
        <v>237600</v>
      </c>
      <c r="D48" s="681" t="s">
        <v>1179</v>
      </c>
      <c r="E48" s="664">
        <v>61400</v>
      </c>
      <c r="F48" s="663">
        <v>10.199999999999999</v>
      </c>
      <c r="G48" s="664">
        <f t="shared" si="8"/>
        <v>42800</v>
      </c>
      <c r="H48" s="665">
        <f t="shared" si="9"/>
        <v>69.706840390879478</v>
      </c>
      <c r="I48" s="664">
        <v>18600</v>
      </c>
      <c r="J48" s="665">
        <f t="shared" si="10"/>
        <v>30.293159609120522</v>
      </c>
      <c r="K48" s="669">
        <v>30000</v>
      </c>
      <c r="L48" s="665">
        <f t="shared" si="11"/>
        <v>48.859934853420192</v>
      </c>
      <c r="M48" s="664">
        <v>31400</v>
      </c>
      <c r="N48" s="668">
        <f t="shared" si="12"/>
        <v>51.140065146579808</v>
      </c>
      <c r="O48" s="677"/>
      <c r="P48" s="677"/>
      <c r="Q48" s="687"/>
      <c r="R48" s="687"/>
      <c r="S48" s="687"/>
      <c r="T48" s="687"/>
    </row>
    <row r="49" spans="1:20" s="647" customFormat="1" ht="20.25" customHeight="1" thickBot="1" x14ac:dyDescent="0.35">
      <c r="A49" s="630" t="s">
        <v>1180</v>
      </c>
      <c r="B49" s="689">
        <v>311900</v>
      </c>
      <c r="C49" s="689">
        <v>222500</v>
      </c>
      <c r="D49" s="689">
        <v>534400</v>
      </c>
      <c r="E49" s="690">
        <v>52500</v>
      </c>
      <c r="F49" s="691">
        <v>9.8000000000000007</v>
      </c>
      <c r="G49" s="690">
        <f>E49-I49</f>
        <v>33900</v>
      </c>
      <c r="H49" s="691">
        <f>(G49/E49)*100</f>
        <v>64.571428571428569</v>
      </c>
      <c r="I49" s="690">
        <v>18600</v>
      </c>
      <c r="J49" s="691">
        <f>(I49/E49)*100</f>
        <v>35.428571428571423</v>
      </c>
      <c r="K49" s="690">
        <v>26600</v>
      </c>
      <c r="L49" s="691">
        <f>(K49/E49)*100</f>
        <v>50.666666666666671</v>
      </c>
      <c r="M49" s="690">
        <v>25900</v>
      </c>
      <c r="N49" s="692">
        <f>(M49/E49)*100</f>
        <v>49.333333333333336</v>
      </c>
      <c r="O49" s="677"/>
      <c r="P49" s="677"/>
      <c r="Q49" s="687"/>
      <c r="R49" s="687"/>
      <c r="S49" s="687"/>
      <c r="T49" s="687"/>
    </row>
    <row r="50" spans="1:20" s="609" customFormat="1" ht="5.25" customHeight="1" thickTop="1" x14ac:dyDescent="0.25">
      <c r="A50" s="3636" t="s">
        <v>1181</v>
      </c>
      <c r="B50" s="3636"/>
      <c r="C50" s="3636"/>
      <c r="D50" s="3636"/>
      <c r="E50" s="3636"/>
      <c r="F50" s="3636"/>
      <c r="G50" s="3636"/>
      <c r="H50" s="3636"/>
      <c r="I50" s="3636"/>
      <c r="J50" s="3636"/>
      <c r="K50" s="3636"/>
      <c r="L50" s="3636"/>
      <c r="M50" s="3636"/>
      <c r="N50" s="3636"/>
      <c r="O50" s="693"/>
    </row>
    <row r="51" spans="1:20" s="609" customFormat="1" ht="18" customHeight="1" x14ac:dyDescent="0.25">
      <c r="A51" s="3636"/>
      <c r="B51" s="3636"/>
      <c r="C51" s="3636"/>
      <c r="D51" s="3636"/>
      <c r="E51" s="3636"/>
      <c r="F51" s="3636"/>
      <c r="G51" s="3636"/>
      <c r="H51" s="3636"/>
      <c r="I51" s="3636"/>
      <c r="J51" s="3636"/>
      <c r="K51" s="3636"/>
      <c r="L51" s="3636"/>
      <c r="M51" s="3636"/>
      <c r="N51" s="3636"/>
      <c r="O51" s="693"/>
    </row>
    <row r="52" spans="1:20" s="609" customFormat="1" ht="15.75" x14ac:dyDescent="0.25">
      <c r="A52" s="557" t="s">
        <v>1182</v>
      </c>
      <c r="B52" s="694"/>
      <c r="C52" s="694"/>
      <c r="D52" s="557" t="s">
        <v>1183</v>
      </c>
      <c r="E52" s="695"/>
      <c r="F52" s="557"/>
      <c r="G52" s="557"/>
      <c r="H52" s="696"/>
      <c r="I52" s="697"/>
      <c r="J52" s="696"/>
      <c r="K52" s="697"/>
      <c r="L52" s="697"/>
      <c r="M52" s="697"/>
      <c r="N52" s="696"/>
      <c r="O52" s="693"/>
    </row>
    <row r="53" spans="1:20" s="609" customFormat="1" hidden="1" x14ac:dyDescent="0.25">
      <c r="A53" s="557" t="s">
        <v>1184</v>
      </c>
    </row>
    <row r="54" spans="1:20" s="609" customFormat="1" x14ac:dyDescent="0.25">
      <c r="A54" s="557" t="s">
        <v>1145</v>
      </c>
    </row>
    <row r="55" spans="1:20" s="609" customFormat="1" x14ac:dyDescent="0.25">
      <c r="G55" s="693"/>
    </row>
    <row r="56" spans="1:20" s="610" customFormat="1" ht="15.75" x14ac:dyDescent="0.3">
      <c r="A56" s="516"/>
      <c r="B56" s="516"/>
      <c r="C56" s="516"/>
      <c r="D56" s="516"/>
      <c r="E56" s="516"/>
      <c r="F56" s="516"/>
      <c r="G56" s="516"/>
      <c r="H56" s="516"/>
      <c r="I56" s="516"/>
      <c r="J56" s="516"/>
      <c r="K56" s="516"/>
      <c r="L56" s="516"/>
      <c r="M56" s="516"/>
      <c r="N56" s="516"/>
    </row>
    <row r="57" spans="1:20" s="610" customFormat="1" ht="15.75" x14ac:dyDescent="0.3">
      <c r="A57" s="516"/>
      <c r="B57" s="516"/>
      <c r="C57" s="516"/>
      <c r="D57" s="516"/>
      <c r="E57" s="516"/>
      <c r="F57" s="516"/>
      <c r="G57" s="516"/>
      <c r="H57" s="516"/>
      <c r="I57" s="516"/>
      <c r="J57" s="516"/>
      <c r="K57" s="516"/>
      <c r="L57" s="516"/>
      <c r="M57" s="516"/>
      <c r="N57" s="516"/>
    </row>
    <row r="58" spans="1:20" x14ac:dyDescent="0.25">
      <c r="H58" s="698"/>
    </row>
    <row r="59" spans="1:20" x14ac:dyDescent="0.25">
      <c r="H59" s="698"/>
    </row>
  </sheetData>
  <mergeCells count="15">
    <mergeCell ref="G5:H5"/>
    <mergeCell ref="I5:J5"/>
    <mergeCell ref="K5:L5"/>
    <mergeCell ref="M5:N5"/>
    <mergeCell ref="A50:N51"/>
    <mergeCell ref="A3:A6"/>
    <mergeCell ref="B3:D3"/>
    <mergeCell ref="E3:N3"/>
    <mergeCell ref="B4:B6"/>
    <mergeCell ref="C4:C6"/>
    <mergeCell ref="D4:D6"/>
    <mergeCell ref="E4:E6"/>
    <mergeCell ref="F4:F6"/>
    <mergeCell ref="G4:J4"/>
    <mergeCell ref="K4:N4"/>
  </mergeCells>
  <pageMargins left="0.75" right="0.75" top="0.75" bottom="0.75" header="0.3" footer="0"/>
  <pageSetup paperSize="9" scale="7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AA33"/>
  <sheetViews>
    <sheetView showGridLines="0" zoomScaleNormal="100" zoomScaleSheetLayoutView="100" workbookViewId="0">
      <selection activeCell="T22" sqref="T22"/>
    </sheetView>
  </sheetViews>
  <sheetFormatPr defaultColWidth="13.140625" defaultRowHeight="16.5" x14ac:dyDescent="0.3"/>
  <cols>
    <col min="1" max="1" width="21.85546875" style="3523" customWidth="1"/>
    <col min="2" max="3" width="14.140625" style="3486" hidden="1" customWidth="1"/>
    <col min="4" max="8" width="16.140625" style="3486" hidden="1" customWidth="1"/>
    <col min="9" max="9" width="10.5703125" style="3486" hidden="1" customWidth="1"/>
    <col min="10" max="15" width="16.140625" style="3486" hidden="1" customWidth="1"/>
    <col min="16" max="25" width="16.140625" style="3486" customWidth="1"/>
    <col min="26" max="16384" width="13.140625" style="3486"/>
  </cols>
  <sheetData>
    <row r="1" spans="1:25" ht="15.75" customHeight="1" x14ac:dyDescent="0.3">
      <c r="A1" s="3524" t="s">
        <v>5324</v>
      </c>
      <c r="B1" s="3524"/>
      <c r="C1" s="3524"/>
      <c r="D1" s="3524"/>
      <c r="E1" s="3524"/>
      <c r="F1" s="3524"/>
      <c r="G1" s="3524"/>
      <c r="H1" s="3524"/>
      <c r="I1" s="3524"/>
      <c r="J1" s="3524"/>
      <c r="K1" s="3524"/>
      <c r="L1" s="3524"/>
      <c r="M1" s="3524"/>
      <c r="N1" s="3524"/>
      <c r="O1" s="3524"/>
      <c r="P1" s="3524"/>
      <c r="Q1" s="3524"/>
      <c r="R1" s="3524"/>
      <c r="S1" s="3524"/>
      <c r="T1" s="3524"/>
      <c r="U1" s="3524"/>
      <c r="V1" s="3524"/>
      <c r="W1" s="3524"/>
      <c r="X1" s="3524"/>
      <c r="Y1" s="3524"/>
    </row>
    <row r="2" spans="1:25" ht="15.75" customHeight="1" thickBot="1" x14ac:dyDescent="0.3">
      <c r="A2" s="3525"/>
      <c r="B2" s="3525"/>
      <c r="C2" s="3525"/>
      <c r="D2" s="3525"/>
      <c r="E2" s="3525"/>
      <c r="F2" s="3525"/>
      <c r="G2" s="3525"/>
      <c r="H2" s="3525"/>
      <c r="I2" s="3525"/>
      <c r="J2" s="3525"/>
      <c r="K2" s="3525"/>
      <c r="L2" s="3526"/>
      <c r="M2" s="3526"/>
      <c r="N2" s="3526"/>
      <c r="O2" s="3526"/>
      <c r="P2" s="3526"/>
      <c r="Q2" s="3526"/>
      <c r="R2" s="3526"/>
      <c r="S2" s="3526"/>
      <c r="T2" s="3526"/>
      <c r="U2" s="3526"/>
      <c r="V2" s="3526"/>
      <c r="W2" s="3526"/>
      <c r="X2" s="3526"/>
      <c r="Y2" s="3526"/>
    </row>
    <row r="3" spans="1:25" ht="18" thickTop="1" x14ac:dyDescent="0.3">
      <c r="A3" s="3527"/>
      <c r="B3" s="4009" t="s">
        <v>5325</v>
      </c>
      <c r="C3" s="4010"/>
      <c r="D3" s="4007" t="s">
        <v>5326</v>
      </c>
      <c r="E3" s="4011"/>
      <c r="F3" s="4007" t="s">
        <v>5327</v>
      </c>
      <c r="G3" s="4011"/>
      <c r="H3" s="4007" t="s">
        <v>5328</v>
      </c>
      <c r="I3" s="4011"/>
      <c r="J3" s="4007" t="s">
        <v>5329</v>
      </c>
      <c r="K3" s="4011"/>
      <c r="L3" s="4007" t="s">
        <v>5330</v>
      </c>
      <c r="M3" s="4008"/>
      <c r="N3" s="4007" t="s">
        <v>5331</v>
      </c>
      <c r="O3" s="4008"/>
      <c r="P3" s="4007" t="s">
        <v>5332</v>
      </c>
      <c r="Q3" s="4008"/>
      <c r="R3" s="4007" t="s">
        <v>5333</v>
      </c>
      <c r="S3" s="4008"/>
      <c r="T3" s="4007" t="s">
        <v>5334</v>
      </c>
      <c r="U3" s="4008"/>
      <c r="V3" s="4007" t="s">
        <v>5335</v>
      </c>
      <c r="W3" s="4008"/>
      <c r="X3" s="4007" t="s">
        <v>5336</v>
      </c>
      <c r="Y3" s="4008"/>
    </row>
    <row r="4" spans="1:25" ht="17.25" thickBot="1" x14ac:dyDescent="0.3">
      <c r="A4" s="3528"/>
      <c r="B4" s="3529" t="s">
        <v>8</v>
      </c>
      <c r="C4" s="3530" t="s">
        <v>5337</v>
      </c>
      <c r="D4" s="3531" t="s">
        <v>8</v>
      </c>
      <c r="E4" s="3532" t="s">
        <v>5337</v>
      </c>
      <c r="F4" s="3531" t="s">
        <v>8</v>
      </c>
      <c r="G4" s="3532" t="s">
        <v>5337</v>
      </c>
      <c r="H4" s="3531" t="s">
        <v>8</v>
      </c>
      <c r="I4" s="3532" t="s">
        <v>5337</v>
      </c>
      <c r="J4" s="3531" t="s">
        <v>8</v>
      </c>
      <c r="K4" s="3532" t="s">
        <v>5337</v>
      </c>
      <c r="L4" s="3531" t="s">
        <v>8</v>
      </c>
      <c r="M4" s="3533" t="s">
        <v>5337</v>
      </c>
      <c r="N4" s="3531" t="s">
        <v>8</v>
      </c>
      <c r="O4" s="3533" t="s">
        <v>5337</v>
      </c>
      <c r="P4" s="3531" t="s">
        <v>8</v>
      </c>
      <c r="Q4" s="3533" t="s">
        <v>5337</v>
      </c>
      <c r="R4" s="3531" t="s">
        <v>8</v>
      </c>
      <c r="S4" s="3533" t="s">
        <v>5337</v>
      </c>
      <c r="T4" s="3531" t="s">
        <v>8</v>
      </c>
      <c r="U4" s="3533" t="s">
        <v>5337</v>
      </c>
      <c r="V4" s="3531" t="s">
        <v>8</v>
      </c>
      <c r="W4" s="3533" t="s">
        <v>5337</v>
      </c>
      <c r="X4" s="3531" t="s">
        <v>8</v>
      </c>
      <c r="Y4" s="3533" t="s">
        <v>5337</v>
      </c>
    </row>
    <row r="5" spans="1:25" s="3497" customFormat="1" ht="17.25" thickBot="1" x14ac:dyDescent="0.35">
      <c r="A5" s="3534" t="s">
        <v>5338</v>
      </c>
      <c r="B5" s="3535">
        <v>14908.181149508031</v>
      </c>
      <c r="C5" s="3536">
        <v>31620</v>
      </c>
      <c r="D5" s="3537">
        <v>15472.226499364326</v>
      </c>
      <c r="E5" s="3538">
        <v>32513</v>
      </c>
      <c r="F5" s="3537">
        <v>15996.346761563796</v>
      </c>
      <c r="G5" s="3538">
        <v>32983</v>
      </c>
      <c r="H5" s="3537">
        <v>15476.124991389166</v>
      </c>
      <c r="I5" s="3538">
        <v>33601</v>
      </c>
      <c r="J5" s="3537">
        <v>16582.18896130372</v>
      </c>
      <c r="K5" s="3538">
        <v>34910</v>
      </c>
      <c r="L5" s="3537">
        <v>17185.811581534814</v>
      </c>
      <c r="M5" s="3539">
        <v>35567</v>
      </c>
      <c r="N5" s="3537">
        <v>18966.851299744958</v>
      </c>
      <c r="O5" s="3539">
        <v>35555</v>
      </c>
      <c r="P5" s="3537">
        <v>18419.382639355743</v>
      </c>
      <c r="Q5" s="3539">
        <v>36439</v>
      </c>
      <c r="R5" s="3537">
        <v>18014.589488085585</v>
      </c>
      <c r="S5" s="3539">
        <v>36555</v>
      </c>
      <c r="T5" s="3537">
        <v>18286.932862350826</v>
      </c>
      <c r="U5" s="3539">
        <v>36567</v>
      </c>
      <c r="V5" s="3537">
        <v>18277.910962895854</v>
      </c>
      <c r="W5" s="3539">
        <v>36039</v>
      </c>
      <c r="X5" s="3537">
        <v>18142.937389209997</v>
      </c>
      <c r="Y5" s="3539">
        <v>35944</v>
      </c>
    </row>
    <row r="6" spans="1:25" x14ac:dyDescent="0.3">
      <c r="A6" s="3540" t="s">
        <v>5339</v>
      </c>
      <c r="B6" s="3541">
        <v>1703.3231020000001</v>
      </c>
      <c r="C6" s="3542">
        <v>4040</v>
      </c>
      <c r="D6" s="3543">
        <v>2029.4331440000001</v>
      </c>
      <c r="E6" s="3544">
        <v>4665</v>
      </c>
      <c r="F6" s="3543">
        <v>2009.0752500000001</v>
      </c>
      <c r="G6" s="3544">
        <v>4701</v>
      </c>
      <c r="H6" s="3543">
        <v>2064.6409565499998</v>
      </c>
      <c r="I6" s="3544">
        <v>4856</v>
      </c>
      <c r="J6" s="3543">
        <v>2033.9340511599999</v>
      </c>
      <c r="K6" s="3544">
        <v>4868</v>
      </c>
      <c r="L6" s="3543">
        <v>2420.0622960000001</v>
      </c>
      <c r="M6" s="3545">
        <v>5692</v>
      </c>
      <c r="N6" s="3543">
        <v>2581.1587541199997</v>
      </c>
      <c r="O6" s="3545">
        <v>6005</v>
      </c>
      <c r="P6" s="3543">
        <v>5825.2907836499999</v>
      </c>
      <c r="Q6" s="3545">
        <v>13768</v>
      </c>
      <c r="R6" s="3543">
        <v>5699.7036489505881</v>
      </c>
      <c r="S6" s="3545">
        <v>13717</v>
      </c>
      <c r="T6" s="3543">
        <v>5751.0841163888463</v>
      </c>
      <c r="U6" s="3545">
        <v>14022</v>
      </c>
      <c r="V6" s="3543">
        <v>5653.1123186100003</v>
      </c>
      <c r="W6" s="3545">
        <v>13432</v>
      </c>
      <c r="X6" s="3543">
        <v>5518.6911389999996</v>
      </c>
      <c r="Y6" s="3545">
        <v>13441</v>
      </c>
    </row>
    <row r="7" spans="1:25" s="3497" customFormat="1" x14ac:dyDescent="0.3">
      <c r="A7" s="3546" t="s">
        <v>5340</v>
      </c>
      <c r="B7" s="3547">
        <v>10420.5643376034</v>
      </c>
      <c r="C7" s="3548">
        <v>22568</v>
      </c>
      <c r="D7" s="3549">
        <v>10509.012721594327</v>
      </c>
      <c r="E7" s="3550">
        <v>22637</v>
      </c>
      <c r="F7" s="3549">
        <v>10756.474941569997</v>
      </c>
      <c r="G7" s="3550">
        <v>22563</v>
      </c>
      <c r="H7" s="3549">
        <v>10318.047120916066</v>
      </c>
      <c r="I7" s="3550">
        <v>23302</v>
      </c>
      <c r="J7" s="3549">
        <v>10924.535716983723</v>
      </c>
      <c r="K7" s="3550">
        <v>23935</v>
      </c>
      <c r="L7" s="3549">
        <v>11110.944298624814</v>
      </c>
      <c r="M7" s="3551">
        <v>23511</v>
      </c>
      <c r="N7" s="3549">
        <v>12398.061572314955</v>
      </c>
      <c r="O7" s="3551">
        <v>23254</v>
      </c>
      <c r="P7" s="3549">
        <v>8398.4754731557423</v>
      </c>
      <c r="Q7" s="3551">
        <v>16106</v>
      </c>
      <c r="R7" s="3549">
        <v>8129.5443274149975</v>
      </c>
      <c r="S7" s="3551">
        <v>16327</v>
      </c>
      <c r="T7" s="3549">
        <v>8200.0293995619813</v>
      </c>
      <c r="U7" s="3551">
        <v>15874</v>
      </c>
      <c r="V7" s="3549">
        <v>8229.5316189358546</v>
      </c>
      <c r="W7" s="3551">
        <v>15864</v>
      </c>
      <c r="X7" s="3549">
        <v>8237.7819856499991</v>
      </c>
      <c r="Y7" s="3551">
        <v>15701</v>
      </c>
    </row>
    <row r="8" spans="1:25" ht="17.25" thickBot="1" x14ac:dyDescent="0.35">
      <c r="A8" s="3552" t="s">
        <v>5288</v>
      </c>
      <c r="B8" s="3553">
        <v>2784.2937099046298</v>
      </c>
      <c r="C8" s="3554">
        <v>5012</v>
      </c>
      <c r="D8" s="3555">
        <v>2933.780633769999</v>
      </c>
      <c r="E8" s="3556">
        <v>5211</v>
      </c>
      <c r="F8" s="3555">
        <v>3230.796569993799</v>
      </c>
      <c r="G8" s="3556">
        <v>5719</v>
      </c>
      <c r="H8" s="3555">
        <v>3093.4369139230994</v>
      </c>
      <c r="I8" s="3556">
        <v>5443</v>
      </c>
      <c r="J8" s="3555">
        <v>3623.7191931599982</v>
      </c>
      <c r="K8" s="3556">
        <v>6107</v>
      </c>
      <c r="L8" s="3555">
        <v>3654.80498691</v>
      </c>
      <c r="M8" s="3557">
        <v>6364</v>
      </c>
      <c r="N8" s="3555">
        <v>3987.6309733100006</v>
      </c>
      <c r="O8" s="3557">
        <v>6296</v>
      </c>
      <c r="P8" s="3555">
        <v>4195.6163825499998</v>
      </c>
      <c r="Q8" s="3557">
        <v>6565</v>
      </c>
      <c r="R8" s="3555">
        <v>4185.3415117200002</v>
      </c>
      <c r="S8" s="3557">
        <v>6511</v>
      </c>
      <c r="T8" s="3555">
        <v>4335.8193463999987</v>
      </c>
      <c r="U8" s="3557">
        <v>6671</v>
      </c>
      <c r="V8" s="3555">
        <v>4395.2670253499982</v>
      </c>
      <c r="W8" s="3557">
        <v>6743</v>
      </c>
      <c r="X8" s="3555">
        <v>4386.4642645600006</v>
      </c>
      <c r="Y8" s="3557">
        <v>6802</v>
      </c>
    </row>
    <row r="9" spans="1:25" s="3497" customFormat="1" ht="17.25" thickBot="1" x14ac:dyDescent="0.35">
      <c r="A9" s="3534" t="s">
        <v>3326</v>
      </c>
      <c r="B9" s="3535">
        <v>3321.5626322817479</v>
      </c>
      <c r="C9" s="3536">
        <v>2460</v>
      </c>
      <c r="D9" s="3537">
        <v>3151.6955018663712</v>
      </c>
      <c r="E9" s="3538">
        <v>2523</v>
      </c>
      <c r="F9" s="3537">
        <v>2900.9314859190008</v>
      </c>
      <c r="G9" s="3538">
        <v>2426</v>
      </c>
      <c r="H9" s="3537">
        <v>2730.0272956431154</v>
      </c>
      <c r="I9" s="3538">
        <v>2464</v>
      </c>
      <c r="J9" s="3537">
        <v>3106.1754653319103</v>
      </c>
      <c r="K9" s="3538">
        <v>2686</v>
      </c>
      <c r="L9" s="3537">
        <v>2990.8201862820347</v>
      </c>
      <c r="M9" s="3539">
        <v>2494</v>
      </c>
      <c r="N9" s="3537">
        <v>3070.3262415598128</v>
      </c>
      <c r="O9" s="3539">
        <v>2229</v>
      </c>
      <c r="P9" s="3537">
        <v>2741.1384878420799</v>
      </c>
      <c r="Q9" s="3539">
        <v>2253</v>
      </c>
      <c r="R9" s="3537">
        <v>2713.6471717890599</v>
      </c>
      <c r="S9" s="3539">
        <v>2234</v>
      </c>
      <c r="T9" s="3537">
        <v>2741.6730550373736</v>
      </c>
      <c r="U9" s="3539">
        <v>2188</v>
      </c>
      <c r="V9" s="3537">
        <v>2590.5566960674701</v>
      </c>
      <c r="W9" s="3539">
        <v>2170</v>
      </c>
      <c r="X9" s="3537">
        <v>2436.9409224700003</v>
      </c>
      <c r="Y9" s="3539">
        <v>2059</v>
      </c>
    </row>
    <row r="10" spans="1:25" x14ac:dyDescent="0.3">
      <c r="A10" s="3540" t="s">
        <v>5339</v>
      </c>
      <c r="B10" s="3558">
        <v>11.962669</v>
      </c>
      <c r="C10" s="3559">
        <v>5</v>
      </c>
      <c r="D10" s="3560">
        <v>22.44595</v>
      </c>
      <c r="E10" s="3561">
        <v>15</v>
      </c>
      <c r="F10" s="3560">
        <v>41.458378000000003</v>
      </c>
      <c r="G10" s="3561">
        <v>20</v>
      </c>
      <c r="H10" s="3560">
        <v>35.628348000000003</v>
      </c>
      <c r="I10" s="3561">
        <v>19</v>
      </c>
      <c r="J10" s="3560">
        <v>43.6891289</v>
      </c>
      <c r="K10" s="3561">
        <v>19</v>
      </c>
      <c r="L10" s="3560">
        <v>77.579504999999997</v>
      </c>
      <c r="M10" s="3562">
        <v>38</v>
      </c>
      <c r="N10" s="3560">
        <v>66.474119000000002</v>
      </c>
      <c r="O10" s="3562">
        <v>38</v>
      </c>
      <c r="P10" s="3560">
        <v>710.16605507999998</v>
      </c>
      <c r="Q10" s="3562">
        <v>726</v>
      </c>
      <c r="R10" s="3560">
        <v>726.63999637705967</v>
      </c>
      <c r="S10" s="3562">
        <v>717</v>
      </c>
      <c r="T10" s="3560">
        <v>668.48370166568236</v>
      </c>
      <c r="U10" s="3562">
        <v>670</v>
      </c>
      <c r="V10" s="3560">
        <v>653.60237711499997</v>
      </c>
      <c r="W10" s="3562">
        <v>649</v>
      </c>
      <c r="X10" s="3560">
        <v>543.26307499999996</v>
      </c>
      <c r="Y10" s="3562">
        <v>524</v>
      </c>
    </row>
    <row r="11" spans="1:25" x14ac:dyDescent="0.3">
      <c r="A11" s="3546" t="s">
        <v>5340</v>
      </c>
      <c r="B11" s="3563">
        <v>2372.0958495236996</v>
      </c>
      <c r="C11" s="3564">
        <v>1964</v>
      </c>
      <c r="D11" s="3565">
        <v>2184.8206320372001</v>
      </c>
      <c r="E11" s="3566">
        <v>1916</v>
      </c>
      <c r="F11" s="3565">
        <v>2087.4965836690003</v>
      </c>
      <c r="G11" s="3566">
        <v>1847</v>
      </c>
      <c r="H11" s="3565">
        <v>2080.0036730198149</v>
      </c>
      <c r="I11" s="3566">
        <v>2015</v>
      </c>
      <c r="J11" s="3565">
        <v>2327.20173604191</v>
      </c>
      <c r="K11" s="3566">
        <v>2170</v>
      </c>
      <c r="L11" s="3565">
        <v>2096.9389415920346</v>
      </c>
      <c r="M11" s="3567">
        <v>1953</v>
      </c>
      <c r="N11" s="3565">
        <v>2228.736706369813</v>
      </c>
      <c r="O11" s="3567">
        <v>1718</v>
      </c>
      <c r="P11" s="3565">
        <v>1299.6293054220798</v>
      </c>
      <c r="Q11" s="3567">
        <v>1056</v>
      </c>
      <c r="R11" s="3565">
        <v>1285.3153288020001</v>
      </c>
      <c r="S11" s="3567">
        <v>1045</v>
      </c>
      <c r="T11" s="3565">
        <v>1290.5777983516912</v>
      </c>
      <c r="U11" s="3567">
        <v>1028</v>
      </c>
      <c r="V11" s="3565">
        <v>1182.4889201324702</v>
      </c>
      <c r="W11" s="3567">
        <v>1030</v>
      </c>
      <c r="X11" s="3565">
        <v>1117.33087641</v>
      </c>
      <c r="Y11" s="3567">
        <v>1040</v>
      </c>
    </row>
    <row r="12" spans="1:25" ht="17.25" thickBot="1" x14ac:dyDescent="0.35">
      <c r="A12" s="3552" t="s">
        <v>5288</v>
      </c>
      <c r="B12" s="3568">
        <v>937.50411375804833</v>
      </c>
      <c r="C12" s="3569">
        <v>491</v>
      </c>
      <c r="D12" s="3570">
        <v>944.42891982917115</v>
      </c>
      <c r="E12" s="3571">
        <v>592</v>
      </c>
      <c r="F12" s="3570">
        <v>771.97652425000081</v>
      </c>
      <c r="G12" s="3571">
        <v>559</v>
      </c>
      <c r="H12" s="3570">
        <v>614.39527462330011</v>
      </c>
      <c r="I12" s="3571">
        <v>430</v>
      </c>
      <c r="J12" s="3570">
        <v>735.28460039000015</v>
      </c>
      <c r="K12" s="3571">
        <v>497</v>
      </c>
      <c r="L12" s="3570">
        <v>816.30173969000009</v>
      </c>
      <c r="M12" s="3572">
        <v>503</v>
      </c>
      <c r="N12" s="3570">
        <v>775.11541619000002</v>
      </c>
      <c r="O12" s="3572">
        <v>473</v>
      </c>
      <c r="P12" s="3570">
        <v>731.34312734000002</v>
      </c>
      <c r="Q12" s="3572">
        <v>471</v>
      </c>
      <c r="R12" s="3570">
        <v>701.69184661000008</v>
      </c>
      <c r="S12" s="3572">
        <v>472</v>
      </c>
      <c r="T12" s="3570">
        <v>782.6115550200002</v>
      </c>
      <c r="U12" s="3572">
        <v>490</v>
      </c>
      <c r="V12" s="3570">
        <v>754.4653988199999</v>
      </c>
      <c r="W12" s="3572">
        <v>491</v>
      </c>
      <c r="X12" s="3570">
        <v>776.34697105999999</v>
      </c>
      <c r="Y12" s="3572">
        <v>495</v>
      </c>
    </row>
    <row r="13" spans="1:25" s="3497" customFormat="1" ht="17.25" thickBot="1" x14ac:dyDescent="0.35">
      <c r="A13" s="3534" t="s">
        <v>114</v>
      </c>
      <c r="B13" s="3535">
        <v>18229.743781789777</v>
      </c>
      <c r="C13" s="3536">
        <v>34080</v>
      </c>
      <c r="D13" s="3537">
        <v>18623.922001230698</v>
      </c>
      <c r="E13" s="3538">
        <v>35036</v>
      </c>
      <c r="F13" s="3537">
        <v>18897.278247482798</v>
      </c>
      <c r="G13" s="3538">
        <v>35409</v>
      </c>
      <c r="H13" s="3537">
        <v>18206.152287032281</v>
      </c>
      <c r="I13" s="3538">
        <v>36065</v>
      </c>
      <c r="J13" s="3537">
        <v>19688.364426635631</v>
      </c>
      <c r="K13" s="3538">
        <v>37596</v>
      </c>
      <c r="L13" s="3537">
        <v>20176.631767816849</v>
      </c>
      <c r="M13" s="3539">
        <v>38061</v>
      </c>
      <c r="N13" s="3537">
        <v>22037.177541304769</v>
      </c>
      <c r="O13" s="3539">
        <v>37784</v>
      </c>
      <c r="P13" s="3537">
        <v>21160.521127197822</v>
      </c>
      <c r="Q13" s="3539">
        <v>38692</v>
      </c>
      <c r="R13" s="3537">
        <v>20728.236659874645</v>
      </c>
      <c r="S13" s="3539">
        <v>38789</v>
      </c>
      <c r="T13" s="3537">
        <v>21028.605917388202</v>
      </c>
      <c r="U13" s="3539">
        <v>38755</v>
      </c>
      <c r="V13" s="3537">
        <v>20868.467658963324</v>
      </c>
      <c r="W13" s="3539">
        <v>38209</v>
      </c>
      <c r="X13" s="3537">
        <v>20579.87831168</v>
      </c>
      <c r="Y13" s="3539">
        <v>38003</v>
      </c>
    </row>
    <row r="14" spans="1:25" x14ac:dyDescent="0.3">
      <c r="A14" s="3540" t="s">
        <v>5339</v>
      </c>
      <c r="B14" s="3541">
        <v>1715.2857710000001</v>
      </c>
      <c r="C14" s="3542">
        <v>4045</v>
      </c>
      <c r="D14" s="3543">
        <v>2051.8790939999999</v>
      </c>
      <c r="E14" s="3544">
        <v>4680</v>
      </c>
      <c r="F14" s="3543">
        <v>2050.5336280000001</v>
      </c>
      <c r="G14" s="3544">
        <v>4721</v>
      </c>
      <c r="H14" s="3543">
        <v>2100.26930455</v>
      </c>
      <c r="I14" s="3544">
        <v>4875</v>
      </c>
      <c r="J14" s="3543">
        <v>2077.6231800599999</v>
      </c>
      <c r="K14" s="3544">
        <v>4887</v>
      </c>
      <c r="L14" s="3543">
        <v>2497.6418010000002</v>
      </c>
      <c r="M14" s="3545">
        <v>5730</v>
      </c>
      <c r="N14" s="3543">
        <v>2647.6328731199997</v>
      </c>
      <c r="O14" s="3545">
        <v>6043</v>
      </c>
      <c r="P14" s="3543">
        <v>6535.4568387299996</v>
      </c>
      <c r="Q14" s="3545">
        <v>14494</v>
      </c>
      <c r="R14" s="3543">
        <v>6426.3436453276481</v>
      </c>
      <c r="S14" s="3545">
        <v>14434</v>
      </c>
      <c r="T14" s="3543">
        <v>6419.5678180545283</v>
      </c>
      <c r="U14" s="3545">
        <v>14692</v>
      </c>
      <c r="V14" s="3543">
        <v>6306.7146957250006</v>
      </c>
      <c r="W14" s="3545">
        <v>14081</v>
      </c>
      <c r="X14" s="3543">
        <v>6061.9542139999994</v>
      </c>
      <c r="Y14" s="3545">
        <v>13965</v>
      </c>
    </row>
    <row r="15" spans="1:25" x14ac:dyDescent="0.3">
      <c r="A15" s="3546" t="s">
        <v>5340</v>
      </c>
      <c r="B15" s="3547">
        <v>12792.6601871271</v>
      </c>
      <c r="C15" s="3548">
        <v>24532</v>
      </c>
      <c r="D15" s="3549">
        <v>12693.833353631526</v>
      </c>
      <c r="E15" s="3550">
        <v>24553</v>
      </c>
      <c r="F15" s="3549">
        <v>12843.971525238998</v>
      </c>
      <c r="G15" s="3550">
        <v>24410</v>
      </c>
      <c r="H15" s="3549">
        <v>12398.050793935881</v>
      </c>
      <c r="I15" s="3550">
        <v>25317</v>
      </c>
      <c r="J15" s="3549">
        <v>13251.737453025633</v>
      </c>
      <c r="K15" s="3550">
        <v>26105</v>
      </c>
      <c r="L15" s="3549">
        <v>13207.883240216848</v>
      </c>
      <c r="M15" s="3551">
        <v>25464</v>
      </c>
      <c r="N15" s="3549">
        <v>14626.798278684768</v>
      </c>
      <c r="O15" s="3551">
        <v>24972</v>
      </c>
      <c r="P15" s="3549">
        <v>9698.1047785778228</v>
      </c>
      <c r="Q15" s="3551">
        <v>17162</v>
      </c>
      <c r="R15" s="3549">
        <v>9414.8596562169969</v>
      </c>
      <c r="S15" s="3551">
        <v>17372</v>
      </c>
      <c r="T15" s="3549">
        <v>9490.6071979136723</v>
      </c>
      <c r="U15" s="3551">
        <v>16902</v>
      </c>
      <c r="V15" s="3549">
        <v>9412.0205390683241</v>
      </c>
      <c r="W15" s="3551">
        <v>16894</v>
      </c>
      <c r="X15" s="3549">
        <v>9355.1128620599993</v>
      </c>
      <c r="Y15" s="3551">
        <v>16741</v>
      </c>
    </row>
    <row r="16" spans="1:25" ht="17.25" thickBot="1" x14ac:dyDescent="0.35">
      <c r="A16" s="3552" t="s">
        <v>5288</v>
      </c>
      <c r="B16" s="3553">
        <v>3721.7978236626782</v>
      </c>
      <c r="C16" s="3554">
        <v>5503</v>
      </c>
      <c r="D16" s="3555">
        <v>3878.2095535991702</v>
      </c>
      <c r="E16" s="3556">
        <v>5803</v>
      </c>
      <c r="F16" s="3555">
        <v>4002.7730942437997</v>
      </c>
      <c r="G16" s="3556">
        <v>6278</v>
      </c>
      <c r="H16" s="3555">
        <v>3707.8321885463993</v>
      </c>
      <c r="I16" s="3556">
        <v>5873</v>
      </c>
      <c r="J16" s="3555">
        <v>4359.0037935499986</v>
      </c>
      <c r="K16" s="3556">
        <v>6604</v>
      </c>
      <c r="L16" s="3555">
        <v>4471.1067266</v>
      </c>
      <c r="M16" s="3557">
        <v>6867</v>
      </c>
      <c r="N16" s="3555">
        <v>4762.746389500001</v>
      </c>
      <c r="O16" s="3557">
        <v>6769</v>
      </c>
      <c r="P16" s="3555">
        <v>4926.9595098899999</v>
      </c>
      <c r="Q16" s="3557">
        <v>7036</v>
      </c>
      <c r="R16" s="3555">
        <v>4887.0333583299998</v>
      </c>
      <c r="S16" s="3557">
        <v>6983</v>
      </c>
      <c r="T16" s="3555">
        <v>5118.4309014199989</v>
      </c>
      <c r="U16" s="3557">
        <v>7161</v>
      </c>
      <c r="V16" s="3555">
        <v>5149.732424169998</v>
      </c>
      <c r="W16" s="3557">
        <v>7234</v>
      </c>
      <c r="X16" s="3555">
        <v>5162.8112356200008</v>
      </c>
      <c r="Y16" s="3557">
        <v>7297</v>
      </c>
    </row>
    <row r="17" spans="1:27" s="3576" customFormat="1" ht="14.25" x14ac:dyDescent="0.25">
      <c r="A17" s="3573" t="s">
        <v>5341</v>
      </c>
      <c r="B17" s="3574"/>
      <c r="C17" s="3574" t="s">
        <v>5342</v>
      </c>
      <c r="D17" s="3574"/>
      <c r="E17" s="3574"/>
      <c r="F17" s="3575"/>
      <c r="G17" s="3575"/>
      <c r="H17" s="3575"/>
      <c r="I17" s="3575"/>
      <c r="J17" s="3575"/>
      <c r="K17" s="3575"/>
    </row>
    <row r="18" spans="1:27" ht="15.75" x14ac:dyDescent="0.25">
      <c r="A18" s="283" t="s">
        <v>5343</v>
      </c>
      <c r="T18"/>
      <c r="U18"/>
      <c r="V18"/>
      <c r="W18"/>
      <c r="X18"/>
      <c r="Y18"/>
      <c r="Z18"/>
      <c r="AA18"/>
    </row>
    <row r="19" spans="1:27" s="3576" customFormat="1" ht="14.25" customHeight="1" x14ac:dyDescent="0.25">
      <c r="A19" s="3577" t="s">
        <v>134</v>
      </c>
      <c r="T19"/>
      <c r="U19"/>
      <c r="V19"/>
      <c r="W19"/>
      <c r="X19"/>
      <c r="Y19"/>
      <c r="Z19"/>
      <c r="AA19"/>
    </row>
    <row r="20" spans="1:27" ht="15" x14ac:dyDescent="0.25">
      <c r="A20" s="283"/>
      <c r="T20"/>
      <c r="U20"/>
      <c r="V20"/>
      <c r="W20"/>
      <c r="X20"/>
      <c r="Y20"/>
      <c r="Z20"/>
      <c r="AA20"/>
    </row>
    <row r="21" spans="1:27" x14ac:dyDescent="0.3">
      <c r="T21"/>
      <c r="U21"/>
      <c r="V21"/>
      <c r="W21"/>
      <c r="X21"/>
      <c r="Y21"/>
      <c r="Z21"/>
      <c r="AA21"/>
    </row>
    <row r="22" spans="1:27" x14ac:dyDescent="0.3">
      <c r="T22"/>
      <c r="U22"/>
      <c r="V22"/>
      <c r="W22"/>
      <c r="X22"/>
      <c r="Y22"/>
      <c r="Z22"/>
      <c r="AA22"/>
    </row>
    <row r="23" spans="1:27" x14ac:dyDescent="0.3">
      <c r="T23"/>
      <c r="U23"/>
      <c r="V23"/>
      <c r="W23"/>
      <c r="X23"/>
      <c r="Y23"/>
      <c r="Z23"/>
      <c r="AA23"/>
    </row>
    <row r="24" spans="1:27" x14ac:dyDescent="0.3">
      <c r="T24"/>
      <c r="U24"/>
      <c r="V24"/>
      <c r="W24"/>
      <c r="X24"/>
      <c r="Y24"/>
      <c r="Z24"/>
      <c r="AA24"/>
    </row>
    <row r="25" spans="1:27" x14ac:dyDescent="0.3">
      <c r="T25"/>
      <c r="U25"/>
      <c r="V25"/>
      <c r="W25"/>
      <c r="X25"/>
      <c r="Y25"/>
      <c r="Z25"/>
      <c r="AA25"/>
    </row>
    <row r="26" spans="1:27" x14ac:dyDescent="0.3">
      <c r="T26"/>
      <c r="U26"/>
      <c r="V26"/>
      <c r="W26"/>
      <c r="X26"/>
      <c r="Y26"/>
      <c r="Z26"/>
      <c r="AA26"/>
    </row>
    <row r="27" spans="1:27" x14ac:dyDescent="0.3">
      <c r="T27"/>
      <c r="U27"/>
      <c r="V27"/>
      <c r="W27"/>
      <c r="X27"/>
      <c r="Y27"/>
      <c r="Z27"/>
      <c r="AA27"/>
    </row>
    <row r="28" spans="1:27" x14ac:dyDescent="0.3">
      <c r="T28"/>
      <c r="U28"/>
      <c r="V28"/>
      <c r="W28"/>
      <c r="X28"/>
      <c r="Y28"/>
      <c r="Z28"/>
      <c r="AA28"/>
    </row>
    <row r="29" spans="1:27" x14ac:dyDescent="0.3">
      <c r="T29"/>
      <c r="U29"/>
      <c r="V29"/>
      <c r="W29"/>
      <c r="X29"/>
      <c r="Y29"/>
      <c r="Z29"/>
      <c r="AA29"/>
    </row>
    <row r="30" spans="1:27" x14ac:dyDescent="0.3">
      <c r="T30"/>
      <c r="U30"/>
      <c r="V30"/>
      <c r="W30"/>
      <c r="X30"/>
      <c r="Y30"/>
      <c r="Z30"/>
      <c r="AA30"/>
    </row>
    <row r="31" spans="1:27" x14ac:dyDescent="0.3">
      <c r="T31"/>
      <c r="U31"/>
      <c r="V31"/>
      <c r="W31"/>
      <c r="X31"/>
      <c r="Y31"/>
      <c r="Z31"/>
      <c r="AA31"/>
    </row>
    <row r="32" spans="1:27" x14ac:dyDescent="0.3">
      <c r="T32"/>
      <c r="U32"/>
      <c r="V32"/>
      <c r="W32"/>
      <c r="X32"/>
      <c r="Y32"/>
      <c r="Z32"/>
      <c r="AA32"/>
    </row>
    <row r="33" spans="20:27" x14ac:dyDescent="0.3">
      <c r="T33"/>
      <c r="U33"/>
      <c r="V33"/>
      <c r="W33"/>
      <c r="X33"/>
      <c r="Y33"/>
      <c r="Z33"/>
      <c r="AA33"/>
    </row>
  </sheetData>
  <mergeCells count="12">
    <mergeCell ref="X3:Y3"/>
    <mergeCell ref="B3:C3"/>
    <mergeCell ref="D3:E3"/>
    <mergeCell ref="F3:G3"/>
    <mergeCell ref="H3:I3"/>
    <mergeCell ref="J3:K3"/>
    <mergeCell ref="L3:M3"/>
    <mergeCell ref="N3:O3"/>
    <mergeCell ref="P3:Q3"/>
    <mergeCell ref="R3:S3"/>
    <mergeCell ref="T3:U3"/>
    <mergeCell ref="V3:W3"/>
  </mergeCells>
  <pageMargins left="0.75" right="0.75" top="0.75" bottom="0.75" header="0" footer="0"/>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pageSetUpPr fitToPage="1"/>
  </sheetPr>
  <dimension ref="A1:Q108"/>
  <sheetViews>
    <sheetView zoomScaleNormal="100" workbookViewId="0">
      <pane xSplit="2" ySplit="5" topLeftCell="C6" activePane="bottomRight" state="frozen"/>
      <selection activeCell="S48" sqref="S48"/>
      <selection pane="topRight" activeCell="S48" sqref="S48"/>
      <selection pane="bottomLeft" activeCell="S48" sqref="S48"/>
      <selection pane="bottomRight"/>
    </sheetView>
  </sheetViews>
  <sheetFormatPr defaultColWidth="9.140625" defaultRowHeight="14.25" x14ac:dyDescent="0.25"/>
  <cols>
    <col min="1" max="1" width="7.28515625" style="647" customWidth="1"/>
    <col min="2" max="2" width="6" style="647" customWidth="1"/>
    <col min="3" max="3" width="13.140625" style="647" customWidth="1"/>
    <col min="4" max="4" width="17.28515625" style="647" customWidth="1"/>
    <col min="5" max="5" width="12.42578125" style="647" customWidth="1"/>
    <col min="6" max="7" width="13.140625" style="647" customWidth="1"/>
    <col min="8" max="8" width="16.7109375" style="647" customWidth="1"/>
    <col min="9" max="9" width="12.42578125" style="647" customWidth="1"/>
    <col min="10" max="10" width="14.7109375" style="647" bestFit="1" customWidth="1"/>
    <col min="11" max="11" width="14.42578125" style="647" customWidth="1"/>
    <col min="12" max="12" width="13.140625" style="647" customWidth="1"/>
    <col min="13" max="16384" width="9.140625" style="647"/>
  </cols>
  <sheetData>
    <row r="1" spans="1:17" s="558" customFormat="1" ht="21.75" customHeight="1" x14ac:dyDescent="0.3">
      <c r="A1" s="514" t="s">
        <v>3244</v>
      </c>
      <c r="B1" s="514"/>
      <c r="C1" s="871"/>
      <c r="D1" s="871"/>
      <c r="E1" s="871"/>
      <c r="F1" s="871"/>
    </row>
    <row r="2" spans="1:17" s="558" customFormat="1" ht="15.75" customHeight="1" thickBot="1" x14ac:dyDescent="0.35">
      <c r="A2" s="514"/>
      <c r="B2" s="514"/>
      <c r="C2" s="871"/>
      <c r="D2" s="871"/>
      <c r="E2" s="871"/>
      <c r="F2" s="871"/>
      <c r="L2" s="563" t="s">
        <v>8</v>
      </c>
    </row>
    <row r="3" spans="1:17" s="517" customFormat="1" ht="16.5" customHeight="1" thickTop="1" thickBot="1" x14ac:dyDescent="0.35">
      <c r="A3" s="3590" t="s">
        <v>1</v>
      </c>
      <c r="B3" s="3659"/>
      <c r="C3" s="3599" t="s">
        <v>1272</v>
      </c>
      <c r="D3" s="3599"/>
      <c r="E3" s="3599"/>
      <c r="F3" s="3663"/>
      <c r="G3" s="3664" t="s">
        <v>1273</v>
      </c>
      <c r="H3" s="3611"/>
      <c r="I3" s="3611"/>
      <c r="J3" s="3611"/>
      <c r="K3" s="3611"/>
      <c r="L3" s="3602"/>
    </row>
    <row r="4" spans="1:17" s="517" customFormat="1" ht="16.5" customHeight="1" x14ac:dyDescent="0.3">
      <c r="A4" s="3660"/>
      <c r="B4" s="3661"/>
      <c r="C4" s="3665" t="s">
        <v>114</v>
      </c>
      <c r="D4" s="3625" t="s">
        <v>1274</v>
      </c>
      <c r="E4" s="3625" t="s">
        <v>1275</v>
      </c>
      <c r="F4" s="3667" t="s">
        <v>1276</v>
      </c>
      <c r="G4" s="3665" t="s">
        <v>114</v>
      </c>
      <c r="H4" s="3625" t="s">
        <v>1277</v>
      </c>
      <c r="I4" s="3625" t="s">
        <v>1275</v>
      </c>
      <c r="J4" s="3612" t="s">
        <v>1278</v>
      </c>
      <c r="K4" s="3625" t="s">
        <v>1279</v>
      </c>
      <c r="L4" s="3603" t="s">
        <v>1276</v>
      </c>
    </row>
    <row r="5" spans="1:17" s="517" customFormat="1" ht="33.75" customHeight="1" thickBot="1" x14ac:dyDescent="0.35">
      <c r="A5" s="3627"/>
      <c r="B5" s="3662"/>
      <c r="C5" s="3666"/>
      <c r="D5" s="3626"/>
      <c r="E5" s="3626"/>
      <c r="F5" s="3668"/>
      <c r="G5" s="3666"/>
      <c r="H5" s="3626"/>
      <c r="I5" s="3626"/>
      <c r="J5" s="3613"/>
      <c r="K5" s="3658"/>
      <c r="L5" s="3604"/>
    </row>
    <row r="6" spans="1:17" ht="15.75" hidden="1" customHeight="1" x14ac:dyDescent="0.3">
      <c r="A6" s="3654">
        <v>2013</v>
      </c>
      <c r="B6" s="3655"/>
      <c r="C6" s="872">
        <v>71867</v>
      </c>
      <c r="D6" s="873">
        <v>29214</v>
      </c>
      <c r="E6" s="873">
        <v>27203</v>
      </c>
      <c r="F6" s="874">
        <v>15450</v>
      </c>
      <c r="G6" s="875">
        <v>165594</v>
      </c>
      <c r="H6" s="876">
        <v>28616</v>
      </c>
      <c r="I6" s="877">
        <v>31573</v>
      </c>
      <c r="J6" s="877">
        <v>35897</v>
      </c>
      <c r="K6" s="877">
        <v>32553</v>
      </c>
      <c r="L6" s="878">
        <v>36955</v>
      </c>
      <c r="O6" s="517"/>
      <c r="P6" s="517"/>
    </row>
    <row r="7" spans="1:17" ht="15.75" hidden="1" customHeight="1" x14ac:dyDescent="0.25">
      <c r="A7" s="3654">
        <v>2014</v>
      </c>
      <c r="B7" s="3655"/>
      <c r="C7" s="872">
        <v>81176</v>
      </c>
      <c r="D7" s="33">
        <v>30635</v>
      </c>
      <c r="E7" s="33">
        <v>24984</v>
      </c>
      <c r="F7" s="879">
        <v>25557</v>
      </c>
      <c r="G7" s="880">
        <v>172038</v>
      </c>
      <c r="H7" s="877">
        <v>27597</v>
      </c>
      <c r="I7" s="877">
        <v>31361</v>
      </c>
      <c r="J7" s="877">
        <v>32942</v>
      </c>
      <c r="K7" s="877">
        <v>42012</v>
      </c>
      <c r="L7" s="878">
        <v>38126</v>
      </c>
    </row>
    <row r="8" spans="1:17" ht="15.75" hidden="1" customHeight="1" x14ac:dyDescent="0.25">
      <c r="A8" s="3654">
        <v>2015</v>
      </c>
      <c r="B8" s="3655"/>
      <c r="C8" s="881">
        <v>85890</v>
      </c>
      <c r="D8" s="33">
        <v>32643</v>
      </c>
      <c r="E8" s="33">
        <v>25072</v>
      </c>
      <c r="F8" s="879">
        <v>28175</v>
      </c>
      <c r="G8" s="880">
        <v>168023</v>
      </c>
      <c r="H8" s="877">
        <v>30019</v>
      </c>
      <c r="I8" s="877">
        <v>32496</v>
      </c>
      <c r="J8" s="877">
        <v>25367</v>
      </c>
      <c r="K8" s="877">
        <v>41160</v>
      </c>
      <c r="L8" s="878">
        <v>38981</v>
      </c>
    </row>
    <row r="9" spans="1:17" ht="15.75" hidden="1" customHeight="1" x14ac:dyDescent="0.25">
      <c r="A9" s="3654">
        <v>2016</v>
      </c>
      <c r="B9" s="3655"/>
      <c r="C9" s="881">
        <v>78106</v>
      </c>
      <c r="D9" s="33">
        <v>30367</v>
      </c>
      <c r="E9" s="33">
        <v>27567</v>
      </c>
      <c r="F9" s="879">
        <v>20172</v>
      </c>
      <c r="G9" s="880">
        <v>165423</v>
      </c>
      <c r="H9" s="877">
        <v>26075</v>
      </c>
      <c r="I9" s="877">
        <v>34497</v>
      </c>
      <c r="J9" s="877">
        <v>22556</v>
      </c>
      <c r="K9" s="877">
        <v>41322</v>
      </c>
      <c r="L9" s="878">
        <v>40973</v>
      </c>
    </row>
    <row r="10" spans="1:17" ht="16.5" customHeight="1" x14ac:dyDescent="0.25">
      <c r="A10" s="3654">
        <v>2017</v>
      </c>
      <c r="B10" s="3655"/>
      <c r="C10" s="881">
        <v>71662</v>
      </c>
      <c r="D10" s="33">
        <v>26582</v>
      </c>
      <c r="E10" s="33">
        <v>26996</v>
      </c>
      <c r="F10" s="879">
        <v>18084</v>
      </c>
      <c r="G10" s="880">
        <v>180867</v>
      </c>
      <c r="H10" s="877">
        <v>27418</v>
      </c>
      <c r="I10" s="877">
        <v>37643</v>
      </c>
      <c r="J10" s="877">
        <v>30486</v>
      </c>
      <c r="K10" s="877">
        <v>41964</v>
      </c>
      <c r="L10" s="878">
        <v>43356</v>
      </c>
    </row>
    <row r="11" spans="1:17" ht="16.5" customHeight="1" x14ac:dyDescent="0.25">
      <c r="A11" s="3654">
        <v>2018</v>
      </c>
      <c r="B11" s="3655"/>
      <c r="C11" s="881">
        <v>67266</v>
      </c>
      <c r="D11" s="33">
        <v>27097</v>
      </c>
      <c r="E11" s="33">
        <v>23707</v>
      </c>
      <c r="F11" s="879">
        <v>16462</v>
      </c>
      <c r="G11" s="882">
        <v>192438</v>
      </c>
      <c r="H11" s="877">
        <v>29887</v>
      </c>
      <c r="I11" s="877">
        <v>34726</v>
      </c>
      <c r="J11" s="877">
        <v>38394</v>
      </c>
      <c r="K11" s="877">
        <v>44117</v>
      </c>
      <c r="L11" s="878">
        <v>45314</v>
      </c>
    </row>
    <row r="12" spans="1:17" ht="16.5" customHeight="1" x14ac:dyDescent="0.25">
      <c r="A12" s="3656" t="s">
        <v>1247</v>
      </c>
      <c r="B12" s="3655" t="s">
        <v>1280</v>
      </c>
      <c r="C12" s="881">
        <v>66351</v>
      </c>
      <c r="D12" s="33">
        <v>25330</v>
      </c>
      <c r="E12" s="33">
        <v>23448</v>
      </c>
      <c r="F12" s="879">
        <v>17573</v>
      </c>
      <c r="G12" s="882">
        <v>198639</v>
      </c>
      <c r="H12" s="877">
        <v>31906</v>
      </c>
      <c r="I12" s="877">
        <v>35827</v>
      </c>
      <c r="J12" s="877">
        <v>36373</v>
      </c>
      <c r="K12" s="877">
        <v>47156</v>
      </c>
      <c r="L12" s="878">
        <v>47377</v>
      </c>
    </row>
    <row r="13" spans="1:17" ht="18" thickBot="1" x14ac:dyDescent="0.3">
      <c r="A13" s="3652" t="s">
        <v>1281</v>
      </c>
      <c r="B13" s="3653" t="s">
        <v>1280</v>
      </c>
      <c r="C13" s="883">
        <v>60528</v>
      </c>
      <c r="D13" s="884">
        <v>20649</v>
      </c>
      <c r="E13" s="884">
        <v>23181</v>
      </c>
      <c r="F13" s="885">
        <v>16698</v>
      </c>
      <c r="G13" s="886">
        <v>166268</v>
      </c>
      <c r="H13" s="884">
        <v>26851</v>
      </c>
      <c r="I13" s="884">
        <v>36000</v>
      </c>
      <c r="J13" s="884">
        <v>24902</v>
      </c>
      <c r="K13" s="884">
        <v>36622</v>
      </c>
      <c r="L13" s="887">
        <v>41892</v>
      </c>
    </row>
    <row r="14" spans="1:17" ht="17.25" hidden="1" thickBot="1" x14ac:dyDescent="0.35">
      <c r="A14" s="888" t="s">
        <v>1282</v>
      </c>
      <c r="B14" s="889" t="s">
        <v>1283</v>
      </c>
      <c r="C14" s="890">
        <v>5053</v>
      </c>
      <c r="D14" s="877">
        <v>2192</v>
      </c>
      <c r="E14" s="877">
        <v>1680</v>
      </c>
      <c r="F14" s="879">
        <v>1181</v>
      </c>
      <c r="G14" s="880">
        <v>11924</v>
      </c>
      <c r="H14" s="877">
        <v>2064</v>
      </c>
      <c r="I14" s="877">
        <v>2427</v>
      </c>
      <c r="J14" s="877">
        <v>2171</v>
      </c>
      <c r="K14" s="877">
        <v>2663</v>
      </c>
      <c r="L14" s="878">
        <v>2599</v>
      </c>
      <c r="M14" s="646"/>
      <c r="N14" s="646"/>
      <c r="Q14" s="618"/>
    </row>
    <row r="15" spans="1:17" ht="17.25" hidden="1" thickBot="1" x14ac:dyDescent="0.35">
      <c r="A15" s="891"/>
      <c r="B15" s="889" t="s">
        <v>1284</v>
      </c>
      <c r="C15" s="890">
        <v>5903</v>
      </c>
      <c r="D15" s="877">
        <v>2254</v>
      </c>
      <c r="E15" s="877">
        <v>2212</v>
      </c>
      <c r="F15" s="879">
        <v>1437</v>
      </c>
      <c r="G15" s="880">
        <v>10694</v>
      </c>
      <c r="H15" s="877">
        <v>1946</v>
      </c>
      <c r="I15" s="877">
        <v>1866</v>
      </c>
      <c r="J15" s="877">
        <v>2471</v>
      </c>
      <c r="K15" s="877">
        <v>2104</v>
      </c>
      <c r="L15" s="878">
        <v>2307</v>
      </c>
    </row>
    <row r="16" spans="1:17" ht="17.25" hidden="1" thickBot="1" x14ac:dyDescent="0.35">
      <c r="A16" s="891"/>
      <c r="B16" s="889" t="s">
        <v>1285</v>
      </c>
      <c r="C16" s="890">
        <v>6270</v>
      </c>
      <c r="D16" s="877">
        <v>2580</v>
      </c>
      <c r="E16" s="877">
        <v>2321</v>
      </c>
      <c r="F16" s="879">
        <v>1369</v>
      </c>
      <c r="G16" s="880">
        <v>13020</v>
      </c>
      <c r="H16" s="877">
        <v>1890</v>
      </c>
      <c r="I16" s="877">
        <v>2558</v>
      </c>
      <c r="J16" s="877">
        <v>3602</v>
      </c>
      <c r="K16" s="877">
        <v>2188</v>
      </c>
      <c r="L16" s="878">
        <v>2782</v>
      </c>
    </row>
    <row r="17" spans="1:12" ht="17.25" hidden="1" thickBot="1" x14ac:dyDescent="0.35">
      <c r="A17" s="891"/>
      <c r="B17" s="889" t="s">
        <v>1286</v>
      </c>
      <c r="C17" s="890">
        <v>6494</v>
      </c>
      <c r="D17" s="877">
        <v>2554</v>
      </c>
      <c r="E17" s="877">
        <v>2105</v>
      </c>
      <c r="F17" s="879">
        <v>1835</v>
      </c>
      <c r="G17" s="880">
        <v>13653</v>
      </c>
      <c r="H17" s="877">
        <v>2315</v>
      </c>
      <c r="I17" s="877">
        <v>2500</v>
      </c>
      <c r="J17" s="877">
        <v>2520</v>
      </c>
      <c r="K17" s="877">
        <v>3069</v>
      </c>
      <c r="L17" s="878">
        <v>3249</v>
      </c>
    </row>
    <row r="18" spans="1:12" ht="17.25" hidden="1" thickBot="1" x14ac:dyDescent="0.35">
      <c r="A18" s="891"/>
      <c r="B18" s="889" t="s">
        <v>106</v>
      </c>
      <c r="C18" s="890">
        <v>6984</v>
      </c>
      <c r="D18" s="877">
        <v>2592</v>
      </c>
      <c r="E18" s="877">
        <v>2290</v>
      </c>
      <c r="F18" s="879">
        <v>2102</v>
      </c>
      <c r="G18" s="880">
        <v>13451</v>
      </c>
      <c r="H18" s="877">
        <v>2379</v>
      </c>
      <c r="I18" s="877">
        <v>2311</v>
      </c>
      <c r="J18" s="877">
        <v>2284</v>
      </c>
      <c r="K18" s="877">
        <v>3466</v>
      </c>
      <c r="L18" s="878">
        <v>3011</v>
      </c>
    </row>
    <row r="19" spans="1:12" ht="17.25" hidden="1" thickBot="1" x14ac:dyDescent="0.35">
      <c r="A19" s="891"/>
      <c r="B19" s="889" t="s">
        <v>1287</v>
      </c>
      <c r="C19" s="890">
        <v>7444</v>
      </c>
      <c r="D19" s="877">
        <v>2876</v>
      </c>
      <c r="E19" s="877">
        <v>2105</v>
      </c>
      <c r="F19" s="879">
        <v>2463</v>
      </c>
      <c r="G19" s="880">
        <v>14803</v>
      </c>
      <c r="H19" s="877">
        <v>2236</v>
      </c>
      <c r="I19" s="877">
        <v>2356</v>
      </c>
      <c r="J19" s="877">
        <v>3557</v>
      </c>
      <c r="K19" s="877">
        <v>3274</v>
      </c>
      <c r="L19" s="878">
        <v>3380</v>
      </c>
    </row>
    <row r="20" spans="1:12" ht="17.25" hidden="1" thickBot="1" x14ac:dyDescent="0.35">
      <c r="A20" s="891"/>
      <c r="B20" s="889" t="s">
        <v>1288</v>
      </c>
      <c r="C20" s="890">
        <v>7028</v>
      </c>
      <c r="D20" s="877">
        <v>2693</v>
      </c>
      <c r="E20" s="877">
        <v>2044</v>
      </c>
      <c r="F20" s="879">
        <v>2291</v>
      </c>
      <c r="G20" s="880">
        <v>14692</v>
      </c>
      <c r="H20" s="877">
        <v>2508</v>
      </c>
      <c r="I20" s="877">
        <v>3190</v>
      </c>
      <c r="J20" s="877">
        <v>2108</v>
      </c>
      <c r="K20" s="877">
        <v>3786</v>
      </c>
      <c r="L20" s="878">
        <v>3100</v>
      </c>
    </row>
    <row r="21" spans="1:12" ht="17.25" hidden="1" thickBot="1" x14ac:dyDescent="0.35">
      <c r="A21" s="891"/>
      <c r="B21" s="889" t="s">
        <v>1289</v>
      </c>
      <c r="C21" s="890">
        <v>7113</v>
      </c>
      <c r="D21" s="877">
        <v>2571</v>
      </c>
      <c r="E21" s="877">
        <v>1882</v>
      </c>
      <c r="F21" s="879">
        <v>2660</v>
      </c>
      <c r="G21" s="880">
        <v>15629</v>
      </c>
      <c r="H21" s="877">
        <v>2380</v>
      </c>
      <c r="I21" s="877">
        <v>2667</v>
      </c>
      <c r="J21" s="877">
        <v>3846</v>
      </c>
      <c r="K21" s="877">
        <v>3640</v>
      </c>
      <c r="L21" s="878">
        <v>3096</v>
      </c>
    </row>
    <row r="22" spans="1:12" ht="17.25" hidden="1" thickBot="1" x14ac:dyDescent="0.35">
      <c r="A22" s="891"/>
      <c r="B22" s="889" t="s">
        <v>1290</v>
      </c>
      <c r="C22" s="890">
        <v>7782</v>
      </c>
      <c r="D22" s="877">
        <v>2515</v>
      </c>
      <c r="E22" s="877">
        <v>2657</v>
      </c>
      <c r="F22" s="879">
        <v>2610</v>
      </c>
      <c r="G22" s="880">
        <v>15270</v>
      </c>
      <c r="H22" s="877">
        <v>2351</v>
      </c>
      <c r="I22" s="877">
        <v>2716</v>
      </c>
      <c r="J22" s="877">
        <v>2765</v>
      </c>
      <c r="K22" s="877">
        <v>4215</v>
      </c>
      <c r="L22" s="878">
        <v>3223</v>
      </c>
    </row>
    <row r="23" spans="1:12" ht="17.25" hidden="1" thickBot="1" x14ac:dyDescent="0.35">
      <c r="A23" s="891"/>
      <c r="B23" s="889" t="s">
        <v>1291</v>
      </c>
      <c r="C23" s="890">
        <v>7348</v>
      </c>
      <c r="D23" s="877">
        <v>2526</v>
      </c>
      <c r="E23" s="877">
        <v>2096</v>
      </c>
      <c r="F23" s="879">
        <v>2726</v>
      </c>
      <c r="G23" s="880">
        <v>15795</v>
      </c>
      <c r="H23" s="877">
        <v>2611</v>
      </c>
      <c r="I23" s="877">
        <v>3334</v>
      </c>
      <c r="J23" s="877">
        <v>2425</v>
      </c>
      <c r="K23" s="877">
        <v>3479</v>
      </c>
      <c r="L23" s="878">
        <v>3946</v>
      </c>
    </row>
    <row r="24" spans="1:12" ht="17.25" hidden="1" thickBot="1" x14ac:dyDescent="0.35">
      <c r="A24" s="891"/>
      <c r="B24" s="889" t="s">
        <v>1292</v>
      </c>
      <c r="C24" s="890">
        <v>6721</v>
      </c>
      <c r="D24" s="877">
        <v>2635</v>
      </c>
      <c r="E24" s="877">
        <v>1603</v>
      </c>
      <c r="F24" s="879">
        <v>2483</v>
      </c>
      <c r="G24" s="880">
        <v>15602</v>
      </c>
      <c r="H24" s="877">
        <v>2448</v>
      </c>
      <c r="I24" s="877">
        <v>2411</v>
      </c>
      <c r="J24" s="877">
        <v>3247</v>
      </c>
      <c r="K24" s="877">
        <v>3946</v>
      </c>
      <c r="L24" s="878">
        <v>3550</v>
      </c>
    </row>
    <row r="25" spans="1:12" ht="17.25" hidden="1" thickBot="1" x14ac:dyDescent="0.35">
      <c r="A25" s="891"/>
      <c r="B25" s="889" t="s">
        <v>1293</v>
      </c>
      <c r="C25" s="890">
        <v>7036</v>
      </c>
      <c r="D25" s="877">
        <v>2647</v>
      </c>
      <c r="E25" s="877">
        <v>1989</v>
      </c>
      <c r="F25" s="879">
        <v>2400</v>
      </c>
      <c r="G25" s="880">
        <v>17505</v>
      </c>
      <c r="H25" s="877">
        <v>2469</v>
      </c>
      <c r="I25" s="877">
        <v>3025</v>
      </c>
      <c r="J25" s="877">
        <v>1946</v>
      </c>
      <c r="K25" s="877">
        <v>6182</v>
      </c>
      <c r="L25" s="878">
        <v>3883</v>
      </c>
    </row>
    <row r="26" spans="1:12" ht="17.25" hidden="1" thickBot="1" x14ac:dyDescent="0.35">
      <c r="A26" s="892" t="s">
        <v>1294</v>
      </c>
      <c r="B26" s="893" t="s">
        <v>1283</v>
      </c>
      <c r="C26" s="894">
        <v>6086</v>
      </c>
      <c r="D26" s="876">
        <v>2178</v>
      </c>
      <c r="E26" s="876">
        <v>1715</v>
      </c>
      <c r="F26" s="895">
        <v>2193</v>
      </c>
      <c r="G26" s="896">
        <v>11870</v>
      </c>
      <c r="H26" s="876">
        <v>1892</v>
      </c>
      <c r="I26" s="876">
        <v>2012</v>
      </c>
      <c r="J26" s="876">
        <v>2477</v>
      </c>
      <c r="K26" s="876">
        <v>3080</v>
      </c>
      <c r="L26" s="897">
        <v>2409</v>
      </c>
    </row>
    <row r="27" spans="1:12" ht="17.25" hidden="1" thickBot="1" x14ac:dyDescent="0.35">
      <c r="A27" s="891"/>
      <c r="B27" s="889" t="s">
        <v>1284</v>
      </c>
      <c r="C27" s="898">
        <v>6471</v>
      </c>
      <c r="D27" s="877">
        <v>2123</v>
      </c>
      <c r="E27" s="877">
        <v>1877</v>
      </c>
      <c r="F27" s="899">
        <v>2471</v>
      </c>
      <c r="G27" s="880">
        <v>12819</v>
      </c>
      <c r="H27" s="877">
        <v>2578</v>
      </c>
      <c r="I27" s="877">
        <v>2250</v>
      </c>
      <c r="J27" s="877">
        <v>2023</v>
      </c>
      <c r="K27" s="877">
        <v>3264</v>
      </c>
      <c r="L27" s="878">
        <v>2704</v>
      </c>
    </row>
    <row r="28" spans="1:12" ht="17.25" hidden="1" thickBot="1" x14ac:dyDescent="0.35">
      <c r="A28" s="891"/>
      <c r="B28" s="889" t="s">
        <v>1285</v>
      </c>
      <c r="C28" s="898">
        <v>8073</v>
      </c>
      <c r="D28" s="877">
        <v>2497</v>
      </c>
      <c r="E28" s="877">
        <v>2446</v>
      </c>
      <c r="F28" s="899">
        <v>3130</v>
      </c>
      <c r="G28" s="880">
        <v>14178</v>
      </c>
      <c r="H28" s="877">
        <v>2375</v>
      </c>
      <c r="I28" s="877">
        <v>2745</v>
      </c>
      <c r="J28" s="877">
        <v>1827</v>
      </c>
      <c r="K28" s="877">
        <v>4361</v>
      </c>
      <c r="L28" s="878">
        <v>2870</v>
      </c>
    </row>
    <row r="29" spans="1:12" ht="17.25" hidden="1" thickBot="1" x14ac:dyDescent="0.35">
      <c r="A29" s="891"/>
      <c r="B29" s="889" t="s">
        <v>1286</v>
      </c>
      <c r="C29" s="898">
        <v>7703</v>
      </c>
      <c r="D29" s="877">
        <v>2443</v>
      </c>
      <c r="E29" s="877">
        <v>2069</v>
      </c>
      <c r="F29" s="899">
        <v>3191</v>
      </c>
      <c r="G29" s="880">
        <v>14730</v>
      </c>
      <c r="H29" s="877">
        <v>2532</v>
      </c>
      <c r="I29" s="877">
        <v>2572</v>
      </c>
      <c r="J29" s="877">
        <v>2632</v>
      </c>
      <c r="K29" s="877">
        <v>3864</v>
      </c>
      <c r="L29" s="878">
        <v>3130</v>
      </c>
    </row>
    <row r="30" spans="1:12" ht="17.25" hidden="1" thickBot="1" x14ac:dyDescent="0.35">
      <c r="A30" s="891"/>
      <c r="B30" s="889" t="s">
        <v>106</v>
      </c>
      <c r="C30" s="898">
        <v>7174</v>
      </c>
      <c r="D30" s="877">
        <v>2663</v>
      </c>
      <c r="E30" s="877">
        <v>2107</v>
      </c>
      <c r="F30" s="899">
        <v>2404</v>
      </c>
      <c r="G30" s="880">
        <v>13626</v>
      </c>
      <c r="H30" s="877">
        <v>2542</v>
      </c>
      <c r="I30" s="877">
        <v>2595</v>
      </c>
      <c r="J30" s="877">
        <v>2221</v>
      </c>
      <c r="K30" s="877">
        <v>3230</v>
      </c>
      <c r="L30" s="878">
        <v>3038</v>
      </c>
    </row>
    <row r="31" spans="1:12" ht="17.25" hidden="1" thickBot="1" x14ac:dyDescent="0.35">
      <c r="A31" s="891"/>
      <c r="B31" s="889" t="s">
        <v>1287</v>
      </c>
      <c r="C31" s="898">
        <v>7878</v>
      </c>
      <c r="D31" s="877">
        <v>2963</v>
      </c>
      <c r="E31" s="877">
        <v>2028</v>
      </c>
      <c r="F31" s="899">
        <v>2887</v>
      </c>
      <c r="G31" s="880">
        <v>14476</v>
      </c>
      <c r="H31" s="877">
        <v>2867</v>
      </c>
      <c r="I31" s="877">
        <v>2456</v>
      </c>
      <c r="J31" s="877">
        <v>2129</v>
      </c>
      <c r="K31" s="877">
        <v>3798</v>
      </c>
      <c r="L31" s="878">
        <v>3226</v>
      </c>
    </row>
    <row r="32" spans="1:12" ht="17.25" hidden="1" thickBot="1" x14ac:dyDescent="0.35">
      <c r="A32" s="891"/>
      <c r="B32" s="889" t="s">
        <v>1288</v>
      </c>
      <c r="C32" s="898">
        <v>7620</v>
      </c>
      <c r="D32" s="877">
        <v>2952</v>
      </c>
      <c r="E32" s="877">
        <v>2054</v>
      </c>
      <c r="F32" s="899">
        <v>2614</v>
      </c>
      <c r="G32" s="880">
        <v>15825</v>
      </c>
      <c r="H32" s="877">
        <v>2726</v>
      </c>
      <c r="I32" s="877">
        <v>3131</v>
      </c>
      <c r="J32" s="877">
        <v>2978</v>
      </c>
      <c r="K32" s="877">
        <v>3470</v>
      </c>
      <c r="L32" s="878">
        <v>3520</v>
      </c>
    </row>
    <row r="33" spans="1:15" ht="17.25" hidden="1" thickBot="1" x14ac:dyDescent="0.35">
      <c r="A33" s="891"/>
      <c r="B33" s="889" t="s">
        <v>1289</v>
      </c>
      <c r="C33" s="898">
        <v>7419</v>
      </c>
      <c r="D33" s="877">
        <v>2948</v>
      </c>
      <c r="E33" s="877">
        <v>2078</v>
      </c>
      <c r="F33" s="899">
        <v>2393</v>
      </c>
      <c r="G33" s="880">
        <v>13324</v>
      </c>
      <c r="H33" s="877">
        <v>2318</v>
      </c>
      <c r="I33" s="877">
        <v>2971</v>
      </c>
      <c r="J33" s="877">
        <v>1436</v>
      </c>
      <c r="K33" s="877">
        <v>3393</v>
      </c>
      <c r="L33" s="878">
        <v>3206</v>
      </c>
    </row>
    <row r="34" spans="1:15" ht="17.25" hidden="1" thickBot="1" x14ac:dyDescent="0.35">
      <c r="A34" s="891"/>
      <c r="B34" s="889" t="s">
        <v>1290</v>
      </c>
      <c r="C34" s="898">
        <v>7017</v>
      </c>
      <c r="D34" s="877">
        <v>2915</v>
      </c>
      <c r="E34" s="877">
        <v>2290</v>
      </c>
      <c r="F34" s="899">
        <v>1812</v>
      </c>
      <c r="G34" s="880">
        <v>12824</v>
      </c>
      <c r="H34" s="877">
        <v>2689</v>
      </c>
      <c r="I34" s="877">
        <v>2567</v>
      </c>
      <c r="J34" s="877">
        <v>1398</v>
      </c>
      <c r="K34" s="877">
        <v>2656</v>
      </c>
      <c r="L34" s="878">
        <v>3514</v>
      </c>
    </row>
    <row r="35" spans="1:15" ht="17.25" hidden="1" thickBot="1" x14ac:dyDescent="0.35">
      <c r="A35" s="891"/>
      <c r="B35" s="889" t="s">
        <v>1291</v>
      </c>
      <c r="C35" s="898">
        <v>7085</v>
      </c>
      <c r="D35" s="877">
        <v>2938</v>
      </c>
      <c r="E35" s="877">
        <v>2535</v>
      </c>
      <c r="F35" s="899">
        <v>1612</v>
      </c>
      <c r="G35" s="880">
        <v>14365</v>
      </c>
      <c r="H35" s="877">
        <v>2581</v>
      </c>
      <c r="I35" s="877">
        <v>2802</v>
      </c>
      <c r="J35" s="877">
        <v>2281</v>
      </c>
      <c r="K35" s="877">
        <v>3078</v>
      </c>
      <c r="L35" s="878">
        <v>3623</v>
      </c>
    </row>
    <row r="36" spans="1:15" ht="17.25" hidden="1" thickBot="1" x14ac:dyDescent="0.35">
      <c r="A36" s="891"/>
      <c r="B36" s="889" t="s">
        <v>1292</v>
      </c>
      <c r="C36" s="898">
        <v>6522</v>
      </c>
      <c r="D36" s="877">
        <v>2762</v>
      </c>
      <c r="E36" s="877">
        <v>1900</v>
      </c>
      <c r="F36" s="899">
        <v>1860</v>
      </c>
      <c r="G36" s="880">
        <v>15184</v>
      </c>
      <c r="H36" s="877">
        <v>2632</v>
      </c>
      <c r="I36" s="877">
        <v>3459</v>
      </c>
      <c r="J36" s="877">
        <v>1781</v>
      </c>
      <c r="K36" s="877">
        <v>3559</v>
      </c>
      <c r="L36" s="878">
        <v>3753</v>
      </c>
    </row>
    <row r="37" spans="1:15" ht="17.25" hidden="1" thickBot="1" x14ac:dyDescent="0.35">
      <c r="A37" s="900"/>
      <c r="B37" s="901" t="s">
        <v>1293</v>
      </c>
      <c r="C37" s="902">
        <v>6842</v>
      </c>
      <c r="D37" s="903">
        <v>3261</v>
      </c>
      <c r="E37" s="903">
        <v>1973</v>
      </c>
      <c r="F37" s="904">
        <v>1608</v>
      </c>
      <c r="G37" s="886">
        <v>14802</v>
      </c>
      <c r="H37" s="903">
        <v>2287</v>
      </c>
      <c r="I37" s="903">
        <v>2936</v>
      </c>
      <c r="J37" s="903">
        <v>2184</v>
      </c>
      <c r="K37" s="903">
        <v>3407</v>
      </c>
      <c r="L37" s="905">
        <v>3988</v>
      </c>
    </row>
    <row r="38" spans="1:15" ht="17.25" hidden="1" thickBot="1" x14ac:dyDescent="0.35">
      <c r="A38" s="906" t="s">
        <v>1295</v>
      </c>
      <c r="B38" s="889" t="s">
        <v>1283</v>
      </c>
      <c r="C38" s="890">
        <v>6707</v>
      </c>
      <c r="D38" s="877">
        <v>2404</v>
      </c>
      <c r="E38" s="877">
        <v>2147</v>
      </c>
      <c r="F38" s="895">
        <v>2156</v>
      </c>
      <c r="G38" s="880">
        <v>11730</v>
      </c>
      <c r="H38" s="876">
        <v>1758</v>
      </c>
      <c r="I38" s="876">
        <v>2248</v>
      </c>
      <c r="J38" s="876">
        <v>1282</v>
      </c>
      <c r="K38" s="876">
        <v>3801</v>
      </c>
      <c r="L38" s="897">
        <v>2641</v>
      </c>
    </row>
    <row r="39" spans="1:15" ht="17.25" hidden="1" thickBot="1" x14ac:dyDescent="0.35">
      <c r="A39" s="891"/>
      <c r="B39" s="889" t="s">
        <v>1284</v>
      </c>
      <c r="C39" s="890">
        <v>6663</v>
      </c>
      <c r="D39" s="877">
        <v>2627</v>
      </c>
      <c r="E39" s="877">
        <v>2175</v>
      </c>
      <c r="F39" s="899">
        <v>1861</v>
      </c>
      <c r="G39" s="880">
        <v>11849</v>
      </c>
      <c r="H39" s="877">
        <v>1911</v>
      </c>
      <c r="I39" s="877">
        <v>2507</v>
      </c>
      <c r="J39" s="877">
        <v>1414</v>
      </c>
      <c r="K39" s="877">
        <v>3250</v>
      </c>
      <c r="L39" s="878">
        <v>2767</v>
      </c>
    </row>
    <row r="40" spans="1:15" ht="17.25" hidden="1" thickBot="1" x14ac:dyDescent="0.35">
      <c r="A40" s="891"/>
      <c r="B40" s="889" t="s">
        <v>1285</v>
      </c>
      <c r="C40" s="890">
        <v>6305</v>
      </c>
      <c r="D40" s="877">
        <v>2558</v>
      </c>
      <c r="E40" s="877">
        <v>2137</v>
      </c>
      <c r="F40" s="899">
        <v>1610</v>
      </c>
      <c r="G40" s="880">
        <v>13846</v>
      </c>
      <c r="H40" s="877">
        <v>2333</v>
      </c>
      <c r="I40" s="877">
        <v>3175</v>
      </c>
      <c r="J40" s="877">
        <v>1977</v>
      </c>
      <c r="K40" s="877">
        <v>3069</v>
      </c>
      <c r="L40" s="878">
        <v>3292</v>
      </c>
    </row>
    <row r="41" spans="1:15" ht="17.25" hidden="1" thickBot="1" x14ac:dyDescent="0.35">
      <c r="A41" s="891"/>
      <c r="B41" s="889" t="s">
        <v>1286</v>
      </c>
      <c r="C41" s="890">
        <v>5974</v>
      </c>
      <c r="D41" s="877">
        <v>2373</v>
      </c>
      <c r="E41" s="877">
        <v>2123</v>
      </c>
      <c r="F41" s="899">
        <v>1478</v>
      </c>
      <c r="G41" s="880">
        <v>12188</v>
      </c>
      <c r="H41" s="877">
        <v>1983</v>
      </c>
      <c r="I41" s="877">
        <v>2766</v>
      </c>
      <c r="J41" s="877">
        <v>1297</v>
      </c>
      <c r="K41" s="877">
        <v>2982</v>
      </c>
      <c r="L41" s="878">
        <v>3160</v>
      </c>
    </row>
    <row r="42" spans="1:15" ht="17.25" hidden="1" thickBot="1" x14ac:dyDescent="0.35">
      <c r="A42" s="891"/>
      <c r="B42" s="889" t="s">
        <v>106</v>
      </c>
      <c r="C42" s="890">
        <v>6931</v>
      </c>
      <c r="D42" s="877">
        <v>2677</v>
      </c>
      <c r="E42" s="877">
        <v>2358</v>
      </c>
      <c r="F42" s="899">
        <v>1896</v>
      </c>
      <c r="G42" s="880">
        <v>14389</v>
      </c>
      <c r="H42" s="877">
        <v>2262</v>
      </c>
      <c r="I42" s="877">
        <v>2492</v>
      </c>
      <c r="J42" s="877">
        <v>2417</v>
      </c>
      <c r="K42" s="877">
        <v>3643</v>
      </c>
      <c r="L42" s="878">
        <v>3575</v>
      </c>
    </row>
    <row r="43" spans="1:15" ht="17.25" hidden="1" thickBot="1" x14ac:dyDescent="0.35">
      <c r="A43" s="891"/>
      <c r="B43" s="889" t="s">
        <v>1287</v>
      </c>
      <c r="C43" s="890">
        <v>7041</v>
      </c>
      <c r="D43" s="877">
        <v>2810</v>
      </c>
      <c r="E43" s="877">
        <v>2142</v>
      </c>
      <c r="F43" s="899">
        <v>2089</v>
      </c>
      <c r="G43" s="880">
        <v>13587</v>
      </c>
      <c r="H43" s="877">
        <v>2321</v>
      </c>
      <c r="I43" s="877">
        <v>2808</v>
      </c>
      <c r="J43" s="877">
        <v>1422</v>
      </c>
      <c r="K43" s="877">
        <v>3352</v>
      </c>
      <c r="L43" s="878">
        <v>3684</v>
      </c>
    </row>
    <row r="44" spans="1:15" ht="17.25" hidden="1" thickBot="1" x14ac:dyDescent="0.35">
      <c r="A44" s="891"/>
      <c r="B44" s="889" t="s">
        <v>1288</v>
      </c>
      <c r="C44" s="890">
        <v>6338</v>
      </c>
      <c r="D44" s="877">
        <v>2582</v>
      </c>
      <c r="E44" s="877">
        <v>2117</v>
      </c>
      <c r="F44" s="899">
        <v>1639</v>
      </c>
      <c r="G44" s="880">
        <v>15039</v>
      </c>
      <c r="H44" s="877">
        <v>2379</v>
      </c>
      <c r="I44" s="877">
        <v>3129</v>
      </c>
      <c r="J44" s="877">
        <v>2123</v>
      </c>
      <c r="K44" s="877">
        <v>3841</v>
      </c>
      <c r="L44" s="878">
        <v>3567</v>
      </c>
      <c r="O44" s="646"/>
    </row>
    <row r="45" spans="1:15" ht="17.25" hidden="1" thickBot="1" x14ac:dyDescent="0.35">
      <c r="A45" s="891"/>
      <c r="B45" s="889" t="s">
        <v>1289</v>
      </c>
      <c r="C45" s="890">
        <v>6191</v>
      </c>
      <c r="D45" s="877">
        <v>2741</v>
      </c>
      <c r="E45" s="877">
        <v>2067</v>
      </c>
      <c r="F45" s="899">
        <v>1383</v>
      </c>
      <c r="G45" s="880">
        <v>13454</v>
      </c>
      <c r="H45" s="877">
        <v>2332</v>
      </c>
      <c r="I45" s="877">
        <v>3018</v>
      </c>
      <c r="J45" s="877">
        <v>1562</v>
      </c>
      <c r="K45" s="877">
        <v>3227</v>
      </c>
      <c r="L45" s="878">
        <v>3315</v>
      </c>
    </row>
    <row r="46" spans="1:15" ht="17.25" hidden="1" thickBot="1" x14ac:dyDescent="0.35">
      <c r="A46" s="891"/>
      <c r="B46" s="889" t="s">
        <v>1290</v>
      </c>
      <c r="C46" s="890">
        <v>6774</v>
      </c>
      <c r="D46" s="877">
        <v>2418</v>
      </c>
      <c r="E46" s="877">
        <v>2498</v>
      </c>
      <c r="F46" s="899">
        <v>1858</v>
      </c>
      <c r="G46" s="880">
        <v>13414</v>
      </c>
      <c r="H46" s="877">
        <v>2126</v>
      </c>
      <c r="I46" s="877">
        <v>3371</v>
      </c>
      <c r="J46" s="877">
        <v>1583</v>
      </c>
      <c r="K46" s="877">
        <v>2903</v>
      </c>
      <c r="L46" s="878">
        <v>3431</v>
      </c>
    </row>
    <row r="47" spans="1:15" ht="17.25" hidden="1" thickBot="1" x14ac:dyDescent="0.35">
      <c r="A47" s="891"/>
      <c r="B47" s="889" t="s">
        <v>1291</v>
      </c>
      <c r="C47" s="890">
        <v>6129</v>
      </c>
      <c r="D47" s="877">
        <v>2191</v>
      </c>
      <c r="E47" s="877">
        <v>2412</v>
      </c>
      <c r="F47" s="899">
        <v>1526</v>
      </c>
      <c r="G47" s="880">
        <v>14818</v>
      </c>
      <c r="H47" s="877">
        <v>2289</v>
      </c>
      <c r="I47" s="877">
        <v>3062</v>
      </c>
      <c r="J47" s="877">
        <v>2568</v>
      </c>
      <c r="K47" s="877">
        <v>3149</v>
      </c>
      <c r="L47" s="878">
        <v>3750</v>
      </c>
    </row>
    <row r="48" spans="1:15" ht="17.25" hidden="1" thickBot="1" x14ac:dyDescent="0.35">
      <c r="A48" s="891"/>
      <c r="B48" s="889" t="s">
        <v>1292</v>
      </c>
      <c r="C48" s="872">
        <v>6526</v>
      </c>
      <c r="D48" s="877">
        <v>2477</v>
      </c>
      <c r="E48" s="877">
        <v>2613</v>
      </c>
      <c r="F48" s="899">
        <v>1436</v>
      </c>
      <c r="G48" s="880">
        <v>16030</v>
      </c>
      <c r="H48" s="877">
        <v>2226</v>
      </c>
      <c r="I48" s="877">
        <v>2682</v>
      </c>
      <c r="J48" s="877">
        <v>2601</v>
      </c>
      <c r="K48" s="877">
        <v>4522</v>
      </c>
      <c r="L48" s="878">
        <v>3999</v>
      </c>
    </row>
    <row r="49" spans="1:15" ht="17.25" hidden="1" thickBot="1" x14ac:dyDescent="0.35">
      <c r="A49" s="900"/>
      <c r="B49" s="901" t="s">
        <v>1293</v>
      </c>
      <c r="C49" s="907">
        <v>6527</v>
      </c>
      <c r="D49" s="903">
        <v>2509</v>
      </c>
      <c r="E49" s="903">
        <v>2778</v>
      </c>
      <c r="F49" s="904">
        <v>1240</v>
      </c>
      <c r="G49" s="886">
        <v>15079</v>
      </c>
      <c r="H49" s="903">
        <v>2155</v>
      </c>
      <c r="I49" s="903">
        <v>3239</v>
      </c>
      <c r="J49" s="903">
        <v>2310</v>
      </c>
      <c r="K49" s="903">
        <v>3583</v>
      </c>
      <c r="L49" s="905">
        <v>3792</v>
      </c>
    </row>
    <row r="50" spans="1:15" ht="17.25" hidden="1" thickBot="1" x14ac:dyDescent="0.35">
      <c r="A50" s="906" t="s">
        <v>1296</v>
      </c>
      <c r="B50" s="889" t="s">
        <v>1283</v>
      </c>
      <c r="C50" s="872">
        <v>4977</v>
      </c>
      <c r="D50" s="877">
        <v>1776</v>
      </c>
      <c r="E50" s="877">
        <v>2115</v>
      </c>
      <c r="F50" s="899">
        <v>1086</v>
      </c>
      <c r="G50" s="880">
        <v>14108</v>
      </c>
      <c r="H50" s="877">
        <v>1953</v>
      </c>
      <c r="I50" s="877">
        <v>3123</v>
      </c>
      <c r="J50" s="877">
        <v>2034</v>
      </c>
      <c r="K50" s="877">
        <v>4097</v>
      </c>
      <c r="L50" s="878">
        <v>2901</v>
      </c>
    </row>
    <row r="51" spans="1:15" ht="17.25" hidden="1" thickBot="1" x14ac:dyDescent="0.35">
      <c r="A51" s="891"/>
      <c r="B51" s="889" t="s">
        <v>1284</v>
      </c>
      <c r="C51" s="872">
        <v>5610</v>
      </c>
      <c r="D51" s="877">
        <v>1833</v>
      </c>
      <c r="E51" s="877">
        <v>2379</v>
      </c>
      <c r="F51" s="879">
        <v>1398</v>
      </c>
      <c r="G51" s="880">
        <v>11900</v>
      </c>
      <c r="H51" s="877">
        <v>1727</v>
      </c>
      <c r="I51" s="877">
        <v>2779</v>
      </c>
      <c r="J51" s="877">
        <v>2511</v>
      </c>
      <c r="K51" s="877">
        <v>2292</v>
      </c>
      <c r="L51" s="878">
        <v>2591</v>
      </c>
    </row>
    <row r="52" spans="1:15" ht="17.25" hidden="1" thickBot="1" x14ac:dyDescent="0.35">
      <c r="A52" s="891"/>
      <c r="B52" s="889" t="s">
        <v>1285</v>
      </c>
      <c r="C52" s="872">
        <v>7031</v>
      </c>
      <c r="D52" s="877">
        <v>2222</v>
      </c>
      <c r="E52" s="877">
        <v>2768</v>
      </c>
      <c r="F52" s="879">
        <v>2041</v>
      </c>
      <c r="G52" s="880">
        <v>15163</v>
      </c>
      <c r="H52" s="877">
        <v>1986</v>
      </c>
      <c r="I52" s="877">
        <v>3135</v>
      </c>
      <c r="J52" s="877">
        <v>3426</v>
      </c>
      <c r="K52" s="877">
        <v>3217</v>
      </c>
      <c r="L52" s="878">
        <v>3399</v>
      </c>
    </row>
    <row r="53" spans="1:15" ht="17.25" hidden="1" thickBot="1" x14ac:dyDescent="0.35">
      <c r="A53" s="891"/>
      <c r="B53" s="889" t="s">
        <v>1286</v>
      </c>
      <c r="C53" s="872">
        <v>5348</v>
      </c>
      <c r="D53" s="877">
        <v>1962</v>
      </c>
      <c r="E53" s="877">
        <v>2143</v>
      </c>
      <c r="F53" s="879">
        <v>1243</v>
      </c>
      <c r="G53" s="880">
        <v>14196</v>
      </c>
      <c r="H53" s="877">
        <v>2289</v>
      </c>
      <c r="I53" s="877">
        <v>3095</v>
      </c>
      <c r="J53" s="877">
        <v>2018</v>
      </c>
      <c r="K53" s="877">
        <v>3500</v>
      </c>
      <c r="L53" s="878">
        <v>3294</v>
      </c>
    </row>
    <row r="54" spans="1:15" ht="17.25" hidden="1" thickBot="1" x14ac:dyDescent="0.35">
      <c r="A54" s="891"/>
      <c r="B54" s="889" t="s">
        <v>106</v>
      </c>
      <c r="C54" s="872">
        <v>6278</v>
      </c>
      <c r="D54" s="877">
        <v>2364</v>
      </c>
      <c r="E54" s="877">
        <v>2294</v>
      </c>
      <c r="F54" s="899">
        <v>1620</v>
      </c>
      <c r="G54" s="880">
        <v>15332</v>
      </c>
      <c r="H54" s="877">
        <v>2458</v>
      </c>
      <c r="I54" s="877">
        <v>2645</v>
      </c>
      <c r="J54" s="877">
        <v>2672</v>
      </c>
      <c r="K54" s="877">
        <v>3175</v>
      </c>
      <c r="L54" s="878">
        <v>4382</v>
      </c>
    </row>
    <row r="55" spans="1:15" ht="17.25" hidden="1" thickBot="1" x14ac:dyDescent="0.35">
      <c r="A55" s="891"/>
      <c r="B55" s="889" t="s">
        <v>1287</v>
      </c>
      <c r="C55" s="872">
        <v>6505</v>
      </c>
      <c r="D55" s="877">
        <v>2426</v>
      </c>
      <c r="E55" s="877">
        <v>2490</v>
      </c>
      <c r="F55" s="899">
        <v>1589</v>
      </c>
      <c r="G55" s="880">
        <v>14805</v>
      </c>
      <c r="H55" s="877">
        <v>2224</v>
      </c>
      <c r="I55" s="877">
        <v>3178</v>
      </c>
      <c r="J55" s="877">
        <v>2017</v>
      </c>
      <c r="K55" s="877">
        <v>3795</v>
      </c>
      <c r="L55" s="878">
        <v>3591</v>
      </c>
      <c r="O55" s="646"/>
    </row>
    <row r="56" spans="1:15" ht="17.25" hidden="1" thickBot="1" x14ac:dyDescent="0.35">
      <c r="A56" s="891"/>
      <c r="B56" s="889" t="s">
        <v>1288</v>
      </c>
      <c r="C56" s="872">
        <v>5997</v>
      </c>
      <c r="D56" s="877">
        <v>2338</v>
      </c>
      <c r="E56" s="877">
        <v>2166</v>
      </c>
      <c r="F56" s="899">
        <v>1493</v>
      </c>
      <c r="G56" s="880">
        <v>14648</v>
      </c>
      <c r="H56" s="877">
        <v>2432</v>
      </c>
      <c r="I56" s="877">
        <v>3140</v>
      </c>
      <c r="J56" s="877">
        <v>2457</v>
      </c>
      <c r="K56" s="877">
        <v>3164</v>
      </c>
      <c r="L56" s="878">
        <v>3455</v>
      </c>
      <c r="O56" s="646"/>
    </row>
    <row r="57" spans="1:15" ht="17.25" hidden="1" thickBot="1" x14ac:dyDescent="0.35">
      <c r="A57" s="891"/>
      <c r="B57" s="889" t="s">
        <v>1289</v>
      </c>
      <c r="C57" s="872">
        <v>6038</v>
      </c>
      <c r="D57" s="877">
        <v>2514</v>
      </c>
      <c r="E57" s="877">
        <v>1995</v>
      </c>
      <c r="F57" s="899">
        <v>1529</v>
      </c>
      <c r="G57" s="880">
        <v>14745</v>
      </c>
      <c r="H57" s="877">
        <v>2130</v>
      </c>
      <c r="I57" s="877">
        <v>2958</v>
      </c>
      <c r="J57" s="877">
        <v>2213</v>
      </c>
      <c r="K57" s="877">
        <v>3909</v>
      </c>
      <c r="L57" s="878">
        <v>3535</v>
      </c>
      <c r="O57" s="646"/>
    </row>
    <row r="58" spans="1:15" ht="17.25" hidden="1" thickBot="1" x14ac:dyDescent="0.35">
      <c r="A58" s="891"/>
      <c r="B58" s="889" t="s">
        <v>1290</v>
      </c>
      <c r="C58" s="872">
        <v>6487</v>
      </c>
      <c r="D58" s="877">
        <v>2374</v>
      </c>
      <c r="E58" s="877">
        <v>2506</v>
      </c>
      <c r="F58" s="899">
        <v>1607</v>
      </c>
      <c r="G58" s="880">
        <v>13960</v>
      </c>
      <c r="H58" s="877">
        <v>2287</v>
      </c>
      <c r="I58" s="877">
        <v>3132</v>
      </c>
      <c r="J58" s="877">
        <v>2252</v>
      </c>
      <c r="K58" s="877">
        <v>2934</v>
      </c>
      <c r="L58" s="878">
        <v>3355</v>
      </c>
      <c r="O58" s="646"/>
    </row>
    <row r="59" spans="1:15" ht="17.25" hidden="1" thickBot="1" x14ac:dyDescent="0.35">
      <c r="A59" s="891"/>
      <c r="B59" s="889" t="s">
        <v>1297</v>
      </c>
      <c r="C59" s="872">
        <v>5617</v>
      </c>
      <c r="D59" s="877">
        <v>2110</v>
      </c>
      <c r="E59" s="877">
        <v>2020</v>
      </c>
      <c r="F59" s="899">
        <v>1487</v>
      </c>
      <c r="G59" s="880">
        <v>16620</v>
      </c>
      <c r="H59" s="877">
        <v>2705</v>
      </c>
      <c r="I59" s="877">
        <v>3561</v>
      </c>
      <c r="J59" s="877">
        <v>2616</v>
      </c>
      <c r="K59" s="877">
        <v>3652</v>
      </c>
      <c r="L59" s="878">
        <v>4086</v>
      </c>
      <c r="O59" s="646"/>
    </row>
    <row r="60" spans="1:15" ht="17.25" hidden="1" thickBot="1" x14ac:dyDescent="0.35">
      <c r="A60" s="891"/>
      <c r="B60" s="889" t="s">
        <v>1292</v>
      </c>
      <c r="C60" s="872">
        <v>5432</v>
      </c>
      <c r="D60" s="877">
        <v>2224</v>
      </c>
      <c r="E60" s="877">
        <v>1787</v>
      </c>
      <c r="F60" s="899">
        <v>1421</v>
      </c>
      <c r="G60" s="880">
        <v>17940</v>
      </c>
      <c r="H60" s="877">
        <v>2892</v>
      </c>
      <c r="I60" s="877">
        <v>3566</v>
      </c>
      <c r="J60" s="877">
        <v>2473</v>
      </c>
      <c r="K60" s="877">
        <v>4339</v>
      </c>
      <c r="L60" s="878">
        <v>4670</v>
      </c>
      <c r="O60" s="646"/>
    </row>
    <row r="61" spans="1:15" ht="17.25" hidden="1" thickBot="1" x14ac:dyDescent="0.35">
      <c r="A61" s="900"/>
      <c r="B61" s="889" t="s">
        <v>1293</v>
      </c>
      <c r="C61" s="907">
        <v>6342</v>
      </c>
      <c r="D61" s="903">
        <v>2439</v>
      </c>
      <c r="E61" s="903">
        <v>2333</v>
      </c>
      <c r="F61" s="904">
        <v>1570</v>
      </c>
      <c r="G61" s="886">
        <v>17450</v>
      </c>
      <c r="H61" s="903">
        <v>2335</v>
      </c>
      <c r="I61" s="903">
        <v>3331</v>
      </c>
      <c r="J61" s="903">
        <v>3797</v>
      </c>
      <c r="K61" s="903">
        <v>3890</v>
      </c>
      <c r="L61" s="905">
        <v>4097</v>
      </c>
      <c r="O61" s="646"/>
    </row>
    <row r="62" spans="1:15" ht="16.5" hidden="1" customHeight="1" x14ac:dyDescent="0.3">
      <c r="A62" s="908">
        <v>2018</v>
      </c>
      <c r="B62" s="893" t="s">
        <v>1283</v>
      </c>
      <c r="C62" s="909">
        <v>3903</v>
      </c>
      <c r="D62" s="876">
        <v>1663</v>
      </c>
      <c r="E62" s="876">
        <v>1254</v>
      </c>
      <c r="F62" s="895">
        <v>986</v>
      </c>
      <c r="G62" s="910">
        <v>12182</v>
      </c>
      <c r="H62" s="876">
        <v>1972</v>
      </c>
      <c r="I62" s="876">
        <v>2090</v>
      </c>
      <c r="J62" s="876">
        <v>2832</v>
      </c>
      <c r="K62" s="876">
        <v>2481</v>
      </c>
      <c r="L62" s="897">
        <v>2807</v>
      </c>
      <c r="O62" s="646"/>
    </row>
    <row r="63" spans="1:15" ht="17.25" hidden="1" thickBot="1" x14ac:dyDescent="0.35">
      <c r="A63" s="891"/>
      <c r="B63" s="889" t="s">
        <v>1284</v>
      </c>
      <c r="C63" s="621">
        <v>4926</v>
      </c>
      <c r="D63" s="877">
        <v>1962</v>
      </c>
      <c r="E63" s="877">
        <v>1930</v>
      </c>
      <c r="F63" s="899">
        <v>1034</v>
      </c>
      <c r="G63" s="911">
        <v>12522</v>
      </c>
      <c r="H63" s="877">
        <v>2007</v>
      </c>
      <c r="I63" s="877">
        <v>2280</v>
      </c>
      <c r="J63" s="877">
        <v>2284</v>
      </c>
      <c r="K63" s="877">
        <v>3097</v>
      </c>
      <c r="L63" s="878">
        <v>2854</v>
      </c>
      <c r="O63" s="646"/>
    </row>
    <row r="64" spans="1:15" ht="17.25" hidden="1" thickBot="1" x14ac:dyDescent="0.35">
      <c r="A64" s="891"/>
      <c r="B64" s="889" t="s">
        <v>1285</v>
      </c>
      <c r="C64" s="621">
        <v>6237</v>
      </c>
      <c r="D64" s="877">
        <v>2359</v>
      </c>
      <c r="E64" s="877">
        <v>2283</v>
      </c>
      <c r="F64" s="899">
        <v>1595</v>
      </c>
      <c r="G64" s="911">
        <v>14456</v>
      </c>
      <c r="H64" s="877">
        <v>1964</v>
      </c>
      <c r="I64" s="877">
        <v>2834</v>
      </c>
      <c r="J64" s="877">
        <v>3594</v>
      </c>
      <c r="K64" s="877">
        <v>2722</v>
      </c>
      <c r="L64" s="878">
        <v>3342</v>
      </c>
      <c r="O64" s="646"/>
    </row>
    <row r="65" spans="1:15" ht="17.25" hidden="1" thickBot="1" x14ac:dyDescent="0.35">
      <c r="A65" s="891"/>
      <c r="B65" s="889" t="s">
        <v>1286</v>
      </c>
      <c r="C65" s="621">
        <v>5427</v>
      </c>
      <c r="D65" s="877">
        <v>2127</v>
      </c>
      <c r="E65" s="877">
        <v>1762</v>
      </c>
      <c r="F65" s="899">
        <v>1538</v>
      </c>
      <c r="G65" s="911">
        <v>15476</v>
      </c>
      <c r="H65" s="877">
        <v>2444</v>
      </c>
      <c r="I65" s="877">
        <v>2598</v>
      </c>
      <c r="J65" s="877">
        <v>2864</v>
      </c>
      <c r="K65" s="877">
        <v>3790</v>
      </c>
      <c r="L65" s="878">
        <v>3780</v>
      </c>
      <c r="O65" s="646"/>
    </row>
    <row r="66" spans="1:15" ht="17.25" hidden="1" thickBot="1" x14ac:dyDescent="0.35">
      <c r="A66" s="891"/>
      <c r="B66" s="889" t="s">
        <v>106</v>
      </c>
      <c r="C66" s="621">
        <v>5713</v>
      </c>
      <c r="D66" s="877">
        <v>2377</v>
      </c>
      <c r="E66" s="877">
        <v>1838</v>
      </c>
      <c r="F66" s="899">
        <v>1498</v>
      </c>
      <c r="G66" s="911">
        <v>16662</v>
      </c>
      <c r="H66" s="877">
        <v>2642</v>
      </c>
      <c r="I66" s="877">
        <v>3048</v>
      </c>
      <c r="J66" s="877">
        <v>2763</v>
      </c>
      <c r="K66" s="877">
        <v>3925</v>
      </c>
      <c r="L66" s="878">
        <v>4284</v>
      </c>
      <c r="O66" s="646"/>
    </row>
    <row r="67" spans="1:15" ht="17.25" hidden="1" thickBot="1" x14ac:dyDescent="0.35">
      <c r="A67" s="891"/>
      <c r="B67" s="889" t="s">
        <v>1287</v>
      </c>
      <c r="C67" s="621">
        <v>5946</v>
      </c>
      <c r="D67" s="877">
        <v>2517</v>
      </c>
      <c r="E67" s="877">
        <v>2254</v>
      </c>
      <c r="F67" s="899">
        <v>1175</v>
      </c>
      <c r="G67" s="911">
        <v>15889</v>
      </c>
      <c r="H67" s="877">
        <v>2490</v>
      </c>
      <c r="I67" s="877">
        <v>3194</v>
      </c>
      <c r="J67" s="877">
        <v>3359</v>
      </c>
      <c r="K67" s="877">
        <v>3269</v>
      </c>
      <c r="L67" s="878">
        <v>3577</v>
      </c>
      <c r="O67" s="646"/>
    </row>
    <row r="68" spans="1:15" ht="17.25" hidden="1" thickBot="1" x14ac:dyDescent="0.35">
      <c r="A68" s="891"/>
      <c r="B68" s="889" t="s">
        <v>1288</v>
      </c>
      <c r="C68" s="621">
        <v>5931</v>
      </c>
      <c r="D68" s="877">
        <v>2521</v>
      </c>
      <c r="E68" s="877">
        <v>1848</v>
      </c>
      <c r="F68" s="899">
        <v>1562</v>
      </c>
      <c r="G68" s="911">
        <v>19277</v>
      </c>
      <c r="H68" s="877">
        <v>2991</v>
      </c>
      <c r="I68" s="877">
        <v>3831</v>
      </c>
      <c r="J68" s="877">
        <v>3849</v>
      </c>
      <c r="K68" s="877">
        <v>4668</v>
      </c>
      <c r="L68" s="878">
        <v>3938</v>
      </c>
      <c r="O68" s="646"/>
    </row>
    <row r="69" spans="1:15" ht="17.25" hidden="1" thickBot="1" x14ac:dyDescent="0.35">
      <c r="A69" s="891"/>
      <c r="B69" s="889" t="s">
        <v>1289</v>
      </c>
      <c r="C69" s="621">
        <v>5924</v>
      </c>
      <c r="D69" s="877">
        <v>2702</v>
      </c>
      <c r="E69" s="877">
        <v>1690</v>
      </c>
      <c r="F69" s="899">
        <v>1532</v>
      </c>
      <c r="G69" s="911">
        <v>16446</v>
      </c>
      <c r="H69" s="877">
        <v>2610</v>
      </c>
      <c r="I69" s="877">
        <v>2677</v>
      </c>
      <c r="J69" s="877">
        <v>3420</v>
      </c>
      <c r="K69" s="877">
        <v>3898</v>
      </c>
      <c r="L69" s="878">
        <v>3841</v>
      </c>
      <c r="O69" s="646"/>
    </row>
    <row r="70" spans="1:15" ht="16.5" hidden="1" customHeight="1" x14ac:dyDescent="0.3">
      <c r="A70" s="891"/>
      <c r="B70" s="889" t="s">
        <v>1290</v>
      </c>
      <c r="C70" s="621">
        <v>5540</v>
      </c>
      <c r="D70" s="877">
        <v>2102</v>
      </c>
      <c r="E70" s="877">
        <v>2101</v>
      </c>
      <c r="F70" s="899">
        <v>1337</v>
      </c>
      <c r="G70" s="911">
        <v>14740</v>
      </c>
      <c r="H70" s="877">
        <v>2796</v>
      </c>
      <c r="I70" s="877">
        <v>2231</v>
      </c>
      <c r="J70" s="877">
        <v>2666</v>
      </c>
      <c r="K70" s="877">
        <v>3543</v>
      </c>
      <c r="L70" s="878">
        <v>3504</v>
      </c>
      <c r="O70" s="646"/>
    </row>
    <row r="71" spans="1:15" ht="16.5" hidden="1" customHeight="1" x14ac:dyDescent="0.3">
      <c r="A71" s="891"/>
      <c r="B71" s="889" t="s">
        <v>1297</v>
      </c>
      <c r="C71" s="621">
        <v>5484</v>
      </c>
      <c r="D71" s="877">
        <v>2171</v>
      </c>
      <c r="E71" s="877">
        <v>1875</v>
      </c>
      <c r="F71" s="899">
        <v>1438</v>
      </c>
      <c r="G71" s="911">
        <v>19877</v>
      </c>
      <c r="H71" s="877">
        <v>2826</v>
      </c>
      <c r="I71" s="877">
        <v>3327</v>
      </c>
      <c r="J71" s="877">
        <v>4765</v>
      </c>
      <c r="K71" s="877">
        <v>4485</v>
      </c>
      <c r="L71" s="878">
        <v>4474</v>
      </c>
      <c r="O71" s="646"/>
    </row>
    <row r="72" spans="1:15" ht="16.5" hidden="1" customHeight="1" x14ac:dyDescent="0.3">
      <c r="A72" s="891"/>
      <c r="B72" s="889" t="s">
        <v>1292</v>
      </c>
      <c r="C72" s="621">
        <v>5911</v>
      </c>
      <c r="D72" s="877">
        <v>2393</v>
      </c>
      <c r="E72" s="877">
        <v>2055</v>
      </c>
      <c r="F72" s="899">
        <v>1463</v>
      </c>
      <c r="G72" s="911">
        <v>17692</v>
      </c>
      <c r="H72" s="877">
        <v>2872</v>
      </c>
      <c r="I72" s="877">
        <v>3457</v>
      </c>
      <c r="J72" s="877">
        <v>2238</v>
      </c>
      <c r="K72" s="877">
        <v>4409</v>
      </c>
      <c r="L72" s="878">
        <v>4716</v>
      </c>
      <c r="O72" s="646"/>
    </row>
    <row r="73" spans="1:15" ht="16.5" hidden="1" customHeight="1" thickBot="1" x14ac:dyDescent="0.35">
      <c r="A73" s="891"/>
      <c r="B73" s="889" t="s">
        <v>1293</v>
      </c>
      <c r="C73" s="621">
        <v>6404</v>
      </c>
      <c r="D73" s="877">
        <v>2272</v>
      </c>
      <c r="E73" s="877">
        <v>2819</v>
      </c>
      <c r="F73" s="899">
        <v>1313</v>
      </c>
      <c r="G73" s="911">
        <v>17328</v>
      </c>
      <c r="H73" s="903">
        <v>2278</v>
      </c>
      <c r="I73" s="903">
        <v>3222</v>
      </c>
      <c r="J73" s="903">
        <v>3787</v>
      </c>
      <c r="K73" s="903">
        <v>3835</v>
      </c>
      <c r="L73" s="905">
        <v>4206</v>
      </c>
      <c r="M73" s="646"/>
      <c r="N73" s="646"/>
      <c r="O73" s="646"/>
    </row>
    <row r="74" spans="1:15" ht="16.5" customHeight="1" x14ac:dyDescent="0.3">
      <c r="A74" s="908">
        <v>2019</v>
      </c>
      <c r="B74" s="893" t="s">
        <v>1283</v>
      </c>
      <c r="C74" s="909">
        <v>5440</v>
      </c>
      <c r="D74" s="876">
        <v>2175</v>
      </c>
      <c r="E74" s="876">
        <v>1984</v>
      </c>
      <c r="F74" s="895">
        <v>1281</v>
      </c>
      <c r="G74" s="912">
        <v>15805</v>
      </c>
      <c r="H74" s="876">
        <v>2769</v>
      </c>
      <c r="I74" s="876">
        <v>2938</v>
      </c>
      <c r="J74" s="876">
        <v>2652</v>
      </c>
      <c r="K74" s="876">
        <v>3759</v>
      </c>
      <c r="L74" s="897">
        <v>3687</v>
      </c>
      <c r="O74" s="646"/>
    </row>
    <row r="75" spans="1:15" ht="16.5" customHeight="1" x14ac:dyDescent="0.3">
      <c r="A75" s="913"/>
      <c r="B75" s="889" t="s">
        <v>1284</v>
      </c>
      <c r="C75" s="621">
        <v>5188</v>
      </c>
      <c r="D75" s="877">
        <v>1860</v>
      </c>
      <c r="E75" s="877">
        <v>2017</v>
      </c>
      <c r="F75" s="899">
        <v>1311</v>
      </c>
      <c r="G75" s="890">
        <v>13898</v>
      </c>
      <c r="H75" s="877">
        <v>2530</v>
      </c>
      <c r="I75" s="877">
        <v>2468</v>
      </c>
      <c r="J75" s="877">
        <v>2773</v>
      </c>
      <c r="K75" s="877">
        <v>2909</v>
      </c>
      <c r="L75" s="878">
        <v>3218</v>
      </c>
      <c r="O75" s="646"/>
    </row>
    <row r="76" spans="1:15" ht="16.5" customHeight="1" x14ac:dyDescent="0.3">
      <c r="A76" s="913"/>
      <c r="B76" s="889" t="s">
        <v>1285</v>
      </c>
      <c r="C76" s="621">
        <v>5819</v>
      </c>
      <c r="D76" s="877">
        <v>2019</v>
      </c>
      <c r="E76" s="877">
        <v>2336</v>
      </c>
      <c r="F76" s="899">
        <v>1464</v>
      </c>
      <c r="G76" s="890">
        <v>16643</v>
      </c>
      <c r="H76" s="877">
        <v>2546</v>
      </c>
      <c r="I76" s="877">
        <v>3502</v>
      </c>
      <c r="J76" s="877">
        <v>3608</v>
      </c>
      <c r="K76" s="877">
        <v>3528</v>
      </c>
      <c r="L76" s="878">
        <v>3459</v>
      </c>
      <c r="O76" s="646"/>
    </row>
    <row r="77" spans="1:15" ht="16.5" customHeight="1" x14ac:dyDescent="0.3">
      <c r="A77" s="913"/>
      <c r="B77" s="889" t="s">
        <v>1286</v>
      </c>
      <c r="C77" s="621">
        <v>5585</v>
      </c>
      <c r="D77" s="877">
        <v>2161</v>
      </c>
      <c r="E77" s="877">
        <v>1910</v>
      </c>
      <c r="F77" s="899">
        <v>1514</v>
      </c>
      <c r="G77" s="890">
        <v>15831</v>
      </c>
      <c r="H77" s="877">
        <v>2822</v>
      </c>
      <c r="I77" s="877">
        <v>2597</v>
      </c>
      <c r="J77" s="877">
        <v>2497</v>
      </c>
      <c r="K77" s="877">
        <v>3892</v>
      </c>
      <c r="L77" s="878">
        <v>4023</v>
      </c>
      <c r="O77" s="646"/>
    </row>
    <row r="78" spans="1:15" ht="16.5" customHeight="1" x14ac:dyDescent="0.3">
      <c r="A78" s="913"/>
      <c r="B78" s="889" t="s">
        <v>106</v>
      </c>
      <c r="C78" s="621">
        <v>6149</v>
      </c>
      <c r="D78" s="877">
        <v>2733</v>
      </c>
      <c r="E78" s="877">
        <v>1727</v>
      </c>
      <c r="F78" s="899">
        <v>1689</v>
      </c>
      <c r="G78" s="890">
        <v>18351</v>
      </c>
      <c r="H78" s="877">
        <v>3052</v>
      </c>
      <c r="I78" s="877">
        <v>3073</v>
      </c>
      <c r="J78" s="877">
        <v>3907</v>
      </c>
      <c r="K78" s="877">
        <v>4083</v>
      </c>
      <c r="L78" s="878">
        <v>4236</v>
      </c>
      <c r="O78" s="646"/>
    </row>
    <row r="79" spans="1:15" ht="16.5" customHeight="1" x14ac:dyDescent="0.3">
      <c r="A79" s="913"/>
      <c r="B79" s="889" t="s">
        <v>1287</v>
      </c>
      <c r="C79" s="621">
        <v>5925</v>
      </c>
      <c r="D79" s="877">
        <v>2055</v>
      </c>
      <c r="E79" s="877">
        <v>2302</v>
      </c>
      <c r="F79" s="899">
        <v>1568</v>
      </c>
      <c r="G79" s="890">
        <v>14255</v>
      </c>
      <c r="H79" s="877">
        <v>2394</v>
      </c>
      <c r="I79" s="877">
        <v>2718</v>
      </c>
      <c r="J79" s="877">
        <v>2425</v>
      </c>
      <c r="K79" s="877">
        <v>3271</v>
      </c>
      <c r="L79" s="878">
        <v>3447</v>
      </c>
      <c r="O79" s="646"/>
    </row>
    <row r="80" spans="1:15" ht="16.5" customHeight="1" x14ac:dyDescent="0.3">
      <c r="A80" s="913"/>
      <c r="B80" s="889" t="s">
        <v>1288</v>
      </c>
      <c r="C80" s="621">
        <v>5610</v>
      </c>
      <c r="D80" s="877">
        <v>2242</v>
      </c>
      <c r="E80" s="877">
        <v>1916</v>
      </c>
      <c r="F80" s="899">
        <v>1452</v>
      </c>
      <c r="G80" s="890">
        <v>17475</v>
      </c>
      <c r="H80" s="877">
        <v>2943</v>
      </c>
      <c r="I80" s="877">
        <v>2780</v>
      </c>
      <c r="J80" s="877">
        <v>3540</v>
      </c>
      <c r="K80" s="877">
        <v>4378</v>
      </c>
      <c r="L80" s="878">
        <v>3834</v>
      </c>
      <c r="O80" s="646"/>
    </row>
    <row r="81" spans="1:15" ht="16.5" customHeight="1" x14ac:dyDescent="0.3">
      <c r="A81" s="913"/>
      <c r="B81" s="889" t="s">
        <v>1289</v>
      </c>
      <c r="C81" s="621">
        <v>5360</v>
      </c>
      <c r="D81" s="877">
        <v>2278</v>
      </c>
      <c r="E81" s="877">
        <v>1698</v>
      </c>
      <c r="F81" s="899">
        <v>1384</v>
      </c>
      <c r="G81" s="890">
        <v>16724</v>
      </c>
      <c r="H81" s="877">
        <v>2669</v>
      </c>
      <c r="I81" s="877">
        <v>3331</v>
      </c>
      <c r="J81" s="877">
        <v>2858</v>
      </c>
      <c r="K81" s="877">
        <v>3928</v>
      </c>
      <c r="L81" s="878">
        <v>3938</v>
      </c>
      <c r="O81" s="646"/>
    </row>
    <row r="82" spans="1:15" ht="16.5" customHeight="1" x14ac:dyDescent="0.3">
      <c r="A82" s="913"/>
      <c r="B82" s="889" t="s">
        <v>1290</v>
      </c>
      <c r="C82" s="621">
        <v>5326</v>
      </c>
      <c r="D82" s="877">
        <v>2008</v>
      </c>
      <c r="E82" s="877">
        <v>1811</v>
      </c>
      <c r="F82" s="899">
        <v>1507</v>
      </c>
      <c r="G82" s="890">
        <v>17154</v>
      </c>
      <c r="H82" s="877">
        <v>2356</v>
      </c>
      <c r="I82" s="877">
        <v>2484</v>
      </c>
      <c r="J82" s="877">
        <v>3440</v>
      </c>
      <c r="K82" s="877">
        <v>4447</v>
      </c>
      <c r="L82" s="878">
        <v>4427</v>
      </c>
      <c r="O82" s="646"/>
    </row>
    <row r="83" spans="1:15" ht="16.5" customHeight="1" x14ac:dyDescent="0.3">
      <c r="A83" s="913"/>
      <c r="B83" s="889" t="s">
        <v>1291</v>
      </c>
      <c r="C83" s="621">
        <v>6150</v>
      </c>
      <c r="D83" s="877">
        <v>2251</v>
      </c>
      <c r="E83" s="877">
        <v>2320</v>
      </c>
      <c r="F83" s="899">
        <v>1579</v>
      </c>
      <c r="G83" s="890">
        <v>16859</v>
      </c>
      <c r="H83" s="877">
        <v>2611</v>
      </c>
      <c r="I83" s="877">
        <v>2641</v>
      </c>
      <c r="J83" s="877">
        <v>2622</v>
      </c>
      <c r="K83" s="877">
        <v>4532</v>
      </c>
      <c r="L83" s="878">
        <v>4453</v>
      </c>
      <c r="O83" s="646"/>
    </row>
    <row r="84" spans="1:15" ht="16.5" customHeight="1" x14ac:dyDescent="0.3">
      <c r="A84" s="913"/>
      <c r="B84" s="889" t="s">
        <v>1292</v>
      </c>
      <c r="C84" s="621">
        <v>4984</v>
      </c>
      <c r="D84" s="877">
        <v>1791</v>
      </c>
      <c r="E84" s="877">
        <v>1653</v>
      </c>
      <c r="F84" s="899">
        <v>1540</v>
      </c>
      <c r="G84" s="890">
        <v>17903</v>
      </c>
      <c r="H84" s="877">
        <v>2690</v>
      </c>
      <c r="I84" s="877">
        <v>4323</v>
      </c>
      <c r="J84" s="877">
        <v>2092</v>
      </c>
      <c r="K84" s="877">
        <v>4103</v>
      </c>
      <c r="L84" s="878">
        <v>4695</v>
      </c>
      <c r="M84" s="646"/>
      <c r="N84" s="646"/>
      <c r="O84" s="646"/>
    </row>
    <row r="85" spans="1:15" ht="16.5" customHeight="1" thickBot="1" x14ac:dyDescent="0.35">
      <c r="A85" s="914"/>
      <c r="B85" s="901" t="s">
        <v>1293</v>
      </c>
      <c r="C85" s="622">
        <v>4916</v>
      </c>
      <c r="D85" s="903">
        <v>1860</v>
      </c>
      <c r="E85" s="903">
        <v>1739</v>
      </c>
      <c r="F85" s="904">
        <v>1317</v>
      </c>
      <c r="G85" s="883">
        <v>17859</v>
      </c>
      <c r="H85" s="903">
        <v>2539</v>
      </c>
      <c r="I85" s="903">
        <v>2990</v>
      </c>
      <c r="J85" s="903">
        <v>3969</v>
      </c>
      <c r="K85" s="903">
        <v>4382</v>
      </c>
      <c r="L85" s="905">
        <v>3979</v>
      </c>
      <c r="M85" s="646"/>
      <c r="N85" s="646"/>
      <c r="O85" s="646"/>
    </row>
    <row r="86" spans="1:15" ht="16.5" customHeight="1" x14ac:dyDescent="0.3">
      <c r="A86" s="908">
        <v>2020</v>
      </c>
      <c r="B86" s="915" t="s">
        <v>1283</v>
      </c>
      <c r="C86" s="621">
        <v>5466</v>
      </c>
      <c r="D86" s="877">
        <v>2031</v>
      </c>
      <c r="E86" s="877">
        <v>2001</v>
      </c>
      <c r="F86" s="899">
        <v>1434</v>
      </c>
      <c r="G86" s="890">
        <v>15537</v>
      </c>
      <c r="H86" s="877">
        <v>2608</v>
      </c>
      <c r="I86" s="877">
        <v>3068</v>
      </c>
      <c r="J86" s="877">
        <v>2200</v>
      </c>
      <c r="K86" s="877">
        <v>4356</v>
      </c>
      <c r="L86" s="878">
        <v>3305</v>
      </c>
      <c r="M86" s="646"/>
      <c r="N86" s="646"/>
      <c r="O86" s="646"/>
    </row>
    <row r="87" spans="1:15" ht="16.5" customHeight="1" x14ac:dyDescent="0.3">
      <c r="A87" s="913"/>
      <c r="B87" s="916" t="s">
        <v>1284</v>
      </c>
      <c r="C87" s="621">
        <v>5604</v>
      </c>
      <c r="D87" s="877">
        <v>1909</v>
      </c>
      <c r="E87" s="877">
        <v>2285</v>
      </c>
      <c r="F87" s="899">
        <v>1410</v>
      </c>
      <c r="G87" s="890">
        <v>15570</v>
      </c>
      <c r="H87" s="877">
        <v>1988</v>
      </c>
      <c r="I87" s="877">
        <v>2437</v>
      </c>
      <c r="J87" s="877">
        <v>4714</v>
      </c>
      <c r="K87" s="877">
        <v>3366</v>
      </c>
      <c r="L87" s="878">
        <v>3065</v>
      </c>
      <c r="M87" s="646"/>
      <c r="N87" s="646"/>
      <c r="O87" s="646"/>
    </row>
    <row r="88" spans="1:15" ht="16.5" customHeight="1" x14ac:dyDescent="0.3">
      <c r="A88" s="913"/>
      <c r="B88" s="916" t="s">
        <v>1285</v>
      </c>
      <c r="C88" s="621">
        <v>4437</v>
      </c>
      <c r="D88" s="877">
        <v>1277</v>
      </c>
      <c r="E88" s="877">
        <v>1927</v>
      </c>
      <c r="F88" s="899">
        <v>1233</v>
      </c>
      <c r="G88" s="890">
        <v>12984</v>
      </c>
      <c r="H88" s="877">
        <v>1566</v>
      </c>
      <c r="I88" s="877">
        <v>2175</v>
      </c>
      <c r="J88" s="877">
        <v>3711</v>
      </c>
      <c r="K88" s="877">
        <v>2714</v>
      </c>
      <c r="L88" s="878">
        <v>2818</v>
      </c>
      <c r="M88" s="646"/>
      <c r="N88" s="646"/>
      <c r="O88" s="646"/>
    </row>
    <row r="89" spans="1:15" ht="16.5" customHeight="1" x14ac:dyDescent="0.3">
      <c r="A89" s="913"/>
      <c r="B89" s="916" t="s">
        <v>1286</v>
      </c>
      <c r="C89" s="621">
        <v>1683</v>
      </c>
      <c r="D89" s="877">
        <v>277</v>
      </c>
      <c r="E89" s="877">
        <v>946</v>
      </c>
      <c r="F89" s="899">
        <v>460</v>
      </c>
      <c r="G89" s="890">
        <v>10916</v>
      </c>
      <c r="H89" s="877">
        <v>1919</v>
      </c>
      <c r="I89" s="877">
        <v>3163</v>
      </c>
      <c r="J89" s="877">
        <v>1133</v>
      </c>
      <c r="K89" s="877">
        <v>2087</v>
      </c>
      <c r="L89" s="878">
        <v>2614</v>
      </c>
      <c r="M89" s="646"/>
      <c r="N89" s="646"/>
      <c r="O89" s="646"/>
    </row>
    <row r="90" spans="1:15" ht="16.5" customHeight="1" x14ac:dyDescent="0.3">
      <c r="A90" s="913"/>
      <c r="B90" s="916" t="s">
        <v>1298</v>
      </c>
      <c r="C90" s="621">
        <v>3266</v>
      </c>
      <c r="D90" s="877">
        <v>810</v>
      </c>
      <c r="E90" s="877">
        <v>1635</v>
      </c>
      <c r="F90" s="899">
        <v>821</v>
      </c>
      <c r="G90" s="890">
        <v>11912</v>
      </c>
      <c r="H90" s="877">
        <v>1972</v>
      </c>
      <c r="I90" s="877">
        <v>3459</v>
      </c>
      <c r="J90" s="877">
        <v>837</v>
      </c>
      <c r="K90" s="877">
        <v>2543</v>
      </c>
      <c r="L90" s="878">
        <v>3101</v>
      </c>
      <c r="M90" s="646"/>
      <c r="N90" s="646"/>
      <c r="O90" s="646"/>
    </row>
    <row r="91" spans="1:15" ht="16.5" customHeight="1" x14ac:dyDescent="0.3">
      <c r="A91" s="913"/>
      <c r="B91" s="889" t="s">
        <v>1287</v>
      </c>
      <c r="C91" s="621">
        <v>5047</v>
      </c>
      <c r="D91" s="877">
        <v>1677</v>
      </c>
      <c r="E91" s="877">
        <v>2004</v>
      </c>
      <c r="F91" s="899">
        <v>1366</v>
      </c>
      <c r="G91" s="890">
        <v>11711</v>
      </c>
      <c r="H91" s="877">
        <v>1677</v>
      </c>
      <c r="I91" s="877">
        <v>2772</v>
      </c>
      <c r="J91" s="877">
        <v>2018</v>
      </c>
      <c r="K91" s="877">
        <v>2416</v>
      </c>
      <c r="L91" s="878">
        <v>2828</v>
      </c>
      <c r="M91" s="646"/>
      <c r="N91" s="646"/>
      <c r="O91" s="646"/>
    </row>
    <row r="92" spans="1:15" ht="16.5" customHeight="1" x14ac:dyDescent="0.3">
      <c r="A92" s="913"/>
      <c r="B92" s="889" t="s">
        <v>1288</v>
      </c>
      <c r="C92" s="621">
        <v>6344</v>
      </c>
      <c r="D92" s="877">
        <v>2185</v>
      </c>
      <c r="E92" s="877">
        <v>2233</v>
      </c>
      <c r="F92" s="899">
        <v>1926</v>
      </c>
      <c r="G92" s="890">
        <v>12556</v>
      </c>
      <c r="H92" s="877">
        <v>2286</v>
      </c>
      <c r="I92" s="877">
        <v>2733</v>
      </c>
      <c r="J92" s="877">
        <v>1985</v>
      </c>
      <c r="K92" s="877">
        <v>2406</v>
      </c>
      <c r="L92" s="878">
        <v>3146</v>
      </c>
      <c r="M92" s="646"/>
      <c r="N92" s="646"/>
      <c r="O92" s="646"/>
    </row>
    <row r="93" spans="1:15" ht="16.5" customHeight="1" x14ac:dyDescent="0.3">
      <c r="A93" s="913"/>
      <c r="B93" s="889" t="s">
        <v>1289</v>
      </c>
      <c r="C93" s="621">
        <v>5368</v>
      </c>
      <c r="D93" s="877">
        <v>1970</v>
      </c>
      <c r="E93" s="877">
        <v>2079</v>
      </c>
      <c r="F93" s="899">
        <v>1319</v>
      </c>
      <c r="G93" s="890">
        <v>13582</v>
      </c>
      <c r="H93" s="877">
        <v>2304</v>
      </c>
      <c r="I93" s="877">
        <v>3460</v>
      </c>
      <c r="J93" s="877">
        <v>1300</v>
      </c>
      <c r="K93" s="877">
        <v>3191</v>
      </c>
      <c r="L93" s="878">
        <v>3327</v>
      </c>
      <c r="M93" s="646"/>
      <c r="N93" s="646"/>
      <c r="O93" s="646"/>
    </row>
    <row r="94" spans="1:15" ht="16.5" customHeight="1" x14ac:dyDescent="0.3">
      <c r="A94" s="913"/>
      <c r="B94" s="889" t="s">
        <v>1290</v>
      </c>
      <c r="C94" s="621">
        <v>5760</v>
      </c>
      <c r="D94" s="877">
        <v>2333</v>
      </c>
      <c r="E94" s="877">
        <v>1688</v>
      </c>
      <c r="F94" s="899">
        <v>1739</v>
      </c>
      <c r="G94" s="890">
        <v>14126</v>
      </c>
      <c r="H94" s="877">
        <v>2406</v>
      </c>
      <c r="I94" s="877">
        <v>3223</v>
      </c>
      <c r="J94" s="877">
        <v>1391</v>
      </c>
      <c r="K94" s="877">
        <v>2838</v>
      </c>
      <c r="L94" s="878">
        <v>4268</v>
      </c>
      <c r="M94" s="646"/>
      <c r="N94" s="646"/>
      <c r="O94" s="646"/>
    </row>
    <row r="95" spans="1:15" ht="16.5" customHeight="1" x14ac:dyDescent="0.3">
      <c r="A95" s="913"/>
      <c r="B95" s="889" t="s">
        <v>1291</v>
      </c>
      <c r="C95" s="621">
        <v>6743</v>
      </c>
      <c r="D95" s="877">
        <v>2236</v>
      </c>
      <c r="E95" s="877">
        <v>2628</v>
      </c>
      <c r="F95" s="899">
        <v>1879</v>
      </c>
      <c r="G95" s="890">
        <v>15840</v>
      </c>
      <c r="H95" s="877">
        <v>2751</v>
      </c>
      <c r="I95" s="877">
        <v>3647</v>
      </c>
      <c r="J95" s="877">
        <v>1835</v>
      </c>
      <c r="K95" s="877">
        <v>3297</v>
      </c>
      <c r="L95" s="878">
        <v>4310</v>
      </c>
      <c r="M95" s="646"/>
      <c r="N95" s="646"/>
      <c r="O95" s="646"/>
    </row>
    <row r="96" spans="1:15" ht="16.5" customHeight="1" x14ac:dyDescent="0.3">
      <c r="A96" s="913"/>
      <c r="B96" s="889" t="s">
        <v>1292</v>
      </c>
      <c r="C96" s="621">
        <v>5015</v>
      </c>
      <c r="D96" s="877">
        <v>1889</v>
      </c>
      <c r="E96" s="877">
        <v>1765</v>
      </c>
      <c r="F96" s="899">
        <v>1361</v>
      </c>
      <c r="G96" s="890">
        <v>15333</v>
      </c>
      <c r="H96" s="877">
        <v>2663</v>
      </c>
      <c r="I96" s="877">
        <v>2595</v>
      </c>
      <c r="J96" s="877">
        <v>1936</v>
      </c>
      <c r="K96" s="877">
        <v>3853</v>
      </c>
      <c r="L96" s="878">
        <v>4286</v>
      </c>
      <c r="M96" s="646"/>
      <c r="N96" s="646"/>
      <c r="O96" s="646"/>
    </row>
    <row r="97" spans="1:15" ht="16.5" customHeight="1" thickBot="1" x14ac:dyDescent="0.35">
      <c r="A97" s="914"/>
      <c r="B97" s="917" t="s">
        <v>1293</v>
      </c>
      <c r="C97" s="622">
        <v>5832</v>
      </c>
      <c r="D97" s="903">
        <v>2075</v>
      </c>
      <c r="E97" s="903">
        <v>1993</v>
      </c>
      <c r="F97" s="904">
        <v>1764</v>
      </c>
      <c r="G97" s="883">
        <v>16445</v>
      </c>
      <c r="H97" s="903">
        <v>2712</v>
      </c>
      <c r="I97" s="903">
        <v>3506</v>
      </c>
      <c r="J97" s="903">
        <v>1850</v>
      </c>
      <c r="K97" s="903">
        <v>3551</v>
      </c>
      <c r="L97" s="905">
        <v>4826</v>
      </c>
      <c r="M97" s="646"/>
      <c r="N97" s="646"/>
      <c r="O97" s="646"/>
    </row>
    <row r="98" spans="1:15" ht="16.5" customHeight="1" x14ac:dyDescent="0.3">
      <c r="A98" s="908">
        <v>2021</v>
      </c>
      <c r="B98" s="915" t="s">
        <v>1283</v>
      </c>
      <c r="C98" s="621">
        <v>4642</v>
      </c>
      <c r="D98" s="877">
        <v>1730</v>
      </c>
      <c r="E98" s="877">
        <v>1644</v>
      </c>
      <c r="F98" s="899">
        <v>1268</v>
      </c>
      <c r="G98" s="890">
        <v>13514</v>
      </c>
      <c r="H98" s="877">
        <v>2053</v>
      </c>
      <c r="I98" s="877">
        <v>2518</v>
      </c>
      <c r="J98" s="877">
        <v>2775</v>
      </c>
      <c r="K98" s="877">
        <v>2969</v>
      </c>
      <c r="L98" s="878">
        <v>3199</v>
      </c>
      <c r="M98" s="646"/>
      <c r="N98" s="646"/>
      <c r="O98" s="646"/>
    </row>
    <row r="99" spans="1:15" ht="16.5" customHeight="1" x14ac:dyDescent="0.3">
      <c r="A99" s="913"/>
      <c r="B99" s="916" t="s">
        <v>1284</v>
      </c>
      <c r="C99" s="621">
        <v>5303</v>
      </c>
      <c r="D99" s="877">
        <v>1951</v>
      </c>
      <c r="E99" s="877">
        <v>2040</v>
      </c>
      <c r="F99" s="899">
        <v>1312</v>
      </c>
      <c r="G99" s="890">
        <v>14890</v>
      </c>
      <c r="H99" s="877">
        <v>2413</v>
      </c>
      <c r="I99" s="877">
        <v>3053</v>
      </c>
      <c r="J99" s="877">
        <v>2514</v>
      </c>
      <c r="K99" s="877">
        <v>3214</v>
      </c>
      <c r="L99" s="878">
        <v>3696</v>
      </c>
      <c r="M99" s="646"/>
      <c r="N99" s="646"/>
      <c r="O99" s="646"/>
    </row>
    <row r="100" spans="1:15" ht="16.5" customHeight="1" x14ac:dyDescent="0.3">
      <c r="A100" s="913"/>
      <c r="B100" s="916" t="s">
        <v>1285</v>
      </c>
      <c r="C100" s="621">
        <v>5008</v>
      </c>
      <c r="D100" s="877">
        <v>1918</v>
      </c>
      <c r="E100" s="877">
        <v>1919</v>
      </c>
      <c r="F100" s="899">
        <v>1171</v>
      </c>
      <c r="G100" s="890">
        <v>16106</v>
      </c>
      <c r="H100" s="877">
        <v>2433</v>
      </c>
      <c r="I100" s="877">
        <v>3384</v>
      </c>
      <c r="J100" s="877">
        <v>2612</v>
      </c>
      <c r="K100" s="877">
        <v>3506</v>
      </c>
      <c r="L100" s="878">
        <v>4171</v>
      </c>
      <c r="M100" s="646"/>
      <c r="N100" s="646"/>
      <c r="O100" s="646"/>
    </row>
    <row r="101" spans="1:15" ht="16.5" customHeight="1" x14ac:dyDescent="0.3">
      <c r="A101" s="913"/>
      <c r="B101" s="916" t="s">
        <v>1299</v>
      </c>
      <c r="C101" s="621">
        <v>4945</v>
      </c>
      <c r="D101" s="877">
        <v>1712</v>
      </c>
      <c r="E101" s="877">
        <v>1724</v>
      </c>
      <c r="F101" s="899">
        <v>1509</v>
      </c>
      <c r="G101" s="890">
        <v>13958</v>
      </c>
      <c r="H101" s="877">
        <v>2251</v>
      </c>
      <c r="I101" s="877">
        <v>2805</v>
      </c>
      <c r="J101" s="877">
        <v>1756</v>
      </c>
      <c r="K101" s="877">
        <v>3107</v>
      </c>
      <c r="L101" s="878">
        <v>4039</v>
      </c>
      <c r="M101" s="646"/>
      <c r="N101" s="646"/>
      <c r="O101" s="646"/>
    </row>
    <row r="102" spans="1:15" ht="18" thickBot="1" x14ac:dyDescent="0.35">
      <c r="A102" s="918"/>
      <c r="B102" s="919" t="s">
        <v>1300</v>
      </c>
      <c r="C102" s="920">
        <v>5733</v>
      </c>
      <c r="D102" s="921">
        <v>1909</v>
      </c>
      <c r="E102" s="921">
        <v>2126</v>
      </c>
      <c r="F102" s="922">
        <v>1698</v>
      </c>
      <c r="G102" s="923">
        <v>16886</v>
      </c>
      <c r="H102" s="921">
        <v>2485</v>
      </c>
      <c r="I102" s="921">
        <v>3747</v>
      </c>
      <c r="J102" s="921">
        <v>3467</v>
      </c>
      <c r="K102" s="921">
        <v>2505</v>
      </c>
      <c r="L102" s="924">
        <v>4682</v>
      </c>
      <c r="M102" s="646"/>
      <c r="N102" s="646"/>
      <c r="O102" s="646"/>
    </row>
    <row r="103" spans="1:15" ht="18" customHeight="1" thickTop="1" x14ac:dyDescent="0.25">
      <c r="A103" s="1089" t="s">
        <v>1301</v>
      </c>
      <c r="B103" s="1089"/>
      <c r="C103" s="1089"/>
      <c r="D103" s="1089"/>
      <c r="F103" s="1089" t="s">
        <v>1302</v>
      </c>
      <c r="G103" s="925"/>
      <c r="H103" s="926"/>
      <c r="I103" s="926"/>
      <c r="J103" s="926"/>
      <c r="K103" s="926"/>
      <c r="L103" s="927"/>
      <c r="O103" s="646"/>
    </row>
    <row r="104" spans="1:15" s="557" customFormat="1" ht="15" customHeight="1" x14ac:dyDescent="0.25">
      <c r="A104" s="3657" t="s">
        <v>1145</v>
      </c>
      <c r="B104" s="3657"/>
      <c r="C104" s="3657"/>
      <c r="F104" s="928"/>
      <c r="L104" s="928"/>
    </row>
    <row r="105" spans="1:15" x14ac:dyDescent="0.25">
      <c r="F105" s="646"/>
      <c r="G105" s="928"/>
      <c r="H105" s="928"/>
      <c r="I105" s="928"/>
      <c r="J105" s="928"/>
      <c r="K105" s="928"/>
      <c r="L105" s="928"/>
    </row>
    <row r="106" spans="1:15" x14ac:dyDescent="0.25">
      <c r="E106" s="646"/>
      <c r="F106" s="646"/>
      <c r="G106" s="646"/>
      <c r="H106" s="646"/>
      <c r="I106" s="646"/>
      <c r="J106" s="646"/>
      <c r="K106" s="646"/>
      <c r="L106" s="928"/>
    </row>
    <row r="107" spans="1:15" x14ac:dyDescent="0.25">
      <c r="C107" s="646"/>
      <c r="D107" s="646"/>
      <c r="E107" s="646"/>
      <c r="F107" s="646"/>
      <c r="G107" s="646"/>
      <c r="H107" s="646"/>
      <c r="I107" s="646"/>
      <c r="J107" s="646"/>
      <c r="K107" s="646"/>
      <c r="L107" s="646"/>
    </row>
    <row r="108" spans="1:15" x14ac:dyDescent="0.25">
      <c r="A108" s="929"/>
      <c r="B108" s="929"/>
      <c r="I108" s="646"/>
    </row>
  </sheetData>
  <mergeCells count="22">
    <mergeCell ref="I4:I5"/>
    <mergeCell ref="A104:C104"/>
    <mergeCell ref="J4:J5"/>
    <mergeCell ref="K4:K5"/>
    <mergeCell ref="L4:L5"/>
    <mergeCell ref="A6:B6"/>
    <mergeCell ref="A7:B7"/>
    <mergeCell ref="A8:B8"/>
    <mergeCell ref="A3:B5"/>
    <mergeCell ref="C3:F3"/>
    <mergeCell ref="G3:L3"/>
    <mergeCell ref="C4:C5"/>
    <mergeCell ref="D4:D5"/>
    <mergeCell ref="E4:E5"/>
    <mergeCell ref="F4:F5"/>
    <mergeCell ref="G4:G5"/>
    <mergeCell ref="A13:B13"/>
    <mergeCell ref="H4:H5"/>
    <mergeCell ref="A9:B9"/>
    <mergeCell ref="A10:B10"/>
    <mergeCell ref="A11:B11"/>
    <mergeCell ref="A12:B12"/>
  </mergeCells>
  <pageMargins left="0.75" right="0.75" top="0.75" bottom="0.75" header="0" footer="0"/>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80</vt:i4>
      </vt:variant>
    </vt:vector>
  </HeadingPairs>
  <TitlesOfParts>
    <vt:vector size="160" baseType="lpstr">
      <vt:lpstr>Table of Contents</vt:lpstr>
      <vt:lpstr>1</vt:lpstr>
      <vt:lpstr>2</vt:lpstr>
      <vt:lpstr>3</vt:lpstr>
      <vt:lpstr>4</vt:lpstr>
      <vt:lpstr>5</vt:lpstr>
      <vt:lpstr>6</vt:lpstr>
      <vt:lpstr>7</vt:lpstr>
      <vt:lpstr>8  </vt:lpstr>
      <vt:lpstr>9</vt:lpstr>
      <vt:lpstr>10</vt:lpstr>
      <vt:lpstr>11</vt:lpstr>
      <vt:lpstr>12</vt:lpstr>
      <vt:lpstr>13</vt:lpstr>
      <vt:lpstr>14</vt:lpstr>
      <vt:lpstr>15</vt:lpstr>
      <vt:lpstr>16</vt:lpstr>
      <vt:lpstr>17</vt:lpstr>
      <vt:lpstr>18</vt:lpstr>
      <vt:lpstr>19</vt:lpstr>
      <vt:lpstr>20</vt:lpstr>
      <vt:lpstr>21</vt:lpstr>
      <vt:lpstr>22a-b</vt:lpstr>
      <vt:lpstr>23</vt:lpstr>
      <vt:lpstr>24</vt:lpstr>
      <vt:lpstr>25a</vt:lpstr>
      <vt:lpstr>25b</vt:lpstr>
      <vt:lpstr>26</vt:lpstr>
      <vt:lpstr>27 </vt:lpstr>
      <vt:lpstr>28</vt:lpstr>
      <vt:lpstr>29</vt:lpstr>
      <vt:lpstr>30</vt:lpstr>
      <vt:lpstr>31</vt:lpstr>
      <vt:lpstr>32</vt:lpstr>
      <vt:lpstr>33</vt:lpstr>
      <vt:lpstr>34</vt:lpstr>
      <vt:lpstr>35</vt:lpstr>
      <vt:lpstr>36</vt:lpstr>
      <vt:lpstr>37</vt:lpstr>
      <vt:lpstr>38a</vt:lpstr>
      <vt:lpstr>38b</vt:lpstr>
      <vt:lpstr>39-40-41</vt:lpstr>
      <vt:lpstr>42</vt:lpstr>
      <vt:lpstr>43</vt:lpstr>
      <vt:lpstr>44</vt:lpstr>
      <vt:lpstr>45a-c</vt:lpstr>
      <vt:lpstr>46a-b</vt:lpstr>
      <vt:lpstr>47</vt:lpstr>
      <vt:lpstr>48a-b</vt:lpstr>
      <vt:lpstr>49a </vt:lpstr>
      <vt:lpstr>49b</vt:lpstr>
      <vt:lpstr>50</vt:lpstr>
      <vt:lpstr>51-52</vt:lpstr>
      <vt:lpstr>53a-b</vt:lpstr>
      <vt:lpstr>53c</vt:lpstr>
      <vt:lpstr>54</vt:lpstr>
      <vt:lpstr>55a</vt:lpstr>
      <vt:lpstr>55b</vt:lpstr>
      <vt:lpstr>56</vt:lpstr>
      <vt:lpstr>57a-b</vt:lpstr>
      <vt:lpstr>58a</vt:lpstr>
      <vt:lpstr>58b-c</vt:lpstr>
      <vt:lpstr>58d</vt:lpstr>
      <vt:lpstr>59-60</vt:lpstr>
      <vt:lpstr>61</vt:lpstr>
      <vt:lpstr>62a</vt:lpstr>
      <vt:lpstr>62b</vt:lpstr>
      <vt:lpstr>63a-b</vt:lpstr>
      <vt:lpstr>64</vt:lpstr>
      <vt:lpstr>65a-b</vt:lpstr>
      <vt:lpstr>66 </vt:lpstr>
      <vt:lpstr>67</vt:lpstr>
      <vt:lpstr>68a-b </vt:lpstr>
      <vt:lpstr>69a-b </vt:lpstr>
      <vt:lpstr>70a-c </vt:lpstr>
      <vt:lpstr>70d</vt:lpstr>
      <vt:lpstr>71</vt:lpstr>
      <vt:lpstr>72</vt:lpstr>
      <vt:lpstr>73</vt:lpstr>
      <vt:lpstr>74</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'22a-b'!Print_Area</vt:lpstr>
      <vt:lpstr>'23'!Print_Area</vt:lpstr>
      <vt:lpstr>'24'!Print_Area</vt:lpstr>
      <vt:lpstr>'25a'!Print_Area</vt:lpstr>
      <vt:lpstr>'25b'!Print_Area</vt:lpstr>
      <vt:lpstr>'26'!Print_Area</vt:lpstr>
      <vt:lpstr>'27 '!Print_Area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'38a'!Print_Area</vt:lpstr>
      <vt:lpstr>'38b'!Print_Area</vt:lpstr>
      <vt:lpstr>'39-40-41'!Print_Area</vt:lpstr>
      <vt:lpstr>'4'!Print_Area</vt:lpstr>
      <vt:lpstr>'42'!Print_Area</vt:lpstr>
      <vt:lpstr>'43'!Print_Area</vt:lpstr>
      <vt:lpstr>'44'!Print_Area</vt:lpstr>
      <vt:lpstr>'45a-c'!Print_Area</vt:lpstr>
      <vt:lpstr>'46a-b'!Print_Area</vt:lpstr>
      <vt:lpstr>'47'!Print_Area</vt:lpstr>
      <vt:lpstr>'48a-b'!Print_Area</vt:lpstr>
      <vt:lpstr>'49a '!Print_Area</vt:lpstr>
      <vt:lpstr>'49b'!Print_Area</vt:lpstr>
      <vt:lpstr>'5'!Print_Area</vt:lpstr>
      <vt:lpstr>'50'!Print_Area</vt:lpstr>
      <vt:lpstr>'51-52'!Print_Area</vt:lpstr>
      <vt:lpstr>'53a-b'!Print_Area</vt:lpstr>
      <vt:lpstr>'53c'!Print_Area</vt:lpstr>
      <vt:lpstr>'54'!Print_Area</vt:lpstr>
      <vt:lpstr>'55a'!Print_Area</vt:lpstr>
      <vt:lpstr>'55b'!Print_Area</vt:lpstr>
      <vt:lpstr>'56'!Print_Area</vt:lpstr>
      <vt:lpstr>'57a-b'!Print_Area</vt:lpstr>
      <vt:lpstr>'58a'!Print_Area</vt:lpstr>
      <vt:lpstr>'58b-c'!Print_Area</vt:lpstr>
      <vt:lpstr>'58d'!Print_Area</vt:lpstr>
      <vt:lpstr>'59-60'!Print_Area</vt:lpstr>
      <vt:lpstr>'6'!Print_Area</vt:lpstr>
      <vt:lpstr>'61'!Print_Area</vt:lpstr>
      <vt:lpstr>'62a'!Print_Area</vt:lpstr>
      <vt:lpstr>'62b'!Print_Area</vt:lpstr>
      <vt:lpstr>'63a-b'!Print_Area</vt:lpstr>
      <vt:lpstr>'64'!Print_Area</vt:lpstr>
      <vt:lpstr>'65a-b'!Print_Area</vt:lpstr>
      <vt:lpstr>'66 '!Print_Area</vt:lpstr>
      <vt:lpstr>'67'!Print_Area</vt:lpstr>
      <vt:lpstr>'68a-b '!Print_Area</vt:lpstr>
      <vt:lpstr>'69a-b '!Print_Area</vt:lpstr>
      <vt:lpstr>'7'!Print_Area</vt:lpstr>
      <vt:lpstr>'70a-c '!Print_Area</vt:lpstr>
      <vt:lpstr>'70d'!Print_Area</vt:lpstr>
      <vt:lpstr>'71'!Print_Area</vt:lpstr>
      <vt:lpstr>'72'!Print_Area</vt:lpstr>
      <vt:lpstr>'73'!Print_Area</vt:lpstr>
      <vt:lpstr>'74'!Print_Area</vt:lpstr>
      <vt:lpstr>'8  '!Print_Area</vt:lpstr>
      <vt:lpstr>'9'!Print_Area</vt:lpstr>
      <vt:lpstr>'73'!Print_Titles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Sharmeen Gariban</dc:creator>
  <cp:lastModifiedBy>Soobhadra Fowdur</cp:lastModifiedBy>
  <cp:lastPrinted>2021-08-17T12:22:20Z</cp:lastPrinted>
  <dcterms:created xsi:type="dcterms:W3CDTF">2021-04-15T05:07:19Z</dcterms:created>
  <dcterms:modified xsi:type="dcterms:W3CDTF">2021-08-20T05:53:56Z</dcterms:modified>
</cp:coreProperties>
</file>